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klin.morillo\Desktop\"/>
    </mc:Choice>
  </mc:AlternateContent>
  <bookViews>
    <workbookView xWindow="0" yWindow="0" windowWidth="28800" windowHeight="11580" tabRatio="821" firstSheet="8" activeTab="8"/>
  </bookViews>
  <sheets>
    <sheet name="ALCANT. OPCION 1" sheetId="1" state="hidden" r:id="rId1"/>
    <sheet name="Presupuesto" sheetId="20" state="hidden" r:id="rId2"/>
    <sheet name="Hoja1" sheetId="24" state="hidden" r:id="rId3"/>
    <sheet name="Basic" sheetId="22" state="hidden" r:id="rId4"/>
    <sheet name="RENDIMIENTO" sheetId="23" state="hidden" r:id="rId5"/>
    <sheet name="Basic (equilibrio)" sheetId="28" state="hidden" r:id="rId6"/>
    <sheet name="Hoja7" sheetId="38" state="hidden" r:id="rId7"/>
    <sheet name="RENDIMIENTO (equilibrio)" sheetId="29" state="hidden" r:id="rId8"/>
    <sheet name="PRESUPUESTO-base + equilibrio " sheetId="39" r:id="rId9"/>
    <sheet name="Analisis base + equilibrio" sheetId="31" state="hidden" r:id="rId10"/>
    <sheet name="Basic (equilibrio) (2)" sheetId="32" state="hidden" r:id="rId11"/>
    <sheet name="Análisis Por Hacer organizados" sheetId="8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\" localSheetId="8">[1]M.O.!#REF!</definedName>
    <definedName name="\">[1]M.O.!#REF!</definedName>
    <definedName name="\a" localSheetId="8">#REF!</definedName>
    <definedName name="\a">#REF!</definedName>
    <definedName name="\b" localSheetId="8">#REF!</definedName>
    <definedName name="\b">#REF!</definedName>
    <definedName name="\c">#N/A</definedName>
    <definedName name="\d">#N/A</definedName>
    <definedName name="\f" localSheetId="8">#REF!</definedName>
    <definedName name="\f">#REF!</definedName>
    <definedName name="\i" localSheetId="8">#REF!</definedName>
    <definedName name="\i">#REF!</definedName>
    <definedName name="\m" localSheetId="8">#REF!</definedName>
    <definedName name="\m">#REF!</definedName>
    <definedName name="\o" localSheetId="8">#REF!</definedName>
    <definedName name="\o">#REF!</definedName>
    <definedName name="\p" localSheetId="8">#REF!</definedName>
    <definedName name="\p">#REF!</definedName>
    <definedName name="\q" localSheetId="8">#REF!</definedName>
    <definedName name="\q">#REF!</definedName>
    <definedName name="\w" localSheetId="8">#REF!</definedName>
    <definedName name="\w">#REF!</definedName>
    <definedName name="\z" localSheetId="8">#REF!</definedName>
    <definedName name="\z">#REF!</definedName>
    <definedName name="___________ZC1" localSheetId="8">#REF!</definedName>
    <definedName name="___________ZC1">#REF!</definedName>
    <definedName name="___________ZE1" localSheetId="8">#REF!</definedName>
    <definedName name="___________ZE1">#REF!</definedName>
    <definedName name="___________ZE2" localSheetId="8">#REF!</definedName>
    <definedName name="___________ZE2">#REF!</definedName>
    <definedName name="___________ZE3" localSheetId="8">#REF!</definedName>
    <definedName name="___________ZE3">#REF!</definedName>
    <definedName name="___________ZE4" localSheetId="8">#REF!</definedName>
    <definedName name="___________ZE4">#REF!</definedName>
    <definedName name="___________ZE5" localSheetId="8">#REF!</definedName>
    <definedName name="___________ZE5">#REF!</definedName>
    <definedName name="___________ZE6" localSheetId="8">#REF!</definedName>
    <definedName name="___________ZE6">#REF!</definedName>
    <definedName name="__________ZC1" localSheetId="8">#REF!</definedName>
    <definedName name="__________ZC1">#REF!</definedName>
    <definedName name="__________ZE1" localSheetId="8">#REF!</definedName>
    <definedName name="__________ZE1">#REF!</definedName>
    <definedName name="__________ZE2" localSheetId="8">#REF!</definedName>
    <definedName name="__________ZE2">#REF!</definedName>
    <definedName name="__________ZE3" localSheetId="8">#REF!</definedName>
    <definedName name="__________ZE3">#REF!</definedName>
    <definedName name="__________ZE4" localSheetId="8">#REF!</definedName>
    <definedName name="__________ZE4">#REF!</definedName>
    <definedName name="__________ZE5" localSheetId="8">#REF!</definedName>
    <definedName name="__________ZE5">#REF!</definedName>
    <definedName name="__________ZE6" localSheetId="8">#REF!</definedName>
    <definedName name="__________ZE6">#REF!</definedName>
    <definedName name="_________ZC1" localSheetId="8">#REF!</definedName>
    <definedName name="_________ZC1">#REF!</definedName>
    <definedName name="_________ZE1" localSheetId="8">#REF!</definedName>
    <definedName name="_________ZE1">#REF!</definedName>
    <definedName name="_________ZE2" localSheetId="8">#REF!</definedName>
    <definedName name="_________ZE2">#REF!</definedName>
    <definedName name="_________ZE3" localSheetId="8">#REF!</definedName>
    <definedName name="_________ZE3">#REF!</definedName>
    <definedName name="_________ZE4" localSheetId="8">#REF!</definedName>
    <definedName name="_________ZE4">#REF!</definedName>
    <definedName name="_________ZE5" localSheetId="8">#REF!</definedName>
    <definedName name="_________ZE5">#REF!</definedName>
    <definedName name="_________ZE6" localSheetId="8">#REF!</definedName>
    <definedName name="_________ZE6">#REF!</definedName>
    <definedName name="________ZC1" localSheetId="8">#REF!</definedName>
    <definedName name="________ZC1">#REF!</definedName>
    <definedName name="________ZE1" localSheetId="8">#REF!</definedName>
    <definedName name="________ZE1">#REF!</definedName>
    <definedName name="________ZE2" localSheetId="8">#REF!</definedName>
    <definedName name="________ZE2">#REF!</definedName>
    <definedName name="________ZE3" localSheetId="8">#REF!</definedName>
    <definedName name="________ZE3">#REF!</definedName>
    <definedName name="________ZE4" localSheetId="8">#REF!</definedName>
    <definedName name="________ZE4">#REF!</definedName>
    <definedName name="________ZE5" localSheetId="8">#REF!</definedName>
    <definedName name="________ZE5">#REF!</definedName>
    <definedName name="________ZE6" localSheetId="8">#REF!</definedName>
    <definedName name="________ZE6">#REF!</definedName>
    <definedName name="_______ZC1" localSheetId="8">#REF!</definedName>
    <definedName name="_______ZC1">#REF!</definedName>
    <definedName name="_______ZE1" localSheetId="8">#REF!</definedName>
    <definedName name="_______ZE1">#REF!</definedName>
    <definedName name="_______ZE2" localSheetId="8">#REF!</definedName>
    <definedName name="_______ZE2">#REF!</definedName>
    <definedName name="_______ZE3" localSheetId="8">#REF!</definedName>
    <definedName name="_______ZE3">#REF!</definedName>
    <definedName name="_______ZE4" localSheetId="8">#REF!</definedName>
    <definedName name="_______ZE4">#REF!</definedName>
    <definedName name="_______ZE5" localSheetId="8">#REF!</definedName>
    <definedName name="_______ZE5">#REF!</definedName>
    <definedName name="_______ZE6" localSheetId="8">#REF!</definedName>
    <definedName name="_______ZE6">#REF!</definedName>
    <definedName name="______ZC1" localSheetId="8">#REF!</definedName>
    <definedName name="______ZC1">#REF!</definedName>
    <definedName name="______ZE1" localSheetId="8">#REF!</definedName>
    <definedName name="______ZE1">#REF!</definedName>
    <definedName name="______ZE2" localSheetId="8">#REF!</definedName>
    <definedName name="______ZE2">#REF!</definedName>
    <definedName name="______ZE3" localSheetId="8">#REF!</definedName>
    <definedName name="______ZE3">#REF!</definedName>
    <definedName name="______ZE4" localSheetId="8">#REF!</definedName>
    <definedName name="______ZE4">#REF!</definedName>
    <definedName name="______ZE5" localSheetId="8">#REF!</definedName>
    <definedName name="______ZE5">#REF!</definedName>
    <definedName name="______ZE6" localSheetId="8">#REF!</definedName>
    <definedName name="______ZE6">#REF!</definedName>
    <definedName name="_____F" localSheetId="8">#REF!</definedName>
    <definedName name="_____F">#REF!</definedName>
    <definedName name="_____ZC1" localSheetId="8">#REF!</definedName>
    <definedName name="_____ZC1">#REF!</definedName>
    <definedName name="_____ZE1" localSheetId="8">#REF!</definedName>
    <definedName name="_____ZE1">#REF!</definedName>
    <definedName name="_____ZE2" localSheetId="8">#REF!</definedName>
    <definedName name="_____ZE2">#REF!</definedName>
    <definedName name="_____ZE3" localSheetId="8">#REF!</definedName>
    <definedName name="_____ZE3">#REF!</definedName>
    <definedName name="_____ZE4" localSheetId="8">#REF!</definedName>
    <definedName name="_____ZE4">#REF!</definedName>
    <definedName name="_____ZE5" localSheetId="8">#REF!</definedName>
    <definedName name="_____ZE5">#REF!</definedName>
    <definedName name="_____ZE6" localSheetId="8">#REF!</definedName>
    <definedName name="_____ZE6">#REF!</definedName>
    <definedName name="____F" localSheetId="8">#REF!</definedName>
    <definedName name="____F">#REF!</definedName>
    <definedName name="____MZ1155">[2]Mezcla!$F$37</definedName>
    <definedName name="____ZC1" localSheetId="8">#REF!</definedName>
    <definedName name="____ZC1">#REF!</definedName>
    <definedName name="____ZE1" localSheetId="8">#REF!</definedName>
    <definedName name="____ZE1">#REF!</definedName>
    <definedName name="____ZE2" localSheetId="8">#REF!</definedName>
    <definedName name="____ZE2">#REF!</definedName>
    <definedName name="____ZE3" localSheetId="8">#REF!</definedName>
    <definedName name="____ZE3">#REF!</definedName>
    <definedName name="____ZE4" localSheetId="8">#REF!</definedName>
    <definedName name="____ZE4">#REF!</definedName>
    <definedName name="____ZE5" localSheetId="8">#REF!</definedName>
    <definedName name="____ZE5">#REF!</definedName>
    <definedName name="____ZE6" localSheetId="8">#REF!</definedName>
    <definedName name="____ZE6">#REF!</definedName>
    <definedName name="___F" localSheetId="8">#REF!</definedName>
    <definedName name="___F">#REF!</definedName>
    <definedName name="___hor280">[3]Analisis!$D$63</definedName>
    <definedName name="___pu5">[4]Sheet5!$E:$E</definedName>
    <definedName name="___ZC1" localSheetId="8">#REF!</definedName>
    <definedName name="___ZC1">#REF!</definedName>
    <definedName name="___ZE1" localSheetId="8">#REF!</definedName>
    <definedName name="___ZE1">#REF!</definedName>
    <definedName name="___ZE2" localSheetId="8">#REF!</definedName>
    <definedName name="___ZE2">#REF!</definedName>
    <definedName name="___ZE3" localSheetId="8">#REF!</definedName>
    <definedName name="___ZE3">#REF!</definedName>
    <definedName name="___ZE4" localSheetId="8">#REF!</definedName>
    <definedName name="___ZE4">#REF!</definedName>
    <definedName name="___ZE5" localSheetId="8">#REF!</definedName>
    <definedName name="___ZE5">#REF!</definedName>
    <definedName name="___ZE6" localSheetId="8">#REF!</definedName>
    <definedName name="___ZE6">#REF!</definedName>
    <definedName name="__F" localSheetId="8">#REF!</definedName>
    <definedName name="__F">#REF!</definedName>
    <definedName name="__pu5">[5]Sheet5!$E:$E</definedName>
    <definedName name="__REALIZADO" localSheetId="8">#REF!</definedName>
    <definedName name="__REALIZADO">#REF!</definedName>
    <definedName name="__REALIZADO_10" localSheetId="8">#REF!</definedName>
    <definedName name="__REALIZADO_10">#REF!</definedName>
    <definedName name="__REALIZADO_11" localSheetId="8">#REF!</definedName>
    <definedName name="__REALIZADO_11">#REF!</definedName>
    <definedName name="__REALIZADO_5" localSheetId="8">#REF!</definedName>
    <definedName name="__REALIZADO_5">#REF!</definedName>
    <definedName name="__REALIZADO_6" localSheetId="8">#REF!</definedName>
    <definedName name="__REALIZADO_6">#REF!</definedName>
    <definedName name="__REALIZADO_7" localSheetId="8">#REF!</definedName>
    <definedName name="__REALIZADO_7">#REF!</definedName>
    <definedName name="__REALIZADO_8" localSheetId="8">#REF!</definedName>
    <definedName name="__REALIZADO_8">#REF!</definedName>
    <definedName name="__REALIZADO_9" localSheetId="8">#REF!</definedName>
    <definedName name="__REALIZADO_9">#REF!</definedName>
    <definedName name="__ZC1" localSheetId="8">#REF!</definedName>
    <definedName name="__ZC1">#REF!</definedName>
    <definedName name="__ZC1_8" localSheetId="8">#REF!</definedName>
    <definedName name="__ZC1_8">#REF!</definedName>
    <definedName name="__ZE1" localSheetId="8">#REF!</definedName>
    <definedName name="__ZE1">#REF!</definedName>
    <definedName name="__ZE1_8" localSheetId="8">#REF!</definedName>
    <definedName name="__ZE1_8">#REF!</definedName>
    <definedName name="__ZE2" localSheetId="8">#REF!</definedName>
    <definedName name="__ZE2">#REF!</definedName>
    <definedName name="__ZE2_8" localSheetId="8">#REF!</definedName>
    <definedName name="__ZE2_8">#REF!</definedName>
    <definedName name="__ZE3" localSheetId="8">#REF!</definedName>
    <definedName name="__ZE3">#REF!</definedName>
    <definedName name="__ZE3_8" localSheetId="8">#REF!</definedName>
    <definedName name="__ZE3_8">#REF!</definedName>
    <definedName name="__ZE4" localSheetId="8">#REF!</definedName>
    <definedName name="__ZE4">#REF!</definedName>
    <definedName name="__ZE4_8" localSheetId="8">#REF!</definedName>
    <definedName name="__ZE4_8">#REF!</definedName>
    <definedName name="__ZE5" localSheetId="8">#REF!</definedName>
    <definedName name="__ZE5">#REF!</definedName>
    <definedName name="__ZE5_8" localSheetId="8">#REF!</definedName>
    <definedName name="__ZE5_8">#REF!</definedName>
    <definedName name="__ZE6" localSheetId="8">#REF!</definedName>
    <definedName name="__ZE6">#REF!</definedName>
    <definedName name="__ZE6_8" localSheetId="8">#REF!</definedName>
    <definedName name="__ZE6_8">#REF!</definedName>
    <definedName name="_1">#N/A</definedName>
    <definedName name="_1_6">NA()</definedName>
    <definedName name="_a" localSheetId="8">#REF!</definedName>
    <definedName name="_a">#REF!</definedName>
    <definedName name="_a_10" localSheetId="8">#REF!</definedName>
    <definedName name="_a_10">#REF!</definedName>
    <definedName name="_a_11" localSheetId="8">#REF!</definedName>
    <definedName name="_a_11">#REF!</definedName>
    <definedName name="_a_5" localSheetId="8">#REF!</definedName>
    <definedName name="_a_5">#REF!</definedName>
    <definedName name="_a_6" localSheetId="8">#REF!</definedName>
    <definedName name="_a_6">#REF!</definedName>
    <definedName name="_a_7" localSheetId="8">#REF!</definedName>
    <definedName name="_a_7">#REF!</definedName>
    <definedName name="_a_8" localSheetId="8">#REF!</definedName>
    <definedName name="_a_8">#REF!</definedName>
    <definedName name="_a_9" localSheetId="8">#REF!</definedName>
    <definedName name="_a_9">#REF!</definedName>
    <definedName name="_b" localSheetId="8">#REF!</definedName>
    <definedName name="_b">#REF!</definedName>
    <definedName name="_b_6" localSheetId="8">#REF!</definedName>
    <definedName name="_b_6">#REF!</definedName>
    <definedName name="_c">NA()</definedName>
    <definedName name="_d">NA()</definedName>
    <definedName name="_F" localSheetId="8">#REF!</definedName>
    <definedName name="_F">#REF!</definedName>
    <definedName name="_f_6" localSheetId="8">#REF!</definedName>
    <definedName name="_f_6">#REF!</definedName>
    <definedName name="_Fill" localSheetId="8" hidden="1">#REF!</definedName>
    <definedName name="_Fill" hidden="1">#REF!</definedName>
    <definedName name="_xlnm._FilterDatabase" localSheetId="0" hidden="1">'ALCANT. OPCION 1'!$A$9:$F$542</definedName>
    <definedName name="_i" localSheetId="8">#REF!</definedName>
    <definedName name="_i">#REF!</definedName>
    <definedName name="_i_6" localSheetId="8">#REF!</definedName>
    <definedName name="_i_6">#REF!</definedName>
    <definedName name="_m" localSheetId="8">#REF!</definedName>
    <definedName name="_m">#REF!</definedName>
    <definedName name="_m_6" localSheetId="8">#REF!</definedName>
    <definedName name="_m_6">#REF!</definedName>
    <definedName name="_o" localSheetId="8">#REF!</definedName>
    <definedName name="_o">#REF!</definedName>
    <definedName name="_o_10" localSheetId="8">#REF!</definedName>
    <definedName name="_o_10">#REF!</definedName>
    <definedName name="_o_11" localSheetId="8">#REF!</definedName>
    <definedName name="_o_11">#REF!</definedName>
    <definedName name="_o_5" localSheetId="8">#REF!</definedName>
    <definedName name="_o_5">#REF!</definedName>
    <definedName name="_o_6" localSheetId="8">#REF!</definedName>
    <definedName name="_o_6">#REF!</definedName>
    <definedName name="_o_7" localSheetId="8">#REF!</definedName>
    <definedName name="_o_7">#REF!</definedName>
    <definedName name="_o_8" localSheetId="8">#REF!</definedName>
    <definedName name="_o_8">#REF!</definedName>
    <definedName name="_o_9" localSheetId="8">#REF!</definedName>
    <definedName name="_o_9">#REF!</definedName>
    <definedName name="_Order2" hidden="1">255</definedName>
    <definedName name="_p" localSheetId="8">#REF!</definedName>
    <definedName name="_p">#REF!</definedName>
    <definedName name="_p_10" localSheetId="8">#REF!</definedName>
    <definedName name="_p_10">#REF!</definedName>
    <definedName name="_p_11" localSheetId="8">#REF!</definedName>
    <definedName name="_p_11">#REF!</definedName>
    <definedName name="_p_5" localSheetId="8">#REF!</definedName>
    <definedName name="_p_5">#REF!</definedName>
    <definedName name="_p_6" localSheetId="8">#REF!</definedName>
    <definedName name="_p_6">#REF!</definedName>
    <definedName name="_p_7" localSheetId="8">#REF!</definedName>
    <definedName name="_p_7">#REF!</definedName>
    <definedName name="_p_8" localSheetId="8">#REF!</definedName>
    <definedName name="_p_8">#REF!</definedName>
    <definedName name="_p_9" localSheetId="8">#REF!</definedName>
    <definedName name="_p_9">#REF!</definedName>
    <definedName name="_pl12">[6]analisis!$G$2477</definedName>
    <definedName name="_pl316">[6]analisis!$G$2513</definedName>
    <definedName name="_pl38">[6]analisis!$G$2486</definedName>
    <definedName name="_pu5">[7]Sheet5!$E:$E</definedName>
    <definedName name="_q" localSheetId="8">#REF!</definedName>
    <definedName name="_q">#REF!</definedName>
    <definedName name="_q_10" localSheetId="8">#REF!</definedName>
    <definedName name="_q_10">#REF!</definedName>
    <definedName name="_q_11" localSheetId="8">#REF!</definedName>
    <definedName name="_q_11">#REF!</definedName>
    <definedName name="_q_5" localSheetId="8">#REF!</definedName>
    <definedName name="_q_5">#REF!</definedName>
    <definedName name="_q_6" localSheetId="8">#REF!</definedName>
    <definedName name="_q_6">#REF!</definedName>
    <definedName name="_q_7" localSheetId="8">#REF!</definedName>
    <definedName name="_q_7">#REF!</definedName>
    <definedName name="_q_8" localSheetId="8">#REF!</definedName>
    <definedName name="_q_8">#REF!</definedName>
    <definedName name="_q_9" localSheetId="8">#REF!</definedName>
    <definedName name="_q_9">#REF!</definedName>
    <definedName name="_VAR38">[8]Precio!$F$11</definedName>
    <definedName name="_w" localSheetId="8">#REF!</definedName>
    <definedName name="_w">#REF!</definedName>
    <definedName name="_w_10" localSheetId="8">#REF!</definedName>
    <definedName name="_w_10">#REF!</definedName>
    <definedName name="_w_11" localSheetId="8">#REF!</definedName>
    <definedName name="_w_11">#REF!</definedName>
    <definedName name="_w_5" localSheetId="8">#REF!</definedName>
    <definedName name="_w_5">#REF!</definedName>
    <definedName name="_w_6" localSheetId="8">#REF!</definedName>
    <definedName name="_w_6">#REF!</definedName>
    <definedName name="_w_7" localSheetId="8">#REF!</definedName>
    <definedName name="_w_7">#REF!</definedName>
    <definedName name="_w_8" localSheetId="8">#REF!</definedName>
    <definedName name="_w_8">#REF!</definedName>
    <definedName name="_w_9" localSheetId="8">#REF!</definedName>
    <definedName name="_w_9">#REF!</definedName>
    <definedName name="_z" localSheetId="8">#REF!</definedName>
    <definedName name="_z">#REF!</definedName>
    <definedName name="_z_10" localSheetId="8">#REF!</definedName>
    <definedName name="_z_10">#REF!</definedName>
    <definedName name="_z_11" localSheetId="8">#REF!</definedName>
    <definedName name="_z_11">#REF!</definedName>
    <definedName name="_z_5" localSheetId="8">#REF!</definedName>
    <definedName name="_z_5">#REF!</definedName>
    <definedName name="_z_6" localSheetId="8">#REF!</definedName>
    <definedName name="_z_6">#REF!</definedName>
    <definedName name="_z_7" localSheetId="8">#REF!</definedName>
    <definedName name="_z_7">#REF!</definedName>
    <definedName name="_z_8" localSheetId="8">#REF!</definedName>
    <definedName name="_z_8">#REF!</definedName>
    <definedName name="_z_9" localSheetId="8">#REF!</definedName>
    <definedName name="_z_9">#REF!</definedName>
    <definedName name="_ZC1" localSheetId="8">#REF!</definedName>
    <definedName name="_ZC1">#REF!</definedName>
    <definedName name="_ZC1_8" localSheetId="8">#REF!</definedName>
    <definedName name="_ZC1_8">#REF!</definedName>
    <definedName name="_ZE1" localSheetId="8">#REF!</definedName>
    <definedName name="_ZE1">#REF!</definedName>
    <definedName name="_ZE1_8" localSheetId="8">#REF!</definedName>
    <definedName name="_ZE1_8">#REF!</definedName>
    <definedName name="_ZE2" localSheetId="8">#REF!</definedName>
    <definedName name="_ZE2">#REF!</definedName>
    <definedName name="_ZE2_8" localSheetId="8">#REF!</definedName>
    <definedName name="_ZE2_8">#REF!</definedName>
    <definedName name="_ZE3" localSheetId="8">#REF!</definedName>
    <definedName name="_ZE3">#REF!</definedName>
    <definedName name="_ZE3_8" localSheetId="8">#REF!</definedName>
    <definedName name="_ZE3_8">#REF!</definedName>
    <definedName name="_ZE4" localSheetId="8">#REF!</definedName>
    <definedName name="_ZE4">#REF!</definedName>
    <definedName name="_ZE4_8" localSheetId="8">#REF!</definedName>
    <definedName name="_ZE4_8">#REF!</definedName>
    <definedName name="_ZE5" localSheetId="8">#REF!</definedName>
    <definedName name="_ZE5">#REF!</definedName>
    <definedName name="_ZE5_8" localSheetId="8">#REF!</definedName>
    <definedName name="_ZE5_8">#REF!</definedName>
    <definedName name="_ZE6" localSheetId="8">#REF!</definedName>
    <definedName name="_ZE6">#REF!</definedName>
    <definedName name="_ZE6_8" localSheetId="8">#REF!</definedName>
    <definedName name="_ZE6_8">#REF!</definedName>
    <definedName name="a" localSheetId="8">[9]PVC!#REF!</definedName>
    <definedName name="a">[9]PVC!#REF!</definedName>
    <definedName name="a_10" localSheetId="8">#REF!</definedName>
    <definedName name="a_10">#REF!</definedName>
    <definedName name="a_11" localSheetId="8">#REF!</definedName>
    <definedName name="a_11">#REF!</definedName>
    <definedName name="a_6" localSheetId="8">#REF!</definedName>
    <definedName name="a_6">#REF!</definedName>
    <definedName name="a_7" localSheetId="8">#REF!</definedName>
    <definedName name="a_7">#REF!</definedName>
    <definedName name="a_8" localSheetId="8">#REF!</definedName>
    <definedName name="a_8">#REF!</definedName>
    <definedName name="a_9" localSheetId="8">#REF!</definedName>
    <definedName name="a_9">#REF!</definedName>
    <definedName name="A_IMPRESIÓN_IM" localSheetId="8">#REF!</definedName>
    <definedName name="A_IMPRESIÓN_IM">#REF!</definedName>
    <definedName name="A_IMPRESIÓN_IM_10" localSheetId="8">#REF!</definedName>
    <definedName name="A_IMPRESIÓN_IM_10">#REF!</definedName>
    <definedName name="A_IMPRESIÓN_IM_11" localSheetId="8">#REF!</definedName>
    <definedName name="A_IMPRESIÓN_IM_11">#REF!</definedName>
    <definedName name="A_IMPRESIÓN_IM_5" localSheetId="8">#REF!</definedName>
    <definedName name="A_IMPRESIÓN_IM_5">#REF!</definedName>
    <definedName name="A_IMPRESIÓN_IM_6" localSheetId="8">#REF!</definedName>
    <definedName name="A_IMPRESIÓN_IM_6">#REF!</definedName>
    <definedName name="A_IMPRESIÓN_IM_7" localSheetId="8">#REF!</definedName>
    <definedName name="A_IMPRESIÓN_IM_7">#REF!</definedName>
    <definedName name="A_IMPRESIÓN_IM_8" localSheetId="8">#REF!</definedName>
    <definedName name="A_IMPRESIÓN_IM_8">#REF!</definedName>
    <definedName name="A_IMPRESIÓN_IM_9" localSheetId="8">#REF!</definedName>
    <definedName name="A_IMPRESIÓN_IM_9">#REF!</definedName>
    <definedName name="AA" localSheetId="8">[10]M.O.!#REF!</definedName>
    <definedName name="AA">[10]M.O.!#REF!</definedName>
    <definedName name="aa_3">"$#REF!.$B$109"</definedName>
    <definedName name="AAG">[8]Precio!$F$20</definedName>
    <definedName name="AC">[2]insumo!$D$4</definedName>
    <definedName name="AC38G40">'[11]LISTADO INSUMOS DEL 2000'!$I$29</definedName>
    <definedName name="acero" localSheetId="8">#REF!</definedName>
    <definedName name="acero">#REF!</definedName>
    <definedName name="Acero_1_2_____Grado_40">[12]Insumos!$B$6:$D$6</definedName>
    <definedName name="Acero_1_4______Grado_40">[12]Insumos!$B$7:$D$7</definedName>
    <definedName name="Acero_2">#N/A</definedName>
    <definedName name="Acero_3">#N/A</definedName>
    <definedName name="Acero_3_4__1_____Grado_40">[12]Insumos!$B$8:$D$8</definedName>
    <definedName name="Acero_3_8______Grado_40">[12]Insumos!$B$9:$D$9</definedName>
    <definedName name="acero_6" localSheetId="8">#REF!</definedName>
    <definedName name="acero_6">#REF!</definedName>
    <definedName name="acero_8" localSheetId="8">#REF!</definedName>
    <definedName name="acero_8">#REF!</definedName>
    <definedName name="Acero_QQ">[13]INSU!$D$9</definedName>
    <definedName name="Acero_QQ_10" localSheetId="8">#REF!</definedName>
    <definedName name="Acero_QQ_10">#REF!</definedName>
    <definedName name="Acero_QQ_11" localSheetId="8">#REF!</definedName>
    <definedName name="Acero_QQ_11">#REF!</definedName>
    <definedName name="Acero_QQ_5" localSheetId="8">#REF!</definedName>
    <definedName name="Acero_QQ_5">#REF!</definedName>
    <definedName name="Acero_QQ_6" localSheetId="8">#REF!</definedName>
    <definedName name="Acero_QQ_6">#REF!</definedName>
    <definedName name="Acero_QQ_7" localSheetId="8">#REF!</definedName>
    <definedName name="Acero_QQ_7">#REF!</definedName>
    <definedName name="Acero_QQ_8" localSheetId="8">#REF!</definedName>
    <definedName name="Acero_QQ_8">#REF!</definedName>
    <definedName name="Acero_QQ_9" localSheetId="8">#REF!</definedName>
    <definedName name="Acero_QQ_9">#REF!</definedName>
    <definedName name="acero60" localSheetId="8">#REF!</definedName>
    <definedName name="acero60">#REF!</definedName>
    <definedName name="acero60_8" localSheetId="8">#REF!</definedName>
    <definedName name="acero60_8">#REF!</definedName>
    <definedName name="ACUEDUCTO" localSheetId="8">[14]INS!#REF!</definedName>
    <definedName name="ACUEDUCTO">[14]INS!#REF!</definedName>
    <definedName name="ACUEDUCTO_8" localSheetId="8">#REF!</definedName>
    <definedName name="ACUEDUCTO_8">#REF!</definedName>
    <definedName name="ADA" localSheetId="8">'[15]CUB-10181-3(Rescision)'!#REF!</definedName>
    <definedName name="ADA">'[15]CUB-10181-3(Rescision)'!#REF!</definedName>
    <definedName name="ADAPTADOR_HEM_PVC_1" localSheetId="8">#REF!</definedName>
    <definedName name="ADAPTADOR_HEM_PVC_1">#REF!</definedName>
    <definedName name="ADAPTADOR_HEM_PVC_1_10" localSheetId="8">#REF!</definedName>
    <definedName name="ADAPTADOR_HEM_PVC_1_10">#REF!</definedName>
    <definedName name="ADAPTADOR_HEM_PVC_1_11" localSheetId="8">#REF!</definedName>
    <definedName name="ADAPTADOR_HEM_PVC_1_11">#REF!</definedName>
    <definedName name="ADAPTADOR_HEM_PVC_1_6" localSheetId="8">#REF!</definedName>
    <definedName name="ADAPTADOR_HEM_PVC_1_6">#REF!</definedName>
    <definedName name="ADAPTADOR_HEM_PVC_1_7" localSheetId="8">#REF!</definedName>
    <definedName name="ADAPTADOR_HEM_PVC_1_7">#REF!</definedName>
    <definedName name="ADAPTADOR_HEM_PVC_1_8" localSheetId="8">#REF!</definedName>
    <definedName name="ADAPTADOR_HEM_PVC_1_8">#REF!</definedName>
    <definedName name="ADAPTADOR_HEM_PVC_1_9" localSheetId="8">#REF!</definedName>
    <definedName name="ADAPTADOR_HEM_PVC_1_9">#REF!</definedName>
    <definedName name="ADAPTADOR_HEM_PVC_12" localSheetId="8">#REF!</definedName>
    <definedName name="ADAPTADOR_HEM_PVC_12">#REF!</definedName>
    <definedName name="ADAPTADOR_HEM_PVC_12_10" localSheetId="8">#REF!</definedName>
    <definedName name="ADAPTADOR_HEM_PVC_12_10">#REF!</definedName>
    <definedName name="ADAPTADOR_HEM_PVC_12_11" localSheetId="8">#REF!</definedName>
    <definedName name="ADAPTADOR_HEM_PVC_12_11">#REF!</definedName>
    <definedName name="ADAPTADOR_HEM_PVC_12_6" localSheetId="8">#REF!</definedName>
    <definedName name="ADAPTADOR_HEM_PVC_12_6">#REF!</definedName>
    <definedName name="ADAPTADOR_HEM_PVC_12_7" localSheetId="8">#REF!</definedName>
    <definedName name="ADAPTADOR_HEM_PVC_12_7">#REF!</definedName>
    <definedName name="ADAPTADOR_HEM_PVC_12_8" localSheetId="8">#REF!</definedName>
    <definedName name="ADAPTADOR_HEM_PVC_12_8">#REF!</definedName>
    <definedName name="ADAPTADOR_HEM_PVC_12_9" localSheetId="8">#REF!</definedName>
    <definedName name="ADAPTADOR_HEM_PVC_12_9">#REF!</definedName>
    <definedName name="ADAPTADOR_HEM_PVC_34" localSheetId="8">#REF!</definedName>
    <definedName name="ADAPTADOR_HEM_PVC_34">#REF!</definedName>
    <definedName name="ADAPTADOR_HEM_PVC_34_10" localSheetId="8">#REF!</definedName>
    <definedName name="ADAPTADOR_HEM_PVC_34_10">#REF!</definedName>
    <definedName name="ADAPTADOR_HEM_PVC_34_11" localSheetId="8">#REF!</definedName>
    <definedName name="ADAPTADOR_HEM_PVC_34_11">#REF!</definedName>
    <definedName name="ADAPTADOR_HEM_PVC_34_6" localSheetId="8">#REF!</definedName>
    <definedName name="ADAPTADOR_HEM_PVC_34_6">#REF!</definedName>
    <definedName name="ADAPTADOR_HEM_PVC_34_7" localSheetId="8">#REF!</definedName>
    <definedName name="ADAPTADOR_HEM_PVC_34_7">#REF!</definedName>
    <definedName name="ADAPTADOR_HEM_PVC_34_8" localSheetId="8">#REF!</definedName>
    <definedName name="ADAPTADOR_HEM_PVC_34_8">#REF!</definedName>
    <definedName name="ADAPTADOR_HEM_PVC_34_9" localSheetId="8">#REF!</definedName>
    <definedName name="ADAPTADOR_HEM_PVC_34_9">#REF!</definedName>
    <definedName name="ADAPTADOR_MAC_PVC_1" localSheetId="8">#REF!</definedName>
    <definedName name="ADAPTADOR_MAC_PVC_1">#REF!</definedName>
    <definedName name="ADAPTADOR_MAC_PVC_1_10" localSheetId="8">#REF!</definedName>
    <definedName name="ADAPTADOR_MAC_PVC_1_10">#REF!</definedName>
    <definedName name="ADAPTADOR_MAC_PVC_1_11" localSheetId="8">#REF!</definedName>
    <definedName name="ADAPTADOR_MAC_PVC_1_11">#REF!</definedName>
    <definedName name="ADAPTADOR_MAC_PVC_1_6" localSheetId="8">#REF!</definedName>
    <definedName name="ADAPTADOR_MAC_PVC_1_6">#REF!</definedName>
    <definedName name="ADAPTADOR_MAC_PVC_1_7" localSheetId="8">#REF!</definedName>
    <definedName name="ADAPTADOR_MAC_PVC_1_7">#REF!</definedName>
    <definedName name="ADAPTADOR_MAC_PVC_1_8" localSheetId="8">#REF!</definedName>
    <definedName name="ADAPTADOR_MAC_PVC_1_8">#REF!</definedName>
    <definedName name="ADAPTADOR_MAC_PVC_1_9" localSheetId="8">#REF!</definedName>
    <definedName name="ADAPTADOR_MAC_PVC_1_9">#REF!</definedName>
    <definedName name="ADAPTADOR_MAC_PVC_12" localSheetId="8">#REF!</definedName>
    <definedName name="ADAPTADOR_MAC_PVC_12">#REF!</definedName>
    <definedName name="ADAPTADOR_MAC_PVC_12_10" localSheetId="8">#REF!</definedName>
    <definedName name="ADAPTADOR_MAC_PVC_12_10">#REF!</definedName>
    <definedName name="ADAPTADOR_MAC_PVC_12_11" localSheetId="8">#REF!</definedName>
    <definedName name="ADAPTADOR_MAC_PVC_12_11">#REF!</definedName>
    <definedName name="ADAPTADOR_MAC_PVC_12_6" localSheetId="8">#REF!</definedName>
    <definedName name="ADAPTADOR_MAC_PVC_12_6">#REF!</definedName>
    <definedName name="ADAPTADOR_MAC_PVC_12_7" localSheetId="8">#REF!</definedName>
    <definedName name="ADAPTADOR_MAC_PVC_12_7">#REF!</definedName>
    <definedName name="ADAPTADOR_MAC_PVC_12_8" localSheetId="8">#REF!</definedName>
    <definedName name="ADAPTADOR_MAC_PVC_12_8">#REF!</definedName>
    <definedName name="ADAPTADOR_MAC_PVC_12_9" localSheetId="8">#REF!</definedName>
    <definedName name="ADAPTADOR_MAC_PVC_12_9">#REF!</definedName>
    <definedName name="ADAPTADOR_MAC_PVC_34" localSheetId="8">#REF!</definedName>
    <definedName name="ADAPTADOR_MAC_PVC_34">#REF!</definedName>
    <definedName name="ADAPTADOR_MAC_PVC_34_10" localSheetId="8">#REF!</definedName>
    <definedName name="ADAPTADOR_MAC_PVC_34_10">#REF!</definedName>
    <definedName name="ADAPTADOR_MAC_PVC_34_11" localSheetId="8">#REF!</definedName>
    <definedName name="ADAPTADOR_MAC_PVC_34_11">#REF!</definedName>
    <definedName name="ADAPTADOR_MAC_PVC_34_6" localSheetId="8">#REF!</definedName>
    <definedName name="ADAPTADOR_MAC_PVC_34_6">#REF!</definedName>
    <definedName name="ADAPTADOR_MAC_PVC_34_7" localSheetId="8">#REF!</definedName>
    <definedName name="ADAPTADOR_MAC_PVC_34_7">#REF!</definedName>
    <definedName name="ADAPTADOR_MAC_PVC_34_8" localSheetId="8">#REF!</definedName>
    <definedName name="ADAPTADOR_MAC_PVC_34_8">#REF!</definedName>
    <definedName name="ADAPTADOR_MAC_PVC_34_9" localSheetId="8">#REF!</definedName>
    <definedName name="ADAPTADOR_MAC_PVC_34_9">#REF!</definedName>
    <definedName name="ADICIONAL">#N/A</definedName>
    <definedName name="ADICIONAL_6">NA()</definedName>
    <definedName name="ADITIVO_IMPERMEABILIZANTE" localSheetId="8">#REF!</definedName>
    <definedName name="ADITIVO_IMPERMEABILIZANTE">#REF!</definedName>
    <definedName name="ADITIVO_IMPERMEABILIZANTE_10" localSheetId="8">#REF!</definedName>
    <definedName name="ADITIVO_IMPERMEABILIZANTE_10">#REF!</definedName>
    <definedName name="ADITIVO_IMPERMEABILIZANTE_11" localSheetId="8">#REF!</definedName>
    <definedName name="ADITIVO_IMPERMEABILIZANTE_11">#REF!</definedName>
    <definedName name="ADITIVO_IMPERMEABILIZANTE_6" localSheetId="8">#REF!</definedName>
    <definedName name="ADITIVO_IMPERMEABILIZANTE_6">#REF!</definedName>
    <definedName name="ADITIVO_IMPERMEABILIZANTE_7" localSheetId="8">#REF!</definedName>
    <definedName name="ADITIVO_IMPERMEABILIZANTE_7">#REF!</definedName>
    <definedName name="ADITIVO_IMPERMEABILIZANTE_8" localSheetId="8">#REF!</definedName>
    <definedName name="ADITIVO_IMPERMEABILIZANTE_8">#REF!</definedName>
    <definedName name="ADITIVO_IMPERMEABILIZANTE_9" localSheetId="8">#REF!</definedName>
    <definedName name="ADITIVO_IMPERMEABILIZANTE_9">#REF!</definedName>
    <definedName name="AG">[8]Precio!$F$21</definedName>
    <definedName name="Agregado_3">#N/A</definedName>
    <definedName name="Agua" localSheetId="8">#REF!</definedName>
    <definedName name="Agua">#REF!</definedName>
    <definedName name="Agua_10" localSheetId="8">#REF!</definedName>
    <definedName name="Agua_10">#REF!</definedName>
    <definedName name="Agua_11" localSheetId="8">#REF!</definedName>
    <definedName name="Agua_11">#REF!</definedName>
    <definedName name="Agua_3">#N/A</definedName>
    <definedName name="Agua_6" localSheetId="8">#REF!</definedName>
    <definedName name="Agua_6">#REF!</definedName>
    <definedName name="Agua_7" localSheetId="8">#REF!</definedName>
    <definedName name="Agua_7">#REF!</definedName>
    <definedName name="Agua_8" localSheetId="8">#REF!</definedName>
    <definedName name="Agua_8">#REF!</definedName>
    <definedName name="Agua_9" localSheetId="8">#REF!</definedName>
    <definedName name="Agua_9">#REF!</definedName>
    <definedName name="AL_ELEC_No10" localSheetId="8">#REF!</definedName>
    <definedName name="AL_ELEC_No10">#REF!</definedName>
    <definedName name="AL_ELEC_No10_10" localSheetId="8">#REF!</definedName>
    <definedName name="AL_ELEC_No10_10">#REF!</definedName>
    <definedName name="AL_ELEC_No10_11" localSheetId="8">#REF!</definedName>
    <definedName name="AL_ELEC_No10_11">#REF!</definedName>
    <definedName name="AL_ELEC_No10_6" localSheetId="8">#REF!</definedName>
    <definedName name="AL_ELEC_No10_6">#REF!</definedName>
    <definedName name="AL_ELEC_No10_7" localSheetId="8">#REF!</definedName>
    <definedName name="AL_ELEC_No10_7">#REF!</definedName>
    <definedName name="AL_ELEC_No10_8" localSheetId="8">#REF!</definedName>
    <definedName name="AL_ELEC_No10_8">#REF!</definedName>
    <definedName name="AL_ELEC_No10_9" localSheetId="8">#REF!</definedName>
    <definedName name="AL_ELEC_No10_9">#REF!</definedName>
    <definedName name="AL_ELEC_No12" localSheetId="8">#REF!</definedName>
    <definedName name="AL_ELEC_No12">#REF!</definedName>
    <definedName name="AL_ELEC_No12_10" localSheetId="8">#REF!</definedName>
    <definedName name="AL_ELEC_No12_10">#REF!</definedName>
    <definedName name="AL_ELEC_No12_11" localSheetId="8">#REF!</definedName>
    <definedName name="AL_ELEC_No12_11">#REF!</definedName>
    <definedName name="AL_ELEC_No12_6" localSheetId="8">#REF!</definedName>
    <definedName name="AL_ELEC_No12_6">#REF!</definedName>
    <definedName name="AL_ELEC_No12_7" localSheetId="8">#REF!</definedName>
    <definedName name="AL_ELEC_No12_7">#REF!</definedName>
    <definedName name="AL_ELEC_No12_8" localSheetId="8">#REF!</definedName>
    <definedName name="AL_ELEC_No12_8">#REF!</definedName>
    <definedName name="AL_ELEC_No12_9" localSheetId="8">#REF!</definedName>
    <definedName name="AL_ELEC_No12_9">#REF!</definedName>
    <definedName name="AL_ELEC_No14" localSheetId="8">#REF!</definedName>
    <definedName name="AL_ELEC_No14">#REF!</definedName>
    <definedName name="AL_ELEC_No14_10" localSheetId="8">#REF!</definedName>
    <definedName name="AL_ELEC_No14_10">#REF!</definedName>
    <definedName name="AL_ELEC_No14_11" localSheetId="8">#REF!</definedName>
    <definedName name="AL_ELEC_No14_11">#REF!</definedName>
    <definedName name="AL_ELEC_No14_6" localSheetId="8">#REF!</definedName>
    <definedName name="AL_ELEC_No14_6">#REF!</definedName>
    <definedName name="AL_ELEC_No14_7" localSheetId="8">#REF!</definedName>
    <definedName name="AL_ELEC_No14_7">#REF!</definedName>
    <definedName name="AL_ELEC_No14_8" localSheetId="8">#REF!</definedName>
    <definedName name="AL_ELEC_No14_8">#REF!</definedName>
    <definedName name="AL_ELEC_No14_9" localSheetId="8">#REF!</definedName>
    <definedName name="AL_ELEC_No14_9">#REF!</definedName>
    <definedName name="AL_ELEC_No6" localSheetId="8">#REF!</definedName>
    <definedName name="AL_ELEC_No6">#REF!</definedName>
    <definedName name="AL_ELEC_No6_10" localSheetId="8">#REF!</definedName>
    <definedName name="AL_ELEC_No6_10">#REF!</definedName>
    <definedName name="AL_ELEC_No6_11" localSheetId="8">#REF!</definedName>
    <definedName name="AL_ELEC_No6_11">#REF!</definedName>
    <definedName name="AL_ELEC_No6_6" localSheetId="8">#REF!</definedName>
    <definedName name="AL_ELEC_No6_6">#REF!</definedName>
    <definedName name="AL_ELEC_No6_7" localSheetId="8">#REF!</definedName>
    <definedName name="AL_ELEC_No6_7">#REF!</definedName>
    <definedName name="AL_ELEC_No6_8" localSheetId="8">#REF!</definedName>
    <definedName name="AL_ELEC_No6_8">#REF!</definedName>
    <definedName name="AL_ELEC_No6_9" localSheetId="8">#REF!</definedName>
    <definedName name="AL_ELEC_No6_9">#REF!</definedName>
    <definedName name="AL_ELEC_No8" localSheetId="8">#REF!</definedName>
    <definedName name="AL_ELEC_No8">#REF!</definedName>
    <definedName name="AL_ELEC_No8_10" localSheetId="8">#REF!</definedName>
    <definedName name="AL_ELEC_No8_10">#REF!</definedName>
    <definedName name="AL_ELEC_No8_11" localSheetId="8">#REF!</definedName>
    <definedName name="AL_ELEC_No8_11">#REF!</definedName>
    <definedName name="AL_ELEC_No8_6" localSheetId="8">#REF!</definedName>
    <definedName name="AL_ELEC_No8_6">#REF!</definedName>
    <definedName name="AL_ELEC_No8_7" localSheetId="8">#REF!</definedName>
    <definedName name="AL_ELEC_No8_7">#REF!</definedName>
    <definedName name="AL_ELEC_No8_8" localSheetId="8">#REF!</definedName>
    <definedName name="AL_ELEC_No8_8">#REF!</definedName>
    <definedName name="AL_ELEC_No8_9" localSheetId="8">#REF!</definedName>
    <definedName name="AL_ELEC_No8_9">#REF!</definedName>
    <definedName name="ALAM18">[8]Precio!$F$15</definedName>
    <definedName name="Alambre_3">#N/A</definedName>
    <definedName name="Alambre_No._18">[12]Insumos!$B$20:$D$20</definedName>
    <definedName name="Alambre_No.18_3">#N/A</definedName>
    <definedName name="Alambre_Varilla">[13]INSU!$D$17</definedName>
    <definedName name="Alambre_Varilla_10" localSheetId="8">#REF!</definedName>
    <definedName name="Alambre_Varilla_10">#REF!</definedName>
    <definedName name="Alambre_Varilla_11" localSheetId="8">#REF!</definedName>
    <definedName name="Alambre_Varilla_11">#REF!</definedName>
    <definedName name="Alambre_Varilla_5" localSheetId="8">#REF!</definedName>
    <definedName name="Alambre_Varilla_5">#REF!</definedName>
    <definedName name="Alambre_Varilla_6" localSheetId="8">#REF!</definedName>
    <definedName name="Alambre_Varilla_6">#REF!</definedName>
    <definedName name="Alambre_Varilla_7" localSheetId="8">#REF!</definedName>
    <definedName name="Alambre_Varilla_7">#REF!</definedName>
    <definedName name="Alambre_Varilla_8" localSheetId="8">#REF!</definedName>
    <definedName name="Alambre_Varilla_8">#REF!</definedName>
    <definedName name="Alambre_Varilla_9" localSheetId="8">#REF!</definedName>
    <definedName name="Alambre_Varilla_9">#REF!</definedName>
    <definedName name="alambre18" localSheetId="8">#REF!</definedName>
    <definedName name="alambre18">#REF!</definedName>
    <definedName name="alambre18_8" localSheetId="8">#REF!</definedName>
    <definedName name="alambre18_8">#REF!</definedName>
    <definedName name="ALBANIL" localSheetId="8">#REF!</definedName>
    <definedName name="ALBANIL">#REF!</definedName>
    <definedName name="ALBANIL2">[10]M.O.!$C$12</definedName>
    <definedName name="ALBANIL2_10" localSheetId="8">#REF!</definedName>
    <definedName name="ALBANIL2_10">#REF!</definedName>
    <definedName name="ALBANIL2_11" localSheetId="8">#REF!</definedName>
    <definedName name="ALBANIL2_11">#REF!</definedName>
    <definedName name="ALBANIL2_6" localSheetId="8">#REF!</definedName>
    <definedName name="ALBANIL2_6">#REF!</definedName>
    <definedName name="ALBANIL2_7" localSheetId="8">#REF!</definedName>
    <definedName name="ALBANIL2_7">#REF!</definedName>
    <definedName name="ALBANIL2_8" localSheetId="8">#REF!</definedName>
    <definedName name="ALBANIL2_8">#REF!</definedName>
    <definedName name="ALBANIL2_9" localSheetId="8">#REF!</definedName>
    <definedName name="ALBANIL2_9">#REF!</definedName>
    <definedName name="ALBANIL3" localSheetId="8">#REF!</definedName>
    <definedName name="ALBANIL3">#REF!</definedName>
    <definedName name="Alq._Madera_P_Rampa_____Incl._M_O">[12]Insumos!$B$127:$D$127</definedName>
    <definedName name="Alq._Madera_P_Viga_____Incl._M_O">[12]Insumos!$B$128:$D$128</definedName>
    <definedName name="Alq._Madera_P_Vigas_y_Columnas_Amarre____Incl._M_O">[12]Insumos!$B$129:$D$129</definedName>
    <definedName name="altura" localSheetId="8">[16]presupuesto!#REF!</definedName>
    <definedName name="altura">[16]presupuesto!#REF!</definedName>
    <definedName name="ana" localSheetId="8">#REF!</definedName>
    <definedName name="ana">#REF!</definedName>
    <definedName name="ana_6" localSheetId="8">#REF!</definedName>
    <definedName name="ana_6">#REF!</definedName>
    <definedName name="analiis" localSheetId="8">[17]M.O.!#REF!</definedName>
    <definedName name="analiis">[17]M.O.!#REF!</definedName>
    <definedName name="analisis" localSheetId="8">#REF!</definedName>
    <definedName name="analisis">#REF!</definedName>
    <definedName name="ANALISSSSS" localSheetId="8">#REF!</definedName>
    <definedName name="ANALISSSSS">#REF!</definedName>
    <definedName name="ANALISSSSS_6" localSheetId="8">#REF!</definedName>
    <definedName name="ANALISSSSS_6">#REF!</definedName>
    <definedName name="Anclaje_de_Pilotes_3">#N/A</definedName>
    <definedName name="ANDAMIOS" localSheetId="8">#REF!</definedName>
    <definedName name="ANDAMIOS">#REF!</definedName>
    <definedName name="ANDAMIOS_10" localSheetId="8">#REF!</definedName>
    <definedName name="ANDAMIOS_10">#REF!</definedName>
    <definedName name="ANDAMIOS_11" localSheetId="8">#REF!</definedName>
    <definedName name="ANDAMIOS_11">#REF!</definedName>
    <definedName name="ANDAMIOS_6" localSheetId="8">#REF!</definedName>
    <definedName name="ANDAMIOS_6">#REF!</definedName>
    <definedName name="ANDAMIOS_7" localSheetId="8">#REF!</definedName>
    <definedName name="ANDAMIOS_7">#REF!</definedName>
    <definedName name="ANDAMIOS_8" localSheetId="8">#REF!</definedName>
    <definedName name="ANDAMIOS_8">#REF!</definedName>
    <definedName name="ANDAMIOS_9" localSheetId="8">#REF!</definedName>
    <definedName name="ANDAMIOS_9">#REF!</definedName>
    <definedName name="ANGULAR" localSheetId="8">#REF!</definedName>
    <definedName name="ANGULAR">#REF!</definedName>
    <definedName name="ANGULAR_3">"$#REF!.$B$246"</definedName>
    <definedName name="ANGULAR_8" localSheetId="8">#REF!</definedName>
    <definedName name="ANGULAR_8">#REF!</definedName>
    <definedName name="AP" localSheetId="8">#REF!</definedName>
    <definedName name="AP">#REF!</definedName>
    <definedName name="aqui" localSheetId="8">#REF!</definedName>
    <definedName name="aqui">#REF!</definedName>
    <definedName name="ARANDELA_INODORO_PVC_4" localSheetId="8">#REF!</definedName>
    <definedName name="ARANDELA_INODORO_PVC_4">#REF!</definedName>
    <definedName name="ARANDELA_INODORO_PVC_4_10" localSheetId="8">#REF!</definedName>
    <definedName name="ARANDELA_INODORO_PVC_4_10">#REF!</definedName>
    <definedName name="ARANDELA_INODORO_PVC_4_11" localSheetId="8">#REF!</definedName>
    <definedName name="ARANDELA_INODORO_PVC_4_11">#REF!</definedName>
    <definedName name="ARANDELA_INODORO_PVC_4_6" localSheetId="8">#REF!</definedName>
    <definedName name="ARANDELA_INODORO_PVC_4_6">#REF!</definedName>
    <definedName name="ARANDELA_INODORO_PVC_4_7" localSheetId="8">#REF!</definedName>
    <definedName name="ARANDELA_INODORO_PVC_4_7">#REF!</definedName>
    <definedName name="ARANDELA_INODORO_PVC_4_8" localSheetId="8">#REF!</definedName>
    <definedName name="ARANDELA_INODORO_PVC_4_8">#REF!</definedName>
    <definedName name="ARANDELA_INODORO_PVC_4_9" localSheetId="8">#REF!</definedName>
    <definedName name="ARANDELA_INODORO_PVC_4_9">#REF!</definedName>
    <definedName name="ARCILLA_ROJA" localSheetId="8">#REF!</definedName>
    <definedName name="ARCILLA_ROJA">#REF!</definedName>
    <definedName name="ARCILLA_ROJA_10" localSheetId="8">#REF!</definedName>
    <definedName name="ARCILLA_ROJA_10">#REF!</definedName>
    <definedName name="ARCILLA_ROJA_11" localSheetId="8">#REF!</definedName>
    <definedName name="ARCILLA_ROJA_11">#REF!</definedName>
    <definedName name="ARCILLA_ROJA_6" localSheetId="8">#REF!</definedName>
    <definedName name="ARCILLA_ROJA_6">#REF!</definedName>
    <definedName name="ARCILLA_ROJA_7" localSheetId="8">#REF!</definedName>
    <definedName name="ARCILLA_ROJA_7">#REF!</definedName>
    <definedName name="ARCILLA_ROJA_8" localSheetId="8">#REF!</definedName>
    <definedName name="ARCILLA_ROJA_8">#REF!</definedName>
    <definedName name="ARCILLA_ROJA_9" localSheetId="8">#REF!</definedName>
    <definedName name="ARCILLA_ROJA_9">#REF!</definedName>
    <definedName name="area" localSheetId="8">[16]presupuesto!#REF!</definedName>
    <definedName name="area">[16]presupuesto!#REF!</definedName>
    <definedName name="_xlnm.Extract" localSheetId="8">#REF!</definedName>
    <definedName name="_xlnm.Extract">#REF!</definedName>
    <definedName name="_xlnm.Print_Area" localSheetId="0">'ALCANT. OPCION 1'!$A$1:$F$565</definedName>
    <definedName name="_xlnm.Print_Area" localSheetId="9">'Analisis base + equilibrio'!$B$1:$I$15128</definedName>
    <definedName name="_xlnm.Print_Area" localSheetId="11">'Análisis Por Hacer organizados'!$A$1:$F$81</definedName>
    <definedName name="_xlnm.Print_Area" localSheetId="3">Basic!$A$1:$E$721</definedName>
    <definedName name="_xlnm.Print_Area" localSheetId="5">'Basic (equilibrio)'!$A$1:$D$718</definedName>
    <definedName name="_xlnm.Print_Area" localSheetId="10">'Basic (equilibrio) (2)'!$A$1:$D$718</definedName>
    <definedName name="_xlnm.Print_Area" localSheetId="1">Presupuesto!$A$1:$F$884</definedName>
    <definedName name="_xlnm.Print_Area" localSheetId="8">'PRESUPUESTO-base + equilibrio '!$A$1:$F$1486</definedName>
    <definedName name="_xlnm.Print_Area" localSheetId="4">RENDIMIENTO!$B$1:$T$33</definedName>
    <definedName name="_xlnm.Print_Area" localSheetId="7">'RENDIMIENTO (equilibrio)'!$B$1:$T$33</definedName>
    <definedName name="_xlnm.Print_Area">#REF!</definedName>
    <definedName name="Arena_Gruesa_Lavada">[12]Insumos!$B$16:$D$16</definedName>
    <definedName name="ARENA_LAV_CLASIF">'[18]MATERIALES LISTADO'!$D$9</definedName>
    <definedName name="ARENA_PAÑETE" localSheetId="8">#REF!</definedName>
    <definedName name="ARENA_PAÑETE">#REF!</definedName>
    <definedName name="ARENA_PAÑETE_10" localSheetId="8">#REF!</definedName>
    <definedName name="ARENA_PAÑETE_10">#REF!</definedName>
    <definedName name="ARENA_PAÑETE_11" localSheetId="8">#REF!</definedName>
    <definedName name="ARENA_PAÑETE_11">#REF!</definedName>
    <definedName name="ARENA_PAÑETE_6" localSheetId="8">#REF!</definedName>
    <definedName name="ARENA_PAÑETE_6">#REF!</definedName>
    <definedName name="ARENA_PAÑETE_7" localSheetId="8">#REF!</definedName>
    <definedName name="ARENA_PAÑETE_7">#REF!</definedName>
    <definedName name="ARENA_PAÑETE_8" localSheetId="8">#REF!</definedName>
    <definedName name="ARENA_PAÑETE_8">#REF!</definedName>
    <definedName name="ARENA_PAÑETE_9" localSheetId="8">#REF!</definedName>
    <definedName name="ARENA_PAÑETE_9">#REF!</definedName>
    <definedName name="ArenaItabo" localSheetId="8">#REF!</definedName>
    <definedName name="ArenaItabo">#REF!</definedName>
    <definedName name="ArenaItabo_10" localSheetId="8">#REF!</definedName>
    <definedName name="ArenaItabo_10">#REF!</definedName>
    <definedName name="ArenaItabo_11" localSheetId="8">#REF!</definedName>
    <definedName name="ArenaItabo_11">#REF!</definedName>
    <definedName name="ArenaItabo_6" localSheetId="8">#REF!</definedName>
    <definedName name="ArenaItabo_6">#REF!</definedName>
    <definedName name="ArenaItabo_7" localSheetId="8">#REF!</definedName>
    <definedName name="ArenaItabo_7">#REF!</definedName>
    <definedName name="ArenaItabo_8" localSheetId="8">#REF!</definedName>
    <definedName name="ArenaItabo_8">#REF!</definedName>
    <definedName name="ArenaItabo_9" localSheetId="8">#REF!</definedName>
    <definedName name="ArenaItabo_9">#REF!</definedName>
    <definedName name="ArenaPlanta" localSheetId="8">#REF!</definedName>
    <definedName name="ArenaPlanta">#REF!</definedName>
    <definedName name="ArenaPlanta_10" localSheetId="8">#REF!</definedName>
    <definedName name="ArenaPlanta_10">#REF!</definedName>
    <definedName name="ArenaPlanta_11" localSheetId="8">#REF!</definedName>
    <definedName name="ArenaPlanta_11">#REF!</definedName>
    <definedName name="ArenaPlanta_6" localSheetId="8">#REF!</definedName>
    <definedName name="ArenaPlanta_6">#REF!</definedName>
    <definedName name="ArenaPlanta_7" localSheetId="8">#REF!</definedName>
    <definedName name="ArenaPlanta_7">#REF!</definedName>
    <definedName name="ArenaPlanta_8" localSheetId="8">#REF!</definedName>
    <definedName name="ArenaPlanta_8">#REF!</definedName>
    <definedName name="ArenaPlanta_9" localSheetId="8">#REF!</definedName>
    <definedName name="ArenaPlanta_9">#REF!</definedName>
    <definedName name="as" localSheetId="8">[19]M.O.!#REF!</definedName>
    <definedName name="as">[19]M.O.!#REF!</definedName>
    <definedName name="as_10" localSheetId="8">#REF!</definedName>
    <definedName name="as_10">#REF!</definedName>
    <definedName name="as_11" localSheetId="8">#REF!</definedName>
    <definedName name="as_11">#REF!</definedName>
    <definedName name="as_5" localSheetId="8">#REF!</definedName>
    <definedName name="as_5">#REF!</definedName>
    <definedName name="as_6" localSheetId="8">#REF!</definedName>
    <definedName name="as_6">#REF!</definedName>
    <definedName name="as_7" localSheetId="8">#REF!</definedName>
    <definedName name="as_7">#REF!</definedName>
    <definedName name="as_8" localSheetId="8">#REF!</definedName>
    <definedName name="as_8">#REF!</definedName>
    <definedName name="as_9" localSheetId="8">#REF!</definedName>
    <definedName name="as_9">#REF!</definedName>
    <definedName name="asd" localSheetId="8">#REF!</definedName>
    <definedName name="asd">#REF!</definedName>
    <definedName name="AT" localSheetId="8">#REF!</definedName>
    <definedName name="AT">#REF!</definedName>
    <definedName name="AY" localSheetId="8">#REF!</definedName>
    <definedName name="AY">#REF!</definedName>
    <definedName name="AYCARP" localSheetId="8">[20]INS!#REF!</definedName>
    <definedName name="AYCARP">[20]INS!#REF!</definedName>
    <definedName name="AYCARP_6" localSheetId="8">#REF!</definedName>
    <definedName name="AYCARP_6">#REF!</definedName>
    <definedName name="AYCARP_8" localSheetId="8">#REF!</definedName>
    <definedName name="AYCARP_8">#REF!</definedName>
    <definedName name="AYUDANTE" localSheetId="8">#REF!</definedName>
    <definedName name="AYUDANTE">#REF!</definedName>
    <definedName name="Ayudante_2da" localSheetId="8">#REF!</definedName>
    <definedName name="Ayudante_2da">#REF!</definedName>
    <definedName name="Ayudante_2da_10" localSheetId="8">#REF!</definedName>
    <definedName name="Ayudante_2da_10">#REF!</definedName>
    <definedName name="Ayudante_2da_11" localSheetId="8">#REF!</definedName>
    <definedName name="Ayudante_2da_11">#REF!</definedName>
    <definedName name="Ayudante_2da_6" localSheetId="8">#REF!</definedName>
    <definedName name="Ayudante_2da_6">#REF!</definedName>
    <definedName name="Ayudante_2da_7" localSheetId="8">#REF!</definedName>
    <definedName name="Ayudante_2da_7">#REF!</definedName>
    <definedName name="Ayudante_2da_8" localSheetId="8">#REF!</definedName>
    <definedName name="Ayudante_2da_8">#REF!</definedName>
    <definedName name="Ayudante_2da_9" localSheetId="8">#REF!</definedName>
    <definedName name="Ayudante_2da_9">#REF!</definedName>
    <definedName name="Ayudante_6" localSheetId="8">#REF!</definedName>
    <definedName name="Ayudante_6">#REF!</definedName>
    <definedName name="Ayudante_Soldador" localSheetId="8">#REF!</definedName>
    <definedName name="Ayudante_Soldador">#REF!</definedName>
    <definedName name="Ayudante_Soldador_10" localSheetId="8">#REF!</definedName>
    <definedName name="Ayudante_Soldador_10">#REF!</definedName>
    <definedName name="Ayudante_Soldador_11" localSheetId="8">#REF!</definedName>
    <definedName name="Ayudante_Soldador_11">#REF!</definedName>
    <definedName name="Ayudante_Soldador_6" localSheetId="8">#REF!</definedName>
    <definedName name="Ayudante_Soldador_6">#REF!</definedName>
    <definedName name="Ayudante_Soldador_7" localSheetId="8">#REF!</definedName>
    <definedName name="Ayudante_Soldador_7">#REF!</definedName>
    <definedName name="Ayudante_Soldador_8" localSheetId="8">#REF!</definedName>
    <definedName name="Ayudante_Soldador_8">#REF!</definedName>
    <definedName name="Ayudante_Soldador_9" localSheetId="8">#REF!</definedName>
    <definedName name="Ayudante_Soldador_9">#REF!</definedName>
    <definedName name="b" localSheetId="8">[21]ADDENDA!#REF!</definedName>
    <definedName name="b">[21]ADDENDA!#REF!</definedName>
    <definedName name="b_6" localSheetId="8">#REF!</definedName>
    <definedName name="b_6">#REF!</definedName>
    <definedName name="b_8" localSheetId="8">#REF!</definedName>
    <definedName name="b_8">#REF!</definedName>
    <definedName name="BALDOSAS_TRANSPARENTE" localSheetId="8">#REF!</definedName>
    <definedName name="BALDOSAS_TRANSPARENTE">#REF!</definedName>
    <definedName name="BALDOSAS_TRANSPARENTE_10" localSheetId="8">#REF!</definedName>
    <definedName name="BALDOSAS_TRANSPARENTE_10">#REF!</definedName>
    <definedName name="BALDOSAS_TRANSPARENTE_11" localSheetId="8">#REF!</definedName>
    <definedName name="BALDOSAS_TRANSPARENTE_11">#REF!</definedName>
    <definedName name="BALDOSAS_TRANSPARENTE_6" localSheetId="8">#REF!</definedName>
    <definedName name="BALDOSAS_TRANSPARENTE_6">#REF!</definedName>
    <definedName name="BALDOSAS_TRANSPARENTE_7" localSheetId="8">#REF!</definedName>
    <definedName name="BALDOSAS_TRANSPARENTE_7">#REF!</definedName>
    <definedName name="BALDOSAS_TRANSPARENTE_8" localSheetId="8">#REF!</definedName>
    <definedName name="BALDOSAS_TRANSPARENTE_8">#REF!</definedName>
    <definedName name="BALDOSAS_TRANSPARENTE_9" localSheetId="8">#REF!</definedName>
    <definedName name="BALDOSAS_TRANSPARENTE_9">#REF!</definedName>
    <definedName name="BARANDILLA_3">#N/A</definedName>
    <definedName name="barra12">[6]analisis!$G$2860</definedName>
    <definedName name="bas3e" localSheetId="8">#REF!</definedName>
    <definedName name="bas3e">#REF!</definedName>
    <definedName name="bas3e_6" localSheetId="8">#REF!</definedName>
    <definedName name="bas3e_6">#REF!</definedName>
    <definedName name="base" localSheetId="8">#REF!</definedName>
    <definedName name="base">#REF!</definedName>
    <definedName name="BASE_CONTEN" localSheetId="8">#REF!</definedName>
    <definedName name="BASE_CONTEN">#REF!</definedName>
    <definedName name="BASE_CONTEN_10" localSheetId="8">#REF!</definedName>
    <definedName name="BASE_CONTEN_10">#REF!</definedName>
    <definedName name="BASE_CONTEN_11" localSheetId="8">#REF!</definedName>
    <definedName name="BASE_CONTEN_11">#REF!</definedName>
    <definedName name="BASE_CONTEN_6" localSheetId="8">#REF!</definedName>
    <definedName name="BASE_CONTEN_6">#REF!</definedName>
    <definedName name="BASE_CONTEN_7" localSheetId="8">#REF!</definedName>
    <definedName name="BASE_CONTEN_7">#REF!</definedName>
    <definedName name="BASE_CONTEN_8" localSheetId="8">#REF!</definedName>
    <definedName name="BASE_CONTEN_8">#REF!</definedName>
    <definedName name="BASE_CONTEN_9" localSheetId="8">#REF!</definedName>
    <definedName name="BASE_CONTEN_9">#REF!</definedName>
    <definedName name="BBB" localSheetId="8">#REF!</definedName>
    <definedName name="BBB">#REF!</definedName>
    <definedName name="BLOCK_4" localSheetId="8">#REF!</definedName>
    <definedName name="BLOCK_4">#REF!</definedName>
    <definedName name="BLOCK_4_10" localSheetId="8">#REF!</definedName>
    <definedName name="BLOCK_4_10">#REF!</definedName>
    <definedName name="BLOCK_4_11" localSheetId="8">#REF!</definedName>
    <definedName name="BLOCK_4_11">#REF!</definedName>
    <definedName name="BLOCK_4_6" localSheetId="8">#REF!</definedName>
    <definedName name="BLOCK_4_6">#REF!</definedName>
    <definedName name="BLOCK_4_7" localSheetId="8">#REF!</definedName>
    <definedName name="BLOCK_4_7">#REF!</definedName>
    <definedName name="BLOCK_4_8" localSheetId="8">#REF!</definedName>
    <definedName name="BLOCK_4_8">#REF!</definedName>
    <definedName name="BLOCK_4_9" localSheetId="8">#REF!</definedName>
    <definedName name="BLOCK_4_9">#REF!</definedName>
    <definedName name="BLOCK_6" localSheetId="8">#REF!</definedName>
    <definedName name="BLOCK_6">#REF!</definedName>
    <definedName name="BLOCK_6_10" localSheetId="8">#REF!</definedName>
    <definedName name="BLOCK_6_10">#REF!</definedName>
    <definedName name="BLOCK_6_11" localSheetId="8">#REF!</definedName>
    <definedName name="BLOCK_6_11">#REF!</definedName>
    <definedName name="BLOCK_6_6" localSheetId="8">#REF!</definedName>
    <definedName name="BLOCK_6_6">#REF!</definedName>
    <definedName name="BLOCK_6_7" localSheetId="8">#REF!</definedName>
    <definedName name="BLOCK_6_7">#REF!</definedName>
    <definedName name="BLOCK_6_8" localSheetId="8">#REF!</definedName>
    <definedName name="BLOCK_6_8">#REF!</definedName>
    <definedName name="BLOCK_6_9" localSheetId="8">#REF!</definedName>
    <definedName name="BLOCK_6_9">#REF!</definedName>
    <definedName name="BLOCK_8" localSheetId="8">#REF!</definedName>
    <definedName name="BLOCK_8">#REF!</definedName>
    <definedName name="BLOCK_8_10" localSheetId="8">#REF!</definedName>
    <definedName name="BLOCK_8_10">#REF!</definedName>
    <definedName name="BLOCK_8_11" localSheetId="8">#REF!</definedName>
    <definedName name="BLOCK_8_11">#REF!</definedName>
    <definedName name="BLOCK_8_6" localSheetId="8">#REF!</definedName>
    <definedName name="BLOCK_8_6">#REF!</definedName>
    <definedName name="BLOCK_8_7" localSheetId="8">#REF!</definedName>
    <definedName name="BLOCK_8_7">#REF!</definedName>
    <definedName name="BLOCK_8_8" localSheetId="8">#REF!</definedName>
    <definedName name="BLOCK_8_8">#REF!</definedName>
    <definedName name="BLOCK_8_9" localSheetId="8">#REF!</definedName>
    <definedName name="BLOCK_8_9">#REF!</definedName>
    <definedName name="BLOCK_CALADO" localSheetId="8">#REF!</definedName>
    <definedName name="BLOCK_CALADO">#REF!</definedName>
    <definedName name="BLOCK_CALADO_10" localSheetId="8">#REF!</definedName>
    <definedName name="BLOCK_CALADO_10">#REF!</definedName>
    <definedName name="BLOCK_CALADO_11" localSheetId="8">#REF!</definedName>
    <definedName name="BLOCK_CALADO_11">#REF!</definedName>
    <definedName name="BLOCK_CALADO_6" localSheetId="8">#REF!</definedName>
    <definedName name="BLOCK_CALADO_6">#REF!</definedName>
    <definedName name="BLOCK_CALADO_7" localSheetId="8">#REF!</definedName>
    <definedName name="BLOCK_CALADO_7">#REF!</definedName>
    <definedName name="BLOCK_CALADO_8" localSheetId="8">#REF!</definedName>
    <definedName name="BLOCK_CALADO_8">#REF!</definedName>
    <definedName name="BLOCK_CALADO_9" localSheetId="8">#REF!</definedName>
    <definedName name="BLOCK_CALADO_9">#REF!</definedName>
    <definedName name="BLOCK0.15M">[2]insumo!$D$9</definedName>
    <definedName name="BLOCK0.20M">[2]insumo!$D$10</definedName>
    <definedName name="bloque8" localSheetId="8">#REF!</definedName>
    <definedName name="bloque8">#REF!</definedName>
    <definedName name="bloque8_6" localSheetId="8">#REF!</definedName>
    <definedName name="bloque8_6">#REF!</definedName>
    <definedName name="bloque8_8" localSheetId="8">#REF!</definedName>
    <definedName name="bloque8_8">#REF!</definedName>
    <definedName name="Bloques_de_6">[12]Insumos!$B$22:$D$22</definedName>
    <definedName name="Bloques_de_8">[12]Insumos!$B$23:$D$23</definedName>
    <definedName name="BOMBA_ACHIQUE" localSheetId="8">#REF!</definedName>
    <definedName name="BOMBA_ACHIQUE">#REF!</definedName>
    <definedName name="BOMBA_ACHIQUE_10" localSheetId="8">#REF!</definedName>
    <definedName name="BOMBA_ACHIQUE_10">#REF!</definedName>
    <definedName name="BOMBA_ACHIQUE_11" localSheetId="8">#REF!</definedName>
    <definedName name="BOMBA_ACHIQUE_11">#REF!</definedName>
    <definedName name="BOMBA_ACHIQUE_6" localSheetId="8">#REF!</definedName>
    <definedName name="BOMBA_ACHIQUE_6">#REF!</definedName>
    <definedName name="BOMBA_ACHIQUE_7" localSheetId="8">#REF!</definedName>
    <definedName name="BOMBA_ACHIQUE_7">#REF!</definedName>
    <definedName name="BOMBA_ACHIQUE_8" localSheetId="8">#REF!</definedName>
    <definedName name="BOMBA_ACHIQUE_8">#REF!</definedName>
    <definedName name="BOMBA_ACHIQUE_9" localSheetId="8">#REF!</definedName>
    <definedName name="BOMBA_ACHIQUE_9">#REF!</definedName>
    <definedName name="BOMBILLAS_1500W">[22]INSU!$B$42</definedName>
    <definedName name="BOQUILLA_FREGADERO_CROMO" localSheetId="8">#REF!</definedName>
    <definedName name="BOQUILLA_FREGADERO_CROMO">#REF!</definedName>
    <definedName name="BOQUILLA_FREGADERO_CROMO_10" localSheetId="8">#REF!</definedName>
    <definedName name="BOQUILLA_FREGADERO_CROMO_10">#REF!</definedName>
    <definedName name="BOQUILLA_FREGADERO_CROMO_11" localSheetId="8">#REF!</definedName>
    <definedName name="BOQUILLA_FREGADERO_CROMO_11">#REF!</definedName>
    <definedName name="BOQUILLA_FREGADERO_CROMO_6" localSheetId="8">#REF!</definedName>
    <definedName name="BOQUILLA_FREGADERO_CROMO_6">#REF!</definedName>
    <definedName name="BOQUILLA_FREGADERO_CROMO_7" localSheetId="8">#REF!</definedName>
    <definedName name="BOQUILLA_FREGADERO_CROMO_7">#REF!</definedName>
    <definedName name="BOQUILLA_FREGADERO_CROMO_8" localSheetId="8">#REF!</definedName>
    <definedName name="BOQUILLA_FREGADERO_CROMO_8">#REF!</definedName>
    <definedName name="BOQUILLA_FREGADERO_CROMO_9" localSheetId="8">#REF!</definedName>
    <definedName name="BOQUILLA_FREGADERO_CROMO_9">#REF!</definedName>
    <definedName name="BOQUILLA_LAVADERO_CROMO" localSheetId="8">#REF!</definedName>
    <definedName name="BOQUILLA_LAVADERO_CROMO">#REF!</definedName>
    <definedName name="BOQUILLA_LAVADERO_CROMO_10" localSheetId="8">#REF!</definedName>
    <definedName name="BOQUILLA_LAVADERO_CROMO_10">#REF!</definedName>
    <definedName name="BOQUILLA_LAVADERO_CROMO_11" localSheetId="8">#REF!</definedName>
    <definedName name="BOQUILLA_LAVADERO_CROMO_11">#REF!</definedName>
    <definedName name="BOQUILLA_LAVADERO_CROMO_6" localSheetId="8">#REF!</definedName>
    <definedName name="BOQUILLA_LAVADERO_CROMO_6">#REF!</definedName>
    <definedName name="BOQUILLA_LAVADERO_CROMO_7" localSheetId="8">#REF!</definedName>
    <definedName name="BOQUILLA_LAVADERO_CROMO_7">#REF!</definedName>
    <definedName name="BOQUILLA_LAVADERO_CROMO_8" localSheetId="8">#REF!</definedName>
    <definedName name="BOQUILLA_LAVADERO_CROMO_8">#REF!</definedName>
    <definedName name="BOQUILLA_LAVADERO_CROMO_9" localSheetId="8">#REF!</definedName>
    <definedName name="BOQUILLA_LAVADERO_CROMO_9">#REF!</definedName>
    <definedName name="Borrar_Esc.">[23]Escalera!$J$9:$M$9,[23]Escalera!$J$10:$R$10,[23]Escalera!$AL$14:$AM$14,[23]Escalera!$AL$16:$AM$16,[23]Escalera!$I$16:$M$16,[23]Escalera!$B$19:$AE$32,[23]Escalera!$AN$19:$AQ$32</definedName>
    <definedName name="Borrar_Muros">[23]Muros!$W$15:$Z$15,[23]Muros!$AA$15:$AD$15,[23]Muros!$AF$13,[23]Muros!$K$20:$L$20,[23]Muros!$O$26:$P$26</definedName>
    <definedName name="Borrar_Precio">'[24]Cotz.'!$F$23:$F$800,'[24]Cotz.'!$K$280:$K$800</definedName>
    <definedName name="Borrar_V.C1">[25]qqVgas!$J$9:$M$9,[25]qqVgas!$J$10:$R$10,[25]qqVgas!$AJ$11:$AK$11,[25]qqVgas!$AR$11:$AS$11,[25]qqVgas!$AG$13:$AH$13,[25]qqVgas!$AP$13:$AQ$13,[25]qqVgas!$D$16:$AC$195</definedName>
    <definedName name="BOTE" localSheetId="8">#REF!</definedName>
    <definedName name="BOTE">#REF!</definedName>
    <definedName name="BOTE_10" localSheetId="8">#REF!</definedName>
    <definedName name="BOTE_10">#REF!</definedName>
    <definedName name="BOTE_11" localSheetId="8">#REF!</definedName>
    <definedName name="BOTE_11">#REF!</definedName>
    <definedName name="BOTE_6" localSheetId="8">#REF!</definedName>
    <definedName name="BOTE_6">#REF!</definedName>
    <definedName name="BOTE_7" localSheetId="8">#REF!</definedName>
    <definedName name="BOTE_7">#REF!</definedName>
    <definedName name="BOTE_8" localSheetId="8">#REF!</definedName>
    <definedName name="BOTE_8">#REF!</definedName>
    <definedName name="BOTE_9" localSheetId="8">#REF!</definedName>
    <definedName name="BOTE_9">#REF!</definedName>
    <definedName name="BREAKERS" localSheetId="8">#REF!</definedName>
    <definedName name="BREAKERS">#REF!</definedName>
    <definedName name="BREAKERS_10" localSheetId="8">#REF!</definedName>
    <definedName name="BREAKERS_10">#REF!</definedName>
    <definedName name="BREAKERS_11" localSheetId="8">#REF!</definedName>
    <definedName name="BREAKERS_11">#REF!</definedName>
    <definedName name="BREAKERS_15A" localSheetId="8">#REF!</definedName>
    <definedName name="BREAKERS_15A">#REF!</definedName>
    <definedName name="BREAKERS_15A_10" localSheetId="8">#REF!</definedName>
    <definedName name="BREAKERS_15A_10">#REF!</definedName>
    <definedName name="BREAKERS_15A_11" localSheetId="8">#REF!</definedName>
    <definedName name="BREAKERS_15A_11">#REF!</definedName>
    <definedName name="BREAKERS_15A_6" localSheetId="8">#REF!</definedName>
    <definedName name="BREAKERS_15A_6">#REF!</definedName>
    <definedName name="BREAKERS_15A_7" localSheetId="8">#REF!</definedName>
    <definedName name="BREAKERS_15A_7">#REF!</definedName>
    <definedName name="BREAKERS_15A_8" localSheetId="8">#REF!</definedName>
    <definedName name="BREAKERS_15A_8">#REF!</definedName>
    <definedName name="BREAKERS_15A_9" localSheetId="8">#REF!</definedName>
    <definedName name="BREAKERS_15A_9">#REF!</definedName>
    <definedName name="BREAKERS_20A" localSheetId="8">#REF!</definedName>
    <definedName name="BREAKERS_20A">#REF!</definedName>
    <definedName name="BREAKERS_20A_10" localSheetId="8">#REF!</definedName>
    <definedName name="BREAKERS_20A_10">#REF!</definedName>
    <definedName name="BREAKERS_20A_11" localSheetId="8">#REF!</definedName>
    <definedName name="BREAKERS_20A_11">#REF!</definedName>
    <definedName name="BREAKERS_20A_6" localSheetId="8">#REF!</definedName>
    <definedName name="BREAKERS_20A_6">#REF!</definedName>
    <definedName name="BREAKERS_20A_7" localSheetId="8">#REF!</definedName>
    <definedName name="BREAKERS_20A_7">#REF!</definedName>
    <definedName name="BREAKERS_20A_8" localSheetId="8">#REF!</definedName>
    <definedName name="BREAKERS_20A_8">#REF!</definedName>
    <definedName name="BREAKERS_20A_9" localSheetId="8">#REF!</definedName>
    <definedName name="BREAKERS_20A_9">#REF!</definedName>
    <definedName name="BREAKERS_30A" localSheetId="8">#REF!</definedName>
    <definedName name="BREAKERS_30A">#REF!</definedName>
    <definedName name="BREAKERS_30A_10" localSheetId="8">#REF!</definedName>
    <definedName name="BREAKERS_30A_10">#REF!</definedName>
    <definedName name="BREAKERS_30A_11" localSheetId="8">#REF!</definedName>
    <definedName name="BREAKERS_30A_11">#REF!</definedName>
    <definedName name="BREAKERS_30A_6" localSheetId="8">#REF!</definedName>
    <definedName name="BREAKERS_30A_6">#REF!</definedName>
    <definedName name="BREAKERS_30A_7" localSheetId="8">#REF!</definedName>
    <definedName name="BREAKERS_30A_7">#REF!</definedName>
    <definedName name="BREAKERS_30A_8" localSheetId="8">#REF!</definedName>
    <definedName name="BREAKERS_30A_8">#REF!</definedName>
    <definedName name="BREAKERS_30A_9" localSheetId="8">#REF!</definedName>
    <definedName name="BREAKERS_30A_9">#REF!</definedName>
    <definedName name="BREAKERS_6" localSheetId="8">#REF!</definedName>
    <definedName name="BREAKERS_6">#REF!</definedName>
    <definedName name="BREAKERS_7" localSheetId="8">#REF!</definedName>
    <definedName name="BREAKERS_7">#REF!</definedName>
    <definedName name="BREAKERS_8" localSheetId="8">#REF!</definedName>
    <definedName name="BREAKERS_8">#REF!</definedName>
    <definedName name="BREAKERS_9" localSheetId="8">#REF!</definedName>
    <definedName name="BREAKERS_9">#REF!</definedName>
    <definedName name="BRIGADATOPOGRAFICA">[10]M.O.!$C$9</definedName>
    <definedName name="BRIGADATOPOGRAFICA_6" localSheetId="8">#REF!</definedName>
    <definedName name="BRIGADATOPOGRAFICA_6">#REF!</definedName>
    <definedName name="BVNBVNBV" localSheetId="8">[26]M.O.!#REF!</definedName>
    <definedName name="BVNBVNBV">[26]M.O.!#REF!</definedName>
    <definedName name="BVNBVNBV_6" localSheetId="8">#REF!</definedName>
    <definedName name="BVNBVNBV_6">#REF!</definedName>
    <definedName name="C._ADICIONAL">#N/A</definedName>
    <definedName name="C._ADICIONAL_6">NA()</definedName>
    <definedName name="caballeteasbecto" localSheetId="8">[27]precios!#REF!</definedName>
    <definedName name="caballeteasbecto">[27]precios!#REF!</definedName>
    <definedName name="caballeteasbecto_8" localSheetId="8">#REF!</definedName>
    <definedName name="caballeteasbecto_8">#REF!</definedName>
    <definedName name="caballeteasbeto" localSheetId="8">[27]precios!#REF!</definedName>
    <definedName name="caballeteasbeto">[27]precios!#REF!</definedName>
    <definedName name="caballeteasbeto_8" localSheetId="8">#REF!</definedName>
    <definedName name="caballeteasbeto_8">#REF!</definedName>
    <definedName name="Cable_de_Postensado_3">#N/A</definedName>
    <definedName name="CAJA_2x4_12" localSheetId="8">#REF!</definedName>
    <definedName name="CAJA_2x4_12">#REF!</definedName>
    <definedName name="CAJA_2x4_12_10" localSheetId="8">#REF!</definedName>
    <definedName name="CAJA_2x4_12_10">#REF!</definedName>
    <definedName name="CAJA_2x4_12_11" localSheetId="8">#REF!</definedName>
    <definedName name="CAJA_2x4_12_11">#REF!</definedName>
    <definedName name="CAJA_2x4_12_6" localSheetId="8">#REF!</definedName>
    <definedName name="CAJA_2x4_12_6">#REF!</definedName>
    <definedName name="CAJA_2x4_12_7" localSheetId="8">#REF!</definedName>
    <definedName name="CAJA_2x4_12_7">#REF!</definedName>
    <definedName name="CAJA_2x4_12_8" localSheetId="8">#REF!</definedName>
    <definedName name="CAJA_2x4_12_8">#REF!</definedName>
    <definedName name="CAJA_2x4_12_9" localSheetId="8">#REF!</definedName>
    <definedName name="CAJA_2x4_12_9">#REF!</definedName>
    <definedName name="CAJA_2x4_34" localSheetId="8">#REF!</definedName>
    <definedName name="CAJA_2x4_34">#REF!</definedName>
    <definedName name="CAJA_2x4_34_10" localSheetId="8">#REF!</definedName>
    <definedName name="CAJA_2x4_34_10">#REF!</definedName>
    <definedName name="CAJA_2x4_34_11" localSheetId="8">#REF!</definedName>
    <definedName name="CAJA_2x4_34_11">#REF!</definedName>
    <definedName name="CAJA_2x4_34_6" localSheetId="8">#REF!</definedName>
    <definedName name="CAJA_2x4_34_6">#REF!</definedName>
    <definedName name="CAJA_2x4_34_7" localSheetId="8">#REF!</definedName>
    <definedName name="CAJA_2x4_34_7">#REF!</definedName>
    <definedName name="CAJA_2x4_34_8" localSheetId="8">#REF!</definedName>
    <definedName name="CAJA_2x4_34_8">#REF!</definedName>
    <definedName name="CAJA_2x4_34_9" localSheetId="8">#REF!</definedName>
    <definedName name="CAJA_2x4_34_9">#REF!</definedName>
    <definedName name="CAJA_OCTAGONAL" localSheetId="8">#REF!</definedName>
    <definedName name="CAJA_OCTAGONAL">#REF!</definedName>
    <definedName name="CAJA_OCTAGONAL_10" localSheetId="8">#REF!</definedName>
    <definedName name="CAJA_OCTAGONAL_10">#REF!</definedName>
    <definedName name="CAJA_OCTAGONAL_11" localSheetId="8">#REF!</definedName>
    <definedName name="CAJA_OCTAGONAL_11">#REF!</definedName>
    <definedName name="CAJA_OCTAGONAL_6" localSheetId="8">#REF!</definedName>
    <definedName name="CAJA_OCTAGONAL_6">#REF!</definedName>
    <definedName name="CAJA_OCTAGONAL_7" localSheetId="8">#REF!</definedName>
    <definedName name="CAJA_OCTAGONAL_7">#REF!</definedName>
    <definedName name="CAJA_OCTAGONAL_8" localSheetId="8">#REF!</definedName>
    <definedName name="CAJA_OCTAGONAL_8">#REF!</definedName>
    <definedName name="CAJA_OCTAGONAL_9" localSheetId="8">#REF!</definedName>
    <definedName name="CAJA_OCTAGONAL_9">#REF!</definedName>
    <definedName name="Cal" localSheetId="8">#REF!</definedName>
    <definedName name="Cal">#REF!</definedName>
    <definedName name="Cal_10" localSheetId="8">#REF!</definedName>
    <definedName name="Cal_10">#REF!</definedName>
    <definedName name="Cal_11" localSheetId="8">#REF!</definedName>
    <definedName name="Cal_11">#REF!</definedName>
    <definedName name="Cal_6" localSheetId="8">#REF!</definedName>
    <definedName name="Cal_6">#REF!</definedName>
    <definedName name="Cal_7" localSheetId="8">#REF!</definedName>
    <definedName name="Cal_7">#REF!</definedName>
    <definedName name="Cal_8" localSheetId="8">#REF!</definedName>
    <definedName name="Cal_8">#REF!</definedName>
    <definedName name="Cal_9" localSheetId="8">#REF!</definedName>
    <definedName name="Cal_9">#REF!</definedName>
    <definedName name="CALICHE" localSheetId="8">#REF!</definedName>
    <definedName name="CALICHE">#REF!</definedName>
    <definedName name="CALICHE_10" localSheetId="8">#REF!</definedName>
    <definedName name="CALICHE_10">#REF!</definedName>
    <definedName name="CALICHE_11" localSheetId="8">#REF!</definedName>
    <definedName name="CALICHE_11">#REF!</definedName>
    <definedName name="CALICHE_6" localSheetId="8">#REF!</definedName>
    <definedName name="CALICHE_6">#REF!</definedName>
    <definedName name="CALICHE_7" localSheetId="8">#REF!</definedName>
    <definedName name="CALICHE_7">#REF!</definedName>
    <definedName name="CALICHE_8" localSheetId="8">#REF!</definedName>
    <definedName name="CALICHE_8">#REF!</definedName>
    <definedName name="CALICHE_9" localSheetId="8">#REF!</definedName>
    <definedName name="CALICHE_9">#REF!</definedName>
    <definedName name="CAMION_BOTE" localSheetId="8">#REF!</definedName>
    <definedName name="CAMION_BOTE">#REF!</definedName>
    <definedName name="CAMION_BOTE_10" localSheetId="8">#REF!</definedName>
    <definedName name="CAMION_BOTE_10">#REF!</definedName>
    <definedName name="CAMION_BOTE_11" localSheetId="8">#REF!</definedName>
    <definedName name="CAMION_BOTE_11">#REF!</definedName>
    <definedName name="CAMION_BOTE_6" localSheetId="8">#REF!</definedName>
    <definedName name="CAMION_BOTE_6">#REF!</definedName>
    <definedName name="CAMION_BOTE_7" localSheetId="8">#REF!</definedName>
    <definedName name="CAMION_BOTE_7">#REF!</definedName>
    <definedName name="CAMION_BOTE_8" localSheetId="8">#REF!</definedName>
    <definedName name="CAMION_BOTE_8">#REF!</definedName>
    <definedName name="CAMION_BOTE_9" localSheetId="8">#REF!</definedName>
    <definedName name="CAMION_BOTE_9">#REF!</definedName>
    <definedName name="Cant_3">"$#REF!.$D$1:$D$65534"</definedName>
    <definedName name="CANT1_3">"$#REF!.$D$1:$D$65534"</definedName>
    <definedName name="cant5">[4]Sheet5!$C:$C</definedName>
    <definedName name="CANT6_3">"$#REF!.$C$1:$C$65534"</definedName>
    <definedName name="canta_3">"$#REF!.$H$1:$H$65534"</definedName>
    <definedName name="CANTIDADPRESUPUESTO_3">"$#REF!.$C$1:$C$65534"</definedName>
    <definedName name="cantp_3">"$#REF!.$J$1:$J$65534"</definedName>
    <definedName name="cantpre_3">"$#REF!.$D$1:$D$65534"</definedName>
    <definedName name="cantt_3">"$#REF!.$L$1:$L$65534"</definedName>
    <definedName name="CAR.SOC">'[28]Cargas Sociales'!$G$23</definedName>
    <definedName name="CARACOL" localSheetId="8">[17]M.O.!#REF!</definedName>
    <definedName name="CARACOL">[17]M.O.!#REF!</definedName>
    <definedName name="CARANTEPECHO" localSheetId="8">[10]M.O.!#REF!</definedName>
    <definedName name="CARANTEPECHO">[10]M.O.!#REF!</definedName>
    <definedName name="CARANTEPECHO_6" localSheetId="8">#REF!</definedName>
    <definedName name="CARANTEPECHO_6">#REF!</definedName>
    <definedName name="CARANTEPECHO_8" localSheetId="8">#REF!</definedName>
    <definedName name="CARANTEPECHO_8">#REF!</definedName>
    <definedName name="CARCOL30" localSheetId="8">[10]M.O.!#REF!</definedName>
    <definedName name="CARCOL30">[10]M.O.!#REF!</definedName>
    <definedName name="CARCOL30_6" localSheetId="8">#REF!</definedName>
    <definedName name="CARCOL30_6">#REF!</definedName>
    <definedName name="CARCOL30_8" localSheetId="8">#REF!</definedName>
    <definedName name="CARCOL30_8">#REF!</definedName>
    <definedName name="CARCOL50" localSheetId="8">[10]M.O.!#REF!</definedName>
    <definedName name="CARCOL50">[10]M.O.!#REF!</definedName>
    <definedName name="CARCOL50_6" localSheetId="8">#REF!</definedName>
    <definedName name="CARCOL50_6">#REF!</definedName>
    <definedName name="CARCOL50_8" localSheetId="8">#REF!</definedName>
    <definedName name="CARCOL50_8">#REF!</definedName>
    <definedName name="CARCOL51" localSheetId="8">[17]M.O.!#REF!</definedName>
    <definedName name="CARCOL51">[17]M.O.!#REF!</definedName>
    <definedName name="CARCOLAMARRE" localSheetId="8">[10]M.O.!#REF!</definedName>
    <definedName name="CARCOLAMARRE">[10]M.O.!#REF!</definedName>
    <definedName name="CARCOLAMARRE_6" localSheetId="8">#REF!</definedName>
    <definedName name="CARCOLAMARRE_6">#REF!</definedName>
    <definedName name="CARCOLAMARRE_8" localSheetId="8">#REF!</definedName>
    <definedName name="CARCOLAMARRE_8">#REF!</definedName>
    <definedName name="CARGA_SOCIAL" localSheetId="8">#REF!</definedName>
    <definedName name="CARGA_SOCIAL">#REF!</definedName>
    <definedName name="CARGA_SOCIAL_10" localSheetId="8">#REF!</definedName>
    <definedName name="CARGA_SOCIAL_10">#REF!</definedName>
    <definedName name="CARGA_SOCIAL_11" localSheetId="8">#REF!</definedName>
    <definedName name="CARGA_SOCIAL_11">#REF!</definedName>
    <definedName name="CARGA_SOCIAL_6" localSheetId="8">#REF!</definedName>
    <definedName name="CARGA_SOCIAL_6">#REF!</definedName>
    <definedName name="CARGA_SOCIAL_7" localSheetId="8">#REF!</definedName>
    <definedName name="CARGA_SOCIAL_7">#REF!</definedName>
    <definedName name="CARGA_SOCIAL_8" localSheetId="8">#REF!</definedName>
    <definedName name="CARGA_SOCIAL_8">#REF!</definedName>
    <definedName name="CARGA_SOCIAL_9" localSheetId="8">#REF!</definedName>
    <definedName name="CARGA_SOCIAL_9">#REF!</definedName>
    <definedName name="CARLOSAPLA" localSheetId="8">[10]M.O.!#REF!</definedName>
    <definedName name="CARLOSAPLA">[10]M.O.!#REF!</definedName>
    <definedName name="CARLOSAPLA_6" localSheetId="8">#REF!</definedName>
    <definedName name="CARLOSAPLA_6">#REF!</definedName>
    <definedName name="CARLOSAPLA_8" localSheetId="8">#REF!</definedName>
    <definedName name="CARLOSAPLA_8">#REF!</definedName>
    <definedName name="CARLOSAVARIASAGUAS" localSheetId="8">[10]M.O.!#REF!</definedName>
    <definedName name="CARLOSAVARIASAGUAS">[10]M.O.!#REF!</definedName>
    <definedName name="CARLOSAVARIASAGUAS_6" localSheetId="8">#REF!</definedName>
    <definedName name="CARLOSAVARIASAGUAS_6">#REF!</definedName>
    <definedName name="CARLOSAVARIASAGUAS_8" localSheetId="8">#REF!</definedName>
    <definedName name="CARLOSAVARIASAGUAS_8">#REF!</definedName>
    <definedName name="CARMURO" localSheetId="8">[10]M.O.!#REF!</definedName>
    <definedName name="CARMURO">[10]M.O.!#REF!</definedName>
    <definedName name="CARMURO_6" localSheetId="8">#REF!</definedName>
    <definedName name="CARMURO_6">#REF!</definedName>
    <definedName name="CARMURO_8" localSheetId="8">#REF!</definedName>
    <definedName name="CARMURO_8">#REF!</definedName>
    <definedName name="CARP1" localSheetId="8">[20]INS!#REF!</definedName>
    <definedName name="CARP1">[20]INS!#REF!</definedName>
    <definedName name="CARP1_6" localSheetId="8">#REF!</definedName>
    <definedName name="CARP1_6">#REF!</definedName>
    <definedName name="CARP1_8" localSheetId="8">#REF!</definedName>
    <definedName name="CARP1_8">#REF!</definedName>
    <definedName name="CARP2" localSheetId="8">[20]INS!#REF!</definedName>
    <definedName name="CARP2">[20]INS!#REF!</definedName>
    <definedName name="CARP2_6" localSheetId="8">#REF!</definedName>
    <definedName name="CARP2_6">#REF!</definedName>
    <definedName name="CARP2_8" localSheetId="8">#REF!</definedName>
    <definedName name="CARP2_8">#REF!</definedName>
    <definedName name="CARPDINTEL" localSheetId="8">[10]M.O.!#REF!</definedName>
    <definedName name="CARPDINTEL">[10]M.O.!#REF!</definedName>
    <definedName name="CARPDINTEL_6" localSheetId="8">#REF!</definedName>
    <definedName name="CARPDINTEL_6">#REF!</definedName>
    <definedName name="CARPDINTEL_8" localSheetId="8">#REF!</definedName>
    <definedName name="CARPDINTEL_8">#REF!</definedName>
    <definedName name="CARPINTERIA_COL_PERIMETRO" localSheetId="8">#REF!</definedName>
    <definedName name="CARPINTERIA_COL_PERIMETRO">#REF!</definedName>
    <definedName name="CARPINTERIA_COL_PERIMETRO_10" localSheetId="8">#REF!</definedName>
    <definedName name="CARPINTERIA_COL_PERIMETRO_10">#REF!</definedName>
    <definedName name="CARPINTERIA_COL_PERIMETRO_11" localSheetId="8">#REF!</definedName>
    <definedName name="CARPINTERIA_COL_PERIMETRO_11">#REF!</definedName>
    <definedName name="CARPINTERIA_COL_PERIMETRO_6" localSheetId="8">#REF!</definedName>
    <definedName name="CARPINTERIA_COL_PERIMETRO_6">#REF!</definedName>
    <definedName name="CARPINTERIA_COL_PERIMETRO_7" localSheetId="8">#REF!</definedName>
    <definedName name="CARPINTERIA_COL_PERIMETRO_7">#REF!</definedName>
    <definedName name="CARPINTERIA_COL_PERIMETRO_8" localSheetId="8">#REF!</definedName>
    <definedName name="CARPINTERIA_COL_PERIMETRO_8">#REF!</definedName>
    <definedName name="CARPINTERIA_COL_PERIMETRO_9" localSheetId="8">#REF!</definedName>
    <definedName name="CARPINTERIA_COL_PERIMETRO_9">#REF!</definedName>
    <definedName name="CARPINTERIA_INSTAL_COL_PERIMETRO" localSheetId="8">#REF!</definedName>
    <definedName name="CARPINTERIA_INSTAL_COL_PERIMETRO">#REF!</definedName>
    <definedName name="CARPINTERIA_INSTAL_COL_PERIMETRO_10" localSheetId="8">#REF!</definedName>
    <definedName name="CARPINTERIA_INSTAL_COL_PERIMETRO_10">#REF!</definedName>
    <definedName name="CARPINTERIA_INSTAL_COL_PERIMETRO_11" localSheetId="8">#REF!</definedName>
    <definedName name="CARPINTERIA_INSTAL_COL_PERIMETRO_11">#REF!</definedName>
    <definedName name="CARPINTERIA_INSTAL_COL_PERIMETRO_6" localSheetId="8">#REF!</definedName>
    <definedName name="CARPINTERIA_INSTAL_COL_PERIMETRO_6">#REF!</definedName>
    <definedName name="CARPINTERIA_INSTAL_COL_PERIMETRO_7" localSheetId="8">#REF!</definedName>
    <definedName name="CARPINTERIA_INSTAL_COL_PERIMETRO_7">#REF!</definedName>
    <definedName name="CARPINTERIA_INSTAL_COL_PERIMETRO_8" localSheetId="8">#REF!</definedName>
    <definedName name="CARPINTERIA_INSTAL_COL_PERIMETRO_8">#REF!</definedName>
    <definedName name="CARPINTERIA_INSTAL_COL_PERIMETRO_9" localSheetId="8">#REF!</definedName>
    <definedName name="CARPINTERIA_INSTAL_COL_PERIMETRO_9">#REF!</definedName>
    <definedName name="CARPVIGA2040" localSheetId="8">[10]M.O.!#REF!</definedName>
    <definedName name="CARPVIGA2040">[10]M.O.!#REF!</definedName>
    <definedName name="CARPVIGA2040_6" localSheetId="8">#REF!</definedName>
    <definedName name="CARPVIGA2040_6">#REF!</definedName>
    <definedName name="CARPVIGA2040_8" localSheetId="8">#REF!</definedName>
    <definedName name="CARPVIGA2040_8">#REF!</definedName>
    <definedName name="CARPVIGA3050" localSheetId="8">[10]M.O.!#REF!</definedName>
    <definedName name="CARPVIGA3050">[10]M.O.!#REF!</definedName>
    <definedName name="CARPVIGA3050_6" localSheetId="8">#REF!</definedName>
    <definedName name="CARPVIGA3050_6">#REF!</definedName>
    <definedName name="CARPVIGA3050_8" localSheetId="8">#REF!</definedName>
    <definedName name="CARPVIGA3050_8">#REF!</definedName>
    <definedName name="CARPVIGA3060" localSheetId="8">[10]M.O.!#REF!</definedName>
    <definedName name="CARPVIGA3060">[10]M.O.!#REF!</definedName>
    <definedName name="CARPVIGA3060_6" localSheetId="8">#REF!</definedName>
    <definedName name="CARPVIGA3060_6">#REF!</definedName>
    <definedName name="CARPVIGA3060_8" localSheetId="8">#REF!</definedName>
    <definedName name="CARPVIGA3060_8">#REF!</definedName>
    <definedName name="CARPVIGA4080" localSheetId="8">[10]M.O.!#REF!</definedName>
    <definedName name="CARPVIGA4080">[10]M.O.!#REF!</definedName>
    <definedName name="CARPVIGA4080_6" localSheetId="8">#REF!</definedName>
    <definedName name="CARPVIGA4080_6">#REF!</definedName>
    <definedName name="CARPVIGA4080_8" localSheetId="8">#REF!</definedName>
    <definedName name="CARPVIGA4080_8">#REF!</definedName>
    <definedName name="CARRAMPA" localSheetId="8">[10]M.O.!#REF!</definedName>
    <definedName name="CARRAMPA">[10]M.O.!#REF!</definedName>
    <definedName name="CARRAMPA_6" localSheetId="8">#REF!</definedName>
    <definedName name="CARRAMPA_6">#REF!</definedName>
    <definedName name="CARRAMPA_8" localSheetId="8">#REF!</definedName>
    <definedName name="CARRAMPA_8">#REF!</definedName>
    <definedName name="CARRETILLA" localSheetId="8">#REF!</definedName>
    <definedName name="CARRETILLA">#REF!</definedName>
    <definedName name="CARRETILLA_10" localSheetId="8">#REF!</definedName>
    <definedName name="CARRETILLA_10">#REF!</definedName>
    <definedName name="CARRETILLA_11" localSheetId="8">#REF!</definedName>
    <definedName name="CARRETILLA_11">#REF!</definedName>
    <definedName name="CARRETILLA_6" localSheetId="8">#REF!</definedName>
    <definedName name="CARRETILLA_6">#REF!</definedName>
    <definedName name="CARRETILLA_7" localSheetId="8">#REF!</definedName>
    <definedName name="CARRETILLA_7">#REF!</definedName>
    <definedName name="CARRETILLA_8" localSheetId="8">#REF!</definedName>
    <definedName name="CARRETILLA_8">#REF!</definedName>
    <definedName name="CARRETILLA_9" localSheetId="8">#REF!</definedName>
    <definedName name="CARRETILLA_9">#REF!</definedName>
    <definedName name="CASABE" localSheetId="8">[17]M.O.!#REF!</definedName>
    <definedName name="CASABE">[17]M.O.!#REF!</definedName>
    <definedName name="CASABE_8" localSheetId="8">#REF!</definedName>
    <definedName name="CASABE_8">#REF!</definedName>
    <definedName name="CASBESTO" localSheetId="8">[10]M.O.!#REF!</definedName>
    <definedName name="CASBESTO">[10]M.O.!#REF!</definedName>
    <definedName name="CASBESTO_6" localSheetId="8">#REF!</definedName>
    <definedName name="CASBESTO_6">#REF!</definedName>
    <definedName name="CASBESTO_8" localSheetId="8">#REF!</definedName>
    <definedName name="CASBESTO_8">#REF!</definedName>
    <definedName name="Casting_Bed_3">#N/A</definedName>
    <definedName name="CAT214BFT">[29]EQUIPOS!$I$15</definedName>
    <definedName name="Cat950B">[29]EQUIPOS!$I$14</definedName>
    <definedName name="CBLOCK10" localSheetId="8">[20]INS!#REF!</definedName>
    <definedName name="CBLOCK10">[20]INS!#REF!</definedName>
    <definedName name="CBLOCK10_6" localSheetId="8">#REF!</definedName>
    <definedName name="CBLOCK10_6">#REF!</definedName>
    <definedName name="CBLOCK10_8" localSheetId="8">#REF!</definedName>
    <definedName name="CBLOCK10_8">#REF!</definedName>
    <definedName name="cell">'[30]LISTADO INSUMOS DEL 2000'!$I$29</definedName>
    <definedName name="cem">[8]Precio!$F$9</definedName>
    <definedName name="CEMENTO" localSheetId="8">#REF!</definedName>
    <definedName name="CEMENTO">#REF!</definedName>
    <definedName name="CEMENTO_10" localSheetId="8">#REF!</definedName>
    <definedName name="CEMENTO_10">#REF!</definedName>
    <definedName name="CEMENTO_11" localSheetId="8">#REF!</definedName>
    <definedName name="CEMENTO_11">#REF!</definedName>
    <definedName name="Cemento_3">#N/A</definedName>
    <definedName name="CEMENTO_6" localSheetId="8">#REF!</definedName>
    <definedName name="CEMENTO_6">#REF!</definedName>
    <definedName name="CEMENTO_7" localSheetId="8">#REF!</definedName>
    <definedName name="CEMENTO_7">#REF!</definedName>
    <definedName name="CEMENTO_8" localSheetId="8">#REF!</definedName>
    <definedName name="CEMENTO_8">#REF!</definedName>
    <definedName name="CEMENTO_9" localSheetId="8">#REF!</definedName>
    <definedName name="CEMENTO_9">#REF!</definedName>
    <definedName name="CEMENTO_BLANCO" localSheetId="8">#REF!</definedName>
    <definedName name="CEMENTO_BLANCO">#REF!</definedName>
    <definedName name="CEMENTO_BLANCO_10" localSheetId="8">#REF!</definedName>
    <definedName name="CEMENTO_BLANCO_10">#REF!</definedName>
    <definedName name="CEMENTO_BLANCO_11" localSheetId="8">#REF!</definedName>
    <definedName name="CEMENTO_BLANCO_11">#REF!</definedName>
    <definedName name="CEMENTO_BLANCO_6" localSheetId="8">#REF!</definedName>
    <definedName name="CEMENTO_BLANCO_6">#REF!</definedName>
    <definedName name="CEMENTO_BLANCO_7" localSheetId="8">#REF!</definedName>
    <definedName name="CEMENTO_BLANCO_7">#REF!</definedName>
    <definedName name="CEMENTO_BLANCO_8" localSheetId="8">#REF!</definedName>
    <definedName name="CEMENTO_BLANCO_8">#REF!</definedName>
    <definedName name="CEMENTO_BLANCO_9" localSheetId="8">#REF!</definedName>
    <definedName name="CEMENTO_BLANCO_9">#REF!</definedName>
    <definedName name="CEMENTO_PVC" localSheetId="8">#REF!</definedName>
    <definedName name="CEMENTO_PVC">#REF!</definedName>
    <definedName name="CEMENTO_PVC_10" localSheetId="8">#REF!</definedName>
    <definedName name="CEMENTO_PVC_10">#REF!</definedName>
    <definedName name="CEMENTO_PVC_11" localSheetId="8">#REF!</definedName>
    <definedName name="CEMENTO_PVC_11">#REF!</definedName>
    <definedName name="CEMENTO_PVC_6" localSheetId="8">#REF!</definedName>
    <definedName name="CEMENTO_PVC_6">#REF!</definedName>
    <definedName name="CEMENTO_PVC_7" localSheetId="8">#REF!</definedName>
    <definedName name="CEMENTO_PVC_7">#REF!</definedName>
    <definedName name="CEMENTO_PVC_8" localSheetId="8">#REF!</definedName>
    <definedName name="CEMENTO_PVC_8">#REF!</definedName>
    <definedName name="CEMENTO_PVC_9" localSheetId="8">#REF!</definedName>
    <definedName name="CEMENTO_PVC_9">#REF!</definedName>
    <definedName name="CEMENTOP">[2]insumo!$D$13</definedName>
    <definedName name="CEN" localSheetId="8">#REF!</definedName>
    <definedName name="CEN">#REF!</definedName>
    <definedName name="CERAMICA" localSheetId="8">#REF!</definedName>
    <definedName name="CERAMICA">#REF!</definedName>
    <definedName name="CERAMICA_20x20_BLANCA" localSheetId="8">#REF!</definedName>
    <definedName name="CERAMICA_20x20_BLANCA">#REF!</definedName>
    <definedName name="CERAMICA_20x20_BLANCA_10" localSheetId="8">#REF!</definedName>
    <definedName name="CERAMICA_20x20_BLANCA_10">#REF!</definedName>
    <definedName name="CERAMICA_20x20_BLANCA_11" localSheetId="8">#REF!</definedName>
    <definedName name="CERAMICA_20x20_BLANCA_11">#REF!</definedName>
    <definedName name="CERAMICA_20x20_BLANCA_6" localSheetId="8">#REF!</definedName>
    <definedName name="CERAMICA_20x20_BLANCA_6">#REF!</definedName>
    <definedName name="CERAMICA_20x20_BLANCA_7" localSheetId="8">#REF!</definedName>
    <definedName name="CERAMICA_20x20_BLANCA_7">#REF!</definedName>
    <definedName name="CERAMICA_20x20_BLANCA_8" localSheetId="8">#REF!</definedName>
    <definedName name="CERAMICA_20x20_BLANCA_8">#REF!</definedName>
    <definedName name="CERAMICA_20x20_BLANCA_9" localSheetId="8">#REF!</definedName>
    <definedName name="CERAMICA_20x20_BLANCA_9">#REF!</definedName>
    <definedName name="CERAMICA_ANTIDESLIZANTE" localSheetId="8">#REF!</definedName>
    <definedName name="CERAMICA_ANTIDESLIZANTE">#REF!</definedName>
    <definedName name="CERAMICA_ANTIDESLIZANTE_10" localSheetId="8">#REF!</definedName>
    <definedName name="CERAMICA_ANTIDESLIZANTE_10">#REF!</definedName>
    <definedName name="CERAMICA_ANTIDESLIZANTE_11" localSheetId="8">#REF!</definedName>
    <definedName name="CERAMICA_ANTIDESLIZANTE_11">#REF!</definedName>
    <definedName name="CERAMICA_ANTIDESLIZANTE_6" localSheetId="8">#REF!</definedName>
    <definedName name="CERAMICA_ANTIDESLIZANTE_6">#REF!</definedName>
    <definedName name="CERAMICA_ANTIDESLIZANTE_7" localSheetId="8">#REF!</definedName>
    <definedName name="CERAMICA_ANTIDESLIZANTE_7">#REF!</definedName>
    <definedName name="CERAMICA_ANTIDESLIZANTE_8" localSheetId="8">#REF!</definedName>
    <definedName name="CERAMICA_ANTIDESLIZANTE_8">#REF!</definedName>
    <definedName name="CERAMICA_ANTIDESLIZANTE_9" localSheetId="8">#REF!</definedName>
    <definedName name="CERAMICA_ANTIDESLIZANTE_9">#REF!</definedName>
    <definedName name="CERAMICA_PISOS_40x40" localSheetId="8">#REF!</definedName>
    <definedName name="CERAMICA_PISOS_40x40">#REF!</definedName>
    <definedName name="CERAMICA_PISOS_40x40_10" localSheetId="8">#REF!</definedName>
    <definedName name="CERAMICA_PISOS_40x40_10">#REF!</definedName>
    <definedName name="CERAMICA_PISOS_40x40_11" localSheetId="8">#REF!</definedName>
    <definedName name="CERAMICA_PISOS_40x40_11">#REF!</definedName>
    <definedName name="CERAMICA_PISOS_40x40_6" localSheetId="8">#REF!</definedName>
    <definedName name="CERAMICA_PISOS_40x40_6">#REF!</definedName>
    <definedName name="CERAMICA_PISOS_40x40_7" localSheetId="8">#REF!</definedName>
    <definedName name="CERAMICA_PISOS_40x40_7">#REF!</definedName>
    <definedName name="CERAMICA_PISOS_40x40_8" localSheetId="8">#REF!</definedName>
    <definedName name="CERAMICA_PISOS_40x40_8">#REF!</definedName>
    <definedName name="CERAMICA_PISOS_40x40_9" localSheetId="8">#REF!</definedName>
    <definedName name="CERAMICA_PISOS_40x40_9">#REF!</definedName>
    <definedName name="CERAMICAPAREDP">[2]insumo!$D$16</definedName>
    <definedName name="CERAMICAPAREDS">[2]insumo!$D$17</definedName>
    <definedName name="CERAMICAPISOP">[2]insumo!$D$14</definedName>
    <definedName name="CERAMICAPISOS">[2]insumo!$D$15</definedName>
    <definedName name="CHAZO">[22]INSU!$B$104</definedName>
    <definedName name="CHAZOS" localSheetId="8">#REF!</definedName>
    <definedName name="CHAZOS">#REF!</definedName>
    <definedName name="CHAZOS_10" localSheetId="8">#REF!</definedName>
    <definedName name="CHAZOS_10">#REF!</definedName>
    <definedName name="CHAZOS_11" localSheetId="8">#REF!</definedName>
    <definedName name="CHAZOS_11">#REF!</definedName>
    <definedName name="CHAZOS_6" localSheetId="8">#REF!</definedName>
    <definedName name="CHAZOS_6">#REF!</definedName>
    <definedName name="CHAZOS_7" localSheetId="8">#REF!</definedName>
    <definedName name="CHAZOS_7">#REF!</definedName>
    <definedName name="CHAZOS_8" localSheetId="8">#REF!</definedName>
    <definedName name="CHAZOS_8">#REF!</definedName>
    <definedName name="CHAZOS_9" localSheetId="8">#REF!</definedName>
    <definedName name="CHAZOS_9">#REF!</definedName>
    <definedName name="CHEQUE_HORZ_34" localSheetId="8">#REF!</definedName>
    <definedName name="CHEQUE_HORZ_34">#REF!</definedName>
    <definedName name="CHEQUE_HORZ_34_10" localSheetId="8">#REF!</definedName>
    <definedName name="CHEQUE_HORZ_34_10">#REF!</definedName>
    <definedName name="CHEQUE_HORZ_34_11" localSheetId="8">#REF!</definedName>
    <definedName name="CHEQUE_HORZ_34_11">#REF!</definedName>
    <definedName name="CHEQUE_HORZ_34_6" localSheetId="8">#REF!</definedName>
    <definedName name="CHEQUE_HORZ_34_6">#REF!</definedName>
    <definedName name="CHEQUE_HORZ_34_7" localSheetId="8">#REF!</definedName>
    <definedName name="CHEQUE_HORZ_34_7">#REF!</definedName>
    <definedName name="CHEQUE_HORZ_34_8" localSheetId="8">#REF!</definedName>
    <definedName name="CHEQUE_HORZ_34_8">#REF!</definedName>
    <definedName name="CHEQUE_HORZ_34_9" localSheetId="8">#REF!</definedName>
    <definedName name="CHEQUE_HORZ_34_9">#REF!</definedName>
    <definedName name="CHEQUE_VERT_34" localSheetId="8">#REF!</definedName>
    <definedName name="CHEQUE_VERT_34">#REF!</definedName>
    <definedName name="CHEQUE_VERT_34_10" localSheetId="8">#REF!</definedName>
    <definedName name="CHEQUE_VERT_34_10">#REF!</definedName>
    <definedName name="CHEQUE_VERT_34_11" localSheetId="8">#REF!</definedName>
    <definedName name="CHEQUE_VERT_34_11">#REF!</definedName>
    <definedName name="CHEQUE_VERT_34_6" localSheetId="8">#REF!</definedName>
    <definedName name="CHEQUE_VERT_34_6">#REF!</definedName>
    <definedName name="CHEQUE_VERT_34_7" localSheetId="8">#REF!</definedName>
    <definedName name="CHEQUE_VERT_34_7">#REF!</definedName>
    <definedName name="CHEQUE_VERT_34_8" localSheetId="8">#REF!</definedName>
    <definedName name="CHEQUE_VERT_34_8">#REF!</definedName>
    <definedName name="CHEQUE_VERT_34_9" localSheetId="8">#REF!</definedName>
    <definedName name="CHEQUE_VERT_34_9">#REF!</definedName>
    <definedName name="CLAVO_ACERO">[13]INSU!$D$130</definedName>
    <definedName name="CLAVO_ACERO_10" localSheetId="8">#REF!</definedName>
    <definedName name="CLAVO_ACERO_10">#REF!</definedName>
    <definedName name="CLAVO_ACERO_11" localSheetId="8">#REF!</definedName>
    <definedName name="CLAVO_ACERO_11">#REF!</definedName>
    <definedName name="CLAVO_ACERO_5" localSheetId="8">#REF!</definedName>
    <definedName name="CLAVO_ACERO_5">#REF!</definedName>
    <definedName name="CLAVO_ACERO_6" localSheetId="8">#REF!</definedName>
    <definedName name="CLAVO_ACERO_6">#REF!</definedName>
    <definedName name="CLAVO_ACERO_7" localSheetId="8">#REF!</definedName>
    <definedName name="CLAVO_ACERO_7">#REF!</definedName>
    <definedName name="CLAVO_ACERO_8" localSheetId="8">#REF!</definedName>
    <definedName name="CLAVO_ACERO_8">#REF!</definedName>
    <definedName name="CLAVO_ACERO_9" localSheetId="8">#REF!</definedName>
    <definedName name="CLAVO_ACERO_9">#REF!</definedName>
    <definedName name="CLAVO_CORRIENTE">[13]INSU!$D$131</definedName>
    <definedName name="CLAVO_CORRIENTE_10" localSheetId="8">#REF!</definedName>
    <definedName name="CLAVO_CORRIENTE_10">#REF!</definedName>
    <definedName name="CLAVO_CORRIENTE_11" localSheetId="8">#REF!</definedName>
    <definedName name="CLAVO_CORRIENTE_11">#REF!</definedName>
    <definedName name="CLAVO_CORRIENTE_5" localSheetId="8">#REF!</definedName>
    <definedName name="CLAVO_CORRIENTE_5">#REF!</definedName>
    <definedName name="CLAVO_CORRIENTE_6" localSheetId="8">#REF!</definedName>
    <definedName name="CLAVO_CORRIENTE_6">#REF!</definedName>
    <definedName name="CLAVO_CORRIENTE_7" localSheetId="8">#REF!</definedName>
    <definedName name="CLAVO_CORRIENTE_7">#REF!</definedName>
    <definedName name="CLAVO_CORRIENTE_8" localSheetId="8">#REF!</definedName>
    <definedName name="CLAVO_CORRIENTE_8">#REF!</definedName>
    <definedName name="CLAVO_CORRIENTE_9" localSheetId="8">#REF!</definedName>
    <definedName name="CLAVO_CORRIENTE_9">#REF!</definedName>
    <definedName name="CLAVO_ZINC" localSheetId="8">#REF!</definedName>
    <definedName name="CLAVO_ZINC">#REF!</definedName>
    <definedName name="CLAVO_ZINC_10" localSheetId="8">#REF!</definedName>
    <definedName name="CLAVO_ZINC_10">#REF!</definedName>
    <definedName name="CLAVO_ZINC_11" localSheetId="8">#REF!</definedName>
    <definedName name="CLAVO_ZINC_11">#REF!</definedName>
    <definedName name="CLAVO_ZINC_6" localSheetId="8">#REF!</definedName>
    <definedName name="CLAVO_ZINC_6">#REF!</definedName>
    <definedName name="CLAVO_ZINC_7" localSheetId="8">#REF!</definedName>
    <definedName name="CLAVO_ZINC_7">#REF!</definedName>
    <definedName name="CLAVO_ZINC_8" localSheetId="8">#REF!</definedName>
    <definedName name="CLAVO_ZINC_8">#REF!</definedName>
    <definedName name="CLAVO_ZINC_9" localSheetId="8">#REF!</definedName>
    <definedName name="CLAVO_ZINC_9">#REF!</definedName>
    <definedName name="clavos" localSheetId="8">#REF!</definedName>
    <definedName name="clavos">#REF!</definedName>
    <definedName name="Clavos_3">#N/A</definedName>
    <definedName name="clavos_6" localSheetId="8">#REF!</definedName>
    <definedName name="clavos_6">#REF!</definedName>
    <definedName name="clavos_8" localSheetId="8">#REF!</definedName>
    <definedName name="clavos_8">#REF!</definedName>
    <definedName name="CLAVOSCORRIENTES">[2]insumo!$D$19</definedName>
    <definedName name="CLAVOZINC">[31]INS!$D$767</definedName>
    <definedName name="CODIGO">#N/A</definedName>
    <definedName name="CODIGO_6">NA()</definedName>
    <definedName name="CODO_ACERO_16x25a70" localSheetId="8">#REF!</definedName>
    <definedName name="CODO_ACERO_16x25a70">#REF!</definedName>
    <definedName name="CODO_ACERO_16x25a70_10" localSheetId="8">#REF!</definedName>
    <definedName name="CODO_ACERO_16x25a70_10">#REF!</definedName>
    <definedName name="CODO_ACERO_16x25a70_11" localSheetId="8">#REF!</definedName>
    <definedName name="CODO_ACERO_16x25a70_11">#REF!</definedName>
    <definedName name="CODO_ACERO_16x25a70_6" localSheetId="8">#REF!</definedName>
    <definedName name="CODO_ACERO_16x25a70_6">#REF!</definedName>
    <definedName name="CODO_ACERO_16x25a70_7" localSheetId="8">#REF!</definedName>
    <definedName name="CODO_ACERO_16x25a70_7">#REF!</definedName>
    <definedName name="CODO_ACERO_16x25a70_8" localSheetId="8">#REF!</definedName>
    <definedName name="CODO_ACERO_16x25a70_8">#REF!</definedName>
    <definedName name="CODO_ACERO_16x25a70_9" localSheetId="8">#REF!</definedName>
    <definedName name="CODO_ACERO_16x25a70_9">#REF!</definedName>
    <definedName name="CODO_ACERO_16x25menos" localSheetId="8">#REF!</definedName>
    <definedName name="CODO_ACERO_16x25menos">#REF!</definedName>
    <definedName name="CODO_ACERO_16x25menos_10" localSheetId="8">#REF!</definedName>
    <definedName name="CODO_ACERO_16x25menos_10">#REF!</definedName>
    <definedName name="CODO_ACERO_16x25menos_11" localSheetId="8">#REF!</definedName>
    <definedName name="CODO_ACERO_16x25menos_11">#REF!</definedName>
    <definedName name="CODO_ACERO_16x25menos_6" localSheetId="8">#REF!</definedName>
    <definedName name="CODO_ACERO_16x25menos_6">#REF!</definedName>
    <definedName name="CODO_ACERO_16x25menos_7" localSheetId="8">#REF!</definedName>
    <definedName name="CODO_ACERO_16x25menos_7">#REF!</definedName>
    <definedName name="CODO_ACERO_16x25menos_8" localSheetId="8">#REF!</definedName>
    <definedName name="CODO_ACERO_16x25menos_8">#REF!</definedName>
    <definedName name="CODO_ACERO_16x25menos_9" localSheetId="8">#REF!</definedName>
    <definedName name="CODO_ACERO_16x25menos_9">#REF!</definedName>
    <definedName name="CODO_ACERO_16x45" localSheetId="8">#REF!</definedName>
    <definedName name="CODO_ACERO_16x45">#REF!</definedName>
    <definedName name="CODO_ACERO_16x45_10" localSheetId="8">#REF!</definedName>
    <definedName name="CODO_ACERO_16x45_10">#REF!</definedName>
    <definedName name="CODO_ACERO_16x45_11" localSheetId="8">#REF!</definedName>
    <definedName name="CODO_ACERO_16x45_11">#REF!</definedName>
    <definedName name="CODO_ACERO_16x45_6" localSheetId="8">#REF!</definedName>
    <definedName name="CODO_ACERO_16x45_6">#REF!</definedName>
    <definedName name="CODO_ACERO_16x45_7" localSheetId="8">#REF!</definedName>
    <definedName name="CODO_ACERO_16x45_7">#REF!</definedName>
    <definedName name="CODO_ACERO_16x45_8" localSheetId="8">#REF!</definedName>
    <definedName name="CODO_ACERO_16x45_8">#REF!</definedName>
    <definedName name="CODO_ACERO_16x45_9" localSheetId="8">#REF!</definedName>
    <definedName name="CODO_ACERO_16x45_9">#REF!</definedName>
    <definedName name="CODO_ACERO_16x70mas" localSheetId="8">#REF!</definedName>
    <definedName name="CODO_ACERO_16x70mas">#REF!</definedName>
    <definedName name="CODO_ACERO_16x70mas_10" localSheetId="8">#REF!</definedName>
    <definedName name="CODO_ACERO_16x70mas_10">#REF!</definedName>
    <definedName name="CODO_ACERO_16x70mas_11" localSheetId="8">#REF!</definedName>
    <definedName name="CODO_ACERO_16x70mas_11">#REF!</definedName>
    <definedName name="CODO_ACERO_16x70mas_6" localSheetId="8">#REF!</definedName>
    <definedName name="CODO_ACERO_16x70mas_6">#REF!</definedName>
    <definedName name="CODO_ACERO_16x70mas_7" localSheetId="8">#REF!</definedName>
    <definedName name="CODO_ACERO_16x70mas_7">#REF!</definedName>
    <definedName name="CODO_ACERO_16x70mas_8" localSheetId="8">#REF!</definedName>
    <definedName name="CODO_ACERO_16x70mas_8">#REF!</definedName>
    <definedName name="CODO_ACERO_16x70mas_9" localSheetId="8">#REF!</definedName>
    <definedName name="CODO_ACERO_16x70mas_9">#REF!</definedName>
    <definedName name="CODO_ACERO_16x90" localSheetId="8">#REF!</definedName>
    <definedName name="CODO_ACERO_16x90">#REF!</definedName>
    <definedName name="CODO_ACERO_16x90_10" localSheetId="8">#REF!</definedName>
    <definedName name="CODO_ACERO_16x90_10">#REF!</definedName>
    <definedName name="CODO_ACERO_16x90_11" localSheetId="8">#REF!</definedName>
    <definedName name="CODO_ACERO_16x90_11">#REF!</definedName>
    <definedName name="CODO_ACERO_16x90_6" localSheetId="8">#REF!</definedName>
    <definedName name="CODO_ACERO_16x90_6">#REF!</definedName>
    <definedName name="CODO_ACERO_16x90_7" localSheetId="8">#REF!</definedName>
    <definedName name="CODO_ACERO_16x90_7">#REF!</definedName>
    <definedName name="CODO_ACERO_16x90_8" localSheetId="8">#REF!</definedName>
    <definedName name="CODO_ACERO_16x90_8">#REF!</definedName>
    <definedName name="CODO_ACERO_16x90_9" localSheetId="8">#REF!</definedName>
    <definedName name="CODO_ACERO_16x90_9">#REF!</definedName>
    <definedName name="CODO_ACERO_20x90" localSheetId="8">#REF!</definedName>
    <definedName name="CODO_ACERO_20x90">#REF!</definedName>
    <definedName name="CODO_ACERO_20x90_10" localSheetId="8">#REF!</definedName>
    <definedName name="CODO_ACERO_20x90_10">#REF!</definedName>
    <definedName name="CODO_ACERO_20x90_11" localSheetId="8">#REF!</definedName>
    <definedName name="CODO_ACERO_20x90_11">#REF!</definedName>
    <definedName name="CODO_ACERO_20x90_6" localSheetId="8">#REF!</definedName>
    <definedName name="CODO_ACERO_20x90_6">#REF!</definedName>
    <definedName name="CODO_ACERO_20x90_7" localSheetId="8">#REF!</definedName>
    <definedName name="CODO_ACERO_20x90_7">#REF!</definedName>
    <definedName name="CODO_ACERO_20x90_8" localSheetId="8">#REF!</definedName>
    <definedName name="CODO_ACERO_20x90_8">#REF!</definedName>
    <definedName name="CODO_ACERO_20x90_9" localSheetId="8">#REF!</definedName>
    <definedName name="CODO_ACERO_20x90_9">#REF!</definedName>
    <definedName name="CODO_ACERO_3x45" localSheetId="8">#REF!</definedName>
    <definedName name="CODO_ACERO_3x45">#REF!</definedName>
    <definedName name="CODO_ACERO_3x45_10" localSheetId="8">#REF!</definedName>
    <definedName name="CODO_ACERO_3x45_10">#REF!</definedName>
    <definedName name="CODO_ACERO_3x45_11" localSheetId="8">#REF!</definedName>
    <definedName name="CODO_ACERO_3x45_11">#REF!</definedName>
    <definedName name="CODO_ACERO_3x45_6" localSheetId="8">#REF!</definedName>
    <definedName name="CODO_ACERO_3x45_6">#REF!</definedName>
    <definedName name="CODO_ACERO_3x45_7" localSheetId="8">#REF!</definedName>
    <definedName name="CODO_ACERO_3x45_7">#REF!</definedName>
    <definedName name="CODO_ACERO_3x45_8" localSheetId="8">#REF!</definedName>
    <definedName name="CODO_ACERO_3x45_8">#REF!</definedName>
    <definedName name="CODO_ACERO_3x45_9" localSheetId="8">#REF!</definedName>
    <definedName name="CODO_ACERO_3x45_9">#REF!</definedName>
    <definedName name="CODO_ACERO_3x90" localSheetId="8">#REF!</definedName>
    <definedName name="CODO_ACERO_3x90">#REF!</definedName>
    <definedName name="CODO_ACERO_3x90_10" localSheetId="8">#REF!</definedName>
    <definedName name="CODO_ACERO_3x90_10">#REF!</definedName>
    <definedName name="CODO_ACERO_3x90_11" localSheetId="8">#REF!</definedName>
    <definedName name="CODO_ACERO_3x90_11">#REF!</definedName>
    <definedName name="CODO_ACERO_3x90_6" localSheetId="8">#REF!</definedName>
    <definedName name="CODO_ACERO_3x90_6">#REF!</definedName>
    <definedName name="CODO_ACERO_3x90_7" localSheetId="8">#REF!</definedName>
    <definedName name="CODO_ACERO_3x90_7">#REF!</definedName>
    <definedName name="CODO_ACERO_3x90_8" localSheetId="8">#REF!</definedName>
    <definedName name="CODO_ACERO_3x90_8">#REF!</definedName>
    <definedName name="CODO_ACERO_3x90_9" localSheetId="8">#REF!</definedName>
    <definedName name="CODO_ACERO_3x90_9">#REF!</definedName>
    <definedName name="CODO_ACERO_4X45" localSheetId="8">#REF!</definedName>
    <definedName name="CODO_ACERO_4X45">#REF!</definedName>
    <definedName name="CODO_ACERO_4X45_10" localSheetId="8">#REF!</definedName>
    <definedName name="CODO_ACERO_4X45_10">#REF!</definedName>
    <definedName name="CODO_ACERO_4X45_11" localSheetId="8">#REF!</definedName>
    <definedName name="CODO_ACERO_4X45_11">#REF!</definedName>
    <definedName name="CODO_ACERO_4X45_6" localSheetId="8">#REF!</definedName>
    <definedName name="CODO_ACERO_4X45_6">#REF!</definedName>
    <definedName name="CODO_ACERO_4X45_7" localSheetId="8">#REF!</definedName>
    <definedName name="CODO_ACERO_4X45_7">#REF!</definedName>
    <definedName name="CODO_ACERO_4X45_8" localSheetId="8">#REF!</definedName>
    <definedName name="CODO_ACERO_4X45_8">#REF!</definedName>
    <definedName name="CODO_ACERO_4X45_9" localSheetId="8">#REF!</definedName>
    <definedName name="CODO_ACERO_4X45_9">#REF!</definedName>
    <definedName name="CODO_ACERO_4X90" localSheetId="8">#REF!</definedName>
    <definedName name="CODO_ACERO_4X90">#REF!</definedName>
    <definedName name="CODO_ACERO_4X90_10" localSheetId="8">#REF!</definedName>
    <definedName name="CODO_ACERO_4X90_10">#REF!</definedName>
    <definedName name="CODO_ACERO_4X90_11" localSheetId="8">#REF!</definedName>
    <definedName name="CODO_ACERO_4X90_11">#REF!</definedName>
    <definedName name="CODO_ACERO_4X90_6" localSheetId="8">#REF!</definedName>
    <definedName name="CODO_ACERO_4X90_6">#REF!</definedName>
    <definedName name="CODO_ACERO_4X90_7" localSheetId="8">#REF!</definedName>
    <definedName name="CODO_ACERO_4X90_7">#REF!</definedName>
    <definedName name="CODO_ACERO_4X90_8" localSheetId="8">#REF!</definedName>
    <definedName name="CODO_ACERO_4X90_8">#REF!</definedName>
    <definedName name="CODO_ACERO_4X90_9" localSheetId="8">#REF!</definedName>
    <definedName name="CODO_ACERO_4X90_9">#REF!</definedName>
    <definedName name="CODO_ACERO_6x25a70" localSheetId="8">#REF!</definedName>
    <definedName name="CODO_ACERO_6x25a70">#REF!</definedName>
    <definedName name="CODO_ACERO_6x25a70_10" localSheetId="8">#REF!</definedName>
    <definedName name="CODO_ACERO_6x25a70_10">#REF!</definedName>
    <definedName name="CODO_ACERO_6x25a70_11" localSheetId="8">#REF!</definedName>
    <definedName name="CODO_ACERO_6x25a70_11">#REF!</definedName>
    <definedName name="CODO_ACERO_6x25a70_6" localSheetId="8">#REF!</definedName>
    <definedName name="CODO_ACERO_6x25a70_6">#REF!</definedName>
    <definedName name="CODO_ACERO_6x25a70_7" localSheetId="8">#REF!</definedName>
    <definedName name="CODO_ACERO_6x25a70_7">#REF!</definedName>
    <definedName name="CODO_ACERO_6x25a70_8" localSheetId="8">#REF!</definedName>
    <definedName name="CODO_ACERO_6x25a70_8">#REF!</definedName>
    <definedName name="CODO_ACERO_6x25a70_9" localSheetId="8">#REF!</definedName>
    <definedName name="CODO_ACERO_6x25a70_9">#REF!</definedName>
    <definedName name="CODO_ACERO_6x25menos" localSheetId="8">#REF!</definedName>
    <definedName name="CODO_ACERO_6x25menos">#REF!</definedName>
    <definedName name="CODO_ACERO_6x25menos_10" localSheetId="8">#REF!</definedName>
    <definedName name="CODO_ACERO_6x25menos_10">#REF!</definedName>
    <definedName name="CODO_ACERO_6x25menos_11" localSheetId="8">#REF!</definedName>
    <definedName name="CODO_ACERO_6x25menos_11">#REF!</definedName>
    <definedName name="CODO_ACERO_6x25menos_6" localSheetId="8">#REF!</definedName>
    <definedName name="CODO_ACERO_6x25menos_6">#REF!</definedName>
    <definedName name="CODO_ACERO_6x25menos_7" localSheetId="8">#REF!</definedName>
    <definedName name="CODO_ACERO_6x25menos_7">#REF!</definedName>
    <definedName name="CODO_ACERO_6x25menos_8" localSheetId="8">#REF!</definedName>
    <definedName name="CODO_ACERO_6x25menos_8">#REF!</definedName>
    <definedName name="CODO_ACERO_6x25menos_9" localSheetId="8">#REF!</definedName>
    <definedName name="CODO_ACERO_6x25menos_9">#REF!</definedName>
    <definedName name="CODO_ACERO_6x70mas" localSheetId="8">#REF!</definedName>
    <definedName name="CODO_ACERO_6x70mas">#REF!</definedName>
    <definedName name="CODO_ACERO_6x70mas_10" localSheetId="8">#REF!</definedName>
    <definedName name="CODO_ACERO_6x70mas_10">#REF!</definedName>
    <definedName name="CODO_ACERO_6x70mas_11" localSheetId="8">#REF!</definedName>
    <definedName name="CODO_ACERO_6x70mas_11">#REF!</definedName>
    <definedName name="CODO_ACERO_6x70mas_6" localSheetId="8">#REF!</definedName>
    <definedName name="CODO_ACERO_6x70mas_6">#REF!</definedName>
    <definedName name="CODO_ACERO_6x70mas_7" localSheetId="8">#REF!</definedName>
    <definedName name="CODO_ACERO_6x70mas_7">#REF!</definedName>
    <definedName name="CODO_ACERO_6x70mas_8" localSheetId="8">#REF!</definedName>
    <definedName name="CODO_ACERO_6x70mas_8">#REF!</definedName>
    <definedName name="CODO_ACERO_6x70mas_9" localSheetId="8">#REF!</definedName>
    <definedName name="CODO_ACERO_6x70mas_9">#REF!</definedName>
    <definedName name="CODO_ACERO_8x25a70" localSheetId="8">#REF!</definedName>
    <definedName name="CODO_ACERO_8x25a70">#REF!</definedName>
    <definedName name="CODO_ACERO_8x25a70_10" localSheetId="8">#REF!</definedName>
    <definedName name="CODO_ACERO_8x25a70_10">#REF!</definedName>
    <definedName name="CODO_ACERO_8x25a70_11" localSheetId="8">#REF!</definedName>
    <definedName name="CODO_ACERO_8x25a70_11">#REF!</definedName>
    <definedName name="CODO_ACERO_8x25a70_6" localSheetId="8">#REF!</definedName>
    <definedName name="CODO_ACERO_8x25a70_6">#REF!</definedName>
    <definedName name="CODO_ACERO_8x25a70_7" localSheetId="8">#REF!</definedName>
    <definedName name="CODO_ACERO_8x25a70_7">#REF!</definedName>
    <definedName name="CODO_ACERO_8x25a70_8" localSheetId="8">#REF!</definedName>
    <definedName name="CODO_ACERO_8x25a70_8">#REF!</definedName>
    <definedName name="CODO_ACERO_8x25a70_9" localSheetId="8">#REF!</definedName>
    <definedName name="CODO_ACERO_8x25a70_9">#REF!</definedName>
    <definedName name="CODO_ACERO_8x25menos" localSheetId="8">#REF!</definedName>
    <definedName name="CODO_ACERO_8x25menos">#REF!</definedName>
    <definedName name="CODO_ACERO_8x25menos_10" localSheetId="8">#REF!</definedName>
    <definedName name="CODO_ACERO_8x25menos_10">#REF!</definedName>
    <definedName name="CODO_ACERO_8x25menos_11" localSheetId="8">#REF!</definedName>
    <definedName name="CODO_ACERO_8x25menos_11">#REF!</definedName>
    <definedName name="CODO_ACERO_8x25menos_6" localSheetId="8">#REF!</definedName>
    <definedName name="CODO_ACERO_8x25menos_6">#REF!</definedName>
    <definedName name="CODO_ACERO_8x25menos_7" localSheetId="8">#REF!</definedName>
    <definedName name="CODO_ACERO_8x25menos_7">#REF!</definedName>
    <definedName name="CODO_ACERO_8x25menos_8" localSheetId="8">#REF!</definedName>
    <definedName name="CODO_ACERO_8x25menos_8">#REF!</definedName>
    <definedName name="CODO_ACERO_8x25menos_9" localSheetId="8">#REF!</definedName>
    <definedName name="CODO_ACERO_8x25menos_9">#REF!</definedName>
    <definedName name="CODO_ACERO_8x45" localSheetId="8">#REF!</definedName>
    <definedName name="CODO_ACERO_8x45">#REF!</definedName>
    <definedName name="CODO_ACERO_8x45_10" localSheetId="8">#REF!</definedName>
    <definedName name="CODO_ACERO_8x45_10">#REF!</definedName>
    <definedName name="CODO_ACERO_8x45_11" localSheetId="8">#REF!</definedName>
    <definedName name="CODO_ACERO_8x45_11">#REF!</definedName>
    <definedName name="CODO_ACERO_8x45_6" localSheetId="8">#REF!</definedName>
    <definedName name="CODO_ACERO_8x45_6">#REF!</definedName>
    <definedName name="CODO_ACERO_8x45_7" localSheetId="8">#REF!</definedName>
    <definedName name="CODO_ACERO_8x45_7">#REF!</definedName>
    <definedName name="CODO_ACERO_8x45_8" localSheetId="8">#REF!</definedName>
    <definedName name="CODO_ACERO_8x45_8">#REF!</definedName>
    <definedName name="CODO_ACERO_8x45_9" localSheetId="8">#REF!</definedName>
    <definedName name="CODO_ACERO_8x45_9">#REF!</definedName>
    <definedName name="CODO_ACERO_8x70mas" localSheetId="8">#REF!</definedName>
    <definedName name="CODO_ACERO_8x70mas">#REF!</definedName>
    <definedName name="CODO_ACERO_8x70mas_10" localSheetId="8">#REF!</definedName>
    <definedName name="CODO_ACERO_8x70mas_10">#REF!</definedName>
    <definedName name="CODO_ACERO_8x70mas_11" localSheetId="8">#REF!</definedName>
    <definedName name="CODO_ACERO_8x70mas_11">#REF!</definedName>
    <definedName name="CODO_ACERO_8x70mas_6" localSheetId="8">#REF!</definedName>
    <definedName name="CODO_ACERO_8x70mas_6">#REF!</definedName>
    <definedName name="CODO_ACERO_8x70mas_7" localSheetId="8">#REF!</definedName>
    <definedName name="CODO_ACERO_8x70mas_7">#REF!</definedName>
    <definedName name="CODO_ACERO_8x70mas_8" localSheetId="8">#REF!</definedName>
    <definedName name="CODO_ACERO_8x70mas_8">#REF!</definedName>
    <definedName name="CODO_ACERO_8x70mas_9" localSheetId="8">#REF!</definedName>
    <definedName name="CODO_ACERO_8x70mas_9">#REF!</definedName>
    <definedName name="CODO_ACERO_8x90" localSheetId="8">#REF!</definedName>
    <definedName name="CODO_ACERO_8x90">#REF!</definedName>
    <definedName name="CODO_ACERO_8x90_10" localSheetId="8">#REF!</definedName>
    <definedName name="CODO_ACERO_8x90_10">#REF!</definedName>
    <definedName name="CODO_ACERO_8x90_11" localSheetId="8">#REF!</definedName>
    <definedName name="CODO_ACERO_8x90_11">#REF!</definedName>
    <definedName name="CODO_ACERO_8x90_6" localSheetId="8">#REF!</definedName>
    <definedName name="CODO_ACERO_8x90_6">#REF!</definedName>
    <definedName name="CODO_ACERO_8x90_7" localSheetId="8">#REF!</definedName>
    <definedName name="CODO_ACERO_8x90_7">#REF!</definedName>
    <definedName name="CODO_ACERO_8x90_8" localSheetId="8">#REF!</definedName>
    <definedName name="CODO_ACERO_8x90_8">#REF!</definedName>
    <definedName name="CODO_ACERO_8x90_9" localSheetId="8">#REF!</definedName>
    <definedName name="CODO_ACERO_8x90_9">#REF!</definedName>
    <definedName name="CODO_CPVC_12x90" localSheetId="8">#REF!</definedName>
    <definedName name="CODO_CPVC_12x90">#REF!</definedName>
    <definedName name="CODO_CPVC_12x90_10" localSheetId="8">#REF!</definedName>
    <definedName name="CODO_CPVC_12x90_10">#REF!</definedName>
    <definedName name="CODO_CPVC_12x90_11" localSheetId="8">#REF!</definedName>
    <definedName name="CODO_CPVC_12x90_11">#REF!</definedName>
    <definedName name="CODO_CPVC_12x90_6" localSheetId="8">#REF!</definedName>
    <definedName name="CODO_CPVC_12x90_6">#REF!</definedName>
    <definedName name="CODO_CPVC_12x90_7" localSheetId="8">#REF!</definedName>
    <definedName name="CODO_CPVC_12x90_7">#REF!</definedName>
    <definedName name="CODO_CPVC_12x90_8" localSheetId="8">#REF!</definedName>
    <definedName name="CODO_CPVC_12x90_8">#REF!</definedName>
    <definedName name="CODO_CPVC_12x90_9" localSheetId="8">#REF!</definedName>
    <definedName name="CODO_CPVC_12x90_9">#REF!</definedName>
    <definedName name="CODO_ELEC_1" localSheetId="8">#REF!</definedName>
    <definedName name="CODO_ELEC_1">#REF!</definedName>
    <definedName name="CODO_ELEC_1_10" localSheetId="8">#REF!</definedName>
    <definedName name="CODO_ELEC_1_10">#REF!</definedName>
    <definedName name="CODO_ELEC_1_11" localSheetId="8">#REF!</definedName>
    <definedName name="CODO_ELEC_1_11">#REF!</definedName>
    <definedName name="CODO_ELEC_1_6" localSheetId="8">#REF!</definedName>
    <definedName name="CODO_ELEC_1_6">#REF!</definedName>
    <definedName name="CODO_ELEC_1_7" localSheetId="8">#REF!</definedName>
    <definedName name="CODO_ELEC_1_7">#REF!</definedName>
    <definedName name="CODO_ELEC_1_8" localSheetId="8">#REF!</definedName>
    <definedName name="CODO_ELEC_1_8">#REF!</definedName>
    <definedName name="CODO_ELEC_1_9" localSheetId="8">#REF!</definedName>
    <definedName name="CODO_ELEC_1_9">#REF!</definedName>
    <definedName name="CODO_ELEC_12" localSheetId="8">#REF!</definedName>
    <definedName name="CODO_ELEC_12">#REF!</definedName>
    <definedName name="CODO_ELEC_12_10" localSheetId="8">#REF!</definedName>
    <definedName name="CODO_ELEC_12_10">#REF!</definedName>
    <definedName name="CODO_ELEC_12_11" localSheetId="8">#REF!</definedName>
    <definedName name="CODO_ELEC_12_11">#REF!</definedName>
    <definedName name="CODO_ELEC_12_6" localSheetId="8">#REF!</definedName>
    <definedName name="CODO_ELEC_12_6">#REF!</definedName>
    <definedName name="CODO_ELEC_12_7" localSheetId="8">#REF!</definedName>
    <definedName name="CODO_ELEC_12_7">#REF!</definedName>
    <definedName name="CODO_ELEC_12_8" localSheetId="8">#REF!</definedName>
    <definedName name="CODO_ELEC_12_8">#REF!</definedName>
    <definedName name="CODO_ELEC_12_9" localSheetId="8">#REF!</definedName>
    <definedName name="CODO_ELEC_12_9">#REF!</definedName>
    <definedName name="CODO_ELEC_1y12" localSheetId="8">#REF!</definedName>
    <definedName name="CODO_ELEC_1y12">#REF!</definedName>
    <definedName name="CODO_ELEC_1y12_10" localSheetId="8">#REF!</definedName>
    <definedName name="CODO_ELEC_1y12_10">#REF!</definedName>
    <definedName name="CODO_ELEC_1y12_11" localSheetId="8">#REF!</definedName>
    <definedName name="CODO_ELEC_1y12_11">#REF!</definedName>
    <definedName name="CODO_ELEC_1y12_6" localSheetId="8">#REF!</definedName>
    <definedName name="CODO_ELEC_1y12_6">#REF!</definedName>
    <definedName name="CODO_ELEC_1y12_7" localSheetId="8">#REF!</definedName>
    <definedName name="CODO_ELEC_1y12_7">#REF!</definedName>
    <definedName name="CODO_ELEC_1y12_8" localSheetId="8">#REF!</definedName>
    <definedName name="CODO_ELEC_1y12_8">#REF!</definedName>
    <definedName name="CODO_ELEC_1y12_9" localSheetId="8">#REF!</definedName>
    <definedName name="CODO_ELEC_1y12_9">#REF!</definedName>
    <definedName name="CODO_ELEC_2" localSheetId="8">#REF!</definedName>
    <definedName name="CODO_ELEC_2">#REF!</definedName>
    <definedName name="CODO_ELEC_2_10" localSheetId="8">#REF!</definedName>
    <definedName name="CODO_ELEC_2_10">#REF!</definedName>
    <definedName name="CODO_ELEC_2_11" localSheetId="8">#REF!</definedName>
    <definedName name="CODO_ELEC_2_11">#REF!</definedName>
    <definedName name="CODO_ELEC_2_6" localSheetId="8">#REF!</definedName>
    <definedName name="CODO_ELEC_2_6">#REF!</definedName>
    <definedName name="CODO_ELEC_2_7" localSheetId="8">#REF!</definedName>
    <definedName name="CODO_ELEC_2_7">#REF!</definedName>
    <definedName name="CODO_ELEC_2_8" localSheetId="8">#REF!</definedName>
    <definedName name="CODO_ELEC_2_8">#REF!</definedName>
    <definedName name="CODO_ELEC_2_9" localSheetId="8">#REF!</definedName>
    <definedName name="CODO_ELEC_2_9">#REF!</definedName>
    <definedName name="CODO_ELEC_34" localSheetId="8">#REF!</definedName>
    <definedName name="CODO_ELEC_34">#REF!</definedName>
    <definedName name="CODO_ELEC_34_10" localSheetId="8">#REF!</definedName>
    <definedName name="CODO_ELEC_34_10">#REF!</definedName>
    <definedName name="CODO_ELEC_34_11" localSheetId="8">#REF!</definedName>
    <definedName name="CODO_ELEC_34_11">#REF!</definedName>
    <definedName name="CODO_ELEC_34_6" localSheetId="8">#REF!</definedName>
    <definedName name="CODO_ELEC_34_6">#REF!</definedName>
    <definedName name="CODO_ELEC_34_7" localSheetId="8">#REF!</definedName>
    <definedName name="CODO_ELEC_34_7">#REF!</definedName>
    <definedName name="CODO_ELEC_34_8" localSheetId="8">#REF!</definedName>
    <definedName name="CODO_ELEC_34_8">#REF!</definedName>
    <definedName name="CODO_ELEC_34_9" localSheetId="8">#REF!</definedName>
    <definedName name="CODO_ELEC_34_9">#REF!</definedName>
    <definedName name="CODO_HG_1_12_x90" localSheetId="8">#REF!</definedName>
    <definedName name="CODO_HG_1_12_x90">#REF!</definedName>
    <definedName name="CODO_HG_1_12_x90_10" localSheetId="8">#REF!</definedName>
    <definedName name="CODO_HG_1_12_x90_10">#REF!</definedName>
    <definedName name="CODO_HG_1_12_x90_11" localSheetId="8">#REF!</definedName>
    <definedName name="CODO_HG_1_12_x90_11">#REF!</definedName>
    <definedName name="CODO_HG_1_12_x90_6" localSheetId="8">#REF!</definedName>
    <definedName name="CODO_HG_1_12_x90_6">#REF!</definedName>
    <definedName name="CODO_HG_1_12_x90_7" localSheetId="8">#REF!</definedName>
    <definedName name="CODO_HG_1_12_x90_7">#REF!</definedName>
    <definedName name="CODO_HG_1_12_x90_8" localSheetId="8">#REF!</definedName>
    <definedName name="CODO_HG_1_12_x90_8">#REF!</definedName>
    <definedName name="CODO_HG_1_12_x90_9" localSheetId="8">#REF!</definedName>
    <definedName name="CODO_HG_1_12_x90_9">#REF!</definedName>
    <definedName name="CODO_HG_12x90" localSheetId="8">#REF!</definedName>
    <definedName name="CODO_HG_12x90">#REF!</definedName>
    <definedName name="CODO_HG_12x90_10" localSheetId="8">#REF!</definedName>
    <definedName name="CODO_HG_12x90_10">#REF!</definedName>
    <definedName name="CODO_HG_12x90_11" localSheetId="8">#REF!</definedName>
    <definedName name="CODO_HG_12x90_11">#REF!</definedName>
    <definedName name="CODO_HG_12x90_6" localSheetId="8">#REF!</definedName>
    <definedName name="CODO_HG_12x90_6">#REF!</definedName>
    <definedName name="CODO_HG_12x90_7" localSheetId="8">#REF!</definedName>
    <definedName name="CODO_HG_12x90_7">#REF!</definedName>
    <definedName name="CODO_HG_12x90_8" localSheetId="8">#REF!</definedName>
    <definedName name="CODO_HG_12x90_8">#REF!</definedName>
    <definedName name="CODO_HG_12x90_9" localSheetId="8">#REF!</definedName>
    <definedName name="CODO_HG_12x90_9">#REF!</definedName>
    <definedName name="CODO_HG_1x90" localSheetId="8">#REF!</definedName>
    <definedName name="CODO_HG_1x90">#REF!</definedName>
    <definedName name="CODO_HG_1x90_10" localSheetId="8">#REF!</definedName>
    <definedName name="CODO_HG_1x90_10">#REF!</definedName>
    <definedName name="CODO_HG_1x90_11" localSheetId="8">#REF!</definedName>
    <definedName name="CODO_HG_1x90_11">#REF!</definedName>
    <definedName name="CODO_HG_1x90_6" localSheetId="8">#REF!</definedName>
    <definedName name="CODO_HG_1x90_6">#REF!</definedName>
    <definedName name="CODO_HG_1x90_7" localSheetId="8">#REF!</definedName>
    <definedName name="CODO_HG_1x90_7">#REF!</definedName>
    <definedName name="CODO_HG_1x90_8" localSheetId="8">#REF!</definedName>
    <definedName name="CODO_HG_1x90_8">#REF!</definedName>
    <definedName name="CODO_HG_1x90_9" localSheetId="8">#REF!</definedName>
    <definedName name="CODO_HG_1x90_9">#REF!</definedName>
    <definedName name="CODO_HG_1y12x90" localSheetId="8">#REF!</definedName>
    <definedName name="CODO_HG_1y12x90">#REF!</definedName>
    <definedName name="CODO_HG_1y12x90_10" localSheetId="8">#REF!</definedName>
    <definedName name="CODO_HG_1y12x90_10">#REF!</definedName>
    <definedName name="CODO_HG_1y12x90_11" localSheetId="8">#REF!</definedName>
    <definedName name="CODO_HG_1y12x90_11">#REF!</definedName>
    <definedName name="CODO_HG_1y12x90_6" localSheetId="8">#REF!</definedName>
    <definedName name="CODO_HG_1y12x90_6">#REF!</definedName>
    <definedName name="CODO_HG_1y12x90_7" localSheetId="8">#REF!</definedName>
    <definedName name="CODO_HG_1y12x90_7">#REF!</definedName>
    <definedName name="CODO_HG_1y12x90_8" localSheetId="8">#REF!</definedName>
    <definedName name="CODO_HG_1y12x90_8">#REF!</definedName>
    <definedName name="CODO_HG_1y12x90_9" localSheetId="8">#REF!</definedName>
    <definedName name="CODO_HG_1y12x90_9">#REF!</definedName>
    <definedName name="CODO_HG_2x90" localSheetId="8">#REF!</definedName>
    <definedName name="CODO_HG_2x90">#REF!</definedName>
    <definedName name="CODO_HG_2x90_10" localSheetId="8">#REF!</definedName>
    <definedName name="CODO_HG_2x90_10">#REF!</definedName>
    <definedName name="CODO_HG_2x90_11" localSheetId="8">#REF!</definedName>
    <definedName name="CODO_HG_2x90_11">#REF!</definedName>
    <definedName name="CODO_HG_2x90_6" localSheetId="8">#REF!</definedName>
    <definedName name="CODO_HG_2x90_6">#REF!</definedName>
    <definedName name="CODO_HG_2x90_7" localSheetId="8">#REF!</definedName>
    <definedName name="CODO_HG_2x90_7">#REF!</definedName>
    <definedName name="CODO_HG_2x90_8" localSheetId="8">#REF!</definedName>
    <definedName name="CODO_HG_2x90_8">#REF!</definedName>
    <definedName name="CODO_HG_2x90_9" localSheetId="8">#REF!</definedName>
    <definedName name="CODO_HG_2x90_9">#REF!</definedName>
    <definedName name="CODO_HG_34x90" localSheetId="8">#REF!</definedName>
    <definedName name="CODO_HG_34x90">#REF!</definedName>
    <definedName name="CODO_HG_34x90_10" localSheetId="8">#REF!</definedName>
    <definedName name="CODO_HG_34x90_10">#REF!</definedName>
    <definedName name="CODO_HG_34x90_11" localSheetId="8">#REF!</definedName>
    <definedName name="CODO_HG_34x90_11">#REF!</definedName>
    <definedName name="CODO_HG_34x90_6" localSheetId="8">#REF!</definedName>
    <definedName name="CODO_HG_34x90_6">#REF!</definedName>
    <definedName name="CODO_HG_34x90_7" localSheetId="8">#REF!</definedName>
    <definedName name="CODO_HG_34x90_7">#REF!</definedName>
    <definedName name="CODO_HG_34x90_8" localSheetId="8">#REF!</definedName>
    <definedName name="CODO_HG_34x90_8">#REF!</definedName>
    <definedName name="CODO_HG_34x90_9" localSheetId="8">#REF!</definedName>
    <definedName name="CODO_HG_34x90_9">#REF!</definedName>
    <definedName name="CODO_PVC_DRE_2x45" localSheetId="8">#REF!</definedName>
    <definedName name="CODO_PVC_DRE_2x45">#REF!</definedName>
    <definedName name="CODO_PVC_DRE_2x45_10" localSheetId="8">#REF!</definedName>
    <definedName name="CODO_PVC_DRE_2x45_10">#REF!</definedName>
    <definedName name="CODO_PVC_DRE_2x45_11" localSheetId="8">#REF!</definedName>
    <definedName name="CODO_PVC_DRE_2x45_11">#REF!</definedName>
    <definedName name="CODO_PVC_DRE_2x45_6" localSheetId="8">#REF!</definedName>
    <definedName name="CODO_PVC_DRE_2x45_6">#REF!</definedName>
    <definedName name="CODO_PVC_DRE_2x45_7" localSheetId="8">#REF!</definedName>
    <definedName name="CODO_PVC_DRE_2x45_7">#REF!</definedName>
    <definedName name="CODO_PVC_DRE_2x45_8" localSheetId="8">#REF!</definedName>
    <definedName name="CODO_PVC_DRE_2x45_8">#REF!</definedName>
    <definedName name="CODO_PVC_DRE_2x45_9" localSheetId="8">#REF!</definedName>
    <definedName name="CODO_PVC_DRE_2x45_9">#REF!</definedName>
    <definedName name="CODO_PVC_DRE_2x90" localSheetId="8">#REF!</definedName>
    <definedName name="CODO_PVC_DRE_2x90">#REF!</definedName>
    <definedName name="CODO_PVC_DRE_2x90_10" localSheetId="8">#REF!</definedName>
    <definedName name="CODO_PVC_DRE_2x90_10">#REF!</definedName>
    <definedName name="CODO_PVC_DRE_2x90_11" localSheetId="8">#REF!</definedName>
    <definedName name="CODO_PVC_DRE_2x90_11">#REF!</definedName>
    <definedName name="CODO_PVC_DRE_2x90_6" localSheetId="8">#REF!</definedName>
    <definedName name="CODO_PVC_DRE_2x90_6">#REF!</definedName>
    <definedName name="CODO_PVC_DRE_2x90_7" localSheetId="8">#REF!</definedName>
    <definedName name="CODO_PVC_DRE_2x90_7">#REF!</definedName>
    <definedName name="CODO_PVC_DRE_2x90_8" localSheetId="8">#REF!</definedName>
    <definedName name="CODO_PVC_DRE_2x90_8">#REF!</definedName>
    <definedName name="CODO_PVC_DRE_2x90_9" localSheetId="8">#REF!</definedName>
    <definedName name="CODO_PVC_DRE_2x90_9">#REF!</definedName>
    <definedName name="CODO_PVC_DRE_3x45" localSheetId="8">#REF!</definedName>
    <definedName name="CODO_PVC_DRE_3x45">#REF!</definedName>
    <definedName name="CODO_PVC_DRE_3x45_10" localSheetId="8">#REF!</definedName>
    <definedName name="CODO_PVC_DRE_3x45_10">#REF!</definedName>
    <definedName name="CODO_PVC_DRE_3x45_11" localSheetId="8">#REF!</definedName>
    <definedName name="CODO_PVC_DRE_3x45_11">#REF!</definedName>
    <definedName name="CODO_PVC_DRE_3x45_6" localSheetId="8">#REF!</definedName>
    <definedName name="CODO_PVC_DRE_3x45_6">#REF!</definedName>
    <definedName name="CODO_PVC_DRE_3x45_7" localSheetId="8">#REF!</definedName>
    <definedName name="CODO_PVC_DRE_3x45_7">#REF!</definedName>
    <definedName name="CODO_PVC_DRE_3x45_8" localSheetId="8">#REF!</definedName>
    <definedName name="CODO_PVC_DRE_3x45_8">#REF!</definedName>
    <definedName name="CODO_PVC_DRE_3x45_9" localSheetId="8">#REF!</definedName>
    <definedName name="CODO_PVC_DRE_3x45_9">#REF!</definedName>
    <definedName name="CODO_PVC_DRE_3x90" localSheetId="8">#REF!</definedName>
    <definedName name="CODO_PVC_DRE_3x90">#REF!</definedName>
    <definedName name="CODO_PVC_DRE_3x90_10" localSheetId="8">#REF!</definedName>
    <definedName name="CODO_PVC_DRE_3x90_10">#REF!</definedName>
    <definedName name="CODO_PVC_DRE_3x90_11" localSheetId="8">#REF!</definedName>
    <definedName name="CODO_PVC_DRE_3x90_11">#REF!</definedName>
    <definedName name="CODO_PVC_DRE_3x90_6" localSheetId="8">#REF!</definedName>
    <definedName name="CODO_PVC_DRE_3x90_6">#REF!</definedName>
    <definedName name="CODO_PVC_DRE_3x90_7" localSheetId="8">#REF!</definedName>
    <definedName name="CODO_PVC_DRE_3x90_7">#REF!</definedName>
    <definedName name="CODO_PVC_DRE_3x90_8" localSheetId="8">#REF!</definedName>
    <definedName name="CODO_PVC_DRE_3x90_8">#REF!</definedName>
    <definedName name="CODO_PVC_DRE_3x90_9" localSheetId="8">#REF!</definedName>
    <definedName name="CODO_PVC_DRE_3x90_9">#REF!</definedName>
    <definedName name="CODO_PVC_DRE_4x45" localSheetId="8">#REF!</definedName>
    <definedName name="CODO_PVC_DRE_4x45">#REF!</definedName>
    <definedName name="CODO_PVC_DRE_4x45_10" localSheetId="8">#REF!</definedName>
    <definedName name="CODO_PVC_DRE_4x45_10">#REF!</definedName>
    <definedName name="CODO_PVC_DRE_4x45_11" localSheetId="8">#REF!</definedName>
    <definedName name="CODO_PVC_DRE_4x45_11">#REF!</definedName>
    <definedName name="CODO_PVC_DRE_4x45_6" localSheetId="8">#REF!</definedName>
    <definedName name="CODO_PVC_DRE_4x45_6">#REF!</definedName>
    <definedName name="CODO_PVC_DRE_4x45_7" localSheetId="8">#REF!</definedName>
    <definedName name="CODO_PVC_DRE_4x45_7">#REF!</definedName>
    <definedName name="CODO_PVC_DRE_4x45_8" localSheetId="8">#REF!</definedName>
    <definedName name="CODO_PVC_DRE_4x45_8">#REF!</definedName>
    <definedName name="CODO_PVC_DRE_4x45_9" localSheetId="8">#REF!</definedName>
    <definedName name="CODO_PVC_DRE_4x45_9">#REF!</definedName>
    <definedName name="CODO_PVC_DRE_4x90" localSheetId="8">#REF!</definedName>
    <definedName name="CODO_PVC_DRE_4x90">#REF!</definedName>
    <definedName name="CODO_PVC_DRE_4x90_10" localSheetId="8">#REF!</definedName>
    <definedName name="CODO_PVC_DRE_4x90_10">#REF!</definedName>
    <definedName name="CODO_PVC_DRE_4x90_11" localSheetId="8">#REF!</definedName>
    <definedName name="CODO_PVC_DRE_4x90_11">#REF!</definedName>
    <definedName name="CODO_PVC_DRE_4x90_6" localSheetId="8">#REF!</definedName>
    <definedName name="CODO_PVC_DRE_4x90_6">#REF!</definedName>
    <definedName name="CODO_PVC_DRE_4x90_7" localSheetId="8">#REF!</definedName>
    <definedName name="CODO_PVC_DRE_4x90_7">#REF!</definedName>
    <definedName name="CODO_PVC_DRE_4x90_8" localSheetId="8">#REF!</definedName>
    <definedName name="CODO_PVC_DRE_4x90_8">#REF!</definedName>
    <definedName name="CODO_PVC_DRE_4x90_9" localSheetId="8">#REF!</definedName>
    <definedName name="CODO_PVC_DRE_4x90_9">#REF!</definedName>
    <definedName name="CODO_PVC_PRES_12x90" localSheetId="8">#REF!</definedName>
    <definedName name="CODO_PVC_PRES_12x90">#REF!</definedName>
    <definedName name="CODO_PVC_PRES_12x90_10" localSheetId="8">#REF!</definedName>
    <definedName name="CODO_PVC_PRES_12x90_10">#REF!</definedName>
    <definedName name="CODO_PVC_PRES_12x90_11" localSheetId="8">#REF!</definedName>
    <definedName name="CODO_PVC_PRES_12x90_11">#REF!</definedName>
    <definedName name="CODO_PVC_PRES_12x90_6" localSheetId="8">#REF!</definedName>
    <definedName name="CODO_PVC_PRES_12x90_6">#REF!</definedName>
    <definedName name="CODO_PVC_PRES_12x90_7" localSheetId="8">#REF!</definedName>
    <definedName name="CODO_PVC_PRES_12x90_7">#REF!</definedName>
    <definedName name="CODO_PVC_PRES_12x90_8" localSheetId="8">#REF!</definedName>
    <definedName name="CODO_PVC_PRES_12x90_8">#REF!</definedName>
    <definedName name="CODO_PVC_PRES_12x90_9" localSheetId="8">#REF!</definedName>
    <definedName name="CODO_PVC_PRES_12x90_9">#REF!</definedName>
    <definedName name="CODO_PVC_PRES_1x90" localSheetId="8">#REF!</definedName>
    <definedName name="CODO_PVC_PRES_1x90">#REF!</definedName>
    <definedName name="CODO_PVC_PRES_1x90_10" localSheetId="8">#REF!</definedName>
    <definedName name="CODO_PVC_PRES_1x90_10">#REF!</definedName>
    <definedName name="CODO_PVC_PRES_1x90_11" localSheetId="8">#REF!</definedName>
    <definedName name="CODO_PVC_PRES_1x90_11">#REF!</definedName>
    <definedName name="CODO_PVC_PRES_1x90_6" localSheetId="8">#REF!</definedName>
    <definedName name="CODO_PVC_PRES_1x90_6">#REF!</definedName>
    <definedName name="CODO_PVC_PRES_1x90_7" localSheetId="8">#REF!</definedName>
    <definedName name="CODO_PVC_PRES_1x90_7">#REF!</definedName>
    <definedName name="CODO_PVC_PRES_1x90_8" localSheetId="8">#REF!</definedName>
    <definedName name="CODO_PVC_PRES_1x90_8">#REF!</definedName>
    <definedName name="CODO_PVC_PRES_1x90_9" localSheetId="8">#REF!</definedName>
    <definedName name="CODO_PVC_PRES_1x90_9">#REF!</definedName>
    <definedName name="COLA_EXT_LAVAMANOS_PVC_1_14x8" localSheetId="8">#REF!</definedName>
    <definedName name="COLA_EXT_LAVAMANOS_PVC_1_14x8">#REF!</definedName>
    <definedName name="COLA_EXT_LAVAMANOS_PVC_1_14x8_10" localSheetId="8">#REF!</definedName>
    <definedName name="COLA_EXT_LAVAMANOS_PVC_1_14x8_10">#REF!</definedName>
    <definedName name="COLA_EXT_LAVAMANOS_PVC_1_14x8_11" localSheetId="8">#REF!</definedName>
    <definedName name="COLA_EXT_LAVAMANOS_PVC_1_14x8_11">#REF!</definedName>
    <definedName name="COLA_EXT_LAVAMANOS_PVC_1_14x8_6" localSheetId="8">#REF!</definedName>
    <definedName name="COLA_EXT_LAVAMANOS_PVC_1_14x8_6">#REF!</definedName>
    <definedName name="COLA_EXT_LAVAMANOS_PVC_1_14x8_7" localSheetId="8">#REF!</definedName>
    <definedName name="COLA_EXT_LAVAMANOS_PVC_1_14x8_7">#REF!</definedName>
    <definedName name="COLA_EXT_LAVAMANOS_PVC_1_14x8_8" localSheetId="8">#REF!</definedName>
    <definedName name="COLA_EXT_LAVAMANOS_PVC_1_14x8_8">#REF!</definedName>
    <definedName name="COLA_EXT_LAVAMANOS_PVC_1_14x8_9" localSheetId="8">#REF!</definedName>
    <definedName name="COLA_EXT_LAVAMANOS_PVC_1_14x8_9">#REF!</definedName>
    <definedName name="COLC1" localSheetId="8">#REF!</definedName>
    <definedName name="COLC1">#REF!</definedName>
    <definedName name="COLC1_6" localSheetId="8">#REF!</definedName>
    <definedName name="COLC1_6">#REF!</definedName>
    <definedName name="COLC2" localSheetId="8">#REF!</definedName>
    <definedName name="COLC2">#REF!</definedName>
    <definedName name="COLC2_6" localSheetId="8">#REF!</definedName>
    <definedName name="COLC2_6">#REF!</definedName>
    <definedName name="COLC3CIR" localSheetId="8">#REF!</definedName>
    <definedName name="COLC3CIR">#REF!</definedName>
    <definedName name="COLC3CIR_6" localSheetId="8">#REF!</definedName>
    <definedName name="COLC3CIR_6">#REF!</definedName>
    <definedName name="COLC4" localSheetId="8">#REF!</definedName>
    <definedName name="COLC4">#REF!</definedName>
    <definedName name="COLC4_6" localSheetId="8">#REF!</definedName>
    <definedName name="COLC4_6">#REF!</definedName>
    <definedName name="Coloc.Ceramica.Pisos">'[32]Costos Mano de Obra'!$O$46</definedName>
    <definedName name="COLOC_BLOCK4" localSheetId="8">#REF!</definedName>
    <definedName name="COLOC_BLOCK4">#REF!</definedName>
    <definedName name="COLOC_BLOCK4_10" localSheetId="8">#REF!</definedName>
    <definedName name="COLOC_BLOCK4_10">#REF!</definedName>
    <definedName name="COLOC_BLOCK4_11" localSheetId="8">#REF!</definedName>
    <definedName name="COLOC_BLOCK4_11">#REF!</definedName>
    <definedName name="COLOC_BLOCK4_6" localSheetId="8">#REF!</definedName>
    <definedName name="COLOC_BLOCK4_6">#REF!</definedName>
    <definedName name="COLOC_BLOCK4_7" localSheetId="8">#REF!</definedName>
    <definedName name="COLOC_BLOCK4_7">#REF!</definedName>
    <definedName name="COLOC_BLOCK4_8" localSheetId="8">#REF!</definedName>
    <definedName name="COLOC_BLOCK4_8">#REF!</definedName>
    <definedName name="COLOC_BLOCK4_9" localSheetId="8">#REF!</definedName>
    <definedName name="COLOC_BLOCK4_9">#REF!</definedName>
    <definedName name="COLOC_BLOCK6" localSheetId="8">#REF!</definedName>
    <definedName name="COLOC_BLOCK6">#REF!</definedName>
    <definedName name="COLOC_BLOCK6_10" localSheetId="8">#REF!</definedName>
    <definedName name="COLOC_BLOCK6_10">#REF!</definedName>
    <definedName name="COLOC_BLOCK6_11" localSheetId="8">#REF!</definedName>
    <definedName name="COLOC_BLOCK6_11">#REF!</definedName>
    <definedName name="COLOC_BLOCK6_6" localSheetId="8">#REF!</definedName>
    <definedName name="COLOC_BLOCK6_6">#REF!</definedName>
    <definedName name="COLOC_BLOCK6_7" localSheetId="8">#REF!</definedName>
    <definedName name="COLOC_BLOCK6_7">#REF!</definedName>
    <definedName name="COLOC_BLOCK6_8" localSheetId="8">#REF!</definedName>
    <definedName name="COLOC_BLOCK6_8">#REF!</definedName>
    <definedName name="COLOC_BLOCK6_9" localSheetId="8">#REF!</definedName>
    <definedName name="COLOC_BLOCK6_9">#REF!</definedName>
    <definedName name="COLOC_BLOCK8" localSheetId="8">#REF!</definedName>
    <definedName name="COLOC_BLOCK8">#REF!</definedName>
    <definedName name="COLOC_BLOCK8_10" localSheetId="8">#REF!</definedName>
    <definedName name="COLOC_BLOCK8_10">#REF!</definedName>
    <definedName name="COLOC_BLOCK8_11" localSheetId="8">#REF!</definedName>
    <definedName name="COLOC_BLOCK8_11">#REF!</definedName>
    <definedName name="COLOC_BLOCK8_6" localSheetId="8">#REF!</definedName>
    <definedName name="COLOC_BLOCK8_6">#REF!</definedName>
    <definedName name="COLOC_BLOCK8_7" localSheetId="8">#REF!</definedName>
    <definedName name="COLOC_BLOCK8_7">#REF!</definedName>
    <definedName name="COLOC_BLOCK8_8" localSheetId="8">#REF!</definedName>
    <definedName name="COLOC_BLOCK8_8">#REF!</definedName>
    <definedName name="COLOC_BLOCK8_9" localSheetId="8">#REF!</definedName>
    <definedName name="COLOC_BLOCK8_9">#REF!</definedName>
    <definedName name="COLOC_TUB_PEAD_16" localSheetId="8">#REF!</definedName>
    <definedName name="COLOC_TUB_PEAD_16">#REF!</definedName>
    <definedName name="COLOC_TUB_PEAD_16_10" localSheetId="8">#REF!</definedName>
    <definedName name="COLOC_TUB_PEAD_16_10">#REF!</definedName>
    <definedName name="COLOC_TUB_PEAD_16_11" localSheetId="8">#REF!</definedName>
    <definedName name="COLOC_TUB_PEAD_16_11">#REF!</definedName>
    <definedName name="COLOC_TUB_PEAD_16_6" localSheetId="8">#REF!</definedName>
    <definedName name="COLOC_TUB_PEAD_16_6">#REF!</definedName>
    <definedName name="COLOC_TUB_PEAD_16_7" localSheetId="8">#REF!</definedName>
    <definedName name="COLOC_TUB_PEAD_16_7">#REF!</definedName>
    <definedName name="COLOC_TUB_PEAD_16_8" localSheetId="8">#REF!</definedName>
    <definedName name="COLOC_TUB_PEAD_16_8">#REF!</definedName>
    <definedName name="COLOC_TUB_PEAD_16_9" localSheetId="8">#REF!</definedName>
    <definedName name="COLOC_TUB_PEAD_16_9">#REF!</definedName>
    <definedName name="COLOC_TUB_PEAD_20" localSheetId="8">#REF!</definedName>
    <definedName name="COLOC_TUB_PEAD_20">#REF!</definedName>
    <definedName name="COLOC_TUB_PEAD_20_10" localSheetId="8">#REF!</definedName>
    <definedName name="COLOC_TUB_PEAD_20_10">#REF!</definedName>
    <definedName name="COLOC_TUB_PEAD_20_11" localSheetId="8">#REF!</definedName>
    <definedName name="COLOC_TUB_PEAD_20_11">#REF!</definedName>
    <definedName name="COLOC_TUB_PEAD_20_6" localSheetId="8">#REF!</definedName>
    <definedName name="COLOC_TUB_PEAD_20_6">#REF!</definedName>
    <definedName name="COLOC_TUB_PEAD_20_7" localSheetId="8">#REF!</definedName>
    <definedName name="COLOC_TUB_PEAD_20_7">#REF!</definedName>
    <definedName name="COLOC_TUB_PEAD_20_8" localSheetId="8">#REF!</definedName>
    <definedName name="COLOC_TUB_PEAD_20_8">#REF!</definedName>
    <definedName name="COLOC_TUB_PEAD_20_9" localSheetId="8">#REF!</definedName>
    <definedName name="COLOC_TUB_PEAD_20_9">#REF!</definedName>
    <definedName name="COLOC_TUB_PEAD_8" localSheetId="8">#REF!</definedName>
    <definedName name="COLOC_TUB_PEAD_8">#REF!</definedName>
    <definedName name="COLOC_TUB_PEAD_8_10" localSheetId="8">#REF!</definedName>
    <definedName name="COLOC_TUB_PEAD_8_10">#REF!</definedName>
    <definedName name="COLOC_TUB_PEAD_8_11" localSheetId="8">#REF!</definedName>
    <definedName name="COLOC_TUB_PEAD_8_11">#REF!</definedName>
    <definedName name="COLOC_TUB_PEAD_8_6" localSheetId="8">#REF!</definedName>
    <definedName name="COLOC_TUB_PEAD_8_6">#REF!</definedName>
    <definedName name="COLOC_TUB_PEAD_8_7" localSheetId="8">#REF!</definedName>
    <definedName name="COLOC_TUB_PEAD_8_7">#REF!</definedName>
    <definedName name="COLOC_TUB_PEAD_8_8" localSheetId="8">#REF!</definedName>
    <definedName name="COLOC_TUB_PEAD_8_8">#REF!</definedName>
    <definedName name="COLOC_TUB_PEAD_8_9" localSheetId="8">#REF!</definedName>
    <definedName name="COLOC_TUB_PEAD_8_9">#REF!</definedName>
    <definedName name="COMPRESOR" localSheetId="8">#REF!</definedName>
    <definedName name="COMPRESOR">#REF!</definedName>
    <definedName name="COMPRESOR_10" localSheetId="8">#REF!</definedName>
    <definedName name="COMPRESOR_10">#REF!</definedName>
    <definedName name="COMPRESOR_11" localSheetId="8">#REF!</definedName>
    <definedName name="COMPRESOR_11">#REF!</definedName>
    <definedName name="COMPRESOR_6" localSheetId="8">#REF!</definedName>
    <definedName name="COMPRESOR_6">#REF!</definedName>
    <definedName name="COMPRESOR_7" localSheetId="8">#REF!</definedName>
    <definedName name="COMPRESOR_7">#REF!</definedName>
    <definedName name="COMPRESOR_8" localSheetId="8">#REF!</definedName>
    <definedName name="COMPRESOR_8">#REF!</definedName>
    <definedName name="COMPRESOR_9" localSheetId="8">#REF!</definedName>
    <definedName name="COMPRESOR_9">#REF!</definedName>
    <definedName name="COMPUERTA_1x1_VOLANTA" localSheetId="8">#REF!</definedName>
    <definedName name="COMPUERTA_1x1_VOLANTA">#REF!</definedName>
    <definedName name="COMPUERTA_1x1_VOLANTA_10" localSheetId="8">#REF!</definedName>
    <definedName name="COMPUERTA_1x1_VOLANTA_10">#REF!</definedName>
    <definedName name="COMPUERTA_1x1_VOLANTA_11" localSheetId="8">#REF!</definedName>
    <definedName name="COMPUERTA_1x1_VOLANTA_11">#REF!</definedName>
    <definedName name="COMPUERTA_1x1_VOLANTA_6" localSheetId="8">#REF!</definedName>
    <definedName name="COMPUERTA_1x1_VOLANTA_6">#REF!</definedName>
    <definedName name="COMPUERTA_1x1_VOLANTA_7" localSheetId="8">#REF!</definedName>
    <definedName name="COMPUERTA_1x1_VOLANTA_7">#REF!</definedName>
    <definedName name="COMPUERTA_1x1_VOLANTA_8" localSheetId="8">#REF!</definedName>
    <definedName name="COMPUERTA_1x1_VOLANTA_8">#REF!</definedName>
    <definedName name="COMPUERTA_1x1_VOLANTA_9" localSheetId="8">#REF!</definedName>
    <definedName name="COMPUERTA_1x1_VOLANTA_9">#REF!</definedName>
    <definedName name="CONTEN" localSheetId="8">#REF!</definedName>
    <definedName name="CONTEN">#REF!</definedName>
    <definedName name="CONTEN_10" localSheetId="8">#REF!</definedName>
    <definedName name="CONTEN_10">#REF!</definedName>
    <definedName name="CONTEN_11" localSheetId="8">#REF!</definedName>
    <definedName name="CONTEN_11">#REF!</definedName>
    <definedName name="CONTEN_6" localSheetId="8">#REF!</definedName>
    <definedName name="CONTEN_6">#REF!</definedName>
    <definedName name="CONTEN_7" localSheetId="8">#REF!</definedName>
    <definedName name="CONTEN_7">#REF!</definedName>
    <definedName name="CONTEN_8" localSheetId="8">#REF!</definedName>
    <definedName name="CONTEN_8">#REF!</definedName>
    <definedName name="CONTEN_9" localSheetId="8">#REF!</definedName>
    <definedName name="CONTEN_9">#REF!</definedName>
    <definedName name="control_3">"$#REF!.$#REF!$#REF!:#REF!#REF!"</definedName>
    <definedName name="COPIA" localSheetId="8">[14]INS!#REF!</definedName>
    <definedName name="COPIA">[14]INS!#REF!</definedName>
    <definedName name="COPIA_8" localSheetId="8">#REF!</definedName>
    <definedName name="COPIA_8">#REF!</definedName>
    <definedName name="costocapataz">'[28]Analisis Unit. '!$G$3</definedName>
    <definedName name="costoobrero">'[28]Analisis Unit. '!$G$5</definedName>
    <definedName name="costotecesp">'[28]Analisis Unit. '!$G$4</definedName>
    <definedName name="CRUZ_HG_1_12" localSheetId="8">#REF!</definedName>
    <definedName name="CRUZ_HG_1_12">#REF!</definedName>
    <definedName name="CRUZ_HG_1_12_10" localSheetId="8">#REF!</definedName>
    <definedName name="CRUZ_HG_1_12_10">#REF!</definedName>
    <definedName name="CRUZ_HG_1_12_11" localSheetId="8">#REF!</definedName>
    <definedName name="CRUZ_HG_1_12_11">#REF!</definedName>
    <definedName name="CRUZ_HG_1_12_6" localSheetId="8">#REF!</definedName>
    <definedName name="CRUZ_HG_1_12_6">#REF!</definedName>
    <definedName name="CRUZ_HG_1_12_7" localSheetId="8">#REF!</definedName>
    <definedName name="CRUZ_HG_1_12_7">#REF!</definedName>
    <definedName name="CRUZ_HG_1_12_8" localSheetId="8">#REF!</definedName>
    <definedName name="CRUZ_HG_1_12_8">#REF!</definedName>
    <definedName name="CRUZ_HG_1_12_9" localSheetId="8">#REF!</definedName>
    <definedName name="CRUZ_HG_1_12_9">#REF!</definedName>
    <definedName name="cuadro" localSheetId="8">[21]ADDENDA!#REF!</definedName>
    <definedName name="cuadro">[21]ADDENDA!#REF!</definedName>
    <definedName name="cuadro_6" localSheetId="8">#REF!</definedName>
    <definedName name="cuadro_6">#REF!</definedName>
    <definedName name="cuadro_8" localSheetId="8">#REF!</definedName>
    <definedName name="cuadro_8">#REF!</definedName>
    <definedName name="CUBETA_5Gls" localSheetId="8">#REF!</definedName>
    <definedName name="CUBETA_5Gls">#REF!</definedName>
    <definedName name="CUBETA_5Gls_10" localSheetId="8">#REF!</definedName>
    <definedName name="CUBETA_5Gls_10">#REF!</definedName>
    <definedName name="CUBETA_5Gls_11" localSheetId="8">#REF!</definedName>
    <definedName name="CUBETA_5Gls_11">#REF!</definedName>
    <definedName name="CUBETA_5Gls_6" localSheetId="8">#REF!</definedName>
    <definedName name="CUBETA_5Gls_6">#REF!</definedName>
    <definedName name="CUBETA_5Gls_7" localSheetId="8">#REF!</definedName>
    <definedName name="CUBETA_5Gls_7">#REF!</definedName>
    <definedName name="CUBETA_5Gls_8" localSheetId="8">#REF!</definedName>
    <definedName name="CUBETA_5Gls_8">#REF!</definedName>
    <definedName name="CUBETA_5Gls_9" localSheetId="8">#REF!</definedName>
    <definedName name="CUBETA_5Gls_9">#REF!</definedName>
    <definedName name="CUBIC._ANTERIOR">#N/A</definedName>
    <definedName name="CUBIC._ANTERIOR_6">NA()</definedName>
    <definedName name="CUBICACION">#N/A</definedName>
    <definedName name="CUBICACION_6">NA()</definedName>
    <definedName name="CUBICADO">#N/A</definedName>
    <definedName name="CUBICADO_6">NA()</definedName>
    <definedName name="CUBO_GOMA" localSheetId="8">#REF!</definedName>
    <definedName name="CUBO_GOMA">#REF!</definedName>
    <definedName name="CUBO_GOMA_10" localSheetId="8">#REF!</definedName>
    <definedName name="CUBO_GOMA_10">#REF!</definedName>
    <definedName name="CUBO_GOMA_11" localSheetId="8">#REF!</definedName>
    <definedName name="CUBO_GOMA_11">#REF!</definedName>
    <definedName name="CUBO_GOMA_6" localSheetId="8">#REF!</definedName>
    <definedName name="CUBO_GOMA_6">#REF!</definedName>
    <definedName name="CUBO_GOMA_7" localSheetId="8">#REF!</definedName>
    <definedName name="CUBO_GOMA_7">#REF!</definedName>
    <definedName name="CUBO_GOMA_8" localSheetId="8">#REF!</definedName>
    <definedName name="CUBO_GOMA_8">#REF!</definedName>
    <definedName name="CUBO_GOMA_9" localSheetId="8">#REF!</definedName>
    <definedName name="CUBO_GOMA_9">#REF!</definedName>
    <definedName name="Cubo_para_vaciado_de_Hormigón_3">#N/A</definedName>
    <definedName name="CUBREFALTA_INODORO_CROMO_38" localSheetId="8">#REF!</definedName>
    <definedName name="CUBREFALTA_INODORO_CROMO_38">#REF!</definedName>
    <definedName name="CUBREFALTA_INODORO_CROMO_38_10" localSheetId="8">#REF!</definedName>
    <definedName name="CUBREFALTA_INODORO_CROMO_38_10">#REF!</definedName>
    <definedName name="CUBREFALTA_INODORO_CROMO_38_11" localSheetId="8">#REF!</definedName>
    <definedName name="CUBREFALTA_INODORO_CROMO_38_11">#REF!</definedName>
    <definedName name="CUBREFALTA_INODORO_CROMO_38_6" localSheetId="8">#REF!</definedName>
    <definedName name="CUBREFALTA_INODORO_CROMO_38_6">#REF!</definedName>
    <definedName name="CUBREFALTA_INODORO_CROMO_38_7" localSheetId="8">#REF!</definedName>
    <definedName name="CUBREFALTA_INODORO_CROMO_38_7">#REF!</definedName>
    <definedName name="CUBREFALTA_INODORO_CROMO_38_8" localSheetId="8">#REF!</definedName>
    <definedName name="CUBREFALTA_INODORO_CROMO_38_8">#REF!</definedName>
    <definedName name="CUBREFALTA_INODORO_CROMO_38_9" localSheetId="8">#REF!</definedName>
    <definedName name="CUBREFALTA_INODORO_CROMO_38_9">#REF!</definedName>
    <definedName name="Curado_y_Aditivo_3">#N/A</definedName>
    <definedName name="CURVA_ELEC_PVC_12" localSheetId="8">#REF!</definedName>
    <definedName name="CURVA_ELEC_PVC_12">#REF!</definedName>
    <definedName name="CURVA_ELEC_PVC_12_10" localSheetId="8">#REF!</definedName>
    <definedName name="CURVA_ELEC_PVC_12_10">#REF!</definedName>
    <definedName name="CURVA_ELEC_PVC_12_11" localSheetId="8">#REF!</definedName>
    <definedName name="CURVA_ELEC_PVC_12_11">#REF!</definedName>
    <definedName name="CURVA_ELEC_PVC_12_6" localSheetId="8">#REF!</definedName>
    <definedName name="CURVA_ELEC_PVC_12_6">#REF!</definedName>
    <definedName name="CURVA_ELEC_PVC_12_7" localSheetId="8">#REF!</definedName>
    <definedName name="CURVA_ELEC_PVC_12_7">#REF!</definedName>
    <definedName name="CURVA_ELEC_PVC_12_8" localSheetId="8">#REF!</definedName>
    <definedName name="CURVA_ELEC_PVC_12_8">#REF!</definedName>
    <definedName name="CURVA_ELEC_PVC_12_9" localSheetId="8">#REF!</definedName>
    <definedName name="CURVA_ELEC_PVC_12_9">#REF!</definedName>
    <definedName name="CURVA_ELEC_PVC_34" localSheetId="8">#REF!</definedName>
    <definedName name="CURVA_ELEC_PVC_34">#REF!</definedName>
    <definedName name="CURVA_ELEC_PVC_34_10" localSheetId="8">#REF!</definedName>
    <definedName name="CURVA_ELEC_PVC_34_10">#REF!</definedName>
    <definedName name="CURVA_ELEC_PVC_34_11" localSheetId="8">#REF!</definedName>
    <definedName name="CURVA_ELEC_PVC_34_11">#REF!</definedName>
    <definedName name="CURVA_ELEC_PVC_34_6" localSheetId="8">#REF!</definedName>
    <definedName name="CURVA_ELEC_PVC_34_6">#REF!</definedName>
    <definedName name="CURVA_ELEC_PVC_34_7" localSheetId="8">#REF!</definedName>
    <definedName name="CURVA_ELEC_PVC_34_7">#REF!</definedName>
    <definedName name="CURVA_ELEC_PVC_34_8" localSheetId="8">#REF!</definedName>
    <definedName name="CURVA_ELEC_PVC_34_8">#REF!</definedName>
    <definedName name="CURVA_ELEC_PVC_34_9" localSheetId="8">#REF!</definedName>
    <definedName name="CURVA_ELEC_PVC_34_9">#REF!</definedName>
    <definedName name="CUT_OUT_100AMP" localSheetId="8">#REF!</definedName>
    <definedName name="CUT_OUT_100AMP">#REF!</definedName>
    <definedName name="CUT_OUT_100AMP_10" localSheetId="8">#REF!</definedName>
    <definedName name="CUT_OUT_100AMP_10">#REF!</definedName>
    <definedName name="CUT_OUT_100AMP_11" localSheetId="8">#REF!</definedName>
    <definedName name="CUT_OUT_100AMP_11">#REF!</definedName>
    <definedName name="CUT_OUT_100AMP_6" localSheetId="8">#REF!</definedName>
    <definedName name="CUT_OUT_100AMP_6">#REF!</definedName>
    <definedName name="CUT_OUT_100AMP_7" localSheetId="8">#REF!</definedName>
    <definedName name="CUT_OUT_100AMP_7">#REF!</definedName>
    <definedName name="CUT_OUT_100AMP_8" localSheetId="8">#REF!</definedName>
    <definedName name="CUT_OUT_100AMP_8">#REF!</definedName>
    <definedName name="CUT_OUT_100AMP_9" localSheetId="8">#REF!</definedName>
    <definedName name="CUT_OUT_100AMP_9">#REF!</definedName>
    <definedName name="CUT_OUT_200AMP" localSheetId="8">#REF!</definedName>
    <definedName name="CUT_OUT_200AMP">#REF!</definedName>
    <definedName name="CUT_OUT_200AMP_10" localSheetId="8">#REF!</definedName>
    <definedName name="CUT_OUT_200AMP_10">#REF!</definedName>
    <definedName name="CUT_OUT_200AMP_11" localSheetId="8">#REF!</definedName>
    <definedName name="CUT_OUT_200AMP_11">#REF!</definedName>
    <definedName name="CUT_OUT_200AMP_6" localSheetId="8">#REF!</definedName>
    <definedName name="CUT_OUT_200AMP_6">#REF!</definedName>
    <definedName name="CUT_OUT_200AMP_7" localSheetId="8">#REF!</definedName>
    <definedName name="CUT_OUT_200AMP_7">#REF!</definedName>
    <definedName name="CUT_OUT_200AMP_8" localSheetId="8">#REF!</definedName>
    <definedName name="CUT_OUT_200AMP_8">#REF!</definedName>
    <definedName name="CUT_OUT_200AMP_9" localSheetId="8">#REF!</definedName>
    <definedName name="CUT_OUT_200AMP_9">#REF!</definedName>
    <definedName name="CZINC" localSheetId="8">[10]M.O.!#REF!</definedName>
    <definedName name="CZINC">[10]M.O.!#REF!</definedName>
    <definedName name="CZINC_6" localSheetId="8">#REF!</definedName>
    <definedName name="CZINC_6">#REF!</definedName>
    <definedName name="CZINC_8" localSheetId="8">#REF!</definedName>
    <definedName name="CZINC_8">#REF!</definedName>
    <definedName name="D" localSheetId="8">#REF!</definedName>
    <definedName name="D">#REF!</definedName>
    <definedName name="D_3">#N/A</definedName>
    <definedName name="D7H">[29]EQUIPOS!$I$9</definedName>
    <definedName name="D8K">[29]EQUIPOS!$I$8</definedName>
    <definedName name="deducciones_3">"$#REF!.$M$62"</definedName>
    <definedName name="derop" localSheetId="8">[19]M.O.!#REF!</definedName>
    <definedName name="derop">[19]M.O.!#REF!</definedName>
    <definedName name="derop_10" localSheetId="8">#REF!</definedName>
    <definedName name="derop_10">#REF!</definedName>
    <definedName name="derop_11" localSheetId="8">#REF!</definedName>
    <definedName name="derop_11">#REF!</definedName>
    <definedName name="derop_5" localSheetId="8">#REF!</definedName>
    <definedName name="derop_5">#REF!</definedName>
    <definedName name="derop_6" localSheetId="8">#REF!</definedName>
    <definedName name="derop_6">#REF!</definedName>
    <definedName name="derop_7" localSheetId="8">#REF!</definedName>
    <definedName name="derop_7">#REF!</definedName>
    <definedName name="derop_8" localSheetId="8">#REF!</definedName>
    <definedName name="derop_8">#REF!</definedName>
    <definedName name="derop_9" localSheetId="8">#REF!</definedName>
    <definedName name="derop_9">#REF!</definedName>
    <definedName name="DERRETIDO_BCO" localSheetId="8">#REF!</definedName>
    <definedName name="DERRETIDO_BCO">#REF!</definedName>
    <definedName name="DERRETIDO_BCO_10" localSheetId="8">#REF!</definedName>
    <definedName name="DERRETIDO_BCO_10">#REF!</definedName>
    <definedName name="DERRETIDO_BCO_11" localSheetId="8">#REF!</definedName>
    <definedName name="DERRETIDO_BCO_11">#REF!</definedName>
    <definedName name="DERRETIDO_BCO_6" localSheetId="8">#REF!</definedName>
    <definedName name="DERRETIDO_BCO_6">#REF!</definedName>
    <definedName name="DERRETIDO_BCO_7" localSheetId="8">#REF!</definedName>
    <definedName name="DERRETIDO_BCO_7">#REF!</definedName>
    <definedName name="DERRETIDO_BCO_8" localSheetId="8">#REF!</definedName>
    <definedName name="DERRETIDO_BCO_8">#REF!</definedName>
    <definedName name="DERRETIDO_BCO_9" localSheetId="8">#REF!</definedName>
    <definedName name="DERRETIDO_BCO_9">#REF!</definedName>
    <definedName name="DESAGUE_DOBLE_FREGADERO_PVC" localSheetId="8">#REF!</definedName>
    <definedName name="DESAGUE_DOBLE_FREGADERO_PVC">#REF!</definedName>
    <definedName name="DESAGUE_DOBLE_FREGADERO_PVC_10" localSheetId="8">#REF!</definedName>
    <definedName name="DESAGUE_DOBLE_FREGADERO_PVC_10">#REF!</definedName>
    <definedName name="DESAGUE_DOBLE_FREGADERO_PVC_11" localSheetId="8">#REF!</definedName>
    <definedName name="DESAGUE_DOBLE_FREGADERO_PVC_11">#REF!</definedName>
    <definedName name="DESAGUE_DOBLE_FREGADERO_PVC_6" localSheetId="8">#REF!</definedName>
    <definedName name="DESAGUE_DOBLE_FREGADERO_PVC_6">#REF!</definedName>
    <definedName name="DESAGUE_DOBLE_FREGADERO_PVC_7" localSheetId="8">#REF!</definedName>
    <definedName name="DESAGUE_DOBLE_FREGADERO_PVC_7">#REF!</definedName>
    <definedName name="DESAGUE_DOBLE_FREGADERO_PVC_8" localSheetId="8">#REF!</definedName>
    <definedName name="DESAGUE_DOBLE_FREGADERO_PVC_8">#REF!</definedName>
    <definedName name="DESAGUE_DOBLE_FREGADERO_PVC_9" localSheetId="8">#REF!</definedName>
    <definedName name="DESAGUE_DOBLE_FREGADERO_PVC_9">#REF!</definedName>
    <definedName name="DESCRIPCION">#N/A</definedName>
    <definedName name="DESCRIPCION_6">NA()</definedName>
    <definedName name="desencofrado" localSheetId="8">#REF!</definedName>
    <definedName name="desencofrado">#REF!</definedName>
    <definedName name="desencofrado_8" localSheetId="8">#REF!</definedName>
    <definedName name="desencofrado_8">#REF!</definedName>
    <definedName name="DESENCOFRADO_COLS">[13]MO!$B$256</definedName>
    <definedName name="DESENCOFRADO_COLS_10" localSheetId="8">#REF!</definedName>
    <definedName name="DESENCOFRADO_COLS_10">#REF!</definedName>
    <definedName name="DESENCOFRADO_COLS_11" localSheetId="8">#REF!</definedName>
    <definedName name="DESENCOFRADO_COLS_11">#REF!</definedName>
    <definedName name="DESENCOFRADO_COLS_5" localSheetId="8">#REF!</definedName>
    <definedName name="DESENCOFRADO_COLS_5">#REF!</definedName>
    <definedName name="DESENCOFRADO_COLS_6" localSheetId="8">#REF!</definedName>
    <definedName name="DESENCOFRADO_COLS_6">#REF!</definedName>
    <definedName name="DESENCOFRADO_COLS_7" localSheetId="8">#REF!</definedName>
    <definedName name="DESENCOFRADO_COLS_7">#REF!</definedName>
    <definedName name="DESENCOFRADO_COLS_8" localSheetId="8">#REF!</definedName>
    <definedName name="DESENCOFRADO_COLS_8">#REF!</definedName>
    <definedName name="DESENCOFRADO_COLS_9" localSheetId="8">#REF!</definedName>
    <definedName name="DESENCOFRADO_COLS_9">#REF!</definedName>
    <definedName name="DESENCOFRADO_LOSA" localSheetId="8">#REF!</definedName>
    <definedName name="DESENCOFRADO_LOSA">#REF!</definedName>
    <definedName name="DESENCOFRADO_LOSA_10" localSheetId="8">#REF!</definedName>
    <definedName name="DESENCOFRADO_LOSA_10">#REF!</definedName>
    <definedName name="DESENCOFRADO_LOSA_11" localSheetId="8">#REF!</definedName>
    <definedName name="DESENCOFRADO_LOSA_11">#REF!</definedName>
    <definedName name="DESENCOFRADO_LOSA_6" localSheetId="8">#REF!</definedName>
    <definedName name="DESENCOFRADO_LOSA_6">#REF!</definedName>
    <definedName name="DESENCOFRADO_LOSA_7" localSheetId="8">#REF!</definedName>
    <definedName name="DESENCOFRADO_LOSA_7">#REF!</definedName>
    <definedName name="DESENCOFRADO_LOSA_8" localSheetId="8">#REF!</definedName>
    <definedName name="DESENCOFRADO_LOSA_8">#REF!</definedName>
    <definedName name="DESENCOFRADO_LOSA_9" localSheetId="8">#REF!</definedName>
    <definedName name="DESENCOFRADO_LOSA_9">#REF!</definedName>
    <definedName name="DESENCOFRADO_MURO" localSheetId="8">#REF!</definedName>
    <definedName name="DESENCOFRADO_MURO">#REF!</definedName>
    <definedName name="DESENCOFRADO_MURO_10" localSheetId="8">#REF!</definedName>
    <definedName name="DESENCOFRADO_MURO_10">#REF!</definedName>
    <definedName name="DESENCOFRADO_MURO_11" localSheetId="8">#REF!</definedName>
    <definedName name="DESENCOFRADO_MURO_11">#REF!</definedName>
    <definedName name="DESENCOFRADO_MURO_6" localSheetId="8">#REF!</definedName>
    <definedName name="DESENCOFRADO_MURO_6">#REF!</definedName>
    <definedName name="DESENCOFRADO_MURO_7" localSheetId="8">#REF!</definedName>
    <definedName name="DESENCOFRADO_MURO_7">#REF!</definedName>
    <definedName name="DESENCOFRADO_MURO_8" localSheetId="8">#REF!</definedName>
    <definedName name="DESENCOFRADO_MURO_8">#REF!</definedName>
    <definedName name="DESENCOFRADO_MURO_9" localSheetId="8">#REF!</definedName>
    <definedName name="DESENCOFRADO_MURO_9">#REF!</definedName>
    <definedName name="DESENCOFRADO_VIGA" localSheetId="8">#REF!</definedName>
    <definedName name="DESENCOFRADO_VIGA">#REF!</definedName>
    <definedName name="DESENCOFRADO_VIGA_10" localSheetId="8">#REF!</definedName>
    <definedName name="DESENCOFRADO_VIGA_10">#REF!</definedName>
    <definedName name="DESENCOFRADO_VIGA_11" localSheetId="8">#REF!</definedName>
    <definedName name="DESENCOFRADO_VIGA_11">#REF!</definedName>
    <definedName name="DESENCOFRADO_VIGA_6" localSheetId="8">#REF!</definedName>
    <definedName name="DESENCOFRADO_VIGA_6">#REF!</definedName>
    <definedName name="DESENCOFRADO_VIGA_7" localSheetId="8">#REF!</definedName>
    <definedName name="DESENCOFRADO_VIGA_7">#REF!</definedName>
    <definedName name="DESENCOFRADO_VIGA_8" localSheetId="8">#REF!</definedName>
    <definedName name="DESENCOFRADO_VIGA_8">#REF!</definedName>
    <definedName name="DESENCOFRADO_VIGA_9" localSheetId="8">#REF!</definedName>
    <definedName name="DESENCOFRADO_VIGA_9">#REF!</definedName>
    <definedName name="desencofradovigas" localSheetId="8">#REF!</definedName>
    <definedName name="desencofradovigas">#REF!</definedName>
    <definedName name="desencofradovigas_8" localSheetId="8">#REF!</definedName>
    <definedName name="desencofradovigas_8">#REF!</definedName>
    <definedName name="dfd" localSheetId="8">#REF!</definedName>
    <definedName name="dfd">#REF!</definedName>
    <definedName name="DIA" localSheetId="8">#REF!</definedName>
    <definedName name="DIA">#REF!</definedName>
    <definedName name="DIA_10" localSheetId="8">#REF!</definedName>
    <definedName name="DIA_10">#REF!</definedName>
    <definedName name="DIA_11" localSheetId="8">#REF!</definedName>
    <definedName name="DIA_11">#REF!</definedName>
    <definedName name="DIA_6" localSheetId="8">#REF!</definedName>
    <definedName name="DIA_6">#REF!</definedName>
    <definedName name="DIA_7" localSheetId="8">#REF!</definedName>
    <definedName name="DIA_7">#REF!</definedName>
    <definedName name="DIA_8" localSheetId="8">#REF!</definedName>
    <definedName name="DIA_8">#REF!</definedName>
    <definedName name="DIA_9" localSheetId="8">#REF!</definedName>
    <definedName name="DIA_9">#REF!</definedName>
    <definedName name="DIOS" localSheetId="8">#REF!</definedName>
    <definedName name="DIOS">#REF!</definedName>
    <definedName name="DISTRIBUCION_DE_AREAS_POR_NIVEL" localSheetId="8">#REF!</definedName>
    <definedName name="DISTRIBUCION_DE_AREAS_POR_NIVEL">#REF!</definedName>
    <definedName name="DISTRIBUCION_DE_AREAS_POR_NIVEL_8" localSheetId="8">#REF!</definedName>
    <definedName name="DISTRIBUCION_DE_AREAS_POR_NIVEL_8">#REF!</definedName>
    <definedName name="donatelo" localSheetId="8">[33]INS!#REF!</definedName>
    <definedName name="donatelo">[33]INS!#REF!</definedName>
    <definedName name="donatelo_10" localSheetId="8">#REF!</definedName>
    <definedName name="donatelo_10">#REF!</definedName>
    <definedName name="donatelo_11" localSheetId="8">#REF!</definedName>
    <definedName name="donatelo_11">#REF!</definedName>
    <definedName name="donatelo_5" localSheetId="8">#REF!</definedName>
    <definedName name="donatelo_5">#REF!</definedName>
    <definedName name="donatelo_6" localSheetId="8">#REF!</definedName>
    <definedName name="donatelo_6">#REF!</definedName>
    <definedName name="donatelo_7" localSheetId="8">#REF!</definedName>
    <definedName name="donatelo_7">#REF!</definedName>
    <definedName name="donatelo_8" localSheetId="8">#REF!</definedName>
    <definedName name="donatelo_8">#REF!</definedName>
    <definedName name="donatelo_9" localSheetId="8">#REF!</definedName>
    <definedName name="donatelo_9">#REF!</definedName>
    <definedName name="DUCHA_PLASTICA_CALIENTE_CROMO_12" localSheetId="8">#REF!</definedName>
    <definedName name="DUCHA_PLASTICA_CALIENTE_CROMO_12">#REF!</definedName>
    <definedName name="DUCHA_PLASTICA_CALIENTE_CROMO_12_10" localSheetId="8">#REF!</definedName>
    <definedName name="DUCHA_PLASTICA_CALIENTE_CROMO_12_10">#REF!</definedName>
    <definedName name="DUCHA_PLASTICA_CALIENTE_CROMO_12_11" localSheetId="8">#REF!</definedName>
    <definedName name="DUCHA_PLASTICA_CALIENTE_CROMO_12_11">#REF!</definedName>
    <definedName name="DUCHA_PLASTICA_CALIENTE_CROMO_12_6" localSheetId="8">#REF!</definedName>
    <definedName name="DUCHA_PLASTICA_CALIENTE_CROMO_12_6">#REF!</definedName>
    <definedName name="DUCHA_PLASTICA_CALIENTE_CROMO_12_7" localSheetId="8">#REF!</definedName>
    <definedName name="DUCHA_PLASTICA_CALIENTE_CROMO_12_7">#REF!</definedName>
    <definedName name="DUCHA_PLASTICA_CALIENTE_CROMO_12_8" localSheetId="8">#REF!</definedName>
    <definedName name="DUCHA_PLASTICA_CALIENTE_CROMO_12_8">#REF!</definedName>
    <definedName name="DUCHA_PLASTICA_CALIENTE_CROMO_12_9" localSheetId="8">#REF!</definedName>
    <definedName name="DUCHA_PLASTICA_CALIENTE_CROMO_12_9">#REF!</definedName>
    <definedName name="e" localSheetId="8">#REF!</definedName>
    <definedName name="e">#REF!</definedName>
    <definedName name="ELECTRODOS" localSheetId="8">#REF!</definedName>
    <definedName name="ELECTRODOS">#REF!</definedName>
    <definedName name="ELECTRODOS_10" localSheetId="8">#REF!</definedName>
    <definedName name="ELECTRODOS_10">#REF!</definedName>
    <definedName name="ELECTRODOS_11" localSheetId="8">#REF!</definedName>
    <definedName name="ELECTRODOS_11">#REF!</definedName>
    <definedName name="ELECTRODOS_6" localSheetId="8">#REF!</definedName>
    <definedName name="ELECTRODOS_6">#REF!</definedName>
    <definedName name="ELECTRODOS_7" localSheetId="8">#REF!</definedName>
    <definedName name="ELECTRODOS_7">#REF!</definedName>
    <definedName name="ELECTRODOS_8" localSheetId="8">#REF!</definedName>
    <definedName name="ELECTRODOS_8">#REF!</definedName>
    <definedName name="ELECTRODOS_9" localSheetId="8">#REF!</definedName>
    <definedName name="ELECTRODOS_9">#REF!</definedName>
    <definedName name="Empalme_de_Pilotes_3">#N/A</definedName>
    <definedName name="ENCACHE" localSheetId="8">#REF!</definedName>
    <definedName name="ENCACHE">#REF!</definedName>
    <definedName name="ENCACHE_10" localSheetId="8">#REF!</definedName>
    <definedName name="ENCACHE_10">#REF!</definedName>
    <definedName name="ENCACHE_11" localSheetId="8">#REF!</definedName>
    <definedName name="ENCACHE_11">#REF!</definedName>
    <definedName name="ENCACHE_6" localSheetId="8">#REF!</definedName>
    <definedName name="ENCACHE_6">#REF!</definedName>
    <definedName name="ENCACHE_7" localSheetId="8">#REF!</definedName>
    <definedName name="ENCACHE_7">#REF!</definedName>
    <definedName name="ENCACHE_8" localSheetId="8">#REF!</definedName>
    <definedName name="ENCACHE_8">#REF!</definedName>
    <definedName name="ENCACHE_9" localSheetId="8">#REF!</definedName>
    <definedName name="ENCACHE_9">#REF!</definedName>
    <definedName name="ENCOF_COLS_1">[13]MO!$B$247</definedName>
    <definedName name="ENCOF_COLS_1_10" localSheetId="8">#REF!</definedName>
    <definedName name="ENCOF_COLS_1_10">#REF!</definedName>
    <definedName name="ENCOF_COLS_1_11" localSheetId="8">#REF!</definedName>
    <definedName name="ENCOF_COLS_1_11">#REF!</definedName>
    <definedName name="ENCOF_COLS_1_5" localSheetId="8">#REF!</definedName>
    <definedName name="ENCOF_COLS_1_5">#REF!</definedName>
    <definedName name="ENCOF_COLS_1_6" localSheetId="8">#REF!</definedName>
    <definedName name="ENCOF_COLS_1_6">#REF!</definedName>
    <definedName name="ENCOF_COLS_1_7" localSheetId="8">#REF!</definedName>
    <definedName name="ENCOF_COLS_1_7">#REF!</definedName>
    <definedName name="ENCOF_COLS_1_8" localSheetId="8">#REF!</definedName>
    <definedName name="ENCOF_COLS_1_8">#REF!</definedName>
    <definedName name="ENCOF_COLS_1_9" localSheetId="8">#REF!</definedName>
    <definedName name="ENCOF_COLS_1_9">#REF!</definedName>
    <definedName name="ENCOF_DES_TC_COL_VIGA_AMARRE" localSheetId="8">#REF!</definedName>
    <definedName name="ENCOF_DES_TC_COL_VIGA_AMARRE">#REF!</definedName>
    <definedName name="ENCOF_DES_TC_COL_VIGA_AMARRE_10" localSheetId="8">#REF!</definedName>
    <definedName name="ENCOF_DES_TC_COL_VIGA_AMARRE_10">#REF!</definedName>
    <definedName name="ENCOF_DES_TC_COL_VIGA_AMARRE_11" localSheetId="8">#REF!</definedName>
    <definedName name="ENCOF_DES_TC_COL_VIGA_AMARRE_11">#REF!</definedName>
    <definedName name="ENCOF_DES_TC_COL_VIGA_AMARRE_6" localSheetId="8">#REF!</definedName>
    <definedName name="ENCOF_DES_TC_COL_VIGA_AMARRE_6">#REF!</definedName>
    <definedName name="ENCOF_DES_TC_COL_VIGA_AMARRE_7" localSheetId="8">#REF!</definedName>
    <definedName name="ENCOF_DES_TC_COL_VIGA_AMARRE_7">#REF!</definedName>
    <definedName name="ENCOF_DES_TC_COL_VIGA_AMARRE_8" localSheetId="8">#REF!</definedName>
    <definedName name="ENCOF_DES_TC_COL_VIGA_AMARRE_8">#REF!</definedName>
    <definedName name="ENCOF_DES_TC_COL_VIGA_AMARRE_9" localSheetId="8">#REF!</definedName>
    <definedName name="ENCOF_DES_TC_COL_VIGA_AMARRE_9">#REF!</definedName>
    <definedName name="ENCOF_DES_TC_COL50" localSheetId="8">#REF!</definedName>
    <definedName name="ENCOF_DES_TC_COL50">#REF!</definedName>
    <definedName name="ENCOF_DES_TC_COL50_10" localSheetId="8">#REF!</definedName>
    <definedName name="ENCOF_DES_TC_COL50_10">#REF!</definedName>
    <definedName name="ENCOF_DES_TC_COL50_11" localSheetId="8">#REF!</definedName>
    <definedName name="ENCOF_DES_TC_COL50_11">#REF!</definedName>
    <definedName name="ENCOF_DES_TC_COL50_6" localSheetId="8">#REF!</definedName>
    <definedName name="ENCOF_DES_TC_COL50_6">#REF!</definedName>
    <definedName name="ENCOF_DES_TC_COL50_7" localSheetId="8">#REF!</definedName>
    <definedName name="ENCOF_DES_TC_COL50_7">#REF!</definedName>
    <definedName name="ENCOF_DES_TC_COL50_8" localSheetId="8">#REF!</definedName>
    <definedName name="ENCOF_DES_TC_COL50_8">#REF!</definedName>
    <definedName name="ENCOF_DES_TC_COL50_9" localSheetId="8">#REF!</definedName>
    <definedName name="ENCOF_DES_TC_COL50_9">#REF!</definedName>
    <definedName name="ENCOF_DES_TC_DINTEL_ML" localSheetId="8">#REF!</definedName>
    <definedName name="ENCOF_DES_TC_DINTEL_ML">#REF!</definedName>
    <definedName name="ENCOF_DES_TC_DINTEL_ML_10" localSheetId="8">#REF!</definedName>
    <definedName name="ENCOF_DES_TC_DINTEL_ML_10">#REF!</definedName>
    <definedName name="ENCOF_DES_TC_DINTEL_ML_11" localSheetId="8">#REF!</definedName>
    <definedName name="ENCOF_DES_TC_DINTEL_ML_11">#REF!</definedName>
    <definedName name="ENCOF_DES_TC_DINTEL_ML_6" localSheetId="8">#REF!</definedName>
    <definedName name="ENCOF_DES_TC_DINTEL_ML_6">#REF!</definedName>
    <definedName name="ENCOF_DES_TC_DINTEL_ML_7" localSheetId="8">#REF!</definedName>
    <definedName name="ENCOF_DES_TC_DINTEL_ML_7">#REF!</definedName>
    <definedName name="ENCOF_DES_TC_DINTEL_ML_8" localSheetId="8">#REF!</definedName>
    <definedName name="ENCOF_DES_TC_DINTEL_ML_8">#REF!</definedName>
    <definedName name="ENCOF_DES_TC_DINTEL_ML_9" localSheetId="8">#REF!</definedName>
    <definedName name="ENCOF_DES_TC_DINTEL_ML_9">#REF!</definedName>
    <definedName name="ENCOF_DES_TC_MUROS" localSheetId="8">#REF!</definedName>
    <definedName name="ENCOF_DES_TC_MUROS">#REF!</definedName>
    <definedName name="ENCOF_DES_TC_MUROS_10" localSheetId="8">#REF!</definedName>
    <definedName name="ENCOF_DES_TC_MUROS_10">#REF!</definedName>
    <definedName name="ENCOF_DES_TC_MUROS_11" localSheetId="8">#REF!</definedName>
    <definedName name="ENCOF_DES_TC_MUROS_11">#REF!</definedName>
    <definedName name="ENCOF_DES_TC_MUROS_6" localSheetId="8">#REF!</definedName>
    <definedName name="ENCOF_DES_TC_MUROS_6">#REF!</definedName>
    <definedName name="ENCOF_DES_TC_MUROS_7" localSheetId="8">#REF!</definedName>
    <definedName name="ENCOF_DES_TC_MUROS_7">#REF!</definedName>
    <definedName name="ENCOF_DES_TC_MUROS_8" localSheetId="8">#REF!</definedName>
    <definedName name="ENCOF_DES_TC_MUROS_8">#REF!</definedName>
    <definedName name="ENCOF_DES_TC_MUROS_9" localSheetId="8">#REF!</definedName>
    <definedName name="ENCOF_DES_TC_MUROS_9">#REF!</definedName>
    <definedName name="ENCOF_TC_LOSA" localSheetId="8">#REF!</definedName>
    <definedName name="ENCOF_TC_LOSA">#REF!</definedName>
    <definedName name="ENCOF_TC_LOSA_10" localSheetId="8">#REF!</definedName>
    <definedName name="ENCOF_TC_LOSA_10">#REF!</definedName>
    <definedName name="ENCOF_TC_LOSA_11" localSheetId="8">#REF!</definedName>
    <definedName name="ENCOF_TC_LOSA_11">#REF!</definedName>
    <definedName name="ENCOF_TC_LOSA_6" localSheetId="8">#REF!</definedName>
    <definedName name="ENCOF_TC_LOSA_6">#REF!</definedName>
    <definedName name="ENCOF_TC_LOSA_7" localSheetId="8">#REF!</definedName>
    <definedName name="ENCOF_TC_LOSA_7">#REF!</definedName>
    <definedName name="ENCOF_TC_LOSA_8" localSheetId="8">#REF!</definedName>
    <definedName name="ENCOF_TC_LOSA_8">#REF!</definedName>
    <definedName name="ENCOF_TC_LOSA_9" localSheetId="8">#REF!</definedName>
    <definedName name="ENCOF_TC_LOSA_9">#REF!</definedName>
    <definedName name="ENCOF_TC_MURO_1" localSheetId="8">#REF!</definedName>
    <definedName name="ENCOF_TC_MURO_1">#REF!</definedName>
    <definedName name="ENCOF_TC_MURO_1_10" localSheetId="8">#REF!</definedName>
    <definedName name="ENCOF_TC_MURO_1_10">#REF!</definedName>
    <definedName name="ENCOF_TC_MURO_1_11" localSheetId="8">#REF!</definedName>
    <definedName name="ENCOF_TC_MURO_1_11">#REF!</definedName>
    <definedName name="ENCOF_TC_MURO_1_6" localSheetId="8">#REF!</definedName>
    <definedName name="ENCOF_TC_MURO_1_6">#REF!</definedName>
    <definedName name="ENCOF_TC_MURO_1_7" localSheetId="8">#REF!</definedName>
    <definedName name="ENCOF_TC_MURO_1_7">#REF!</definedName>
    <definedName name="ENCOF_TC_MURO_1_8" localSheetId="8">#REF!</definedName>
    <definedName name="ENCOF_TC_MURO_1_8">#REF!</definedName>
    <definedName name="ENCOF_TC_MURO_1_9" localSheetId="8">#REF!</definedName>
    <definedName name="ENCOF_TC_MURO_1_9">#REF!</definedName>
    <definedName name="ENCOFRADO_COL_RETALLE_0.10" localSheetId="8">#REF!</definedName>
    <definedName name="ENCOFRADO_COL_RETALLE_0.10">#REF!</definedName>
    <definedName name="ENCOFRADO_COL_RETALLE_0.10_10" localSheetId="8">#REF!</definedName>
    <definedName name="ENCOFRADO_COL_RETALLE_0.10_10">#REF!</definedName>
    <definedName name="ENCOFRADO_COL_RETALLE_0.10_11" localSheetId="8">#REF!</definedName>
    <definedName name="ENCOFRADO_COL_RETALLE_0.10_11">#REF!</definedName>
    <definedName name="ENCOFRADO_COL_RETALLE_0.10_6" localSheetId="8">#REF!</definedName>
    <definedName name="ENCOFRADO_COL_RETALLE_0.10_6">#REF!</definedName>
    <definedName name="ENCOFRADO_COL_RETALLE_0.10_7" localSheetId="8">#REF!</definedName>
    <definedName name="ENCOFRADO_COL_RETALLE_0.10_7">#REF!</definedName>
    <definedName name="ENCOFRADO_COL_RETALLE_0.10_8" localSheetId="8">#REF!</definedName>
    <definedName name="ENCOFRADO_COL_RETALLE_0.10_8">#REF!</definedName>
    <definedName name="ENCOFRADO_COL_RETALLE_0.10_9" localSheetId="8">#REF!</definedName>
    <definedName name="ENCOFRADO_COL_RETALLE_0.10_9">#REF!</definedName>
    <definedName name="ENCOFRADO_ESCALERA" localSheetId="8">#REF!</definedName>
    <definedName name="ENCOFRADO_ESCALERA">#REF!</definedName>
    <definedName name="ENCOFRADO_ESCALERA_10" localSheetId="8">#REF!</definedName>
    <definedName name="ENCOFRADO_ESCALERA_10">#REF!</definedName>
    <definedName name="ENCOFRADO_ESCALERA_11" localSheetId="8">#REF!</definedName>
    <definedName name="ENCOFRADO_ESCALERA_11">#REF!</definedName>
    <definedName name="ENCOFRADO_ESCALERA_6" localSheetId="8">#REF!</definedName>
    <definedName name="ENCOFRADO_ESCALERA_6">#REF!</definedName>
    <definedName name="ENCOFRADO_ESCALERA_7" localSheetId="8">#REF!</definedName>
    <definedName name="ENCOFRADO_ESCALERA_7">#REF!</definedName>
    <definedName name="ENCOFRADO_ESCALERA_8" localSheetId="8">#REF!</definedName>
    <definedName name="ENCOFRADO_ESCALERA_8">#REF!</definedName>
    <definedName name="ENCOFRADO_ESCALERA_9" localSheetId="8">#REF!</definedName>
    <definedName name="ENCOFRADO_ESCALERA_9">#REF!</definedName>
    <definedName name="ENCOFRADO_LOSA" localSheetId="8">#REF!</definedName>
    <definedName name="ENCOFRADO_LOSA">#REF!</definedName>
    <definedName name="ENCOFRADO_LOSA_10" localSheetId="8">#REF!</definedName>
    <definedName name="ENCOFRADO_LOSA_10">#REF!</definedName>
    <definedName name="ENCOFRADO_LOSA_11" localSheetId="8">#REF!</definedName>
    <definedName name="ENCOFRADO_LOSA_11">#REF!</definedName>
    <definedName name="ENCOFRADO_LOSA_6" localSheetId="8">#REF!</definedName>
    <definedName name="ENCOFRADO_LOSA_6">#REF!</definedName>
    <definedName name="ENCOFRADO_LOSA_7" localSheetId="8">#REF!</definedName>
    <definedName name="ENCOFRADO_LOSA_7">#REF!</definedName>
    <definedName name="ENCOFRADO_LOSA_8" localSheetId="8">#REF!</definedName>
    <definedName name="ENCOFRADO_LOSA_8">#REF!</definedName>
    <definedName name="ENCOFRADO_LOSA_9" localSheetId="8">#REF!</definedName>
    <definedName name="ENCOFRADO_LOSA_9">#REF!</definedName>
    <definedName name="ENCOFRADO_MUROS" localSheetId="8">#REF!</definedName>
    <definedName name="ENCOFRADO_MUROS">#REF!</definedName>
    <definedName name="ENCOFRADO_MUROS_10" localSheetId="8">#REF!</definedName>
    <definedName name="ENCOFRADO_MUROS_10">#REF!</definedName>
    <definedName name="ENCOFRADO_MUROS_11" localSheetId="8">#REF!</definedName>
    <definedName name="ENCOFRADO_MUROS_11">#REF!</definedName>
    <definedName name="ENCOFRADO_MUROS_6" localSheetId="8">#REF!</definedName>
    <definedName name="ENCOFRADO_MUROS_6">#REF!</definedName>
    <definedName name="ENCOFRADO_MUROS_7" localSheetId="8">#REF!</definedName>
    <definedName name="ENCOFRADO_MUROS_7">#REF!</definedName>
    <definedName name="ENCOFRADO_MUROS_8" localSheetId="8">#REF!</definedName>
    <definedName name="ENCOFRADO_MUROS_8">#REF!</definedName>
    <definedName name="ENCOFRADO_MUROS_9" localSheetId="8">#REF!</definedName>
    <definedName name="ENCOFRADO_MUROS_9">#REF!</definedName>
    <definedName name="ENCOFRADO_MUROS_CONFECC" localSheetId="8">#REF!</definedName>
    <definedName name="ENCOFRADO_MUROS_CONFECC">#REF!</definedName>
    <definedName name="ENCOFRADO_MUROS_CONFECC_10" localSheetId="8">#REF!</definedName>
    <definedName name="ENCOFRADO_MUROS_CONFECC_10">#REF!</definedName>
    <definedName name="ENCOFRADO_MUROS_CONFECC_11" localSheetId="8">#REF!</definedName>
    <definedName name="ENCOFRADO_MUROS_CONFECC_11">#REF!</definedName>
    <definedName name="ENCOFRADO_MUROS_CONFECC_6" localSheetId="8">#REF!</definedName>
    <definedName name="ENCOFRADO_MUROS_CONFECC_6">#REF!</definedName>
    <definedName name="ENCOFRADO_MUROS_CONFECC_7" localSheetId="8">#REF!</definedName>
    <definedName name="ENCOFRADO_MUROS_CONFECC_7">#REF!</definedName>
    <definedName name="ENCOFRADO_MUROS_CONFECC_8" localSheetId="8">#REF!</definedName>
    <definedName name="ENCOFRADO_MUROS_CONFECC_8">#REF!</definedName>
    <definedName name="ENCOFRADO_MUROS_CONFECC_9" localSheetId="8">#REF!</definedName>
    <definedName name="ENCOFRADO_MUROS_CONFECC_9">#REF!</definedName>
    <definedName name="ENCOFRADO_MUROS_instalacion" localSheetId="8">#REF!</definedName>
    <definedName name="ENCOFRADO_MUROS_instalacion">#REF!</definedName>
    <definedName name="ENCOFRADO_MUROS_instalacion_10" localSheetId="8">#REF!</definedName>
    <definedName name="ENCOFRADO_MUROS_instalacion_10">#REF!</definedName>
    <definedName name="ENCOFRADO_MUROS_instalacion_11" localSheetId="8">#REF!</definedName>
    <definedName name="ENCOFRADO_MUROS_instalacion_11">#REF!</definedName>
    <definedName name="ENCOFRADO_MUROS_instalacion_6" localSheetId="8">#REF!</definedName>
    <definedName name="ENCOFRADO_MUROS_instalacion_6">#REF!</definedName>
    <definedName name="ENCOFRADO_MUROS_instalacion_7" localSheetId="8">#REF!</definedName>
    <definedName name="ENCOFRADO_MUROS_instalacion_7">#REF!</definedName>
    <definedName name="ENCOFRADO_MUROS_instalacion_8" localSheetId="8">#REF!</definedName>
    <definedName name="ENCOFRADO_MUROS_instalacion_8">#REF!</definedName>
    <definedName name="ENCOFRADO_MUROS_instalacion_9" localSheetId="8">#REF!</definedName>
    <definedName name="ENCOFRADO_MUROS_instalacion_9">#REF!</definedName>
    <definedName name="ENCOFRADO_VIGA" localSheetId="8">#REF!</definedName>
    <definedName name="ENCOFRADO_VIGA">#REF!</definedName>
    <definedName name="ENCOFRADO_VIGA_10" localSheetId="8">#REF!</definedName>
    <definedName name="ENCOFRADO_VIGA_10">#REF!</definedName>
    <definedName name="ENCOFRADO_VIGA_11" localSheetId="8">#REF!</definedName>
    <definedName name="ENCOFRADO_VIGA_11">#REF!</definedName>
    <definedName name="ENCOFRADO_VIGA_6" localSheetId="8">#REF!</definedName>
    <definedName name="ENCOFRADO_VIGA_6">#REF!</definedName>
    <definedName name="ENCOFRADO_VIGA_7" localSheetId="8">#REF!</definedName>
    <definedName name="ENCOFRADO_VIGA_7">#REF!</definedName>
    <definedName name="ENCOFRADO_VIGA_8" localSheetId="8">#REF!</definedName>
    <definedName name="ENCOFRADO_VIGA_8">#REF!</definedName>
    <definedName name="ENCOFRADO_VIGA_9" localSheetId="8">#REF!</definedName>
    <definedName name="ENCOFRADO_VIGA_9">#REF!</definedName>
    <definedName name="ENCOFRADO_VIGA_AMARRE_20x20" localSheetId="8">#REF!</definedName>
    <definedName name="ENCOFRADO_VIGA_AMARRE_20x20">#REF!</definedName>
    <definedName name="ENCOFRADO_VIGA_AMARRE_20x20_10" localSheetId="8">#REF!</definedName>
    <definedName name="ENCOFRADO_VIGA_AMARRE_20x20_10">#REF!</definedName>
    <definedName name="ENCOFRADO_VIGA_AMARRE_20x20_11" localSheetId="8">#REF!</definedName>
    <definedName name="ENCOFRADO_VIGA_AMARRE_20x20_11">#REF!</definedName>
    <definedName name="ENCOFRADO_VIGA_AMARRE_20x20_6" localSheetId="8">#REF!</definedName>
    <definedName name="ENCOFRADO_VIGA_AMARRE_20x20_6">#REF!</definedName>
    <definedName name="ENCOFRADO_VIGA_AMARRE_20x20_7" localSheetId="8">#REF!</definedName>
    <definedName name="ENCOFRADO_VIGA_AMARRE_20x20_7">#REF!</definedName>
    <definedName name="ENCOFRADO_VIGA_AMARRE_20x20_8" localSheetId="8">#REF!</definedName>
    <definedName name="ENCOFRADO_VIGA_AMARRE_20x20_8">#REF!</definedName>
    <definedName name="ENCOFRADO_VIGA_AMARRE_20x20_9" localSheetId="8">#REF!</definedName>
    <definedName name="ENCOFRADO_VIGA_AMARRE_20x20_9">#REF!</definedName>
    <definedName name="ENCOFRADO_VIGA_FONDO" localSheetId="8">#REF!</definedName>
    <definedName name="ENCOFRADO_VIGA_FONDO">#REF!</definedName>
    <definedName name="ENCOFRADO_VIGA_FONDO_10" localSheetId="8">#REF!</definedName>
    <definedName name="ENCOFRADO_VIGA_FONDO_10">#REF!</definedName>
    <definedName name="ENCOFRADO_VIGA_FONDO_11" localSheetId="8">#REF!</definedName>
    <definedName name="ENCOFRADO_VIGA_FONDO_11">#REF!</definedName>
    <definedName name="ENCOFRADO_VIGA_FONDO_6" localSheetId="8">#REF!</definedName>
    <definedName name="ENCOFRADO_VIGA_FONDO_6">#REF!</definedName>
    <definedName name="ENCOFRADO_VIGA_FONDO_7" localSheetId="8">#REF!</definedName>
    <definedName name="ENCOFRADO_VIGA_FONDO_7">#REF!</definedName>
    <definedName name="ENCOFRADO_VIGA_FONDO_8" localSheetId="8">#REF!</definedName>
    <definedName name="ENCOFRADO_VIGA_FONDO_8">#REF!</definedName>
    <definedName name="ENCOFRADO_VIGA_FONDO_9" localSheetId="8">#REF!</definedName>
    <definedName name="ENCOFRADO_VIGA_FONDO_9">#REF!</definedName>
    <definedName name="ENCOFRADO_VIGA_GUARDERA" localSheetId="8">#REF!</definedName>
    <definedName name="ENCOFRADO_VIGA_GUARDERA">#REF!</definedName>
    <definedName name="ENCOFRADO_VIGA_GUARDERA_10" localSheetId="8">#REF!</definedName>
    <definedName name="ENCOFRADO_VIGA_GUARDERA_10">#REF!</definedName>
    <definedName name="ENCOFRADO_VIGA_GUARDERA_11" localSheetId="8">#REF!</definedName>
    <definedName name="ENCOFRADO_VIGA_GUARDERA_11">#REF!</definedName>
    <definedName name="ENCOFRADO_VIGA_GUARDERA_6" localSheetId="8">#REF!</definedName>
    <definedName name="ENCOFRADO_VIGA_GUARDERA_6">#REF!</definedName>
    <definedName name="ENCOFRADO_VIGA_GUARDERA_7" localSheetId="8">#REF!</definedName>
    <definedName name="ENCOFRADO_VIGA_GUARDERA_7">#REF!</definedName>
    <definedName name="ENCOFRADO_VIGA_GUARDERA_8" localSheetId="8">#REF!</definedName>
    <definedName name="ENCOFRADO_VIGA_GUARDERA_8">#REF!</definedName>
    <definedName name="ENCOFRADO_VIGA_GUARDERA_9" localSheetId="8">#REF!</definedName>
    <definedName name="ENCOFRADO_VIGA_GUARDERA_9">#REF!</definedName>
    <definedName name="encofradocolumna" localSheetId="8">#REF!</definedName>
    <definedName name="encofradocolumna">#REF!</definedName>
    <definedName name="encofradocolumna_6" localSheetId="8">#REF!</definedName>
    <definedName name="encofradocolumna_6">#REF!</definedName>
    <definedName name="encofradocolumna_8" localSheetId="8">#REF!</definedName>
    <definedName name="encofradocolumna_8">#REF!</definedName>
    <definedName name="encofradorampa" localSheetId="8">#REF!</definedName>
    <definedName name="encofradorampa">#REF!</definedName>
    <definedName name="encofradorampa_8" localSheetId="8">#REF!</definedName>
    <definedName name="encofradorampa_8">#REF!</definedName>
    <definedName name="ESCALON_17x30" localSheetId="8">#REF!</definedName>
    <definedName name="ESCALON_17x30">#REF!</definedName>
    <definedName name="ESCALON_17x30_10" localSheetId="8">#REF!</definedName>
    <definedName name="ESCALON_17x30_10">#REF!</definedName>
    <definedName name="ESCALON_17x30_11" localSheetId="8">#REF!</definedName>
    <definedName name="ESCALON_17x30_11">#REF!</definedName>
    <definedName name="ESCALON_17x30_6" localSheetId="8">#REF!</definedName>
    <definedName name="ESCALON_17x30_6">#REF!</definedName>
    <definedName name="ESCALON_17x30_7" localSheetId="8">#REF!</definedName>
    <definedName name="ESCALON_17x30_7">#REF!</definedName>
    <definedName name="ESCALON_17x30_8" localSheetId="8">#REF!</definedName>
    <definedName name="ESCALON_17x30_8">#REF!</definedName>
    <definedName name="ESCALON_17x30_9" localSheetId="8">#REF!</definedName>
    <definedName name="ESCALON_17x30_9">#REF!</definedName>
    <definedName name="ESCOBILLON" localSheetId="8">#REF!</definedName>
    <definedName name="ESCOBILLON">#REF!</definedName>
    <definedName name="ESCOBILLON_10" localSheetId="8">#REF!</definedName>
    <definedName name="ESCOBILLON_10">#REF!</definedName>
    <definedName name="ESCOBILLON_11" localSheetId="8">#REF!</definedName>
    <definedName name="ESCOBILLON_11">#REF!</definedName>
    <definedName name="ESCOBILLON_13" localSheetId="8">#REF!</definedName>
    <definedName name="ESCOBILLON_13">#REF!</definedName>
    <definedName name="ESCOBILLON_6" localSheetId="8">#REF!</definedName>
    <definedName name="ESCOBILLON_6">#REF!</definedName>
    <definedName name="ESCOBILLON_7" localSheetId="8">#REF!</definedName>
    <definedName name="ESCOBILLON_7">#REF!</definedName>
    <definedName name="ESCOBILLON_8" localSheetId="8">#REF!</definedName>
    <definedName name="ESCOBILLON_8">#REF!</definedName>
    <definedName name="ESCOBILLON_9" localSheetId="8">#REF!</definedName>
    <definedName name="ESCOBILLON_9">#REF!</definedName>
    <definedName name="Eslingas_3">#N/A</definedName>
    <definedName name="ESTAMPADO" localSheetId="8">#REF!</definedName>
    <definedName name="ESTAMPADO">#REF!</definedName>
    <definedName name="ESTAMPADO_10" localSheetId="8">#REF!</definedName>
    <definedName name="ESTAMPADO_10">#REF!</definedName>
    <definedName name="ESTAMPADO_11" localSheetId="8">#REF!</definedName>
    <definedName name="ESTAMPADO_11">#REF!</definedName>
    <definedName name="ESTAMPADO_6" localSheetId="8">#REF!</definedName>
    <definedName name="ESTAMPADO_6">#REF!</definedName>
    <definedName name="ESTAMPADO_7" localSheetId="8">#REF!</definedName>
    <definedName name="ESTAMPADO_7">#REF!</definedName>
    <definedName name="ESTAMPADO_8" localSheetId="8">#REF!</definedName>
    <definedName name="ESTAMPADO_8">#REF!</definedName>
    <definedName name="ESTAMPADO_9" localSheetId="8">#REF!</definedName>
    <definedName name="ESTAMPADO_9">#REF!</definedName>
    <definedName name="ESTOPA" localSheetId="8">#REF!</definedName>
    <definedName name="ESTOPA">#REF!</definedName>
    <definedName name="ESTOPA_10" localSheetId="8">#REF!</definedName>
    <definedName name="ESTOPA_10">#REF!</definedName>
    <definedName name="ESTOPA_11" localSheetId="8">#REF!</definedName>
    <definedName name="ESTOPA_11">#REF!</definedName>
    <definedName name="ESTOPA_6" localSheetId="8">#REF!</definedName>
    <definedName name="ESTOPA_6">#REF!</definedName>
    <definedName name="ESTOPA_7" localSheetId="8">#REF!</definedName>
    <definedName name="ESTOPA_7">#REF!</definedName>
    <definedName name="ESTOPA_8" localSheetId="8">#REF!</definedName>
    <definedName name="ESTOPA_8">#REF!</definedName>
    <definedName name="ESTOPA_9" localSheetId="8">#REF!</definedName>
    <definedName name="ESTOPA_9">#REF!</definedName>
    <definedName name="EXCAVACION" localSheetId="8">#REF!</definedName>
    <definedName name="EXCAVACION">#REF!</definedName>
    <definedName name="Excel_BuiltIn_Extract" localSheetId="8">#REF!</definedName>
    <definedName name="Excel_BuiltIn_Extract">#REF!</definedName>
    <definedName name="Excel_BuiltIn_Extract_10" localSheetId="8">#REF!</definedName>
    <definedName name="Excel_BuiltIn_Extract_10">#REF!</definedName>
    <definedName name="Excel_BuiltIn_Extract_11" localSheetId="8">#REF!</definedName>
    <definedName name="Excel_BuiltIn_Extract_11">#REF!</definedName>
    <definedName name="Excel_BuiltIn_Extract_5" localSheetId="8">#REF!</definedName>
    <definedName name="Excel_BuiltIn_Extract_5">#REF!</definedName>
    <definedName name="Excel_BuiltIn_Extract_6" localSheetId="8">#REF!</definedName>
    <definedName name="Excel_BuiltIn_Extract_6">#REF!</definedName>
    <definedName name="Excel_BuiltIn_Extract_7" localSheetId="8">#REF!</definedName>
    <definedName name="Excel_BuiltIn_Extract_7">#REF!</definedName>
    <definedName name="Excel_BuiltIn_Extract_8" localSheetId="8">#REF!</definedName>
    <definedName name="Excel_BuiltIn_Extract_8">#REF!</definedName>
    <definedName name="Excel_BuiltIn_Extract_9" localSheetId="8">#REF!</definedName>
    <definedName name="Excel_BuiltIn_Extract_9">#REF!</definedName>
    <definedName name="Excel_BuiltIn_Print_Area" localSheetId="8">#REF!</definedName>
    <definedName name="Excel_BuiltIn_Print_Area">#REF!</definedName>
    <definedName name="Excel_BuiltIn_Print_Area_13" localSheetId="8">#REF!</definedName>
    <definedName name="Excel_BuiltIn_Print_Area_13">#REF!</definedName>
    <definedName name="Excel_BuiltIn_Print_Titles">NA()</definedName>
    <definedName name="Excel_BuiltIn_Print_Titles_3" localSheetId="8">#REF!</definedName>
    <definedName name="Excel_BuiltIn_Print_Titles_3">#REF!</definedName>
    <definedName name="expl" localSheetId="8">[21]ADDENDA!#REF!</definedName>
    <definedName name="expl">[21]ADDENDA!#REF!</definedName>
    <definedName name="expl_6" localSheetId="8">#REF!</definedName>
    <definedName name="expl_6">#REF!</definedName>
    <definedName name="expl_8" localSheetId="8">#REF!</definedName>
    <definedName name="expl_8">#REF!</definedName>
    <definedName name="Extracción_IM" localSheetId="8">#REF!</definedName>
    <definedName name="Extracción_IM">#REF!</definedName>
    <definedName name="Extracción_IM_10" localSheetId="8">#REF!</definedName>
    <definedName name="Extracción_IM_10">#REF!</definedName>
    <definedName name="Extracción_IM_11" localSheetId="8">#REF!</definedName>
    <definedName name="Extracción_IM_11">#REF!</definedName>
    <definedName name="Extracción_IM_5" localSheetId="8">#REF!</definedName>
    <definedName name="Extracción_IM_5">#REF!</definedName>
    <definedName name="Extracción_IM_6" localSheetId="8">#REF!</definedName>
    <definedName name="Extracción_IM_6">#REF!</definedName>
    <definedName name="Extracción_IM_7" localSheetId="8">#REF!</definedName>
    <definedName name="Extracción_IM_7">#REF!</definedName>
    <definedName name="Extracción_IM_8" localSheetId="8">#REF!</definedName>
    <definedName name="Extracción_IM_8">#REF!</definedName>
    <definedName name="Extracción_IM_9" localSheetId="8">#REF!</definedName>
    <definedName name="Extracción_IM_9">#REF!</definedName>
    <definedName name="Fac.optimi.obras.arte">'[34]ANALISIS A USAR'!$J$17</definedName>
    <definedName name="FIOR" localSheetId="8">#REF!</definedName>
    <definedName name="FIOR">#REF!</definedName>
    <definedName name="FIOR_8" localSheetId="8">#REF!</definedName>
    <definedName name="FIOR_8">#REF!</definedName>
    <definedName name="FREGADERO_DOBLE_ACERO_INOX" localSheetId="8">#REF!</definedName>
    <definedName name="FREGADERO_DOBLE_ACERO_INOX">#REF!</definedName>
    <definedName name="FREGADERO_DOBLE_ACERO_INOX_10" localSheetId="8">#REF!</definedName>
    <definedName name="FREGADERO_DOBLE_ACERO_INOX_10">#REF!</definedName>
    <definedName name="FREGADERO_DOBLE_ACERO_INOX_11" localSheetId="8">#REF!</definedName>
    <definedName name="FREGADERO_DOBLE_ACERO_INOX_11">#REF!</definedName>
    <definedName name="FREGADERO_DOBLE_ACERO_INOX_6" localSheetId="8">#REF!</definedName>
    <definedName name="FREGADERO_DOBLE_ACERO_INOX_6">#REF!</definedName>
    <definedName name="FREGADERO_DOBLE_ACERO_INOX_7" localSheetId="8">#REF!</definedName>
    <definedName name="FREGADERO_DOBLE_ACERO_INOX_7">#REF!</definedName>
    <definedName name="FREGADERO_DOBLE_ACERO_INOX_8" localSheetId="8">#REF!</definedName>
    <definedName name="FREGADERO_DOBLE_ACERO_INOX_8">#REF!</definedName>
    <definedName name="FREGADERO_DOBLE_ACERO_INOX_9" localSheetId="8">#REF!</definedName>
    <definedName name="FREGADERO_DOBLE_ACERO_INOX_9">#REF!</definedName>
    <definedName name="FREGADERO_SENCILLO_ACERO_INOX" localSheetId="8">#REF!</definedName>
    <definedName name="FREGADERO_SENCILLO_ACERO_INOX">#REF!</definedName>
    <definedName name="FREGADERO_SENCILLO_ACERO_INOX_10" localSheetId="8">#REF!</definedName>
    <definedName name="FREGADERO_SENCILLO_ACERO_INOX_10">#REF!</definedName>
    <definedName name="FREGADERO_SENCILLO_ACERO_INOX_11" localSheetId="8">#REF!</definedName>
    <definedName name="FREGADERO_SENCILLO_ACERO_INOX_11">#REF!</definedName>
    <definedName name="FREGADERO_SENCILLO_ACERO_INOX_6" localSheetId="8">#REF!</definedName>
    <definedName name="FREGADERO_SENCILLO_ACERO_INOX_6">#REF!</definedName>
    <definedName name="FREGADERO_SENCILLO_ACERO_INOX_7" localSheetId="8">#REF!</definedName>
    <definedName name="FREGADERO_SENCILLO_ACERO_INOX_7">#REF!</definedName>
    <definedName name="FREGADERO_SENCILLO_ACERO_INOX_8" localSheetId="8">#REF!</definedName>
    <definedName name="FREGADERO_SENCILLO_ACERO_INOX_8">#REF!</definedName>
    <definedName name="FREGADERO_SENCILLO_ACERO_INOX_9" localSheetId="8">#REF!</definedName>
    <definedName name="FREGADERO_SENCILLO_ACERO_INOX_9">#REF!</definedName>
    <definedName name="FSDFS" localSheetId="8">#REF!</definedName>
    <definedName name="FSDFS">#REF!</definedName>
    <definedName name="FSDFS_6" localSheetId="8">#REF!</definedName>
    <definedName name="FSDFS_6">#REF!</definedName>
    <definedName name="FUNCION">[35]FUNCION!$C$16</definedName>
    <definedName name="GAS_CIL" localSheetId="8">#REF!</definedName>
    <definedName name="GAS_CIL">#REF!</definedName>
    <definedName name="GAS_CIL_10" localSheetId="8">#REF!</definedName>
    <definedName name="GAS_CIL_10">#REF!</definedName>
    <definedName name="GAS_CIL_11" localSheetId="8">#REF!</definedName>
    <definedName name="GAS_CIL_11">#REF!</definedName>
    <definedName name="GAS_CIL_6" localSheetId="8">#REF!</definedName>
    <definedName name="GAS_CIL_6">#REF!</definedName>
    <definedName name="GAS_CIL_7" localSheetId="8">#REF!</definedName>
    <definedName name="GAS_CIL_7">#REF!</definedName>
    <definedName name="GAS_CIL_8" localSheetId="8">#REF!</definedName>
    <definedName name="GAS_CIL_8">#REF!</definedName>
    <definedName name="GAS_CIL_9" localSheetId="8">#REF!</definedName>
    <definedName name="GAS_CIL_9">#REF!</definedName>
    <definedName name="GASOIL" localSheetId="8">#REF!</definedName>
    <definedName name="GASOIL">#REF!</definedName>
    <definedName name="GASOIL_10" localSheetId="8">#REF!</definedName>
    <definedName name="GASOIL_10">#REF!</definedName>
    <definedName name="GASOIL_11" localSheetId="8">#REF!</definedName>
    <definedName name="GASOIL_11">#REF!</definedName>
    <definedName name="GASOIL_6" localSheetId="8">#REF!</definedName>
    <definedName name="GASOIL_6">#REF!</definedName>
    <definedName name="GASOIL_7" localSheetId="8">#REF!</definedName>
    <definedName name="GASOIL_7">#REF!</definedName>
    <definedName name="GASOIL_8" localSheetId="8">#REF!</definedName>
    <definedName name="GASOIL_8">#REF!</definedName>
    <definedName name="GASOIL_9" localSheetId="8">#REF!</definedName>
    <definedName name="GASOIL_9">#REF!</definedName>
    <definedName name="GASOLINA">[20]INS!$D$561</definedName>
    <definedName name="GASOLINA_6" localSheetId="8">#REF!</definedName>
    <definedName name="GASOLINA_6">#REF!</definedName>
    <definedName name="GASTOSGENERALES_3">"$#REF!.$#REF!$#REF!"</definedName>
    <definedName name="GASTOSGENERALESA_3">"$#REF!.$#REF!$#REF!"</definedName>
    <definedName name="GAVIONES" localSheetId="8">#REF!</definedName>
    <definedName name="GAVIONES">#REF!</definedName>
    <definedName name="GAVIONES_10" localSheetId="8">#REF!</definedName>
    <definedName name="GAVIONES_10">#REF!</definedName>
    <definedName name="GAVIONES_11" localSheetId="8">#REF!</definedName>
    <definedName name="GAVIONES_11">#REF!</definedName>
    <definedName name="GAVIONES_6" localSheetId="8">#REF!</definedName>
    <definedName name="GAVIONES_6">#REF!</definedName>
    <definedName name="GAVIONES_7" localSheetId="8">#REF!</definedName>
    <definedName name="GAVIONES_7">#REF!</definedName>
    <definedName name="GAVIONES_8" localSheetId="8">#REF!</definedName>
    <definedName name="GAVIONES_8">#REF!</definedName>
    <definedName name="GAVIONES_9" localSheetId="8">#REF!</definedName>
    <definedName name="GAVIONES_9">#REF!</definedName>
    <definedName name="GENERADOR_DIESEL_400KW" localSheetId="8">#REF!</definedName>
    <definedName name="GENERADOR_DIESEL_400KW">#REF!</definedName>
    <definedName name="GENERADOR_DIESEL_400KW_10" localSheetId="8">#REF!</definedName>
    <definedName name="GENERADOR_DIESEL_400KW_10">#REF!</definedName>
    <definedName name="GENERADOR_DIESEL_400KW_11" localSheetId="8">#REF!</definedName>
    <definedName name="GENERADOR_DIESEL_400KW_11">#REF!</definedName>
    <definedName name="GENERADOR_DIESEL_400KW_6" localSheetId="8">#REF!</definedName>
    <definedName name="GENERADOR_DIESEL_400KW_6">#REF!</definedName>
    <definedName name="GENERADOR_DIESEL_400KW_7" localSheetId="8">#REF!</definedName>
    <definedName name="GENERADOR_DIESEL_400KW_7">#REF!</definedName>
    <definedName name="GENERADOR_DIESEL_400KW_8" localSheetId="8">#REF!</definedName>
    <definedName name="GENERADOR_DIESEL_400KW_8">#REF!</definedName>
    <definedName name="GENERADOR_DIESEL_400KW_9" localSheetId="8">#REF!</definedName>
    <definedName name="GENERADOR_DIESEL_400KW_9">#REF!</definedName>
    <definedName name="GGG" localSheetId="8">#REF!</definedName>
    <definedName name="GGG">#REF!</definedName>
    <definedName name="glpintura">'[28]Analisis Unit. '!$F$49</definedName>
    <definedName name="GRADER12G">[29]EQUIPOS!$I$11</definedName>
    <definedName name="GRANITO_30x30" localSheetId="8">#REF!</definedName>
    <definedName name="GRANITO_30x30">#REF!</definedName>
    <definedName name="GRANITO_30x30_10" localSheetId="8">#REF!</definedName>
    <definedName name="GRANITO_30x30_10">#REF!</definedName>
    <definedName name="GRANITO_30x30_11" localSheetId="8">#REF!</definedName>
    <definedName name="GRANITO_30x30_11">#REF!</definedName>
    <definedName name="GRANITO_30x30_6" localSheetId="8">#REF!</definedName>
    <definedName name="GRANITO_30x30_6">#REF!</definedName>
    <definedName name="GRANITO_30x30_7" localSheetId="8">#REF!</definedName>
    <definedName name="GRANITO_30x30_7">#REF!</definedName>
    <definedName name="GRANITO_30x30_8" localSheetId="8">#REF!</definedName>
    <definedName name="GRANITO_30x30_8">#REF!</definedName>
    <definedName name="GRANITO_30x30_9" localSheetId="8">#REF!</definedName>
    <definedName name="GRANITO_30x30_9">#REF!</definedName>
    <definedName name="GRANITO_40x40" localSheetId="8">#REF!</definedName>
    <definedName name="GRANITO_40x40">#REF!</definedName>
    <definedName name="GRANITO_40x40_10" localSheetId="8">#REF!</definedName>
    <definedName name="GRANITO_40x40_10">#REF!</definedName>
    <definedName name="GRANITO_40x40_11" localSheetId="8">#REF!</definedName>
    <definedName name="GRANITO_40x40_11">#REF!</definedName>
    <definedName name="GRANITO_40x40_6" localSheetId="8">#REF!</definedName>
    <definedName name="GRANITO_40x40_6">#REF!</definedName>
    <definedName name="GRANITO_40x40_7" localSheetId="8">#REF!</definedName>
    <definedName name="GRANITO_40x40_7">#REF!</definedName>
    <definedName name="GRANITO_40x40_8" localSheetId="8">#REF!</definedName>
    <definedName name="GRANITO_40x40_8">#REF!</definedName>
    <definedName name="GRANITO_40x40_9" localSheetId="8">#REF!</definedName>
    <definedName name="GRANITO_40x40_9">#REF!</definedName>
    <definedName name="GRANITO_FONDO_BCO_30x30" localSheetId="8">#REF!</definedName>
    <definedName name="GRANITO_FONDO_BCO_30x30">#REF!</definedName>
    <definedName name="GRANITO_FONDO_BCO_30x30_10" localSheetId="8">#REF!</definedName>
    <definedName name="GRANITO_FONDO_BCO_30x30_10">#REF!</definedName>
    <definedName name="GRANITO_FONDO_BCO_30x30_11" localSheetId="8">#REF!</definedName>
    <definedName name="GRANITO_FONDO_BCO_30x30_11">#REF!</definedName>
    <definedName name="GRANITO_FONDO_BCO_30x30_6" localSheetId="8">#REF!</definedName>
    <definedName name="GRANITO_FONDO_BCO_30x30_6">#REF!</definedName>
    <definedName name="GRANITO_FONDO_BCO_30x30_7" localSheetId="8">#REF!</definedName>
    <definedName name="GRANITO_FONDO_BCO_30x30_7">#REF!</definedName>
    <definedName name="GRANITO_FONDO_BCO_30x30_8" localSheetId="8">#REF!</definedName>
    <definedName name="GRANITO_FONDO_BCO_30x30_8">#REF!</definedName>
    <definedName name="GRANITO_FONDO_BCO_30x30_9" localSheetId="8">#REF!</definedName>
    <definedName name="GRANITO_FONDO_BCO_30x30_9">#REF!</definedName>
    <definedName name="GRANITO_FONDO_GRIS" localSheetId="8">#REF!</definedName>
    <definedName name="GRANITO_FONDO_GRIS">#REF!</definedName>
    <definedName name="GRANITO_FONDO_GRIS_10" localSheetId="8">#REF!</definedName>
    <definedName name="GRANITO_FONDO_GRIS_10">#REF!</definedName>
    <definedName name="GRANITO_FONDO_GRIS_11" localSheetId="8">#REF!</definedName>
    <definedName name="GRANITO_FONDO_GRIS_11">#REF!</definedName>
    <definedName name="GRANITO_FONDO_GRIS_6" localSheetId="8">#REF!</definedName>
    <definedName name="GRANITO_FONDO_GRIS_6">#REF!</definedName>
    <definedName name="GRANITO_FONDO_GRIS_7" localSheetId="8">#REF!</definedName>
    <definedName name="GRANITO_FONDO_GRIS_7">#REF!</definedName>
    <definedName name="GRANITO_FONDO_GRIS_8" localSheetId="8">#REF!</definedName>
    <definedName name="GRANITO_FONDO_GRIS_8">#REF!</definedName>
    <definedName name="GRANITO_FONDO_GRIS_9" localSheetId="8">#REF!</definedName>
    <definedName name="GRANITO_FONDO_GRIS_9">#REF!</definedName>
    <definedName name="Grava" localSheetId="8">#REF!</definedName>
    <definedName name="Grava">#REF!</definedName>
    <definedName name="Grava_10" localSheetId="8">#REF!</definedName>
    <definedName name="Grava_10">#REF!</definedName>
    <definedName name="Grava_11" localSheetId="8">#REF!</definedName>
    <definedName name="Grava_11">#REF!</definedName>
    <definedName name="Grava_6" localSheetId="8">#REF!</definedName>
    <definedName name="Grava_6">#REF!</definedName>
    <definedName name="Grava_7" localSheetId="8">#REF!</definedName>
    <definedName name="Grava_7">#REF!</definedName>
    <definedName name="Grava_8" localSheetId="8">#REF!</definedName>
    <definedName name="Grava_8">#REF!</definedName>
    <definedName name="Grava_9" localSheetId="8">#REF!</definedName>
    <definedName name="Grava_9">#REF!</definedName>
    <definedName name="GRUA" localSheetId="8">#REF!</definedName>
    <definedName name="GRUA">#REF!</definedName>
    <definedName name="GRUA_10" localSheetId="8">#REF!</definedName>
    <definedName name="GRUA_10">#REF!</definedName>
    <definedName name="GRUA_11" localSheetId="8">#REF!</definedName>
    <definedName name="GRUA_11">#REF!</definedName>
    <definedName name="GRUA_20" localSheetId="8">#REF!</definedName>
    <definedName name="GRUA_20">#REF!</definedName>
    <definedName name="GRUA_6" localSheetId="8">#REF!</definedName>
    <definedName name="GRUA_6">#REF!</definedName>
    <definedName name="GRUA_7" localSheetId="8">#REF!</definedName>
    <definedName name="GRUA_7">#REF!</definedName>
    <definedName name="GRUA_8" localSheetId="8">#REF!</definedName>
    <definedName name="GRUA_8">#REF!</definedName>
    <definedName name="GRUA_9" localSheetId="8">#REF!</definedName>
    <definedName name="GRUA_9">#REF!</definedName>
    <definedName name="Grúa_Manitowoc_2900_3">#N/A</definedName>
    <definedName name="GT" localSheetId="8">#REF!</definedName>
    <definedName name="GT">#REF!</definedName>
    <definedName name="H" localSheetId="8">[10]M.O.!#REF!</definedName>
    <definedName name="H">[10]M.O.!#REF!</definedName>
    <definedName name="HACHA" localSheetId="8">#REF!</definedName>
    <definedName name="HACHA">#REF!</definedName>
    <definedName name="HACHA_10" localSheetId="8">#REF!</definedName>
    <definedName name="HACHA_10">#REF!</definedName>
    <definedName name="HACHA_11" localSheetId="8">#REF!</definedName>
    <definedName name="HACHA_11">#REF!</definedName>
    <definedName name="HACHA_6" localSheetId="8">#REF!</definedName>
    <definedName name="HACHA_6">#REF!</definedName>
    <definedName name="HACHA_7" localSheetId="8">#REF!</definedName>
    <definedName name="HACHA_7">#REF!</definedName>
    <definedName name="HACHA_8" localSheetId="8">#REF!</definedName>
    <definedName name="HACHA_8">#REF!</definedName>
    <definedName name="HACHA_9" localSheetId="8">#REF!</definedName>
    <definedName name="HACHA_9">#REF!</definedName>
    <definedName name="HERR_MENO" localSheetId="8">#REF!</definedName>
    <definedName name="HERR_MENO">#REF!</definedName>
    <definedName name="HERR_MENO_10" localSheetId="8">#REF!</definedName>
    <definedName name="HERR_MENO_10">#REF!</definedName>
    <definedName name="HERR_MENO_11" localSheetId="8">#REF!</definedName>
    <definedName name="HERR_MENO_11">#REF!</definedName>
    <definedName name="HERR_MENO_6" localSheetId="8">#REF!</definedName>
    <definedName name="HERR_MENO_6">#REF!</definedName>
    <definedName name="HERR_MENO_7" localSheetId="8">#REF!</definedName>
    <definedName name="HERR_MENO_7">#REF!</definedName>
    <definedName name="HERR_MENO_8" localSheetId="8">#REF!</definedName>
    <definedName name="HERR_MENO_8">#REF!</definedName>
    <definedName name="HERR_MENO_9" localSheetId="8">#REF!</definedName>
    <definedName name="HERR_MENO_9">#REF!</definedName>
    <definedName name="HILO" localSheetId="8">#REF!</definedName>
    <definedName name="HILO">#REF!</definedName>
    <definedName name="HILO_10" localSheetId="8">#REF!</definedName>
    <definedName name="HILO_10">#REF!</definedName>
    <definedName name="HILO_11" localSheetId="8">#REF!</definedName>
    <definedName name="HILO_11">#REF!</definedName>
    <definedName name="HILO_6" localSheetId="8">#REF!</definedName>
    <definedName name="HILO_6">#REF!</definedName>
    <definedName name="HILO_7" localSheetId="8">#REF!</definedName>
    <definedName name="HILO_7">#REF!</definedName>
    <definedName name="HILO_8" localSheetId="8">#REF!</definedName>
    <definedName name="HILO_8">#REF!</definedName>
    <definedName name="HILO_9" localSheetId="8">#REF!</definedName>
    <definedName name="HILO_9">#REF!</definedName>
    <definedName name="HINCA_3">"$#REF!.$#REF!$#REF!"</definedName>
    <definedName name="Hinca_de_Pilotes_3">#N/A</definedName>
    <definedName name="HINCADEPILOTES_3">#N/A</definedName>
    <definedName name="HINDUSTRIAL210">[2]insumo!$D$36</definedName>
    <definedName name="HORACIO_3">"$#REF!.$L$66:$W$66"</definedName>
    <definedName name="horm.1.3">'[28]Analisis Unit. '!$F$74</definedName>
    <definedName name="horm.1.3.5">'[28]Analisis Unit. '!$F$64</definedName>
    <definedName name="Horm_124_TrompoyWinche" localSheetId="8">#REF!</definedName>
    <definedName name="Horm_124_TrompoyWinche">#REF!</definedName>
    <definedName name="Horm_124_TrompoyWinche_10" localSheetId="8">#REF!</definedName>
    <definedName name="Horm_124_TrompoyWinche_10">#REF!</definedName>
    <definedName name="Horm_124_TrompoyWinche_11" localSheetId="8">#REF!</definedName>
    <definedName name="Horm_124_TrompoyWinche_11">#REF!</definedName>
    <definedName name="Horm_124_TrompoyWinche_6" localSheetId="8">#REF!</definedName>
    <definedName name="Horm_124_TrompoyWinche_6">#REF!</definedName>
    <definedName name="Horm_124_TrompoyWinche_7" localSheetId="8">#REF!</definedName>
    <definedName name="Horm_124_TrompoyWinche_7">#REF!</definedName>
    <definedName name="Horm_124_TrompoyWinche_8" localSheetId="8">#REF!</definedName>
    <definedName name="Horm_124_TrompoyWinche_8">#REF!</definedName>
    <definedName name="Horm_124_TrompoyWinche_9" localSheetId="8">#REF!</definedName>
    <definedName name="Horm_124_TrompoyWinche_9">#REF!</definedName>
    <definedName name="HORM_IND_180" localSheetId="8">#REF!</definedName>
    <definedName name="HORM_IND_180">#REF!</definedName>
    <definedName name="HORM_IND_180_10" localSheetId="8">#REF!</definedName>
    <definedName name="HORM_IND_180_10">#REF!</definedName>
    <definedName name="HORM_IND_180_11" localSheetId="8">#REF!</definedName>
    <definedName name="HORM_IND_180_11">#REF!</definedName>
    <definedName name="HORM_IND_180_6" localSheetId="8">#REF!</definedName>
    <definedName name="HORM_IND_180_6">#REF!</definedName>
    <definedName name="HORM_IND_180_7" localSheetId="8">#REF!</definedName>
    <definedName name="HORM_IND_180_7">#REF!</definedName>
    <definedName name="HORM_IND_180_8" localSheetId="8">#REF!</definedName>
    <definedName name="HORM_IND_180_8">#REF!</definedName>
    <definedName name="HORM_IND_180_9" localSheetId="8">#REF!</definedName>
    <definedName name="HORM_IND_180_9">#REF!</definedName>
    <definedName name="HORM_IND_210" localSheetId="8">#REF!</definedName>
    <definedName name="HORM_IND_210">#REF!</definedName>
    <definedName name="HORM_IND_210_10" localSheetId="8">#REF!</definedName>
    <definedName name="HORM_IND_210_10">#REF!</definedName>
    <definedName name="HORM_IND_210_11" localSheetId="8">#REF!</definedName>
    <definedName name="HORM_IND_210_11">#REF!</definedName>
    <definedName name="HORM_IND_210_6" localSheetId="8">#REF!</definedName>
    <definedName name="HORM_IND_210_6">#REF!</definedName>
    <definedName name="HORM_IND_210_7" localSheetId="8">#REF!</definedName>
    <definedName name="HORM_IND_210_7">#REF!</definedName>
    <definedName name="HORM_IND_210_8" localSheetId="8">#REF!</definedName>
    <definedName name="HORM_IND_210_8">#REF!</definedName>
    <definedName name="HORM_IND_210_9" localSheetId="8">#REF!</definedName>
    <definedName name="HORM_IND_210_9">#REF!</definedName>
    <definedName name="HORM_IND_240" localSheetId="8">#REF!</definedName>
    <definedName name="HORM_IND_240">#REF!</definedName>
    <definedName name="HORM_IND_240_10" localSheetId="8">#REF!</definedName>
    <definedName name="HORM_IND_240_10">#REF!</definedName>
    <definedName name="HORM_IND_240_11" localSheetId="8">#REF!</definedName>
    <definedName name="HORM_IND_240_11">#REF!</definedName>
    <definedName name="HORM_IND_240_6" localSheetId="8">#REF!</definedName>
    <definedName name="HORM_IND_240_6">#REF!</definedName>
    <definedName name="HORM_IND_240_7" localSheetId="8">#REF!</definedName>
    <definedName name="HORM_IND_240_7">#REF!</definedName>
    <definedName name="HORM_IND_240_8" localSheetId="8">#REF!</definedName>
    <definedName name="HORM_IND_240_8">#REF!</definedName>
    <definedName name="HORM_IND_240_9" localSheetId="8">#REF!</definedName>
    <definedName name="HORM_IND_240_9">#REF!</definedName>
    <definedName name="HORM135_MANUAL">'[31]HORM. Y MORTEROS.'!$H$212</definedName>
    <definedName name="Hormigón_Industrial_210_Kg_cm2">[36]Insumos!$B$71:$D$71</definedName>
    <definedName name="Hormigón_Industrial_210_Kg_cm2_1">[36]Insumos!$B$71:$D$71</definedName>
    <definedName name="Hormigón_Industrial_210_Kg_cm2_2">[36]Insumos!$B$71:$D$71</definedName>
    <definedName name="Hormigón_Industrial_210_Kg_cm2_3">[36]Insumos!$B$71:$D$71</definedName>
    <definedName name="hormigon140" localSheetId="8">#REF!</definedName>
    <definedName name="hormigon140">#REF!</definedName>
    <definedName name="hormigon140_6" localSheetId="8">#REF!</definedName>
    <definedName name="hormigon140_6">#REF!</definedName>
    <definedName name="hormigon140_8" localSheetId="8">#REF!</definedName>
    <definedName name="hormigon140_8">#REF!</definedName>
    <definedName name="hormigon180" localSheetId="8">#REF!</definedName>
    <definedName name="hormigon180">#REF!</definedName>
    <definedName name="hormigon180_8" localSheetId="8">#REF!</definedName>
    <definedName name="hormigon180_8">#REF!</definedName>
    <definedName name="hormigon210" localSheetId="8">#REF!</definedName>
    <definedName name="hormigon210">#REF!</definedName>
    <definedName name="hormigon210_8" localSheetId="8">#REF!</definedName>
    <definedName name="hormigon210_8">#REF!</definedName>
    <definedName name="HORMIGONARMADOGUARDARRUEDASYDEFENSASLATERALES_3">#N/A</definedName>
    <definedName name="HORMIGONARMADOLOSADEAPROCHE_3">#N/A</definedName>
    <definedName name="HORMIGONARMADOLOSADETABLERO_3">#N/A</definedName>
    <definedName name="HORMIGONARMADOVIGUETAS_3">#N/A</definedName>
    <definedName name="ilma" localSheetId="8">[17]M.O.!#REF!</definedName>
    <definedName name="ilma">[17]M.O.!#REF!</definedName>
    <definedName name="impresion_2" localSheetId="8">[37]Directos!#REF!</definedName>
    <definedName name="impresion_2">[37]Directos!#REF!</definedName>
    <definedName name="Imprimir_área_IM" localSheetId="8">#REF!</definedName>
    <definedName name="Imprimir_área_IM">#REF!</definedName>
    <definedName name="Imprimir_área_IM_6" localSheetId="8">#REF!</definedName>
    <definedName name="Imprimir_área_IM_6">#REF!</definedName>
    <definedName name="ingeniera">[19]M.O.!$C$10</definedName>
    <definedName name="ingeniera_10" localSheetId="8">#REF!</definedName>
    <definedName name="ingeniera_10">#REF!</definedName>
    <definedName name="ingeniera_11" localSheetId="8">#REF!</definedName>
    <definedName name="ingeniera_11">#REF!</definedName>
    <definedName name="ingeniera_5" localSheetId="8">#REF!</definedName>
    <definedName name="ingeniera_5">#REF!</definedName>
    <definedName name="ingeniera_6" localSheetId="8">#REF!</definedName>
    <definedName name="ingeniera_6">#REF!</definedName>
    <definedName name="ingeniera_7" localSheetId="8">#REF!</definedName>
    <definedName name="ingeniera_7">#REF!</definedName>
    <definedName name="ingeniera_8" localSheetId="8">#REF!</definedName>
    <definedName name="ingeniera_8">#REF!</definedName>
    <definedName name="ingeniera_9" localSheetId="8">#REF!</definedName>
    <definedName name="ingeniera_9">#REF!</definedName>
    <definedName name="INODORO_BCO_TAPA" localSheetId="8">#REF!</definedName>
    <definedName name="INODORO_BCO_TAPA">#REF!</definedName>
    <definedName name="INODORO_BCO_TAPA_10" localSheetId="8">#REF!</definedName>
    <definedName name="INODORO_BCO_TAPA_10">#REF!</definedName>
    <definedName name="INODORO_BCO_TAPA_11" localSheetId="8">#REF!</definedName>
    <definedName name="INODORO_BCO_TAPA_11">#REF!</definedName>
    <definedName name="INODORO_BCO_TAPA_6" localSheetId="8">#REF!</definedName>
    <definedName name="INODORO_BCO_TAPA_6">#REF!</definedName>
    <definedName name="INODORO_BCO_TAPA_7" localSheetId="8">#REF!</definedName>
    <definedName name="INODORO_BCO_TAPA_7">#REF!</definedName>
    <definedName name="INODORO_BCO_TAPA_8" localSheetId="8">#REF!</definedName>
    <definedName name="INODORO_BCO_TAPA_8">#REF!</definedName>
    <definedName name="INODORO_BCO_TAPA_9" localSheetId="8">#REF!</definedName>
    <definedName name="INODORO_BCO_TAPA_9">#REF!</definedName>
    <definedName name="INSUMO_1">'[38]AC. LOS LIMONES ACERO '!$D$2</definedName>
    <definedName name="INSUMO_1_10" localSheetId="8">#REF!</definedName>
    <definedName name="INSUMO_1_10">#REF!</definedName>
    <definedName name="INSUMO_1_11" localSheetId="8">#REF!</definedName>
    <definedName name="INSUMO_1_11">#REF!</definedName>
    <definedName name="INSUMO_1_6" localSheetId="8">#REF!</definedName>
    <definedName name="INSUMO_1_6">#REF!</definedName>
    <definedName name="INSUMO_1_7" localSheetId="8">#REF!</definedName>
    <definedName name="INSUMO_1_7">#REF!</definedName>
    <definedName name="INSUMO_1_8" localSheetId="8">#REF!</definedName>
    <definedName name="INSUMO_1_8">#REF!</definedName>
    <definedName name="INSUMO_1_9" localSheetId="8">#REF!</definedName>
    <definedName name="INSUMO_1_9">#REF!</definedName>
    <definedName name="INTERRUPTOR_3w" localSheetId="8">#REF!</definedName>
    <definedName name="INTERRUPTOR_3w">#REF!</definedName>
    <definedName name="INTERRUPTOR_3w_10" localSheetId="8">#REF!</definedName>
    <definedName name="INTERRUPTOR_3w_10">#REF!</definedName>
    <definedName name="INTERRUPTOR_3w_11" localSheetId="8">#REF!</definedName>
    <definedName name="INTERRUPTOR_3w_11">#REF!</definedName>
    <definedName name="INTERRUPTOR_3w_6" localSheetId="8">#REF!</definedName>
    <definedName name="INTERRUPTOR_3w_6">#REF!</definedName>
    <definedName name="INTERRUPTOR_3w_7" localSheetId="8">#REF!</definedName>
    <definedName name="INTERRUPTOR_3w_7">#REF!</definedName>
    <definedName name="INTERRUPTOR_3w_8" localSheetId="8">#REF!</definedName>
    <definedName name="INTERRUPTOR_3w_8">#REF!</definedName>
    <definedName name="INTERRUPTOR_3w_9" localSheetId="8">#REF!</definedName>
    <definedName name="INTERRUPTOR_3w_9">#REF!</definedName>
    <definedName name="INTERRUPTOR_4w" localSheetId="8">#REF!</definedName>
    <definedName name="INTERRUPTOR_4w">#REF!</definedName>
    <definedName name="INTERRUPTOR_4w_10" localSheetId="8">#REF!</definedName>
    <definedName name="INTERRUPTOR_4w_10">#REF!</definedName>
    <definedName name="INTERRUPTOR_4w_11" localSheetId="8">#REF!</definedName>
    <definedName name="INTERRUPTOR_4w_11">#REF!</definedName>
    <definedName name="INTERRUPTOR_4w_6" localSheetId="8">#REF!</definedName>
    <definedName name="INTERRUPTOR_4w_6">#REF!</definedName>
    <definedName name="INTERRUPTOR_4w_7" localSheetId="8">#REF!</definedName>
    <definedName name="INTERRUPTOR_4w_7">#REF!</definedName>
    <definedName name="INTERRUPTOR_4w_8" localSheetId="8">#REF!</definedName>
    <definedName name="INTERRUPTOR_4w_8">#REF!</definedName>
    <definedName name="INTERRUPTOR_4w_9" localSheetId="8">#REF!</definedName>
    <definedName name="INTERRUPTOR_4w_9">#REF!</definedName>
    <definedName name="INTERRUPTOR_DOBLE" localSheetId="8">#REF!</definedName>
    <definedName name="INTERRUPTOR_DOBLE">#REF!</definedName>
    <definedName name="INTERRUPTOR_DOBLE_10" localSheetId="8">#REF!</definedName>
    <definedName name="INTERRUPTOR_DOBLE_10">#REF!</definedName>
    <definedName name="INTERRUPTOR_DOBLE_11" localSheetId="8">#REF!</definedName>
    <definedName name="INTERRUPTOR_DOBLE_11">#REF!</definedName>
    <definedName name="INTERRUPTOR_DOBLE_6" localSheetId="8">#REF!</definedName>
    <definedName name="INTERRUPTOR_DOBLE_6">#REF!</definedName>
    <definedName name="INTERRUPTOR_DOBLE_7" localSheetId="8">#REF!</definedName>
    <definedName name="INTERRUPTOR_DOBLE_7">#REF!</definedName>
    <definedName name="INTERRUPTOR_DOBLE_8" localSheetId="8">#REF!</definedName>
    <definedName name="INTERRUPTOR_DOBLE_8">#REF!</definedName>
    <definedName name="INTERRUPTOR_DOBLE_9" localSheetId="8">#REF!</definedName>
    <definedName name="INTERRUPTOR_DOBLE_9">#REF!</definedName>
    <definedName name="INTERRUPTOR_SENC" localSheetId="8">#REF!</definedName>
    <definedName name="INTERRUPTOR_SENC">#REF!</definedName>
    <definedName name="INTERRUPTOR_SENC_10" localSheetId="8">#REF!</definedName>
    <definedName name="INTERRUPTOR_SENC_10">#REF!</definedName>
    <definedName name="INTERRUPTOR_SENC_11" localSheetId="8">#REF!</definedName>
    <definedName name="INTERRUPTOR_SENC_11">#REF!</definedName>
    <definedName name="INTERRUPTOR_SENC_6" localSheetId="8">#REF!</definedName>
    <definedName name="INTERRUPTOR_SENC_6">#REF!</definedName>
    <definedName name="INTERRUPTOR_SENC_7" localSheetId="8">#REF!</definedName>
    <definedName name="INTERRUPTOR_SENC_7">#REF!</definedName>
    <definedName name="INTERRUPTOR_SENC_8" localSheetId="8">#REF!</definedName>
    <definedName name="INTERRUPTOR_SENC_8">#REF!</definedName>
    <definedName name="INTERRUPTOR_SENC_9" localSheetId="8">#REF!</definedName>
    <definedName name="INTERRUPTOR_SENC_9">#REF!</definedName>
    <definedName name="Izado_de_Tabletas_3">#N/A</definedName>
    <definedName name="IZAJE_3">"$#REF!.$#REF!$#REF!"</definedName>
    <definedName name="Izaje_de_Vigas_Postensadas_3">#N/A</definedName>
    <definedName name="J" localSheetId="8">'[15]CUB-10181-3(Rescision)'!#REF!</definedName>
    <definedName name="J">'[15]CUB-10181-3(Rescision)'!#REF!</definedName>
    <definedName name="JOEL" localSheetId="8">#REF!</definedName>
    <definedName name="JOEL">#REF!</definedName>
    <definedName name="JUNTA_CERA_INODORO" localSheetId="8">#REF!</definedName>
    <definedName name="JUNTA_CERA_INODORO">#REF!</definedName>
    <definedName name="JUNTA_CERA_INODORO_10" localSheetId="8">#REF!</definedName>
    <definedName name="JUNTA_CERA_INODORO_10">#REF!</definedName>
    <definedName name="JUNTA_CERA_INODORO_11" localSheetId="8">#REF!</definedName>
    <definedName name="JUNTA_CERA_INODORO_11">#REF!</definedName>
    <definedName name="JUNTA_CERA_INODORO_6" localSheetId="8">#REF!</definedName>
    <definedName name="JUNTA_CERA_INODORO_6">#REF!</definedName>
    <definedName name="JUNTA_CERA_INODORO_7" localSheetId="8">#REF!</definedName>
    <definedName name="JUNTA_CERA_INODORO_7">#REF!</definedName>
    <definedName name="JUNTA_CERA_INODORO_8" localSheetId="8">#REF!</definedName>
    <definedName name="JUNTA_CERA_INODORO_8">#REF!</definedName>
    <definedName name="JUNTA_CERA_INODORO_9" localSheetId="8">#REF!</definedName>
    <definedName name="JUNTA_CERA_INODORO_9">#REF!</definedName>
    <definedName name="JUNTA_DRESSER_12" localSheetId="8">#REF!</definedName>
    <definedName name="JUNTA_DRESSER_12">#REF!</definedName>
    <definedName name="JUNTA_DRESSER_12_10" localSheetId="8">#REF!</definedName>
    <definedName name="JUNTA_DRESSER_12_10">#REF!</definedName>
    <definedName name="JUNTA_DRESSER_12_11" localSheetId="8">#REF!</definedName>
    <definedName name="JUNTA_DRESSER_12_11">#REF!</definedName>
    <definedName name="JUNTA_DRESSER_12_6" localSheetId="8">#REF!</definedName>
    <definedName name="JUNTA_DRESSER_12_6">#REF!</definedName>
    <definedName name="JUNTA_DRESSER_12_7" localSheetId="8">#REF!</definedName>
    <definedName name="JUNTA_DRESSER_12_7">#REF!</definedName>
    <definedName name="JUNTA_DRESSER_12_8" localSheetId="8">#REF!</definedName>
    <definedName name="JUNTA_DRESSER_12_8">#REF!</definedName>
    <definedName name="JUNTA_DRESSER_12_9" localSheetId="8">#REF!</definedName>
    <definedName name="JUNTA_DRESSER_12_9">#REF!</definedName>
    <definedName name="JUNTA_DRESSER_16" localSheetId="8">#REF!</definedName>
    <definedName name="JUNTA_DRESSER_16">#REF!</definedName>
    <definedName name="JUNTA_DRESSER_16_10" localSheetId="8">#REF!</definedName>
    <definedName name="JUNTA_DRESSER_16_10">#REF!</definedName>
    <definedName name="JUNTA_DRESSER_16_11" localSheetId="8">#REF!</definedName>
    <definedName name="JUNTA_DRESSER_16_11">#REF!</definedName>
    <definedName name="JUNTA_DRESSER_16_6" localSheetId="8">#REF!</definedName>
    <definedName name="JUNTA_DRESSER_16_6">#REF!</definedName>
    <definedName name="JUNTA_DRESSER_16_7" localSheetId="8">#REF!</definedName>
    <definedName name="JUNTA_DRESSER_16_7">#REF!</definedName>
    <definedName name="JUNTA_DRESSER_16_8" localSheetId="8">#REF!</definedName>
    <definedName name="JUNTA_DRESSER_16_8">#REF!</definedName>
    <definedName name="JUNTA_DRESSER_16_9" localSheetId="8">#REF!</definedName>
    <definedName name="JUNTA_DRESSER_16_9">#REF!</definedName>
    <definedName name="JUNTA_DRESSER_2" localSheetId="8">#REF!</definedName>
    <definedName name="JUNTA_DRESSER_2">#REF!</definedName>
    <definedName name="JUNTA_DRESSER_2_10" localSheetId="8">#REF!</definedName>
    <definedName name="JUNTA_DRESSER_2_10">#REF!</definedName>
    <definedName name="JUNTA_DRESSER_2_11" localSheetId="8">#REF!</definedName>
    <definedName name="JUNTA_DRESSER_2_11">#REF!</definedName>
    <definedName name="JUNTA_DRESSER_2_6" localSheetId="8">#REF!</definedName>
    <definedName name="JUNTA_DRESSER_2_6">#REF!</definedName>
    <definedName name="JUNTA_DRESSER_2_7" localSheetId="8">#REF!</definedName>
    <definedName name="JUNTA_DRESSER_2_7">#REF!</definedName>
    <definedName name="JUNTA_DRESSER_2_8" localSheetId="8">#REF!</definedName>
    <definedName name="JUNTA_DRESSER_2_8">#REF!</definedName>
    <definedName name="JUNTA_DRESSER_2_9" localSheetId="8">#REF!</definedName>
    <definedName name="JUNTA_DRESSER_2_9">#REF!</definedName>
    <definedName name="JUNTA_DRESSER_3" localSheetId="8">#REF!</definedName>
    <definedName name="JUNTA_DRESSER_3">#REF!</definedName>
    <definedName name="JUNTA_DRESSER_3_10" localSheetId="8">#REF!</definedName>
    <definedName name="JUNTA_DRESSER_3_10">#REF!</definedName>
    <definedName name="JUNTA_DRESSER_3_11" localSheetId="8">#REF!</definedName>
    <definedName name="JUNTA_DRESSER_3_11">#REF!</definedName>
    <definedName name="JUNTA_DRESSER_3_6" localSheetId="8">#REF!</definedName>
    <definedName name="JUNTA_DRESSER_3_6">#REF!</definedName>
    <definedName name="JUNTA_DRESSER_3_7" localSheetId="8">#REF!</definedName>
    <definedName name="JUNTA_DRESSER_3_7">#REF!</definedName>
    <definedName name="JUNTA_DRESSER_3_8" localSheetId="8">#REF!</definedName>
    <definedName name="JUNTA_DRESSER_3_8">#REF!</definedName>
    <definedName name="JUNTA_DRESSER_3_9" localSheetId="8">#REF!</definedName>
    <definedName name="JUNTA_DRESSER_3_9">#REF!</definedName>
    <definedName name="JUNTA_DRESSER_4" localSheetId="8">#REF!</definedName>
    <definedName name="JUNTA_DRESSER_4">#REF!</definedName>
    <definedName name="JUNTA_DRESSER_4_10" localSheetId="8">#REF!</definedName>
    <definedName name="JUNTA_DRESSER_4_10">#REF!</definedName>
    <definedName name="JUNTA_DRESSER_4_11" localSheetId="8">#REF!</definedName>
    <definedName name="JUNTA_DRESSER_4_11">#REF!</definedName>
    <definedName name="JUNTA_DRESSER_4_6" localSheetId="8">#REF!</definedName>
    <definedName name="JUNTA_DRESSER_4_6">#REF!</definedName>
    <definedName name="JUNTA_DRESSER_4_7" localSheetId="8">#REF!</definedName>
    <definedName name="JUNTA_DRESSER_4_7">#REF!</definedName>
    <definedName name="JUNTA_DRESSER_4_8" localSheetId="8">#REF!</definedName>
    <definedName name="JUNTA_DRESSER_4_8">#REF!</definedName>
    <definedName name="JUNTA_DRESSER_4_9" localSheetId="8">#REF!</definedName>
    <definedName name="JUNTA_DRESSER_4_9">#REF!</definedName>
    <definedName name="JUNTA_DRESSER_6" localSheetId="8">#REF!</definedName>
    <definedName name="JUNTA_DRESSER_6">#REF!</definedName>
    <definedName name="JUNTA_DRESSER_6_10" localSheetId="8">#REF!</definedName>
    <definedName name="JUNTA_DRESSER_6_10">#REF!</definedName>
    <definedName name="JUNTA_DRESSER_6_11" localSheetId="8">#REF!</definedName>
    <definedName name="JUNTA_DRESSER_6_11">#REF!</definedName>
    <definedName name="JUNTA_DRESSER_6_6" localSheetId="8">#REF!</definedName>
    <definedName name="JUNTA_DRESSER_6_6">#REF!</definedName>
    <definedName name="JUNTA_DRESSER_6_7" localSheetId="8">#REF!</definedName>
    <definedName name="JUNTA_DRESSER_6_7">#REF!</definedName>
    <definedName name="JUNTA_DRESSER_6_8" localSheetId="8">#REF!</definedName>
    <definedName name="JUNTA_DRESSER_6_8">#REF!</definedName>
    <definedName name="JUNTA_DRESSER_6_9" localSheetId="8">#REF!</definedName>
    <definedName name="JUNTA_DRESSER_6_9">#REF!</definedName>
    <definedName name="JUNTA_DRESSER_8" localSheetId="8">#REF!</definedName>
    <definedName name="JUNTA_DRESSER_8">#REF!</definedName>
    <definedName name="JUNTA_DRESSER_8_10" localSheetId="8">#REF!</definedName>
    <definedName name="JUNTA_DRESSER_8_10">#REF!</definedName>
    <definedName name="JUNTA_DRESSER_8_11" localSheetId="8">#REF!</definedName>
    <definedName name="JUNTA_DRESSER_8_11">#REF!</definedName>
    <definedName name="JUNTA_DRESSER_8_6" localSheetId="8">#REF!</definedName>
    <definedName name="JUNTA_DRESSER_8_6">#REF!</definedName>
    <definedName name="JUNTA_DRESSER_8_7" localSheetId="8">#REF!</definedName>
    <definedName name="JUNTA_DRESSER_8_7">#REF!</definedName>
    <definedName name="JUNTA_DRESSER_8_8" localSheetId="8">#REF!</definedName>
    <definedName name="JUNTA_DRESSER_8_8">#REF!</definedName>
    <definedName name="JUNTA_DRESSER_8_9" localSheetId="8">#REF!</definedName>
    <definedName name="JUNTA_DRESSER_8_9">#REF!</definedName>
    <definedName name="JUNTA_WATER_STOP_9" localSheetId="8">#REF!</definedName>
    <definedName name="JUNTA_WATER_STOP_9">#REF!</definedName>
    <definedName name="JUNTA_WATER_STOP_9_10" localSheetId="8">#REF!</definedName>
    <definedName name="JUNTA_WATER_STOP_9_10">#REF!</definedName>
    <definedName name="JUNTA_WATER_STOP_9_11" localSheetId="8">#REF!</definedName>
    <definedName name="JUNTA_WATER_STOP_9_11">#REF!</definedName>
    <definedName name="JUNTA_WATER_STOP_9_6" localSheetId="8">#REF!</definedName>
    <definedName name="JUNTA_WATER_STOP_9_6">#REF!</definedName>
    <definedName name="JUNTA_WATER_STOP_9_7" localSheetId="8">#REF!</definedName>
    <definedName name="JUNTA_WATER_STOP_9_7">#REF!</definedName>
    <definedName name="JUNTA_WATER_STOP_9_8" localSheetId="8">#REF!</definedName>
    <definedName name="JUNTA_WATER_STOP_9_8">#REF!</definedName>
    <definedName name="JUNTA_WATER_STOP_9_9" localSheetId="8">#REF!</definedName>
    <definedName name="JUNTA_WATER_STOP_9_9">#REF!</definedName>
    <definedName name="k" localSheetId="8">[17]M.O.!#REF!</definedName>
    <definedName name="k">[17]M.O.!#REF!</definedName>
    <definedName name="L_1" localSheetId="8">#REF!</definedName>
    <definedName name="L_1">#REF!</definedName>
    <definedName name="L_2" localSheetId="8">#REF!</definedName>
    <definedName name="L_2">#REF!</definedName>
    <definedName name="L_5" localSheetId="8">#REF!</definedName>
    <definedName name="L_5">#REF!</definedName>
    <definedName name="LADRILLOS_4x8x2" localSheetId="8">#REF!</definedName>
    <definedName name="LADRILLOS_4x8x2">#REF!</definedName>
    <definedName name="LADRILLOS_4x8x2_10" localSheetId="8">#REF!</definedName>
    <definedName name="LADRILLOS_4x8x2_10">#REF!</definedName>
    <definedName name="LADRILLOS_4x8x2_11" localSheetId="8">#REF!</definedName>
    <definedName name="LADRILLOS_4x8x2_11">#REF!</definedName>
    <definedName name="LADRILLOS_4x8x2_6" localSheetId="8">#REF!</definedName>
    <definedName name="LADRILLOS_4x8x2_6">#REF!</definedName>
    <definedName name="LADRILLOS_4x8x2_7" localSheetId="8">#REF!</definedName>
    <definedName name="LADRILLOS_4x8x2_7">#REF!</definedName>
    <definedName name="LADRILLOS_4x8x2_8" localSheetId="8">#REF!</definedName>
    <definedName name="LADRILLOS_4x8x2_8">#REF!</definedName>
    <definedName name="LADRILLOS_4x8x2_9" localSheetId="8">#REF!</definedName>
    <definedName name="LADRILLOS_4x8x2_9">#REF!</definedName>
    <definedName name="LAMPARA_FLUORESC_2x4" localSheetId="8">#REF!</definedName>
    <definedName name="LAMPARA_FLUORESC_2x4">#REF!</definedName>
    <definedName name="LAMPARA_FLUORESC_2x4_10" localSheetId="8">#REF!</definedName>
    <definedName name="LAMPARA_FLUORESC_2x4_10">#REF!</definedName>
    <definedName name="LAMPARA_FLUORESC_2x4_11" localSheetId="8">#REF!</definedName>
    <definedName name="LAMPARA_FLUORESC_2x4_11">#REF!</definedName>
    <definedName name="LAMPARA_FLUORESC_2x4_6" localSheetId="8">#REF!</definedName>
    <definedName name="LAMPARA_FLUORESC_2x4_6">#REF!</definedName>
    <definedName name="LAMPARA_FLUORESC_2x4_7" localSheetId="8">#REF!</definedName>
    <definedName name="LAMPARA_FLUORESC_2x4_7">#REF!</definedName>
    <definedName name="LAMPARA_FLUORESC_2x4_8" localSheetId="8">#REF!</definedName>
    <definedName name="LAMPARA_FLUORESC_2x4_8">#REF!</definedName>
    <definedName name="LAMPARA_FLUORESC_2x4_9" localSheetId="8">#REF!</definedName>
    <definedName name="LAMPARA_FLUORESC_2x4_9">#REF!</definedName>
    <definedName name="LAMPARAS_DE_1500W_220V">[22]INSU!$B$41</definedName>
    <definedName name="LAQUEAR_MADERA" localSheetId="8">#REF!</definedName>
    <definedName name="LAQUEAR_MADERA">#REF!</definedName>
    <definedName name="LAQUEAR_MADERA_10" localSheetId="8">#REF!</definedName>
    <definedName name="LAQUEAR_MADERA_10">#REF!</definedName>
    <definedName name="LAQUEAR_MADERA_11" localSheetId="8">#REF!</definedName>
    <definedName name="LAQUEAR_MADERA_11">#REF!</definedName>
    <definedName name="LAQUEAR_MADERA_6" localSheetId="8">#REF!</definedName>
    <definedName name="LAQUEAR_MADERA_6">#REF!</definedName>
    <definedName name="LAQUEAR_MADERA_7" localSheetId="8">#REF!</definedName>
    <definedName name="LAQUEAR_MADERA_7">#REF!</definedName>
    <definedName name="LAQUEAR_MADERA_8" localSheetId="8">#REF!</definedName>
    <definedName name="LAQUEAR_MADERA_8">#REF!</definedName>
    <definedName name="LAQUEAR_MADERA_9" localSheetId="8">#REF!</definedName>
    <definedName name="LAQUEAR_MADERA_9">#REF!</definedName>
    <definedName name="LAVADERO_DOBLE" localSheetId="8">#REF!</definedName>
    <definedName name="LAVADERO_DOBLE">#REF!</definedName>
    <definedName name="LAVADERO_DOBLE_10" localSheetId="8">#REF!</definedName>
    <definedName name="LAVADERO_DOBLE_10">#REF!</definedName>
    <definedName name="LAVADERO_DOBLE_11" localSheetId="8">#REF!</definedName>
    <definedName name="LAVADERO_DOBLE_11">#REF!</definedName>
    <definedName name="LAVADERO_DOBLE_6" localSheetId="8">#REF!</definedName>
    <definedName name="LAVADERO_DOBLE_6">#REF!</definedName>
    <definedName name="LAVADERO_DOBLE_7" localSheetId="8">#REF!</definedName>
    <definedName name="LAVADERO_DOBLE_7">#REF!</definedName>
    <definedName name="LAVADERO_DOBLE_8" localSheetId="8">#REF!</definedName>
    <definedName name="LAVADERO_DOBLE_8">#REF!</definedName>
    <definedName name="LAVADERO_DOBLE_9" localSheetId="8">#REF!</definedName>
    <definedName name="LAVADERO_DOBLE_9">#REF!</definedName>
    <definedName name="LAVADERO_GRANITO_SENCILLO" localSheetId="8">#REF!</definedName>
    <definedName name="LAVADERO_GRANITO_SENCILLO">#REF!</definedName>
    <definedName name="LAVADERO_GRANITO_SENCILLO_10" localSheetId="8">#REF!</definedName>
    <definedName name="LAVADERO_GRANITO_SENCILLO_10">#REF!</definedName>
    <definedName name="LAVADERO_GRANITO_SENCILLO_11" localSheetId="8">#REF!</definedName>
    <definedName name="LAVADERO_GRANITO_SENCILLO_11">#REF!</definedName>
    <definedName name="LAVADERO_GRANITO_SENCILLO_6" localSheetId="8">#REF!</definedName>
    <definedName name="LAVADERO_GRANITO_SENCILLO_6">#REF!</definedName>
    <definedName name="LAVADERO_GRANITO_SENCILLO_7" localSheetId="8">#REF!</definedName>
    <definedName name="LAVADERO_GRANITO_SENCILLO_7">#REF!</definedName>
    <definedName name="LAVADERO_GRANITO_SENCILLO_8" localSheetId="8">#REF!</definedName>
    <definedName name="LAVADERO_GRANITO_SENCILLO_8">#REF!</definedName>
    <definedName name="LAVADERO_GRANITO_SENCILLO_9" localSheetId="8">#REF!</definedName>
    <definedName name="LAVADERO_GRANITO_SENCILLO_9">#REF!</definedName>
    <definedName name="LAVAMANO_19x17_BCO" localSheetId="8">#REF!</definedName>
    <definedName name="LAVAMANO_19x17_BCO">#REF!</definedName>
    <definedName name="LAVAMANO_19x17_BCO_10" localSheetId="8">#REF!</definedName>
    <definedName name="LAVAMANO_19x17_BCO_10">#REF!</definedName>
    <definedName name="LAVAMANO_19x17_BCO_11" localSheetId="8">#REF!</definedName>
    <definedName name="LAVAMANO_19x17_BCO_11">#REF!</definedName>
    <definedName name="LAVAMANO_19x17_BCO_6" localSheetId="8">#REF!</definedName>
    <definedName name="LAVAMANO_19x17_BCO_6">#REF!</definedName>
    <definedName name="LAVAMANO_19x17_BCO_7" localSheetId="8">#REF!</definedName>
    <definedName name="LAVAMANO_19x17_BCO_7">#REF!</definedName>
    <definedName name="LAVAMANO_19x17_BCO_8" localSheetId="8">#REF!</definedName>
    <definedName name="LAVAMANO_19x17_BCO_8">#REF!</definedName>
    <definedName name="LAVAMANO_19x17_BCO_9" localSheetId="8">#REF!</definedName>
    <definedName name="LAVAMANO_19x17_BCO_9">#REF!</definedName>
    <definedName name="Ligado_y_vaciado_3">#N/A</definedName>
    <definedName name="Ligado_y_Vaciado_a_Mano">[12]Insumos!$B$136:$D$136</definedName>
    <definedName name="Ligadora_de_1_funda_3">#N/A</definedName>
    <definedName name="Ligadora_de_2_funda_3">#N/A</definedName>
    <definedName name="Ligadora2fdas" localSheetId="8">#REF!</definedName>
    <definedName name="Ligadora2fdas">#REF!</definedName>
    <definedName name="Ligadora2fdas_10" localSheetId="8">#REF!</definedName>
    <definedName name="Ligadora2fdas_10">#REF!</definedName>
    <definedName name="Ligadora2fdas_11" localSheetId="8">#REF!</definedName>
    <definedName name="Ligadora2fdas_11">#REF!</definedName>
    <definedName name="Ligadora2fdas_6" localSheetId="8">#REF!</definedName>
    <definedName name="Ligadora2fdas_6">#REF!</definedName>
    <definedName name="Ligadora2fdas_7" localSheetId="8">#REF!</definedName>
    <definedName name="Ligadora2fdas_7">#REF!</definedName>
    <definedName name="Ligadora2fdas_8" localSheetId="8">#REF!</definedName>
    <definedName name="Ligadora2fdas_8">#REF!</definedName>
    <definedName name="Ligadora2fdas_9" localSheetId="8">#REF!</definedName>
    <definedName name="Ligadora2fdas_9">#REF!</definedName>
    <definedName name="LINEA_DE_CONDUC">#N/A</definedName>
    <definedName name="LINEA_DE_CONDUC_6">NA()</definedName>
    <definedName name="LLAVE_ANG_38" localSheetId="8">#REF!</definedName>
    <definedName name="LLAVE_ANG_38">#REF!</definedName>
    <definedName name="LLAVE_ANG_38_10" localSheetId="8">#REF!</definedName>
    <definedName name="LLAVE_ANG_38_10">#REF!</definedName>
    <definedName name="LLAVE_ANG_38_11" localSheetId="8">#REF!</definedName>
    <definedName name="LLAVE_ANG_38_11">#REF!</definedName>
    <definedName name="LLAVE_ANG_38_6" localSheetId="8">#REF!</definedName>
    <definedName name="LLAVE_ANG_38_6">#REF!</definedName>
    <definedName name="LLAVE_ANG_38_7" localSheetId="8">#REF!</definedName>
    <definedName name="LLAVE_ANG_38_7">#REF!</definedName>
    <definedName name="LLAVE_ANG_38_8" localSheetId="8">#REF!</definedName>
    <definedName name="LLAVE_ANG_38_8">#REF!</definedName>
    <definedName name="LLAVE_ANG_38_9" localSheetId="8">#REF!</definedName>
    <definedName name="LLAVE_ANG_38_9">#REF!</definedName>
    <definedName name="LLAVE_CHORRO" localSheetId="8">#REF!</definedName>
    <definedName name="LLAVE_CHORRO">#REF!</definedName>
    <definedName name="LLAVE_CHORRO_10" localSheetId="8">#REF!</definedName>
    <definedName name="LLAVE_CHORRO_10">#REF!</definedName>
    <definedName name="LLAVE_CHORRO_11" localSheetId="8">#REF!</definedName>
    <definedName name="LLAVE_CHORRO_11">#REF!</definedName>
    <definedName name="LLAVE_CHORRO_6" localSheetId="8">#REF!</definedName>
    <definedName name="LLAVE_CHORRO_6">#REF!</definedName>
    <definedName name="LLAVE_CHORRO_7" localSheetId="8">#REF!</definedName>
    <definedName name="LLAVE_CHORRO_7">#REF!</definedName>
    <definedName name="LLAVE_CHORRO_8" localSheetId="8">#REF!</definedName>
    <definedName name="LLAVE_CHORRO_8">#REF!</definedName>
    <definedName name="LLAVE_CHORRO_9" localSheetId="8">#REF!</definedName>
    <definedName name="LLAVE_CHORRO_9">#REF!</definedName>
    <definedName name="LLAVE_EMPOTRAR_CROMO_12" localSheetId="8">#REF!</definedName>
    <definedName name="LLAVE_EMPOTRAR_CROMO_12">#REF!</definedName>
    <definedName name="LLAVE_EMPOTRAR_CROMO_12_10" localSheetId="8">#REF!</definedName>
    <definedName name="LLAVE_EMPOTRAR_CROMO_12_10">#REF!</definedName>
    <definedName name="LLAVE_EMPOTRAR_CROMO_12_11" localSheetId="8">#REF!</definedName>
    <definedName name="LLAVE_EMPOTRAR_CROMO_12_11">#REF!</definedName>
    <definedName name="LLAVE_EMPOTRAR_CROMO_12_6" localSheetId="8">#REF!</definedName>
    <definedName name="LLAVE_EMPOTRAR_CROMO_12_6">#REF!</definedName>
    <definedName name="LLAVE_EMPOTRAR_CROMO_12_7" localSheetId="8">#REF!</definedName>
    <definedName name="LLAVE_EMPOTRAR_CROMO_12_7">#REF!</definedName>
    <definedName name="LLAVE_EMPOTRAR_CROMO_12_8" localSheetId="8">#REF!</definedName>
    <definedName name="LLAVE_EMPOTRAR_CROMO_12_8">#REF!</definedName>
    <definedName name="LLAVE_EMPOTRAR_CROMO_12_9" localSheetId="8">#REF!</definedName>
    <definedName name="LLAVE_EMPOTRAR_CROMO_12_9">#REF!</definedName>
    <definedName name="LLAVE_PASO_1" localSheetId="8">#REF!</definedName>
    <definedName name="LLAVE_PASO_1">#REF!</definedName>
    <definedName name="LLAVE_PASO_1_10" localSheetId="8">#REF!</definedName>
    <definedName name="LLAVE_PASO_1_10">#REF!</definedName>
    <definedName name="LLAVE_PASO_1_11" localSheetId="8">#REF!</definedName>
    <definedName name="LLAVE_PASO_1_11">#REF!</definedName>
    <definedName name="LLAVE_PASO_1_6" localSheetId="8">#REF!</definedName>
    <definedName name="LLAVE_PASO_1_6">#REF!</definedName>
    <definedName name="LLAVE_PASO_1_7" localSheetId="8">#REF!</definedName>
    <definedName name="LLAVE_PASO_1_7">#REF!</definedName>
    <definedName name="LLAVE_PASO_1_8" localSheetId="8">#REF!</definedName>
    <definedName name="LLAVE_PASO_1_8">#REF!</definedName>
    <definedName name="LLAVE_PASO_1_9" localSheetId="8">#REF!</definedName>
    <definedName name="LLAVE_PASO_1_9">#REF!</definedName>
    <definedName name="LLAVE_PASO_34" localSheetId="8">#REF!</definedName>
    <definedName name="LLAVE_PASO_34">#REF!</definedName>
    <definedName name="LLAVE_PASO_34_10" localSheetId="8">#REF!</definedName>
    <definedName name="LLAVE_PASO_34_10">#REF!</definedName>
    <definedName name="LLAVE_PASO_34_11" localSheetId="8">#REF!</definedName>
    <definedName name="LLAVE_PASO_34_11">#REF!</definedName>
    <definedName name="LLAVE_PASO_34_6" localSheetId="8">#REF!</definedName>
    <definedName name="LLAVE_PASO_34_6">#REF!</definedName>
    <definedName name="LLAVE_PASO_34_7" localSheetId="8">#REF!</definedName>
    <definedName name="LLAVE_PASO_34_7">#REF!</definedName>
    <definedName name="LLAVE_PASO_34_8" localSheetId="8">#REF!</definedName>
    <definedName name="LLAVE_PASO_34_8">#REF!</definedName>
    <definedName name="LLAVE_PASO_34_9" localSheetId="8">#REF!</definedName>
    <definedName name="LLAVE_PASO_34_9">#REF!</definedName>
    <definedName name="LLAVE_SENCILLA" localSheetId="8">#REF!</definedName>
    <definedName name="LLAVE_SENCILLA">#REF!</definedName>
    <definedName name="LLAVE_SENCILLA_10" localSheetId="8">#REF!</definedName>
    <definedName name="LLAVE_SENCILLA_10">#REF!</definedName>
    <definedName name="LLAVE_SENCILLA_11" localSheetId="8">#REF!</definedName>
    <definedName name="LLAVE_SENCILLA_11">#REF!</definedName>
    <definedName name="LLAVE_SENCILLA_6" localSheetId="8">#REF!</definedName>
    <definedName name="LLAVE_SENCILLA_6">#REF!</definedName>
    <definedName name="LLAVE_SENCILLA_7" localSheetId="8">#REF!</definedName>
    <definedName name="LLAVE_SENCILLA_7">#REF!</definedName>
    <definedName name="LLAVE_SENCILLA_8" localSheetId="8">#REF!</definedName>
    <definedName name="LLAVE_SENCILLA_8">#REF!</definedName>
    <definedName name="LLAVE_SENCILLA_9" localSheetId="8">#REF!</definedName>
    <definedName name="LLAVE_SENCILLA_9">#REF!</definedName>
    <definedName name="llaveacondicionamientohinca_3">#N/A</definedName>
    <definedName name="llaveizajevigaspostensadas_3">#N/A</definedName>
    <definedName name="llaveligadoyvaciado_3">#N/A</definedName>
    <definedName name="llavemadera_3">#N/A</definedName>
    <definedName name="llavemanejocemento_3">#N/A</definedName>
    <definedName name="llavemanejopilotes_3">#N/A</definedName>
    <definedName name="llavemoacero_3">#N/A</definedName>
    <definedName name="llavemomadera_3">#N/A</definedName>
    <definedName name="llavetratamientomoldes_3">#N/A</definedName>
    <definedName name="LLAVIN_PUERTA" localSheetId="8">#REF!</definedName>
    <definedName name="LLAVIN_PUERTA">#REF!</definedName>
    <definedName name="LLAVIN_PUERTA_10" localSheetId="8">#REF!</definedName>
    <definedName name="LLAVIN_PUERTA_10">#REF!</definedName>
    <definedName name="LLAVIN_PUERTA_11" localSheetId="8">#REF!</definedName>
    <definedName name="LLAVIN_PUERTA_11">#REF!</definedName>
    <definedName name="LLAVIN_PUERTA_6" localSheetId="8">#REF!</definedName>
    <definedName name="LLAVIN_PUERTA_6">#REF!</definedName>
    <definedName name="LLAVIN_PUERTA_7" localSheetId="8">#REF!</definedName>
    <definedName name="LLAVIN_PUERTA_7">#REF!</definedName>
    <definedName name="LLAVIN_PUERTA_8" localSheetId="8">#REF!</definedName>
    <definedName name="LLAVIN_PUERTA_8">#REF!</definedName>
    <definedName name="LLAVIN_PUERTA_9" localSheetId="8">#REF!</definedName>
    <definedName name="LLAVIN_PUERTA_9">#REF!</definedName>
    <definedName name="LLENADO_BLOQUES_20" localSheetId="8">#REF!</definedName>
    <definedName name="LLENADO_BLOQUES_20">#REF!</definedName>
    <definedName name="LLENADO_BLOQUES_20_10" localSheetId="8">#REF!</definedName>
    <definedName name="LLENADO_BLOQUES_20_10">#REF!</definedName>
    <definedName name="LLENADO_BLOQUES_20_11" localSheetId="8">#REF!</definedName>
    <definedName name="LLENADO_BLOQUES_20_11">#REF!</definedName>
    <definedName name="LLENADO_BLOQUES_20_6" localSheetId="8">#REF!</definedName>
    <definedName name="LLENADO_BLOQUES_20_6">#REF!</definedName>
    <definedName name="LLENADO_BLOQUES_20_7" localSheetId="8">#REF!</definedName>
    <definedName name="LLENADO_BLOQUES_20_7">#REF!</definedName>
    <definedName name="LLENADO_BLOQUES_20_8" localSheetId="8">#REF!</definedName>
    <definedName name="LLENADO_BLOQUES_20_8">#REF!</definedName>
    <definedName name="LLENADO_BLOQUES_20_9" localSheetId="8">#REF!</definedName>
    <definedName name="LLENADO_BLOQUES_20_9">#REF!</definedName>
    <definedName name="LLENADO_BLOQUES_40" localSheetId="8">#REF!</definedName>
    <definedName name="LLENADO_BLOQUES_40">#REF!</definedName>
    <definedName name="LLENADO_BLOQUES_40_10" localSheetId="8">#REF!</definedName>
    <definedName name="LLENADO_BLOQUES_40_10">#REF!</definedName>
    <definedName name="LLENADO_BLOQUES_40_11" localSheetId="8">#REF!</definedName>
    <definedName name="LLENADO_BLOQUES_40_11">#REF!</definedName>
    <definedName name="LLENADO_BLOQUES_40_6" localSheetId="8">#REF!</definedName>
    <definedName name="LLENADO_BLOQUES_40_6">#REF!</definedName>
    <definedName name="LLENADO_BLOQUES_40_7" localSheetId="8">#REF!</definedName>
    <definedName name="LLENADO_BLOQUES_40_7">#REF!</definedName>
    <definedName name="LLENADO_BLOQUES_40_8" localSheetId="8">#REF!</definedName>
    <definedName name="LLENADO_BLOQUES_40_8">#REF!</definedName>
    <definedName name="LLENADO_BLOQUES_40_9" localSheetId="8">#REF!</definedName>
    <definedName name="LLENADO_BLOQUES_40_9">#REF!</definedName>
    <definedName name="LLENADO_BLOQUES_60" localSheetId="8">#REF!</definedName>
    <definedName name="LLENADO_BLOQUES_60">#REF!</definedName>
    <definedName name="LLENADO_BLOQUES_60_10" localSheetId="8">#REF!</definedName>
    <definedName name="LLENADO_BLOQUES_60_10">#REF!</definedName>
    <definedName name="LLENADO_BLOQUES_60_11" localSheetId="8">#REF!</definedName>
    <definedName name="LLENADO_BLOQUES_60_11">#REF!</definedName>
    <definedName name="LLENADO_BLOQUES_60_6" localSheetId="8">#REF!</definedName>
    <definedName name="LLENADO_BLOQUES_60_6">#REF!</definedName>
    <definedName name="LLENADO_BLOQUES_60_7" localSheetId="8">#REF!</definedName>
    <definedName name="LLENADO_BLOQUES_60_7">#REF!</definedName>
    <definedName name="LLENADO_BLOQUES_60_8" localSheetId="8">#REF!</definedName>
    <definedName name="LLENADO_BLOQUES_60_8">#REF!</definedName>
    <definedName name="LLENADO_BLOQUES_60_9" localSheetId="8">#REF!</definedName>
    <definedName name="LLENADO_BLOQUES_60_9">#REF!</definedName>
    <definedName name="LLENADO_BLOQUES_80" localSheetId="8">#REF!</definedName>
    <definedName name="LLENADO_BLOQUES_80">#REF!</definedName>
    <definedName name="LLENADO_BLOQUES_80_10" localSheetId="8">#REF!</definedName>
    <definedName name="LLENADO_BLOQUES_80_10">#REF!</definedName>
    <definedName name="LLENADO_BLOQUES_80_11" localSheetId="8">#REF!</definedName>
    <definedName name="LLENADO_BLOQUES_80_11">#REF!</definedName>
    <definedName name="LLENADO_BLOQUES_80_6" localSheetId="8">#REF!</definedName>
    <definedName name="LLENADO_BLOQUES_80_6">#REF!</definedName>
    <definedName name="LLENADO_BLOQUES_80_7" localSheetId="8">#REF!</definedName>
    <definedName name="LLENADO_BLOQUES_80_7">#REF!</definedName>
    <definedName name="LLENADO_BLOQUES_80_8" localSheetId="8">#REF!</definedName>
    <definedName name="LLENADO_BLOQUES_80_8">#REF!</definedName>
    <definedName name="LLENADO_BLOQUES_80_9" localSheetId="8">#REF!</definedName>
    <definedName name="LLENADO_BLOQUES_80_9">#REF!</definedName>
    <definedName name="LOSA12" localSheetId="8">#REF!</definedName>
    <definedName name="LOSA12">#REF!</definedName>
    <definedName name="LOSA12_6" localSheetId="8">#REF!</definedName>
    <definedName name="LOSA12_6">#REF!</definedName>
    <definedName name="LOSA20" localSheetId="8">#REF!</definedName>
    <definedName name="LOSA20">#REF!</definedName>
    <definedName name="LOSA20_6" localSheetId="8">#REF!</definedName>
    <definedName name="LOSA20_6">#REF!</definedName>
    <definedName name="LOSA30" localSheetId="8">#REF!</definedName>
    <definedName name="LOSA30">#REF!</definedName>
    <definedName name="LOSA30_6" localSheetId="8">#REF!</definedName>
    <definedName name="LOSA30_6">#REF!</definedName>
    <definedName name="M.O._Colocación_Cables_Postensados_3">#N/A</definedName>
    <definedName name="M.O._Colocación_Tabletas_Prefabricados_3">#N/A</definedName>
    <definedName name="M.O._Confección_Moldes_3">#N/A</definedName>
    <definedName name="M.O._Vigas_Postensadas__Incl._Cast._3">#N/A</definedName>
    <definedName name="M.O.Pintura.Int.">'[32]Costos Mano de Obra'!$O$52</definedName>
    <definedName name="M_O_Armadura_Columna">[12]Insumos!$B$78:$D$78</definedName>
    <definedName name="M_O_Armadura_Dintel_y_Viga">[12]Insumos!$B$79:$D$79</definedName>
    <definedName name="M_O_Cantos">[12]Insumos!$B$99:$D$99</definedName>
    <definedName name="M_O_Carpintero_2da._Categoría">[12]Insumos!$B$96:$D$96</definedName>
    <definedName name="M_O_Cerámica_Italiana_en_Pared">[12]Insumos!$B$102:$D$102</definedName>
    <definedName name="M_O_Colocación_Adoquines">[12]Insumos!$B$104:$D$104</definedName>
    <definedName name="M_O_Colocación_de_Bloques_de_4">[12]Insumos!$B$105:$D$105</definedName>
    <definedName name="M_O_Colocación_de_Bloques_de_6">[12]Insumos!$B$106:$D$106</definedName>
    <definedName name="M_O_Colocación_de_Bloques_de_8">[12]Insumos!$B$107:$D$107</definedName>
    <definedName name="M_O_Colocación_Listelos">[12]Insumos!$B$114:$D$114</definedName>
    <definedName name="M_O_Colocación_Piso_Cerámica_Criolla">[12]Insumos!$B$108:$D$108</definedName>
    <definedName name="M_O_Colocación_Piso_de_Granito_40_X_40">[12]Insumos!$B$111:$D$111</definedName>
    <definedName name="M_O_Colocación_Zócalos_de_Cerámica">[12]Insumos!$B$113:$D$113</definedName>
    <definedName name="M_O_Confección_de_Andamios">[12]Insumos!$B$115:$D$115</definedName>
    <definedName name="M_O_Construcción_Acera_Frotada_y_Violinada">[12]Insumos!$B$116:$D$116</definedName>
    <definedName name="M_O_Corte_y_Amarre_de_Varilla">[12]Insumos!$B$119:$D$119</definedName>
    <definedName name="M_O_Elaboración_Trampa_de_Grasa">[12]Insumos!$B$121:$D$121</definedName>
    <definedName name="M_O_Fino_de_Techo_Inclinado">[12]Insumos!$B$83:$D$83</definedName>
    <definedName name="M_O_Fino_de_Techo_Plano">[12]Insumos!$B$84:$D$84</definedName>
    <definedName name="M_O_Llenado_de_huecos">[12]Insumos!$B$86:$D$86</definedName>
    <definedName name="M_O_Maestro">[12]Insumos!$B$87:$D$87</definedName>
    <definedName name="M_O_Pañete_Maestreado_Exterior">[12]Insumos!$B$91:$D$91</definedName>
    <definedName name="M_O_Pañete_Maestreado_Interior">[12]Insumos!$B$92:$D$92</definedName>
    <definedName name="M_O_Preparación_del_Terreno">[12]Insumos!$B$94:$D$94</definedName>
    <definedName name="M_O_Quintal_Trabajado">[12]Insumos!$B$77:$D$77</definedName>
    <definedName name="M_O_Regado__Compactación__Mojado__Trasl.Mat.__A_M">[12]Insumos!$B$132:$D$132</definedName>
    <definedName name="M_O_Subida_de_Materiales">[12]Insumos!$B$95:$D$95</definedName>
    <definedName name="M_O_Técnico_Calificado">[12]Insumos!$B$149:$D$149</definedName>
    <definedName name="M_O_Zabaletas">[12]Insumos!$B$98:$D$98</definedName>
    <definedName name="m2ceramica">'[28]Analisis Unit. '!$F$47</definedName>
    <definedName name="m3arena">'[28]Analisis Unit. '!$F$41</definedName>
    <definedName name="m3arepanete">'[28]Analisis Unit. '!$F$44</definedName>
    <definedName name="m3grava">'[28]Analisis Unit. '!$F$42</definedName>
    <definedName name="MA">[10]M.O.!$C$10</definedName>
    <definedName name="MA_10" localSheetId="8">#REF!</definedName>
    <definedName name="MA_10">#REF!</definedName>
    <definedName name="MA_11" localSheetId="8">#REF!</definedName>
    <definedName name="MA_11">#REF!</definedName>
    <definedName name="MA_6" localSheetId="8">#REF!</definedName>
    <definedName name="MA_6">#REF!</definedName>
    <definedName name="MA_7" localSheetId="8">#REF!</definedName>
    <definedName name="MA_7">#REF!</definedName>
    <definedName name="MA_8" localSheetId="8">#REF!</definedName>
    <definedName name="MA_8">#REF!</definedName>
    <definedName name="MA_9" localSheetId="8">#REF!</definedName>
    <definedName name="MA_9">#REF!</definedName>
    <definedName name="MACHETE" localSheetId="8">#REF!</definedName>
    <definedName name="MACHETE">#REF!</definedName>
    <definedName name="MACHETE_10" localSheetId="8">#REF!</definedName>
    <definedName name="MACHETE_10">#REF!</definedName>
    <definedName name="MACHETE_11" localSheetId="8">#REF!</definedName>
    <definedName name="MACHETE_11">#REF!</definedName>
    <definedName name="MACHETE_6" localSheetId="8">#REF!</definedName>
    <definedName name="MACHETE_6">#REF!</definedName>
    <definedName name="MACHETE_7" localSheetId="8">#REF!</definedName>
    <definedName name="MACHETE_7">#REF!</definedName>
    <definedName name="MACHETE_8" localSheetId="8">#REF!</definedName>
    <definedName name="MACHETE_8">#REF!</definedName>
    <definedName name="MACHETE_9" localSheetId="8">#REF!</definedName>
    <definedName name="MACHETE_9">#REF!</definedName>
    <definedName name="MACO" localSheetId="8">#REF!</definedName>
    <definedName name="MACO">#REF!</definedName>
    <definedName name="MACO_10" localSheetId="8">#REF!</definedName>
    <definedName name="MACO_10">#REF!</definedName>
    <definedName name="MACO_11" localSheetId="8">#REF!</definedName>
    <definedName name="MACO_11">#REF!</definedName>
    <definedName name="MACO_6" localSheetId="8">#REF!</definedName>
    <definedName name="MACO_6">#REF!</definedName>
    <definedName name="MACO_7" localSheetId="8">#REF!</definedName>
    <definedName name="MACO_7">#REF!</definedName>
    <definedName name="MACO_8" localSheetId="8">#REF!</definedName>
    <definedName name="MACO_8">#REF!</definedName>
    <definedName name="MACO_9" localSheetId="8">#REF!</definedName>
    <definedName name="MACO_9">#REF!</definedName>
    <definedName name="Madera_3">#N/A</definedName>
    <definedName name="Madera_P2">[13]INSU!$D$132</definedName>
    <definedName name="Madera_P2_10" localSheetId="8">#REF!</definedName>
    <definedName name="Madera_P2_10">#REF!</definedName>
    <definedName name="Madera_P2_11" localSheetId="8">#REF!</definedName>
    <definedName name="Madera_P2_11">#REF!</definedName>
    <definedName name="Madera_P2_5" localSheetId="8">#REF!</definedName>
    <definedName name="Madera_P2_5">#REF!</definedName>
    <definedName name="Madera_P2_6" localSheetId="8">#REF!</definedName>
    <definedName name="Madera_P2_6">#REF!</definedName>
    <definedName name="Madera_P2_7" localSheetId="8">#REF!</definedName>
    <definedName name="Madera_P2_7">#REF!</definedName>
    <definedName name="Madera_P2_8" localSheetId="8">#REF!</definedName>
    <definedName name="Madera_P2_8">#REF!</definedName>
    <definedName name="Madera_P2_9" localSheetId="8">#REF!</definedName>
    <definedName name="Madera_P2_9">#REF!</definedName>
    <definedName name="maderabrutapino" localSheetId="8">#REF!</definedName>
    <definedName name="maderabrutapino">#REF!</definedName>
    <definedName name="maderabrutapino_8" localSheetId="8">#REF!</definedName>
    <definedName name="maderabrutapino_8">#REF!</definedName>
    <definedName name="Maestro" localSheetId="8">#REF!</definedName>
    <definedName name="Maestro">#REF!</definedName>
    <definedName name="Maestro_10" localSheetId="8">#REF!</definedName>
    <definedName name="Maestro_10">#REF!</definedName>
    <definedName name="Maestro_11" localSheetId="8">#REF!</definedName>
    <definedName name="Maestro_11">#REF!</definedName>
    <definedName name="Maestro_6" localSheetId="8">#REF!</definedName>
    <definedName name="Maestro_6">#REF!</definedName>
    <definedName name="Maestro_7" localSheetId="8">#REF!</definedName>
    <definedName name="Maestro_7">#REF!</definedName>
    <definedName name="Maestro_8" localSheetId="8">#REF!</definedName>
    <definedName name="Maestro_8">#REF!</definedName>
    <definedName name="Maestro_9" localSheetId="8">#REF!</definedName>
    <definedName name="Maestro_9">#REF!</definedName>
    <definedName name="MAESTROCARP" localSheetId="8">[20]INS!#REF!</definedName>
    <definedName name="MAESTROCARP">[20]INS!#REF!</definedName>
    <definedName name="MAESTROCARP_6" localSheetId="8">#REF!</definedName>
    <definedName name="MAESTROCARP_6">#REF!</definedName>
    <definedName name="MAESTROCARP_8" localSheetId="8">#REF!</definedName>
    <definedName name="MAESTROCARP_8">#REF!</definedName>
    <definedName name="MALLA_ABRAZ_1_12" localSheetId="8">#REF!</definedName>
    <definedName name="MALLA_ABRAZ_1_12">#REF!</definedName>
    <definedName name="MALLA_ABRAZ_1_12_10" localSheetId="8">#REF!</definedName>
    <definedName name="MALLA_ABRAZ_1_12_10">#REF!</definedName>
    <definedName name="MALLA_ABRAZ_1_12_11" localSheetId="8">#REF!</definedName>
    <definedName name="MALLA_ABRAZ_1_12_11">#REF!</definedName>
    <definedName name="MALLA_ABRAZ_1_12_6" localSheetId="8">#REF!</definedName>
    <definedName name="MALLA_ABRAZ_1_12_6">#REF!</definedName>
    <definedName name="MALLA_ABRAZ_1_12_7" localSheetId="8">#REF!</definedName>
    <definedName name="MALLA_ABRAZ_1_12_7">#REF!</definedName>
    <definedName name="MALLA_ABRAZ_1_12_8" localSheetId="8">#REF!</definedName>
    <definedName name="MALLA_ABRAZ_1_12_8">#REF!</definedName>
    <definedName name="MALLA_ABRAZ_1_12_9" localSheetId="8">#REF!</definedName>
    <definedName name="MALLA_ABRAZ_1_12_9">#REF!</definedName>
    <definedName name="MALLA_AL_GALVANIZADO" localSheetId="8">#REF!</definedName>
    <definedName name="MALLA_AL_GALVANIZADO">#REF!</definedName>
    <definedName name="MALLA_AL_GALVANIZADO_10" localSheetId="8">#REF!</definedName>
    <definedName name="MALLA_AL_GALVANIZADO_10">#REF!</definedName>
    <definedName name="MALLA_AL_GALVANIZADO_11" localSheetId="8">#REF!</definedName>
    <definedName name="MALLA_AL_GALVANIZADO_11">#REF!</definedName>
    <definedName name="MALLA_AL_GALVANIZADO_6" localSheetId="8">#REF!</definedName>
    <definedName name="MALLA_AL_GALVANIZADO_6">#REF!</definedName>
    <definedName name="MALLA_AL_GALVANIZADO_7" localSheetId="8">#REF!</definedName>
    <definedName name="MALLA_AL_GALVANIZADO_7">#REF!</definedName>
    <definedName name="MALLA_AL_GALVANIZADO_8" localSheetId="8">#REF!</definedName>
    <definedName name="MALLA_AL_GALVANIZADO_8">#REF!</definedName>
    <definedName name="MALLA_AL_GALVANIZADO_9" localSheetId="8">#REF!</definedName>
    <definedName name="MALLA_AL_GALVANIZADO_9">#REF!</definedName>
    <definedName name="MALLA_AL_PUAS" localSheetId="8">#REF!</definedName>
    <definedName name="MALLA_AL_PUAS">#REF!</definedName>
    <definedName name="MALLA_AL_PUAS_10" localSheetId="8">#REF!</definedName>
    <definedName name="MALLA_AL_PUAS_10">#REF!</definedName>
    <definedName name="MALLA_AL_PUAS_11" localSheetId="8">#REF!</definedName>
    <definedName name="MALLA_AL_PUAS_11">#REF!</definedName>
    <definedName name="MALLA_AL_PUAS_6" localSheetId="8">#REF!</definedName>
    <definedName name="MALLA_AL_PUAS_6">#REF!</definedName>
    <definedName name="MALLA_AL_PUAS_7" localSheetId="8">#REF!</definedName>
    <definedName name="MALLA_AL_PUAS_7">#REF!</definedName>
    <definedName name="MALLA_AL_PUAS_8" localSheetId="8">#REF!</definedName>
    <definedName name="MALLA_AL_PUAS_8">#REF!</definedName>
    <definedName name="MALLA_AL_PUAS_9" localSheetId="8">#REF!</definedName>
    <definedName name="MALLA_AL_PUAS_9">#REF!</definedName>
    <definedName name="MALLA_BARRA_TENZORA" localSheetId="8">#REF!</definedName>
    <definedName name="MALLA_BARRA_TENZORA">#REF!</definedName>
    <definedName name="MALLA_BARRA_TENZORA_10" localSheetId="8">#REF!</definedName>
    <definedName name="MALLA_BARRA_TENZORA_10">#REF!</definedName>
    <definedName name="MALLA_BARRA_TENZORA_11" localSheetId="8">#REF!</definedName>
    <definedName name="MALLA_BARRA_TENZORA_11">#REF!</definedName>
    <definedName name="MALLA_BARRA_TENZORA_6" localSheetId="8">#REF!</definedName>
    <definedName name="MALLA_BARRA_TENZORA_6">#REF!</definedName>
    <definedName name="MALLA_BARRA_TENZORA_7" localSheetId="8">#REF!</definedName>
    <definedName name="MALLA_BARRA_TENZORA_7">#REF!</definedName>
    <definedName name="MALLA_BARRA_TENZORA_8" localSheetId="8">#REF!</definedName>
    <definedName name="MALLA_BARRA_TENZORA_8">#REF!</definedName>
    <definedName name="MALLA_BARRA_TENZORA_9" localSheetId="8">#REF!</definedName>
    <definedName name="MALLA_BARRA_TENZORA_9">#REF!</definedName>
    <definedName name="MALLA_BOTE" localSheetId="8">#REF!</definedName>
    <definedName name="MALLA_BOTE">#REF!</definedName>
    <definedName name="MALLA_BOTE_10" localSheetId="8">#REF!</definedName>
    <definedName name="MALLA_BOTE_10">#REF!</definedName>
    <definedName name="MALLA_BOTE_11" localSheetId="8">#REF!</definedName>
    <definedName name="MALLA_BOTE_11">#REF!</definedName>
    <definedName name="MALLA_BOTE_6" localSheetId="8">#REF!</definedName>
    <definedName name="MALLA_BOTE_6">#REF!</definedName>
    <definedName name="MALLA_BOTE_7" localSheetId="8">#REF!</definedName>
    <definedName name="MALLA_BOTE_7">#REF!</definedName>
    <definedName name="MALLA_BOTE_8" localSheetId="8">#REF!</definedName>
    <definedName name="MALLA_BOTE_8">#REF!</definedName>
    <definedName name="MALLA_BOTE_9" localSheetId="8">#REF!</definedName>
    <definedName name="MALLA_BOTE_9">#REF!</definedName>
    <definedName name="MALLA_CARP_COLS" localSheetId="8">#REF!</definedName>
    <definedName name="MALLA_CARP_COLS">#REF!</definedName>
    <definedName name="MALLA_CARP_COLS_10" localSheetId="8">#REF!</definedName>
    <definedName name="MALLA_CARP_COLS_10">#REF!</definedName>
    <definedName name="MALLA_CARP_COLS_11" localSheetId="8">#REF!</definedName>
    <definedName name="MALLA_CARP_COLS_11">#REF!</definedName>
    <definedName name="MALLA_CARP_COLS_6" localSheetId="8">#REF!</definedName>
    <definedName name="MALLA_CARP_COLS_6">#REF!</definedName>
    <definedName name="MALLA_CARP_COLS_7" localSheetId="8">#REF!</definedName>
    <definedName name="MALLA_CARP_COLS_7">#REF!</definedName>
    <definedName name="MALLA_CARP_COLS_8" localSheetId="8">#REF!</definedName>
    <definedName name="MALLA_CARP_COLS_8">#REF!</definedName>
    <definedName name="MALLA_CARP_COLS_9" localSheetId="8">#REF!</definedName>
    <definedName name="MALLA_CARP_COLS_9">#REF!</definedName>
    <definedName name="MALLA_CICLONICA_6" localSheetId="8">#REF!</definedName>
    <definedName name="MALLA_CICLONICA_6">#REF!</definedName>
    <definedName name="MALLA_CICLONICA_6_10" localSheetId="8">#REF!</definedName>
    <definedName name="MALLA_CICLONICA_6_10">#REF!</definedName>
    <definedName name="MALLA_CICLONICA_6_11" localSheetId="8">#REF!</definedName>
    <definedName name="MALLA_CICLONICA_6_11">#REF!</definedName>
    <definedName name="MALLA_CICLONICA_6_6" localSheetId="8">#REF!</definedName>
    <definedName name="MALLA_CICLONICA_6_6">#REF!</definedName>
    <definedName name="MALLA_CICLONICA_6_7" localSheetId="8">#REF!</definedName>
    <definedName name="MALLA_CICLONICA_6_7">#REF!</definedName>
    <definedName name="MALLA_CICLONICA_6_8" localSheetId="8">#REF!</definedName>
    <definedName name="MALLA_CICLONICA_6_8">#REF!</definedName>
    <definedName name="MALLA_CICLONICA_6_9" localSheetId="8">#REF!</definedName>
    <definedName name="MALLA_CICLONICA_6_9">#REF!</definedName>
    <definedName name="MALLA_COLOC_6" localSheetId="8">#REF!</definedName>
    <definedName name="MALLA_COLOC_6">#REF!</definedName>
    <definedName name="MALLA_COLOC_6_10" localSheetId="8">#REF!</definedName>
    <definedName name="MALLA_COLOC_6_10">#REF!</definedName>
    <definedName name="MALLA_COLOC_6_11" localSheetId="8">#REF!</definedName>
    <definedName name="MALLA_COLOC_6_11">#REF!</definedName>
    <definedName name="MALLA_COLOC_6_6" localSheetId="8">#REF!</definedName>
    <definedName name="MALLA_COLOC_6_6">#REF!</definedName>
    <definedName name="MALLA_COLOC_6_7" localSheetId="8">#REF!</definedName>
    <definedName name="MALLA_COLOC_6_7">#REF!</definedName>
    <definedName name="MALLA_COLOC_6_8" localSheetId="8">#REF!</definedName>
    <definedName name="MALLA_COLOC_6_8">#REF!</definedName>
    <definedName name="MALLA_COLOC_6_9" localSheetId="8">#REF!</definedName>
    <definedName name="MALLA_COLOC_6_9">#REF!</definedName>
    <definedName name="MALLA_COPAFINAL_1_12" localSheetId="8">#REF!</definedName>
    <definedName name="MALLA_COPAFINAL_1_12">#REF!</definedName>
    <definedName name="MALLA_COPAFINAL_1_12_10" localSheetId="8">#REF!</definedName>
    <definedName name="MALLA_COPAFINAL_1_12_10">#REF!</definedName>
    <definedName name="MALLA_COPAFINAL_1_12_11" localSheetId="8">#REF!</definedName>
    <definedName name="MALLA_COPAFINAL_1_12_11">#REF!</definedName>
    <definedName name="MALLA_COPAFINAL_1_12_6" localSheetId="8">#REF!</definedName>
    <definedName name="MALLA_COPAFINAL_1_12_6">#REF!</definedName>
    <definedName name="MALLA_COPAFINAL_1_12_7" localSheetId="8">#REF!</definedName>
    <definedName name="MALLA_COPAFINAL_1_12_7">#REF!</definedName>
    <definedName name="MALLA_COPAFINAL_1_12_8" localSheetId="8">#REF!</definedName>
    <definedName name="MALLA_COPAFINAL_1_12_8">#REF!</definedName>
    <definedName name="MALLA_COPAFINAL_1_12_9" localSheetId="8">#REF!</definedName>
    <definedName name="MALLA_COPAFINAL_1_12_9">#REF!</definedName>
    <definedName name="MALLA_COPAFINAL_2" localSheetId="8">#REF!</definedName>
    <definedName name="MALLA_COPAFINAL_2">#REF!</definedName>
    <definedName name="MALLA_COPAFINAL_2_10" localSheetId="8">#REF!</definedName>
    <definedName name="MALLA_COPAFINAL_2_10">#REF!</definedName>
    <definedName name="MALLA_COPAFINAL_2_11" localSheetId="8">#REF!</definedName>
    <definedName name="MALLA_COPAFINAL_2_11">#REF!</definedName>
    <definedName name="MALLA_COPAFINAL_2_6" localSheetId="8">#REF!</definedName>
    <definedName name="MALLA_COPAFINAL_2_6">#REF!</definedName>
    <definedName name="MALLA_COPAFINAL_2_7" localSheetId="8">#REF!</definedName>
    <definedName name="MALLA_COPAFINAL_2_7">#REF!</definedName>
    <definedName name="MALLA_COPAFINAL_2_8" localSheetId="8">#REF!</definedName>
    <definedName name="MALLA_COPAFINAL_2_8">#REF!</definedName>
    <definedName name="MALLA_COPAFINAL_2_9" localSheetId="8">#REF!</definedName>
    <definedName name="MALLA_COPAFINAL_2_9">#REF!</definedName>
    <definedName name="MALLA_CORTE_ABR" localSheetId="8">#REF!</definedName>
    <definedName name="MALLA_CORTE_ABR">#REF!</definedName>
    <definedName name="MALLA_CORTE_ABR_10" localSheetId="8">#REF!</definedName>
    <definedName name="MALLA_CORTE_ABR_10">#REF!</definedName>
    <definedName name="MALLA_CORTE_ABR_11" localSheetId="8">#REF!</definedName>
    <definedName name="MALLA_CORTE_ABR_11">#REF!</definedName>
    <definedName name="MALLA_CORTE_ABR_6" localSheetId="8">#REF!</definedName>
    <definedName name="MALLA_CORTE_ABR_6">#REF!</definedName>
    <definedName name="MALLA_CORTE_ABR_7" localSheetId="8">#REF!</definedName>
    <definedName name="MALLA_CORTE_ABR_7">#REF!</definedName>
    <definedName name="MALLA_CORTE_ABR_8" localSheetId="8">#REF!</definedName>
    <definedName name="MALLA_CORTE_ABR_8">#REF!</definedName>
    <definedName name="MALLA_CORTE_ABR_9" localSheetId="8">#REF!</definedName>
    <definedName name="MALLA_CORTE_ABR_9">#REF!</definedName>
    <definedName name="Malla_Electrosoldada_10x10" localSheetId="8">#REF!</definedName>
    <definedName name="Malla_Electrosoldada_10x10">#REF!</definedName>
    <definedName name="Malla_Electrosoldada_10x10_10" localSheetId="8">#REF!</definedName>
    <definedName name="Malla_Electrosoldada_10x10_10">#REF!</definedName>
    <definedName name="Malla_Electrosoldada_10x10_11" localSheetId="8">#REF!</definedName>
    <definedName name="Malla_Electrosoldada_10x10_11">#REF!</definedName>
    <definedName name="Malla_Electrosoldada_10x10_6" localSheetId="8">#REF!</definedName>
    <definedName name="Malla_Electrosoldada_10x10_6">#REF!</definedName>
    <definedName name="Malla_Electrosoldada_10x10_7" localSheetId="8">#REF!</definedName>
    <definedName name="Malla_Electrosoldada_10x10_7">#REF!</definedName>
    <definedName name="Malla_Electrosoldada_10x10_8" localSheetId="8">#REF!</definedName>
    <definedName name="Malla_Electrosoldada_10x10_8">#REF!</definedName>
    <definedName name="Malla_Electrosoldada_10x10_9" localSheetId="8">#REF!</definedName>
    <definedName name="Malla_Electrosoldada_10x10_9">#REF!</definedName>
    <definedName name="MALLA_PALOMETA_DOBLE_1_12" localSheetId="8">#REF!</definedName>
    <definedName name="MALLA_PALOMETA_DOBLE_1_12">#REF!</definedName>
    <definedName name="MALLA_PALOMETA_DOBLE_1_12_10" localSheetId="8">#REF!</definedName>
    <definedName name="MALLA_PALOMETA_DOBLE_1_12_10">#REF!</definedName>
    <definedName name="MALLA_PALOMETA_DOBLE_1_12_11" localSheetId="8">#REF!</definedName>
    <definedName name="MALLA_PALOMETA_DOBLE_1_12_11">#REF!</definedName>
    <definedName name="MALLA_PALOMETA_DOBLE_1_12_6" localSheetId="8">#REF!</definedName>
    <definedName name="MALLA_PALOMETA_DOBLE_1_12_6">#REF!</definedName>
    <definedName name="MALLA_PALOMETA_DOBLE_1_12_7" localSheetId="8">#REF!</definedName>
    <definedName name="MALLA_PALOMETA_DOBLE_1_12_7">#REF!</definedName>
    <definedName name="MALLA_PALOMETA_DOBLE_1_12_8" localSheetId="8">#REF!</definedName>
    <definedName name="MALLA_PALOMETA_DOBLE_1_12_8">#REF!</definedName>
    <definedName name="MALLA_PALOMETA_DOBLE_1_12_9" localSheetId="8">#REF!</definedName>
    <definedName name="MALLA_PALOMETA_DOBLE_1_12_9">#REF!</definedName>
    <definedName name="MALLA_RELLENO" localSheetId="8">#REF!</definedName>
    <definedName name="MALLA_RELLENO">#REF!</definedName>
    <definedName name="MALLA_RELLENO_10" localSheetId="8">#REF!</definedName>
    <definedName name="MALLA_RELLENO_10">#REF!</definedName>
    <definedName name="MALLA_RELLENO_11" localSheetId="8">#REF!</definedName>
    <definedName name="MALLA_RELLENO_11">#REF!</definedName>
    <definedName name="MALLA_RELLENO_6" localSheetId="8">#REF!</definedName>
    <definedName name="MALLA_RELLENO_6">#REF!</definedName>
    <definedName name="MALLA_RELLENO_7" localSheetId="8">#REF!</definedName>
    <definedName name="MALLA_RELLENO_7">#REF!</definedName>
    <definedName name="MALLA_RELLENO_8" localSheetId="8">#REF!</definedName>
    <definedName name="MALLA_RELLENO_8">#REF!</definedName>
    <definedName name="MALLA_RELLENO_9" localSheetId="8">#REF!</definedName>
    <definedName name="MALLA_RELLENO_9">#REF!</definedName>
    <definedName name="MALLA_SEGUETA" localSheetId="8">#REF!</definedName>
    <definedName name="MALLA_SEGUETA">#REF!</definedName>
    <definedName name="MALLA_SEGUETA_10" localSheetId="8">#REF!</definedName>
    <definedName name="MALLA_SEGUETA_10">#REF!</definedName>
    <definedName name="MALLA_SEGUETA_11" localSheetId="8">#REF!</definedName>
    <definedName name="MALLA_SEGUETA_11">#REF!</definedName>
    <definedName name="MALLA_SEGUETA_6" localSheetId="8">#REF!</definedName>
    <definedName name="MALLA_SEGUETA_6">#REF!</definedName>
    <definedName name="MALLA_SEGUETA_7" localSheetId="8">#REF!</definedName>
    <definedName name="MALLA_SEGUETA_7">#REF!</definedName>
    <definedName name="MALLA_SEGUETA_8" localSheetId="8">#REF!</definedName>
    <definedName name="MALLA_SEGUETA_8">#REF!</definedName>
    <definedName name="MALLA_SEGUETA_9" localSheetId="8">#REF!</definedName>
    <definedName name="MALLA_SEGUETA_9">#REF!</definedName>
    <definedName name="MALLA_TERMINAL_1_14" localSheetId="8">#REF!</definedName>
    <definedName name="MALLA_TERMINAL_1_14">#REF!</definedName>
    <definedName name="MALLA_TERMINAL_1_14_10" localSheetId="8">#REF!</definedName>
    <definedName name="MALLA_TERMINAL_1_14_10">#REF!</definedName>
    <definedName name="MALLA_TERMINAL_1_14_11" localSheetId="8">#REF!</definedName>
    <definedName name="MALLA_TERMINAL_1_14_11">#REF!</definedName>
    <definedName name="MALLA_TERMINAL_1_14_6" localSheetId="8">#REF!</definedName>
    <definedName name="MALLA_TERMINAL_1_14_6">#REF!</definedName>
    <definedName name="MALLA_TERMINAL_1_14_7" localSheetId="8">#REF!</definedName>
    <definedName name="MALLA_TERMINAL_1_14_7">#REF!</definedName>
    <definedName name="MALLA_TERMINAL_1_14_8" localSheetId="8">#REF!</definedName>
    <definedName name="MALLA_TERMINAL_1_14_8">#REF!</definedName>
    <definedName name="MALLA_TERMINAL_1_14_9" localSheetId="8">#REF!</definedName>
    <definedName name="MALLA_TERMINAL_1_14_9">#REF!</definedName>
    <definedName name="MALLA_TUBOHG_1" localSheetId="8">#REF!</definedName>
    <definedName name="MALLA_TUBOHG_1">#REF!</definedName>
    <definedName name="MALLA_TUBOHG_1_10" localSheetId="8">#REF!</definedName>
    <definedName name="MALLA_TUBOHG_1_10">#REF!</definedName>
    <definedName name="MALLA_TUBOHG_1_11" localSheetId="8">#REF!</definedName>
    <definedName name="MALLA_TUBOHG_1_11">#REF!</definedName>
    <definedName name="MALLA_TUBOHG_1_12" localSheetId="8">#REF!</definedName>
    <definedName name="MALLA_TUBOHG_1_12">#REF!</definedName>
    <definedName name="MALLA_TUBOHG_1_12_10" localSheetId="8">#REF!</definedName>
    <definedName name="MALLA_TUBOHG_1_12_10">#REF!</definedName>
    <definedName name="MALLA_TUBOHG_1_12_11" localSheetId="8">#REF!</definedName>
    <definedName name="MALLA_TUBOHG_1_12_11">#REF!</definedName>
    <definedName name="MALLA_TUBOHG_1_12_6" localSheetId="8">#REF!</definedName>
    <definedName name="MALLA_TUBOHG_1_12_6">#REF!</definedName>
    <definedName name="MALLA_TUBOHG_1_12_7" localSheetId="8">#REF!</definedName>
    <definedName name="MALLA_TUBOHG_1_12_7">#REF!</definedName>
    <definedName name="MALLA_TUBOHG_1_12_8" localSheetId="8">#REF!</definedName>
    <definedName name="MALLA_TUBOHG_1_12_8">#REF!</definedName>
    <definedName name="MALLA_TUBOHG_1_12_9" localSheetId="8">#REF!</definedName>
    <definedName name="MALLA_TUBOHG_1_12_9">#REF!</definedName>
    <definedName name="MALLA_TUBOHG_1_14" localSheetId="8">#REF!</definedName>
    <definedName name="MALLA_TUBOHG_1_14">#REF!</definedName>
    <definedName name="MALLA_TUBOHG_1_14_10" localSheetId="8">#REF!</definedName>
    <definedName name="MALLA_TUBOHG_1_14_10">#REF!</definedName>
    <definedName name="MALLA_TUBOHG_1_14_11" localSheetId="8">#REF!</definedName>
    <definedName name="MALLA_TUBOHG_1_14_11">#REF!</definedName>
    <definedName name="MALLA_TUBOHG_1_14_6" localSheetId="8">#REF!</definedName>
    <definedName name="MALLA_TUBOHG_1_14_6">#REF!</definedName>
    <definedName name="MALLA_TUBOHG_1_14_7" localSheetId="8">#REF!</definedName>
    <definedName name="MALLA_TUBOHG_1_14_7">#REF!</definedName>
    <definedName name="MALLA_TUBOHG_1_14_8" localSheetId="8">#REF!</definedName>
    <definedName name="MALLA_TUBOHG_1_14_8">#REF!</definedName>
    <definedName name="MALLA_TUBOHG_1_14_9" localSheetId="8">#REF!</definedName>
    <definedName name="MALLA_TUBOHG_1_14_9">#REF!</definedName>
    <definedName name="MALLA_TUBOHG_1_6" localSheetId="8">#REF!</definedName>
    <definedName name="MALLA_TUBOHG_1_6">#REF!</definedName>
    <definedName name="MALLA_TUBOHG_1_7" localSheetId="8">#REF!</definedName>
    <definedName name="MALLA_TUBOHG_1_7">#REF!</definedName>
    <definedName name="MALLA_TUBOHG_1_8" localSheetId="8">#REF!</definedName>
    <definedName name="MALLA_TUBOHG_1_8">#REF!</definedName>
    <definedName name="MALLA_TUBOHG_1_9" localSheetId="8">#REF!</definedName>
    <definedName name="MALLA_TUBOHG_1_9">#REF!</definedName>
    <definedName name="MALLA_ZABALETA" localSheetId="8">#REF!</definedName>
    <definedName name="MALLA_ZABALETA">#REF!</definedName>
    <definedName name="MALLA_ZABALETA_10" localSheetId="8">#REF!</definedName>
    <definedName name="MALLA_ZABALETA_10">#REF!</definedName>
    <definedName name="MALLA_ZABALETA_11" localSheetId="8">#REF!</definedName>
    <definedName name="MALLA_ZABALETA_11">#REF!</definedName>
    <definedName name="MALLA_ZABALETA_6" localSheetId="8">#REF!</definedName>
    <definedName name="MALLA_ZABALETA_6">#REF!</definedName>
    <definedName name="MALLA_ZABALETA_7" localSheetId="8">#REF!</definedName>
    <definedName name="MALLA_ZABALETA_7">#REF!</definedName>
    <definedName name="MALLA_ZABALETA_8" localSheetId="8">#REF!</definedName>
    <definedName name="MALLA_ZABALETA_8">#REF!</definedName>
    <definedName name="MALLA_ZABALETA_9" localSheetId="8">#REF!</definedName>
    <definedName name="MALLA_ZABALETA_9">#REF!</definedName>
    <definedName name="Mano_de_Obra_Acero_3">#N/A</definedName>
    <definedName name="Mano_de_Obra_Madera_3">#N/A</definedName>
    <definedName name="MARCO_PUERTA_PINO" localSheetId="8">#REF!</definedName>
    <definedName name="MARCO_PUERTA_PINO">#REF!</definedName>
    <definedName name="MARCO_PUERTA_PINO_10" localSheetId="8">#REF!</definedName>
    <definedName name="MARCO_PUERTA_PINO_10">#REF!</definedName>
    <definedName name="MARCO_PUERTA_PINO_11" localSheetId="8">#REF!</definedName>
    <definedName name="MARCO_PUERTA_PINO_11">#REF!</definedName>
    <definedName name="MARCO_PUERTA_PINO_6" localSheetId="8">#REF!</definedName>
    <definedName name="MARCO_PUERTA_PINO_6">#REF!</definedName>
    <definedName name="MARCO_PUERTA_PINO_7" localSheetId="8">#REF!</definedName>
    <definedName name="MARCO_PUERTA_PINO_7">#REF!</definedName>
    <definedName name="MARCO_PUERTA_PINO_8" localSheetId="8">#REF!</definedName>
    <definedName name="MARCO_PUERTA_PINO_8">#REF!</definedName>
    <definedName name="MARCO_PUERTA_PINO_9" localSheetId="8">#REF!</definedName>
    <definedName name="MARCO_PUERTA_PINO_9">#REF!</definedName>
    <definedName name="MATERIAL_RELLENO" localSheetId="8">#REF!</definedName>
    <definedName name="MATERIAL_RELLENO">#REF!</definedName>
    <definedName name="MATERIAL_RELLENO_10" localSheetId="8">#REF!</definedName>
    <definedName name="MATERIAL_RELLENO_10">#REF!</definedName>
    <definedName name="MATERIAL_RELLENO_11" localSheetId="8">#REF!</definedName>
    <definedName name="MATERIAL_RELLENO_11">#REF!</definedName>
    <definedName name="MATERIAL_RELLENO_6" localSheetId="8">#REF!</definedName>
    <definedName name="MATERIAL_RELLENO_6">#REF!</definedName>
    <definedName name="MATERIAL_RELLENO_7" localSheetId="8">#REF!</definedName>
    <definedName name="MATERIAL_RELLENO_7">#REF!</definedName>
    <definedName name="MATERIAL_RELLENO_8" localSheetId="8">#REF!</definedName>
    <definedName name="MATERIAL_RELLENO_8">#REF!</definedName>
    <definedName name="MATERIAL_RELLENO_9" localSheetId="8">#REF!</definedName>
    <definedName name="MATERIAL_RELLENO_9">#REF!</definedName>
    <definedName name="MBA" localSheetId="8">#REF!</definedName>
    <definedName name="MBA">#REF!</definedName>
    <definedName name="MBA_10" localSheetId="8">#REF!</definedName>
    <definedName name="MBA_10">#REF!</definedName>
    <definedName name="MBA_11" localSheetId="8">#REF!</definedName>
    <definedName name="MBA_11">#REF!</definedName>
    <definedName name="MBA_6" localSheetId="8">#REF!</definedName>
    <definedName name="MBA_6">#REF!</definedName>
    <definedName name="MBA_7" localSheetId="8">#REF!</definedName>
    <definedName name="MBA_7">#REF!</definedName>
    <definedName name="MBA_8" localSheetId="8">#REF!</definedName>
    <definedName name="MBA_8">#REF!</definedName>
    <definedName name="MBA_9" localSheetId="8">#REF!</definedName>
    <definedName name="MBA_9">#REF!</definedName>
    <definedName name="MEXCLADORA_LAVAMANOS" localSheetId="8">#REF!</definedName>
    <definedName name="MEXCLADORA_LAVAMANOS">#REF!</definedName>
    <definedName name="MEXCLADORA_LAVAMANOS_10" localSheetId="8">#REF!</definedName>
    <definedName name="MEXCLADORA_LAVAMANOS_10">#REF!</definedName>
    <definedName name="MEXCLADORA_LAVAMANOS_11" localSheetId="8">#REF!</definedName>
    <definedName name="MEXCLADORA_LAVAMANOS_11">#REF!</definedName>
    <definedName name="MEXCLADORA_LAVAMANOS_6" localSheetId="8">#REF!</definedName>
    <definedName name="MEXCLADORA_LAVAMANOS_6">#REF!</definedName>
    <definedName name="MEXCLADORA_LAVAMANOS_7" localSheetId="8">#REF!</definedName>
    <definedName name="MEXCLADORA_LAVAMANOS_7">#REF!</definedName>
    <definedName name="MEXCLADORA_LAVAMANOS_8" localSheetId="8">#REF!</definedName>
    <definedName name="MEXCLADORA_LAVAMANOS_8">#REF!</definedName>
    <definedName name="MEXCLADORA_LAVAMANOS_9" localSheetId="8">#REF!</definedName>
    <definedName name="MEXCLADORA_LAVAMANOS_9">#REF!</definedName>
    <definedName name="MEZCLA_CAL_ARENA_PISOS" localSheetId="8">#REF!</definedName>
    <definedName name="MEZCLA_CAL_ARENA_PISOS">#REF!</definedName>
    <definedName name="MEZCLA_CAL_ARENA_PISOS_10" localSheetId="8">#REF!</definedName>
    <definedName name="MEZCLA_CAL_ARENA_PISOS_10">#REF!</definedName>
    <definedName name="MEZCLA_CAL_ARENA_PISOS_11" localSheetId="8">#REF!</definedName>
    <definedName name="MEZCLA_CAL_ARENA_PISOS_11">#REF!</definedName>
    <definedName name="MEZCLA_CAL_ARENA_PISOS_6" localSheetId="8">#REF!</definedName>
    <definedName name="MEZCLA_CAL_ARENA_PISOS_6">#REF!</definedName>
    <definedName name="MEZCLA_CAL_ARENA_PISOS_7" localSheetId="8">#REF!</definedName>
    <definedName name="MEZCLA_CAL_ARENA_PISOS_7">#REF!</definedName>
    <definedName name="MEZCLA_CAL_ARENA_PISOS_8" localSheetId="8">#REF!</definedName>
    <definedName name="MEZCLA_CAL_ARENA_PISOS_8">#REF!</definedName>
    <definedName name="MEZCLA_CAL_ARENA_PISOS_9" localSheetId="8">#REF!</definedName>
    <definedName name="MEZCLA_CAL_ARENA_PISOS_9">#REF!</definedName>
    <definedName name="MEZCLA13">[2]Mezcla!$F$10</definedName>
    <definedName name="MEZCLA14">[2]Mezcla!$F$17</definedName>
    <definedName name="MezclaAntillana" localSheetId="8">#REF!</definedName>
    <definedName name="MezclaAntillana">#REF!</definedName>
    <definedName name="MezclaAntillana_10" localSheetId="8">#REF!</definedName>
    <definedName name="MezclaAntillana_10">#REF!</definedName>
    <definedName name="MezclaAntillana_11" localSheetId="8">#REF!</definedName>
    <definedName name="MezclaAntillana_11">#REF!</definedName>
    <definedName name="MezclaAntillana_6" localSheetId="8">#REF!</definedName>
    <definedName name="MezclaAntillana_6">#REF!</definedName>
    <definedName name="MezclaAntillana_7" localSheetId="8">#REF!</definedName>
    <definedName name="MezclaAntillana_7">#REF!</definedName>
    <definedName name="MezclaAntillana_8" localSheetId="8">#REF!</definedName>
    <definedName name="MezclaAntillana_8">#REF!</definedName>
    <definedName name="MezclaAntillana_9" localSheetId="8">#REF!</definedName>
    <definedName name="MezclaAntillana_9">#REF!</definedName>
    <definedName name="mezclajuntabloque" localSheetId="8">#REF!</definedName>
    <definedName name="mezclajuntabloque">#REF!</definedName>
    <definedName name="mezclajuntabloque_6" localSheetId="8">#REF!</definedName>
    <definedName name="mezclajuntabloque_6">#REF!</definedName>
    <definedName name="mezclajuntabloque_8" localSheetId="8">#REF!</definedName>
    <definedName name="mezclajuntabloque_8">#REF!</definedName>
    <definedName name="mgf" localSheetId="8">#REF!</definedName>
    <definedName name="mgf">#REF!</definedName>
    <definedName name="mmmm" localSheetId="8">#REF!</definedName>
    <definedName name="mmmm">#REF!</definedName>
    <definedName name="MO_ACERA_FROTyVIOL" localSheetId="8">#REF!</definedName>
    <definedName name="MO_ACERA_FROTyVIOL">#REF!</definedName>
    <definedName name="MO_ACERA_FROTyVIOL_10" localSheetId="8">#REF!</definedName>
    <definedName name="MO_ACERA_FROTyVIOL_10">#REF!</definedName>
    <definedName name="MO_ACERA_FROTyVIOL_11" localSheetId="8">#REF!</definedName>
    <definedName name="MO_ACERA_FROTyVIOL_11">#REF!</definedName>
    <definedName name="MO_ACERA_FROTyVIOL_6" localSheetId="8">#REF!</definedName>
    <definedName name="MO_ACERA_FROTyVIOL_6">#REF!</definedName>
    <definedName name="MO_ACERA_FROTyVIOL_7" localSheetId="8">#REF!</definedName>
    <definedName name="MO_ACERA_FROTyVIOL_7">#REF!</definedName>
    <definedName name="MO_ACERA_FROTyVIOL_8" localSheetId="8">#REF!</definedName>
    <definedName name="MO_ACERA_FROTyVIOL_8">#REF!</definedName>
    <definedName name="MO_ACERA_FROTyVIOL_9" localSheetId="8">#REF!</definedName>
    <definedName name="MO_ACERA_FROTyVIOL_9">#REF!</definedName>
    <definedName name="MO_CANTOS" localSheetId="8">#REF!</definedName>
    <definedName name="MO_CANTOS">#REF!</definedName>
    <definedName name="MO_CANTOS_10" localSheetId="8">#REF!</definedName>
    <definedName name="MO_CANTOS_10">#REF!</definedName>
    <definedName name="MO_CANTOS_11" localSheetId="8">#REF!</definedName>
    <definedName name="MO_CANTOS_11">#REF!</definedName>
    <definedName name="MO_CANTOS_6" localSheetId="8">#REF!</definedName>
    <definedName name="MO_CANTOS_6">#REF!</definedName>
    <definedName name="MO_CANTOS_7" localSheetId="8">#REF!</definedName>
    <definedName name="MO_CANTOS_7">#REF!</definedName>
    <definedName name="MO_CANTOS_8" localSheetId="8">#REF!</definedName>
    <definedName name="MO_CANTOS_8">#REF!</definedName>
    <definedName name="MO_CANTOS_9" localSheetId="8">#REF!</definedName>
    <definedName name="MO_CANTOS_9">#REF!</definedName>
    <definedName name="MO_CARETEO" localSheetId="8">#REF!</definedName>
    <definedName name="MO_CARETEO">#REF!</definedName>
    <definedName name="MO_CARETEO_10" localSheetId="8">#REF!</definedName>
    <definedName name="MO_CARETEO_10">#REF!</definedName>
    <definedName name="MO_CARETEO_11" localSheetId="8">#REF!</definedName>
    <definedName name="MO_CARETEO_11">#REF!</definedName>
    <definedName name="MO_CARETEO_6" localSheetId="8">#REF!</definedName>
    <definedName name="MO_CARETEO_6">#REF!</definedName>
    <definedName name="MO_CARETEO_7" localSheetId="8">#REF!</definedName>
    <definedName name="MO_CARETEO_7">#REF!</definedName>
    <definedName name="MO_CARETEO_8" localSheetId="8">#REF!</definedName>
    <definedName name="MO_CARETEO_8">#REF!</definedName>
    <definedName name="MO_CARETEO_9" localSheetId="8">#REF!</definedName>
    <definedName name="MO_CARETEO_9">#REF!</definedName>
    <definedName name="MO_ColAcero_Dintel" localSheetId="8">#REF!</definedName>
    <definedName name="MO_ColAcero_Dintel">#REF!</definedName>
    <definedName name="MO_ColAcero_Dintel_10" localSheetId="8">#REF!</definedName>
    <definedName name="MO_ColAcero_Dintel_10">#REF!</definedName>
    <definedName name="MO_ColAcero_Dintel_11" localSheetId="8">#REF!</definedName>
    <definedName name="MO_ColAcero_Dintel_11">#REF!</definedName>
    <definedName name="MO_ColAcero_Dintel_6" localSheetId="8">#REF!</definedName>
    <definedName name="MO_ColAcero_Dintel_6">#REF!</definedName>
    <definedName name="MO_ColAcero_Dintel_7" localSheetId="8">#REF!</definedName>
    <definedName name="MO_ColAcero_Dintel_7">#REF!</definedName>
    <definedName name="MO_ColAcero_Dintel_8" localSheetId="8">#REF!</definedName>
    <definedName name="MO_ColAcero_Dintel_8">#REF!</definedName>
    <definedName name="MO_ColAcero_Dintel_9" localSheetId="8">#REF!</definedName>
    <definedName name="MO_ColAcero_Dintel_9">#REF!</definedName>
    <definedName name="MO_ColAcero_Escalera" localSheetId="8">#REF!</definedName>
    <definedName name="MO_ColAcero_Escalera">#REF!</definedName>
    <definedName name="MO_ColAcero_Escalera_10" localSheetId="8">#REF!</definedName>
    <definedName name="MO_ColAcero_Escalera_10">#REF!</definedName>
    <definedName name="MO_ColAcero_Escalera_11" localSheetId="8">#REF!</definedName>
    <definedName name="MO_ColAcero_Escalera_11">#REF!</definedName>
    <definedName name="MO_ColAcero_Escalera_6" localSheetId="8">#REF!</definedName>
    <definedName name="MO_ColAcero_Escalera_6">#REF!</definedName>
    <definedName name="MO_ColAcero_Escalera_7" localSheetId="8">#REF!</definedName>
    <definedName name="MO_ColAcero_Escalera_7">#REF!</definedName>
    <definedName name="MO_ColAcero_Escalera_8" localSheetId="8">#REF!</definedName>
    <definedName name="MO_ColAcero_Escalera_8">#REF!</definedName>
    <definedName name="MO_ColAcero_Escalera_9" localSheetId="8">#REF!</definedName>
    <definedName name="MO_ColAcero_Escalera_9">#REF!</definedName>
    <definedName name="MO_ColAcero_G60_QQ" localSheetId="8">#REF!</definedName>
    <definedName name="MO_ColAcero_G60_QQ">#REF!</definedName>
    <definedName name="MO_ColAcero_G60_QQ_10" localSheetId="8">#REF!</definedName>
    <definedName name="MO_ColAcero_G60_QQ_10">#REF!</definedName>
    <definedName name="MO_ColAcero_G60_QQ_11" localSheetId="8">#REF!</definedName>
    <definedName name="MO_ColAcero_G60_QQ_11">#REF!</definedName>
    <definedName name="MO_ColAcero_G60_QQ_6" localSheetId="8">#REF!</definedName>
    <definedName name="MO_ColAcero_G60_QQ_6">#REF!</definedName>
    <definedName name="MO_ColAcero_G60_QQ_7" localSheetId="8">#REF!</definedName>
    <definedName name="MO_ColAcero_G60_QQ_7">#REF!</definedName>
    <definedName name="MO_ColAcero_G60_QQ_8" localSheetId="8">#REF!</definedName>
    <definedName name="MO_ColAcero_G60_QQ_8">#REF!</definedName>
    <definedName name="MO_ColAcero_G60_QQ_9" localSheetId="8">#REF!</definedName>
    <definedName name="MO_ColAcero_G60_QQ_9">#REF!</definedName>
    <definedName name="MO_ColAcero_Malla" localSheetId="8">#REF!</definedName>
    <definedName name="MO_ColAcero_Malla">#REF!</definedName>
    <definedName name="MO_ColAcero_Malla_10" localSheetId="8">#REF!</definedName>
    <definedName name="MO_ColAcero_Malla_10">#REF!</definedName>
    <definedName name="MO_ColAcero_Malla_11" localSheetId="8">#REF!</definedName>
    <definedName name="MO_ColAcero_Malla_11">#REF!</definedName>
    <definedName name="MO_ColAcero_Malla_6" localSheetId="8">#REF!</definedName>
    <definedName name="MO_ColAcero_Malla_6">#REF!</definedName>
    <definedName name="MO_ColAcero_Malla_7" localSheetId="8">#REF!</definedName>
    <definedName name="MO_ColAcero_Malla_7">#REF!</definedName>
    <definedName name="MO_ColAcero_Malla_8" localSheetId="8">#REF!</definedName>
    <definedName name="MO_ColAcero_Malla_8">#REF!</definedName>
    <definedName name="MO_ColAcero_Malla_9" localSheetId="8">#REF!</definedName>
    <definedName name="MO_ColAcero_Malla_9">#REF!</definedName>
    <definedName name="MO_ColAcero_QQ">[13]MO!$B$612</definedName>
    <definedName name="MO_ColAcero_QQ_10" localSheetId="8">#REF!</definedName>
    <definedName name="MO_ColAcero_QQ_10">#REF!</definedName>
    <definedName name="MO_ColAcero_QQ_11" localSheetId="8">#REF!</definedName>
    <definedName name="MO_ColAcero_QQ_11">#REF!</definedName>
    <definedName name="MO_ColAcero_QQ_5" localSheetId="8">#REF!</definedName>
    <definedName name="MO_ColAcero_QQ_5">#REF!</definedName>
    <definedName name="MO_ColAcero_QQ_6" localSheetId="8">#REF!</definedName>
    <definedName name="MO_ColAcero_QQ_6">#REF!</definedName>
    <definedName name="MO_ColAcero_QQ_7" localSheetId="8">#REF!</definedName>
    <definedName name="MO_ColAcero_QQ_7">#REF!</definedName>
    <definedName name="MO_ColAcero_QQ_8" localSheetId="8">#REF!</definedName>
    <definedName name="MO_ColAcero_QQ_8">#REF!</definedName>
    <definedName name="MO_ColAcero_QQ_9" localSheetId="8">#REF!</definedName>
    <definedName name="MO_ColAcero_QQ_9">#REF!</definedName>
    <definedName name="MO_ColAcero_ZapMuros" localSheetId="8">#REF!</definedName>
    <definedName name="MO_ColAcero_ZapMuros">#REF!</definedName>
    <definedName name="MO_ColAcero_ZapMuros_10" localSheetId="8">#REF!</definedName>
    <definedName name="MO_ColAcero_ZapMuros_10">#REF!</definedName>
    <definedName name="MO_ColAcero_ZapMuros_11" localSheetId="8">#REF!</definedName>
    <definedName name="MO_ColAcero_ZapMuros_11">#REF!</definedName>
    <definedName name="MO_ColAcero_ZapMuros_6" localSheetId="8">#REF!</definedName>
    <definedName name="MO_ColAcero_ZapMuros_6">#REF!</definedName>
    <definedName name="MO_ColAcero_ZapMuros_7" localSheetId="8">#REF!</definedName>
    <definedName name="MO_ColAcero_ZapMuros_7">#REF!</definedName>
    <definedName name="MO_ColAcero_ZapMuros_8" localSheetId="8">#REF!</definedName>
    <definedName name="MO_ColAcero_ZapMuros_8">#REF!</definedName>
    <definedName name="MO_ColAcero_ZapMuros_9" localSheetId="8">#REF!</definedName>
    <definedName name="MO_ColAcero_ZapMuros_9">#REF!</definedName>
    <definedName name="MO_ColAcero14_Piso" localSheetId="8">#REF!</definedName>
    <definedName name="MO_ColAcero14_Piso">#REF!</definedName>
    <definedName name="MO_ColAcero14_Piso_10" localSheetId="8">#REF!</definedName>
    <definedName name="MO_ColAcero14_Piso_10">#REF!</definedName>
    <definedName name="MO_ColAcero14_Piso_11" localSheetId="8">#REF!</definedName>
    <definedName name="MO_ColAcero14_Piso_11">#REF!</definedName>
    <definedName name="MO_ColAcero14_Piso_6" localSheetId="8">#REF!</definedName>
    <definedName name="MO_ColAcero14_Piso_6">#REF!</definedName>
    <definedName name="MO_ColAcero14_Piso_7" localSheetId="8">#REF!</definedName>
    <definedName name="MO_ColAcero14_Piso_7">#REF!</definedName>
    <definedName name="MO_ColAcero14_Piso_8" localSheetId="8">#REF!</definedName>
    <definedName name="MO_ColAcero14_Piso_8">#REF!</definedName>
    <definedName name="MO_ColAcero14_Piso_9" localSheetId="8">#REF!</definedName>
    <definedName name="MO_ColAcero14_Piso_9">#REF!</definedName>
    <definedName name="MO_ColAcero38y12_Cols" localSheetId="8">#REF!</definedName>
    <definedName name="MO_ColAcero38y12_Cols">#REF!</definedName>
    <definedName name="MO_ColAcero38y12_Cols_10" localSheetId="8">#REF!</definedName>
    <definedName name="MO_ColAcero38y12_Cols_10">#REF!</definedName>
    <definedName name="MO_ColAcero38y12_Cols_11" localSheetId="8">#REF!</definedName>
    <definedName name="MO_ColAcero38y12_Cols_11">#REF!</definedName>
    <definedName name="MO_ColAcero38y12_Cols_6" localSheetId="8">#REF!</definedName>
    <definedName name="MO_ColAcero38y12_Cols_6">#REF!</definedName>
    <definedName name="MO_ColAcero38y12_Cols_7" localSheetId="8">#REF!</definedName>
    <definedName name="MO_ColAcero38y12_Cols_7">#REF!</definedName>
    <definedName name="MO_ColAcero38y12_Cols_8" localSheetId="8">#REF!</definedName>
    <definedName name="MO_ColAcero38y12_Cols_8">#REF!</definedName>
    <definedName name="MO_ColAcero38y12_Cols_9" localSheetId="8">#REF!</definedName>
    <definedName name="MO_ColAcero38y12_Cols_9">#REF!</definedName>
    <definedName name="MO_DEMOLICION_MURO_HA" localSheetId="8">#REF!</definedName>
    <definedName name="MO_DEMOLICION_MURO_HA">#REF!</definedName>
    <definedName name="MO_DEMOLICION_MURO_HA_10" localSheetId="8">#REF!</definedName>
    <definedName name="MO_DEMOLICION_MURO_HA_10">#REF!</definedName>
    <definedName name="MO_DEMOLICION_MURO_HA_11" localSheetId="8">#REF!</definedName>
    <definedName name="MO_DEMOLICION_MURO_HA_11">#REF!</definedName>
    <definedName name="MO_DEMOLICION_MURO_HA_6" localSheetId="8">#REF!</definedName>
    <definedName name="MO_DEMOLICION_MURO_HA_6">#REF!</definedName>
    <definedName name="MO_DEMOLICION_MURO_HA_7" localSheetId="8">#REF!</definedName>
    <definedName name="MO_DEMOLICION_MURO_HA_7">#REF!</definedName>
    <definedName name="MO_DEMOLICION_MURO_HA_8" localSheetId="8">#REF!</definedName>
    <definedName name="MO_DEMOLICION_MURO_HA_8">#REF!</definedName>
    <definedName name="MO_DEMOLICION_MURO_HA_9" localSheetId="8">#REF!</definedName>
    <definedName name="MO_DEMOLICION_MURO_HA_9">#REF!</definedName>
    <definedName name="MO_ELEC_BREAKERS" localSheetId="8">#REF!</definedName>
    <definedName name="MO_ELEC_BREAKERS">#REF!</definedName>
    <definedName name="MO_ELEC_BREAKERS_10" localSheetId="8">#REF!</definedName>
    <definedName name="MO_ELEC_BREAKERS_10">#REF!</definedName>
    <definedName name="MO_ELEC_BREAKERS_11" localSheetId="8">#REF!</definedName>
    <definedName name="MO_ELEC_BREAKERS_11">#REF!</definedName>
    <definedName name="MO_ELEC_BREAKERS_6" localSheetId="8">#REF!</definedName>
    <definedName name="MO_ELEC_BREAKERS_6">#REF!</definedName>
    <definedName name="MO_ELEC_BREAKERS_7" localSheetId="8">#REF!</definedName>
    <definedName name="MO_ELEC_BREAKERS_7">#REF!</definedName>
    <definedName name="MO_ELEC_BREAKERS_8" localSheetId="8">#REF!</definedName>
    <definedName name="MO_ELEC_BREAKERS_8">#REF!</definedName>
    <definedName name="MO_ELEC_BREAKERS_9" localSheetId="8">#REF!</definedName>
    <definedName name="MO_ELEC_BREAKERS_9">#REF!</definedName>
    <definedName name="MO_ELEC_INTERRUPTOR_3W" localSheetId="8">#REF!</definedName>
    <definedName name="MO_ELEC_INTERRUPTOR_3W">#REF!</definedName>
    <definedName name="MO_ELEC_INTERRUPTOR_3W_10" localSheetId="8">#REF!</definedName>
    <definedName name="MO_ELEC_INTERRUPTOR_3W_10">#REF!</definedName>
    <definedName name="MO_ELEC_INTERRUPTOR_3W_11" localSheetId="8">#REF!</definedName>
    <definedName name="MO_ELEC_INTERRUPTOR_3W_11">#REF!</definedName>
    <definedName name="MO_ELEC_INTERRUPTOR_3W_6" localSheetId="8">#REF!</definedName>
    <definedName name="MO_ELEC_INTERRUPTOR_3W_6">#REF!</definedName>
    <definedName name="MO_ELEC_INTERRUPTOR_3W_7" localSheetId="8">#REF!</definedName>
    <definedName name="MO_ELEC_INTERRUPTOR_3W_7">#REF!</definedName>
    <definedName name="MO_ELEC_INTERRUPTOR_3W_8" localSheetId="8">#REF!</definedName>
    <definedName name="MO_ELEC_INTERRUPTOR_3W_8">#REF!</definedName>
    <definedName name="MO_ELEC_INTERRUPTOR_3W_9" localSheetId="8">#REF!</definedName>
    <definedName name="MO_ELEC_INTERRUPTOR_3W_9">#REF!</definedName>
    <definedName name="MO_ELEC_INTERRUPTOR_4W" localSheetId="8">#REF!</definedName>
    <definedName name="MO_ELEC_INTERRUPTOR_4W">#REF!</definedName>
    <definedName name="MO_ELEC_INTERRUPTOR_4W_10" localSheetId="8">#REF!</definedName>
    <definedName name="MO_ELEC_INTERRUPTOR_4W_10">#REF!</definedName>
    <definedName name="MO_ELEC_INTERRUPTOR_4W_11" localSheetId="8">#REF!</definedName>
    <definedName name="MO_ELEC_INTERRUPTOR_4W_11">#REF!</definedName>
    <definedName name="MO_ELEC_INTERRUPTOR_4W_6" localSheetId="8">#REF!</definedName>
    <definedName name="MO_ELEC_INTERRUPTOR_4W_6">#REF!</definedName>
    <definedName name="MO_ELEC_INTERRUPTOR_4W_7" localSheetId="8">#REF!</definedName>
    <definedName name="MO_ELEC_INTERRUPTOR_4W_7">#REF!</definedName>
    <definedName name="MO_ELEC_INTERRUPTOR_4W_8" localSheetId="8">#REF!</definedName>
    <definedName name="MO_ELEC_INTERRUPTOR_4W_8">#REF!</definedName>
    <definedName name="MO_ELEC_INTERRUPTOR_4W_9" localSheetId="8">#REF!</definedName>
    <definedName name="MO_ELEC_INTERRUPTOR_4W_9">#REF!</definedName>
    <definedName name="MO_ELEC_INTERRUPTOR_DOB" localSheetId="8">#REF!</definedName>
    <definedName name="MO_ELEC_INTERRUPTOR_DOB">#REF!</definedName>
    <definedName name="MO_ELEC_INTERRUPTOR_DOB_10" localSheetId="8">#REF!</definedName>
    <definedName name="MO_ELEC_INTERRUPTOR_DOB_10">#REF!</definedName>
    <definedName name="MO_ELEC_INTERRUPTOR_DOB_11" localSheetId="8">#REF!</definedName>
    <definedName name="MO_ELEC_INTERRUPTOR_DOB_11">#REF!</definedName>
    <definedName name="MO_ELEC_INTERRUPTOR_DOB_6" localSheetId="8">#REF!</definedName>
    <definedName name="MO_ELEC_INTERRUPTOR_DOB_6">#REF!</definedName>
    <definedName name="MO_ELEC_INTERRUPTOR_DOB_7" localSheetId="8">#REF!</definedName>
    <definedName name="MO_ELEC_INTERRUPTOR_DOB_7">#REF!</definedName>
    <definedName name="MO_ELEC_INTERRUPTOR_DOB_8" localSheetId="8">#REF!</definedName>
    <definedName name="MO_ELEC_INTERRUPTOR_DOB_8">#REF!</definedName>
    <definedName name="MO_ELEC_INTERRUPTOR_DOB_9" localSheetId="8">#REF!</definedName>
    <definedName name="MO_ELEC_INTERRUPTOR_DOB_9">#REF!</definedName>
    <definedName name="MO_ELEC_INTERRUPTOR_SENC" localSheetId="8">#REF!</definedName>
    <definedName name="MO_ELEC_INTERRUPTOR_SENC">#REF!</definedName>
    <definedName name="MO_ELEC_INTERRUPTOR_SENC_10" localSheetId="8">#REF!</definedName>
    <definedName name="MO_ELEC_INTERRUPTOR_SENC_10">#REF!</definedName>
    <definedName name="MO_ELEC_INTERRUPTOR_SENC_11" localSheetId="8">#REF!</definedName>
    <definedName name="MO_ELEC_INTERRUPTOR_SENC_11">#REF!</definedName>
    <definedName name="MO_ELEC_INTERRUPTOR_SENC_6" localSheetId="8">#REF!</definedName>
    <definedName name="MO_ELEC_INTERRUPTOR_SENC_6">#REF!</definedName>
    <definedName name="MO_ELEC_INTERRUPTOR_SENC_7" localSheetId="8">#REF!</definedName>
    <definedName name="MO_ELEC_INTERRUPTOR_SENC_7">#REF!</definedName>
    <definedName name="MO_ELEC_INTERRUPTOR_SENC_8" localSheetId="8">#REF!</definedName>
    <definedName name="MO_ELEC_INTERRUPTOR_SENC_8">#REF!</definedName>
    <definedName name="MO_ELEC_INTERRUPTOR_SENC_9" localSheetId="8">#REF!</definedName>
    <definedName name="MO_ELEC_INTERRUPTOR_SENC_9">#REF!</definedName>
    <definedName name="MO_ELEC_INTERRUPTOR_TRIPLE" localSheetId="8">#REF!</definedName>
    <definedName name="MO_ELEC_INTERRUPTOR_TRIPLE">#REF!</definedName>
    <definedName name="MO_ELEC_INTERRUPTOR_TRIPLE_10" localSheetId="8">#REF!</definedName>
    <definedName name="MO_ELEC_INTERRUPTOR_TRIPLE_10">#REF!</definedName>
    <definedName name="MO_ELEC_INTERRUPTOR_TRIPLE_11" localSheetId="8">#REF!</definedName>
    <definedName name="MO_ELEC_INTERRUPTOR_TRIPLE_11">#REF!</definedName>
    <definedName name="MO_ELEC_INTERRUPTOR_TRIPLE_6" localSheetId="8">#REF!</definedName>
    <definedName name="MO_ELEC_INTERRUPTOR_TRIPLE_6">#REF!</definedName>
    <definedName name="MO_ELEC_INTERRUPTOR_TRIPLE_7" localSheetId="8">#REF!</definedName>
    <definedName name="MO_ELEC_INTERRUPTOR_TRIPLE_7">#REF!</definedName>
    <definedName name="MO_ELEC_INTERRUPTOR_TRIPLE_8" localSheetId="8">#REF!</definedName>
    <definedName name="MO_ELEC_INTERRUPTOR_TRIPLE_8">#REF!</definedName>
    <definedName name="MO_ELEC_INTERRUPTOR_TRIPLE_9" localSheetId="8">#REF!</definedName>
    <definedName name="MO_ELEC_INTERRUPTOR_TRIPLE_9">#REF!</definedName>
    <definedName name="MO_ELEC_LAMPARA_FLUORESCENTE" localSheetId="8">#REF!</definedName>
    <definedName name="MO_ELEC_LAMPARA_FLUORESCENTE">#REF!</definedName>
    <definedName name="MO_ELEC_LAMPARA_FLUORESCENTE_10" localSheetId="8">#REF!</definedName>
    <definedName name="MO_ELEC_LAMPARA_FLUORESCENTE_10">#REF!</definedName>
    <definedName name="MO_ELEC_LAMPARA_FLUORESCENTE_11" localSheetId="8">#REF!</definedName>
    <definedName name="MO_ELEC_LAMPARA_FLUORESCENTE_11">#REF!</definedName>
    <definedName name="MO_ELEC_LAMPARA_FLUORESCENTE_6" localSheetId="8">#REF!</definedName>
    <definedName name="MO_ELEC_LAMPARA_FLUORESCENTE_6">#REF!</definedName>
    <definedName name="MO_ELEC_LAMPARA_FLUORESCENTE_7" localSheetId="8">#REF!</definedName>
    <definedName name="MO_ELEC_LAMPARA_FLUORESCENTE_7">#REF!</definedName>
    <definedName name="MO_ELEC_LAMPARA_FLUORESCENTE_8" localSheetId="8">#REF!</definedName>
    <definedName name="MO_ELEC_LAMPARA_FLUORESCENTE_8">#REF!</definedName>
    <definedName name="MO_ELEC_LAMPARA_FLUORESCENTE_9" localSheetId="8">#REF!</definedName>
    <definedName name="MO_ELEC_LAMPARA_FLUORESCENTE_9">#REF!</definedName>
    <definedName name="MO_ELEC_LUZ_CENITAL" localSheetId="8">#REF!</definedName>
    <definedName name="MO_ELEC_LUZ_CENITAL">#REF!</definedName>
    <definedName name="MO_ELEC_LUZ_CENITAL_10" localSheetId="8">#REF!</definedName>
    <definedName name="MO_ELEC_LUZ_CENITAL_10">#REF!</definedName>
    <definedName name="MO_ELEC_LUZ_CENITAL_11" localSheetId="8">#REF!</definedName>
    <definedName name="MO_ELEC_LUZ_CENITAL_11">#REF!</definedName>
    <definedName name="MO_ELEC_LUZ_CENITAL_6" localSheetId="8">#REF!</definedName>
    <definedName name="MO_ELEC_LUZ_CENITAL_6">#REF!</definedName>
    <definedName name="MO_ELEC_LUZ_CENITAL_7" localSheetId="8">#REF!</definedName>
    <definedName name="MO_ELEC_LUZ_CENITAL_7">#REF!</definedName>
    <definedName name="MO_ELEC_LUZ_CENITAL_8" localSheetId="8">#REF!</definedName>
    <definedName name="MO_ELEC_LUZ_CENITAL_8">#REF!</definedName>
    <definedName name="MO_ELEC_LUZ_CENITAL_9" localSheetId="8">#REF!</definedName>
    <definedName name="MO_ELEC_LUZ_CENITAL_9">#REF!</definedName>
    <definedName name="MO_ELEC_PANEL_DIST" localSheetId="8">#REF!</definedName>
    <definedName name="MO_ELEC_PANEL_DIST">#REF!</definedName>
    <definedName name="MO_ELEC_PANEL_DIST_10" localSheetId="8">#REF!</definedName>
    <definedName name="MO_ELEC_PANEL_DIST_10">#REF!</definedName>
    <definedName name="MO_ELEC_PANEL_DIST_11" localSheetId="8">#REF!</definedName>
    <definedName name="MO_ELEC_PANEL_DIST_11">#REF!</definedName>
    <definedName name="MO_ELEC_PANEL_DIST_6" localSheetId="8">#REF!</definedName>
    <definedName name="MO_ELEC_PANEL_DIST_6">#REF!</definedName>
    <definedName name="MO_ELEC_PANEL_DIST_7" localSheetId="8">#REF!</definedName>
    <definedName name="MO_ELEC_PANEL_DIST_7">#REF!</definedName>
    <definedName name="MO_ELEC_PANEL_DIST_8" localSheetId="8">#REF!</definedName>
    <definedName name="MO_ELEC_PANEL_DIST_8">#REF!</definedName>
    <definedName name="MO_ELEC_PANEL_DIST_9" localSheetId="8">#REF!</definedName>
    <definedName name="MO_ELEC_PANEL_DIST_9">#REF!</definedName>
    <definedName name="MO_ELEC_TOMACORRIENTE_110" localSheetId="8">#REF!</definedName>
    <definedName name="MO_ELEC_TOMACORRIENTE_110">#REF!</definedName>
    <definedName name="MO_ELEC_TOMACORRIENTE_110_10" localSheetId="8">#REF!</definedName>
    <definedName name="MO_ELEC_TOMACORRIENTE_110_10">#REF!</definedName>
    <definedName name="MO_ELEC_TOMACORRIENTE_110_11" localSheetId="8">#REF!</definedName>
    <definedName name="MO_ELEC_TOMACORRIENTE_110_11">#REF!</definedName>
    <definedName name="MO_ELEC_TOMACORRIENTE_110_6" localSheetId="8">#REF!</definedName>
    <definedName name="MO_ELEC_TOMACORRIENTE_110_6">#REF!</definedName>
    <definedName name="MO_ELEC_TOMACORRIENTE_110_7" localSheetId="8">#REF!</definedName>
    <definedName name="MO_ELEC_TOMACORRIENTE_110_7">#REF!</definedName>
    <definedName name="MO_ELEC_TOMACORRIENTE_110_8" localSheetId="8">#REF!</definedName>
    <definedName name="MO_ELEC_TOMACORRIENTE_110_8">#REF!</definedName>
    <definedName name="MO_ELEC_TOMACORRIENTE_110_9" localSheetId="8">#REF!</definedName>
    <definedName name="MO_ELEC_TOMACORRIENTE_110_9">#REF!</definedName>
    <definedName name="MO_ELEC_TOMACORRIENTE_220" localSheetId="8">#REF!</definedName>
    <definedName name="MO_ELEC_TOMACORRIENTE_220">#REF!</definedName>
    <definedName name="MO_ELEC_TOMACORRIENTE_220_10" localSheetId="8">#REF!</definedName>
    <definedName name="MO_ELEC_TOMACORRIENTE_220_10">#REF!</definedName>
    <definedName name="MO_ELEC_TOMACORRIENTE_220_11" localSheetId="8">#REF!</definedName>
    <definedName name="MO_ELEC_TOMACORRIENTE_220_11">#REF!</definedName>
    <definedName name="MO_ELEC_TOMACORRIENTE_220_6" localSheetId="8">#REF!</definedName>
    <definedName name="MO_ELEC_TOMACORRIENTE_220_6">#REF!</definedName>
    <definedName name="MO_ELEC_TOMACORRIENTE_220_7" localSheetId="8">#REF!</definedName>
    <definedName name="MO_ELEC_TOMACORRIENTE_220_7">#REF!</definedName>
    <definedName name="MO_ELEC_TOMACORRIENTE_220_8" localSheetId="8">#REF!</definedName>
    <definedName name="MO_ELEC_TOMACORRIENTE_220_8">#REF!</definedName>
    <definedName name="MO_ELEC_TOMACORRIENTE_220_9" localSheetId="8">#REF!</definedName>
    <definedName name="MO_ELEC_TOMACORRIENTE_220_9">#REF!</definedName>
    <definedName name="MO_ENTABLILLADOS" localSheetId="8">#REF!</definedName>
    <definedName name="MO_ENTABLILLADOS">#REF!</definedName>
    <definedName name="MO_ENTABLILLADOS_10" localSheetId="8">#REF!</definedName>
    <definedName name="MO_ENTABLILLADOS_10">#REF!</definedName>
    <definedName name="MO_ENTABLILLADOS_11" localSheetId="8">#REF!</definedName>
    <definedName name="MO_ENTABLILLADOS_11">#REF!</definedName>
    <definedName name="MO_ENTABLILLADOS_6" localSheetId="8">#REF!</definedName>
    <definedName name="MO_ENTABLILLADOS_6">#REF!</definedName>
    <definedName name="MO_ENTABLILLADOS_7" localSheetId="8">#REF!</definedName>
    <definedName name="MO_ENTABLILLADOS_7">#REF!</definedName>
    <definedName name="MO_ENTABLILLADOS_8" localSheetId="8">#REF!</definedName>
    <definedName name="MO_ENTABLILLADOS_8">#REF!</definedName>
    <definedName name="MO_ENTABLILLADOS_9" localSheetId="8">#REF!</definedName>
    <definedName name="MO_ENTABLILLADOS_9">#REF!</definedName>
    <definedName name="MO_ESCALON_GRANITO" localSheetId="8">#REF!</definedName>
    <definedName name="MO_ESCALON_GRANITO">#REF!</definedName>
    <definedName name="MO_ESCALON_GRANITO_10" localSheetId="8">#REF!</definedName>
    <definedName name="MO_ESCALON_GRANITO_10">#REF!</definedName>
    <definedName name="MO_ESCALON_GRANITO_11" localSheetId="8">#REF!</definedName>
    <definedName name="MO_ESCALON_GRANITO_11">#REF!</definedName>
    <definedName name="MO_ESCALON_GRANITO_6" localSheetId="8">#REF!</definedName>
    <definedName name="MO_ESCALON_GRANITO_6">#REF!</definedName>
    <definedName name="MO_ESCALON_GRANITO_7" localSheetId="8">#REF!</definedName>
    <definedName name="MO_ESCALON_GRANITO_7">#REF!</definedName>
    <definedName name="MO_ESCALON_GRANITO_8" localSheetId="8">#REF!</definedName>
    <definedName name="MO_ESCALON_GRANITO_8">#REF!</definedName>
    <definedName name="MO_ESCALON_GRANITO_9" localSheetId="8">#REF!</definedName>
    <definedName name="MO_ESCALON_GRANITO_9">#REF!</definedName>
    <definedName name="MO_ESCALON_HUELLA_y_CONTRAHUELLA" localSheetId="8">#REF!</definedName>
    <definedName name="MO_ESCALON_HUELLA_y_CONTRAHUELLA">#REF!</definedName>
    <definedName name="MO_ESCALON_HUELLA_y_CONTRAHUELLA_10" localSheetId="8">#REF!</definedName>
    <definedName name="MO_ESCALON_HUELLA_y_CONTRAHUELLA_10">#REF!</definedName>
    <definedName name="MO_ESCALON_HUELLA_y_CONTRAHUELLA_11" localSheetId="8">#REF!</definedName>
    <definedName name="MO_ESCALON_HUELLA_y_CONTRAHUELLA_11">#REF!</definedName>
    <definedName name="MO_ESCALON_HUELLA_y_CONTRAHUELLA_6" localSheetId="8">#REF!</definedName>
    <definedName name="MO_ESCALON_HUELLA_y_CONTRAHUELLA_6">#REF!</definedName>
    <definedName name="MO_ESCALON_HUELLA_y_CONTRAHUELLA_7" localSheetId="8">#REF!</definedName>
    <definedName name="MO_ESCALON_HUELLA_y_CONTRAHUELLA_7">#REF!</definedName>
    <definedName name="MO_ESCALON_HUELLA_y_CONTRAHUELLA_8" localSheetId="8">#REF!</definedName>
    <definedName name="MO_ESCALON_HUELLA_y_CONTRAHUELLA_8">#REF!</definedName>
    <definedName name="MO_ESCALON_HUELLA_y_CONTRAHUELLA_9" localSheetId="8">#REF!</definedName>
    <definedName name="MO_ESCALON_HUELLA_y_CONTRAHUELLA_9">#REF!</definedName>
    <definedName name="MO_ESTRIAS" localSheetId="8">#REF!</definedName>
    <definedName name="MO_ESTRIAS">#REF!</definedName>
    <definedName name="MO_ESTRIAS_10" localSheetId="8">#REF!</definedName>
    <definedName name="MO_ESTRIAS_10">#REF!</definedName>
    <definedName name="MO_ESTRIAS_11" localSheetId="8">#REF!</definedName>
    <definedName name="MO_ESTRIAS_11">#REF!</definedName>
    <definedName name="MO_ESTRIAS_6" localSheetId="8">#REF!</definedName>
    <definedName name="MO_ESTRIAS_6">#REF!</definedName>
    <definedName name="MO_ESTRIAS_7" localSheetId="8">#REF!</definedName>
    <definedName name="MO_ESTRIAS_7">#REF!</definedName>
    <definedName name="MO_ESTRIAS_8" localSheetId="8">#REF!</definedName>
    <definedName name="MO_ESTRIAS_8">#REF!</definedName>
    <definedName name="MO_ESTRIAS_9" localSheetId="8">#REF!</definedName>
    <definedName name="MO_ESTRIAS_9">#REF!</definedName>
    <definedName name="MO_EXC_CALICHE_MANO_3M" localSheetId="8">#REF!</definedName>
    <definedName name="MO_EXC_CALICHE_MANO_3M">#REF!</definedName>
    <definedName name="MO_EXC_CALICHE_MANO_3M_10" localSheetId="8">#REF!</definedName>
    <definedName name="MO_EXC_CALICHE_MANO_3M_10">#REF!</definedName>
    <definedName name="MO_EXC_CALICHE_MANO_3M_11" localSheetId="8">#REF!</definedName>
    <definedName name="MO_EXC_CALICHE_MANO_3M_11">#REF!</definedName>
    <definedName name="MO_EXC_CALICHE_MANO_3M_6" localSheetId="8">#REF!</definedName>
    <definedName name="MO_EXC_CALICHE_MANO_3M_6">#REF!</definedName>
    <definedName name="MO_EXC_CALICHE_MANO_3M_7" localSheetId="8">#REF!</definedName>
    <definedName name="MO_EXC_CALICHE_MANO_3M_7">#REF!</definedName>
    <definedName name="MO_EXC_CALICHE_MANO_3M_8" localSheetId="8">#REF!</definedName>
    <definedName name="MO_EXC_CALICHE_MANO_3M_8">#REF!</definedName>
    <definedName name="MO_EXC_CALICHE_MANO_3M_9" localSheetId="8">#REF!</definedName>
    <definedName name="MO_EXC_CALICHE_MANO_3M_9">#REF!</definedName>
    <definedName name="MO_EXC_ROCA_BLANDA_MANO_3M" localSheetId="8">#REF!</definedName>
    <definedName name="MO_EXC_ROCA_BLANDA_MANO_3M">#REF!</definedName>
    <definedName name="MO_EXC_ROCA_BLANDA_MANO_3M_10" localSheetId="8">#REF!</definedName>
    <definedName name="MO_EXC_ROCA_BLANDA_MANO_3M_10">#REF!</definedName>
    <definedName name="MO_EXC_ROCA_BLANDA_MANO_3M_11" localSheetId="8">#REF!</definedName>
    <definedName name="MO_EXC_ROCA_BLANDA_MANO_3M_11">#REF!</definedName>
    <definedName name="MO_EXC_ROCA_BLANDA_MANO_3M_6" localSheetId="8">#REF!</definedName>
    <definedName name="MO_EXC_ROCA_BLANDA_MANO_3M_6">#REF!</definedName>
    <definedName name="MO_EXC_ROCA_BLANDA_MANO_3M_7" localSheetId="8">#REF!</definedName>
    <definedName name="MO_EXC_ROCA_BLANDA_MANO_3M_7">#REF!</definedName>
    <definedName name="MO_EXC_ROCA_BLANDA_MANO_3M_8" localSheetId="8">#REF!</definedName>
    <definedName name="MO_EXC_ROCA_BLANDA_MANO_3M_8">#REF!</definedName>
    <definedName name="MO_EXC_ROCA_BLANDA_MANO_3M_9" localSheetId="8">#REF!</definedName>
    <definedName name="MO_EXC_ROCA_BLANDA_MANO_3M_9">#REF!</definedName>
    <definedName name="MO_EXC_ROCA_COMP_3M" localSheetId="8">#REF!</definedName>
    <definedName name="MO_EXC_ROCA_COMP_3M">#REF!</definedName>
    <definedName name="MO_EXC_ROCA_COMP_3M_10" localSheetId="8">#REF!</definedName>
    <definedName name="MO_EXC_ROCA_COMP_3M_10">#REF!</definedName>
    <definedName name="MO_EXC_ROCA_COMP_3M_11" localSheetId="8">#REF!</definedName>
    <definedName name="MO_EXC_ROCA_COMP_3M_11">#REF!</definedName>
    <definedName name="MO_EXC_ROCA_COMP_3M_6" localSheetId="8">#REF!</definedName>
    <definedName name="MO_EXC_ROCA_COMP_3M_6">#REF!</definedName>
    <definedName name="MO_EXC_ROCA_COMP_3M_7" localSheetId="8">#REF!</definedName>
    <definedName name="MO_EXC_ROCA_COMP_3M_7">#REF!</definedName>
    <definedName name="MO_EXC_ROCA_COMP_3M_8" localSheetId="8">#REF!</definedName>
    <definedName name="MO_EXC_ROCA_COMP_3M_8">#REF!</definedName>
    <definedName name="MO_EXC_ROCA_COMP_3M_9" localSheetId="8">#REF!</definedName>
    <definedName name="MO_EXC_ROCA_COMP_3M_9">#REF!</definedName>
    <definedName name="MO_EXC_ROCA_MANO_3M" localSheetId="8">#REF!</definedName>
    <definedName name="MO_EXC_ROCA_MANO_3M">#REF!</definedName>
    <definedName name="MO_EXC_ROCA_MANO_3M_10" localSheetId="8">#REF!</definedName>
    <definedName name="MO_EXC_ROCA_MANO_3M_10">#REF!</definedName>
    <definedName name="MO_EXC_ROCA_MANO_3M_11" localSheetId="8">#REF!</definedName>
    <definedName name="MO_EXC_ROCA_MANO_3M_11">#REF!</definedName>
    <definedName name="MO_EXC_ROCA_MANO_3M_6" localSheetId="8">#REF!</definedName>
    <definedName name="MO_EXC_ROCA_MANO_3M_6">#REF!</definedName>
    <definedName name="MO_EXC_ROCA_MANO_3M_7" localSheetId="8">#REF!</definedName>
    <definedName name="MO_EXC_ROCA_MANO_3M_7">#REF!</definedName>
    <definedName name="MO_EXC_ROCA_MANO_3M_8" localSheetId="8">#REF!</definedName>
    <definedName name="MO_EXC_ROCA_MANO_3M_8">#REF!</definedName>
    <definedName name="MO_EXC_ROCA_MANO_3M_9" localSheetId="8">#REF!</definedName>
    <definedName name="MO_EXC_ROCA_MANO_3M_9">#REF!</definedName>
    <definedName name="MO_EXC_TIERRA_MANO_3M" localSheetId="8">#REF!</definedName>
    <definedName name="MO_EXC_TIERRA_MANO_3M">#REF!</definedName>
    <definedName name="MO_EXC_TIERRA_MANO_3M_10" localSheetId="8">#REF!</definedName>
    <definedName name="MO_EXC_TIERRA_MANO_3M_10">#REF!</definedName>
    <definedName name="MO_EXC_TIERRA_MANO_3M_11" localSheetId="8">#REF!</definedName>
    <definedName name="MO_EXC_TIERRA_MANO_3M_11">#REF!</definedName>
    <definedName name="MO_EXC_TIERRA_MANO_3M_6" localSheetId="8">#REF!</definedName>
    <definedName name="MO_EXC_TIERRA_MANO_3M_6">#REF!</definedName>
    <definedName name="MO_EXC_TIERRA_MANO_3M_7" localSheetId="8">#REF!</definedName>
    <definedName name="MO_EXC_TIERRA_MANO_3M_7">#REF!</definedName>
    <definedName name="MO_EXC_TIERRA_MANO_3M_8" localSheetId="8">#REF!</definedName>
    <definedName name="MO_EXC_TIERRA_MANO_3M_8">#REF!</definedName>
    <definedName name="MO_EXC_TIERRA_MANO_3M_9" localSheetId="8">#REF!</definedName>
    <definedName name="MO_EXC_TIERRA_MANO_3M_9">#REF!</definedName>
    <definedName name="MO_FINO_TECHO_HOR" localSheetId="8">#REF!</definedName>
    <definedName name="MO_FINO_TECHO_HOR">#REF!</definedName>
    <definedName name="MO_FINO_TECHO_HOR_10" localSheetId="8">#REF!</definedName>
    <definedName name="MO_FINO_TECHO_HOR_10">#REF!</definedName>
    <definedName name="MO_FINO_TECHO_HOR_11" localSheetId="8">#REF!</definedName>
    <definedName name="MO_FINO_TECHO_HOR_11">#REF!</definedName>
    <definedName name="MO_FINO_TECHO_HOR_6" localSheetId="8">#REF!</definedName>
    <definedName name="MO_FINO_TECHO_HOR_6">#REF!</definedName>
    <definedName name="MO_FINO_TECHO_HOR_7" localSheetId="8">#REF!</definedName>
    <definedName name="MO_FINO_TECHO_HOR_7">#REF!</definedName>
    <definedName name="MO_FINO_TECHO_HOR_8" localSheetId="8">#REF!</definedName>
    <definedName name="MO_FINO_TECHO_HOR_8">#REF!</definedName>
    <definedName name="MO_FINO_TECHO_HOR_9" localSheetId="8">#REF!</definedName>
    <definedName name="MO_FINO_TECHO_HOR_9">#REF!</definedName>
    <definedName name="MO_FRAGUACHE" localSheetId="8">#REF!</definedName>
    <definedName name="MO_FRAGUACHE">#REF!</definedName>
    <definedName name="MO_FRAGUACHE_10" localSheetId="8">#REF!</definedName>
    <definedName name="MO_FRAGUACHE_10">#REF!</definedName>
    <definedName name="MO_FRAGUACHE_11" localSheetId="8">#REF!</definedName>
    <definedName name="MO_FRAGUACHE_11">#REF!</definedName>
    <definedName name="MO_FRAGUACHE_6" localSheetId="8">#REF!</definedName>
    <definedName name="MO_FRAGUACHE_6">#REF!</definedName>
    <definedName name="MO_FRAGUACHE_7" localSheetId="8">#REF!</definedName>
    <definedName name="MO_FRAGUACHE_7">#REF!</definedName>
    <definedName name="MO_FRAGUACHE_8" localSheetId="8">#REF!</definedName>
    <definedName name="MO_FRAGUACHE_8">#REF!</definedName>
    <definedName name="MO_FRAGUACHE_9" localSheetId="8">#REF!</definedName>
    <definedName name="MO_FRAGUACHE_9">#REF!</definedName>
    <definedName name="MO_GOTEROS" localSheetId="8">#REF!</definedName>
    <definedName name="MO_GOTEROS">#REF!</definedName>
    <definedName name="MO_GOTEROS_10" localSheetId="8">#REF!</definedName>
    <definedName name="MO_GOTEROS_10">#REF!</definedName>
    <definedName name="MO_GOTEROS_11" localSheetId="8">#REF!</definedName>
    <definedName name="MO_GOTEROS_11">#REF!</definedName>
    <definedName name="MO_GOTEROS_6" localSheetId="8">#REF!</definedName>
    <definedName name="MO_GOTEROS_6">#REF!</definedName>
    <definedName name="MO_GOTEROS_7" localSheetId="8">#REF!</definedName>
    <definedName name="MO_GOTEROS_7">#REF!</definedName>
    <definedName name="MO_GOTEROS_8" localSheetId="8">#REF!</definedName>
    <definedName name="MO_GOTEROS_8">#REF!</definedName>
    <definedName name="MO_GOTEROS_9" localSheetId="8">#REF!</definedName>
    <definedName name="MO_GOTEROS_9">#REF!</definedName>
    <definedName name="MO_NATILLA" localSheetId="8">#REF!</definedName>
    <definedName name="MO_NATILLA">#REF!</definedName>
    <definedName name="MO_NATILLA_10" localSheetId="8">#REF!</definedName>
    <definedName name="MO_NATILLA_10">#REF!</definedName>
    <definedName name="MO_NATILLA_11" localSheetId="8">#REF!</definedName>
    <definedName name="MO_NATILLA_11">#REF!</definedName>
    <definedName name="MO_NATILLA_6" localSheetId="8">#REF!</definedName>
    <definedName name="MO_NATILLA_6">#REF!</definedName>
    <definedName name="MO_NATILLA_7" localSheetId="8">#REF!</definedName>
    <definedName name="MO_NATILLA_7">#REF!</definedName>
    <definedName name="MO_NATILLA_8" localSheetId="8">#REF!</definedName>
    <definedName name="MO_NATILLA_8">#REF!</definedName>
    <definedName name="MO_NATILLA_9" localSheetId="8">#REF!</definedName>
    <definedName name="MO_NATILLA_9">#REF!</definedName>
    <definedName name="MO_PAÑETE_COLs" localSheetId="8">#REF!</definedName>
    <definedName name="MO_PAÑETE_COLs">#REF!</definedName>
    <definedName name="MO_PAÑETE_COLs_10" localSheetId="8">#REF!</definedName>
    <definedName name="MO_PAÑETE_COLs_10">#REF!</definedName>
    <definedName name="MO_PAÑETE_COLs_11" localSheetId="8">#REF!</definedName>
    <definedName name="MO_PAÑETE_COLs_11">#REF!</definedName>
    <definedName name="MO_PAÑETE_COLs_6" localSheetId="8">#REF!</definedName>
    <definedName name="MO_PAÑETE_COLs_6">#REF!</definedName>
    <definedName name="MO_PAÑETE_COLs_7" localSheetId="8">#REF!</definedName>
    <definedName name="MO_PAÑETE_COLs_7">#REF!</definedName>
    <definedName name="MO_PAÑETE_COLs_8" localSheetId="8">#REF!</definedName>
    <definedName name="MO_PAÑETE_COLs_8">#REF!</definedName>
    <definedName name="MO_PAÑETE_COLs_9" localSheetId="8">#REF!</definedName>
    <definedName name="MO_PAÑETE_COLs_9">#REF!</definedName>
    <definedName name="MO_PAÑETE_EXT" localSheetId="8">#REF!</definedName>
    <definedName name="MO_PAÑETE_EXT">#REF!</definedName>
    <definedName name="MO_PAÑETE_EXT_10" localSheetId="8">#REF!</definedName>
    <definedName name="MO_PAÑETE_EXT_10">#REF!</definedName>
    <definedName name="MO_PAÑETE_EXT_11" localSheetId="8">#REF!</definedName>
    <definedName name="MO_PAÑETE_EXT_11">#REF!</definedName>
    <definedName name="MO_PAÑETE_EXT_6" localSheetId="8">#REF!</definedName>
    <definedName name="MO_PAÑETE_EXT_6">#REF!</definedName>
    <definedName name="MO_PAÑETE_EXT_7" localSheetId="8">#REF!</definedName>
    <definedName name="MO_PAÑETE_EXT_7">#REF!</definedName>
    <definedName name="MO_PAÑETE_EXT_8" localSheetId="8">#REF!</definedName>
    <definedName name="MO_PAÑETE_EXT_8">#REF!</definedName>
    <definedName name="MO_PAÑETE_EXT_9" localSheetId="8">#REF!</definedName>
    <definedName name="MO_PAÑETE_EXT_9">#REF!</definedName>
    <definedName name="MO_PAÑETE_INT" localSheetId="8">#REF!</definedName>
    <definedName name="MO_PAÑETE_INT">#REF!</definedName>
    <definedName name="MO_PAÑETE_INT_10" localSheetId="8">#REF!</definedName>
    <definedName name="MO_PAÑETE_INT_10">#REF!</definedName>
    <definedName name="MO_PAÑETE_INT_11" localSheetId="8">#REF!</definedName>
    <definedName name="MO_PAÑETE_INT_11">#REF!</definedName>
    <definedName name="MO_PAÑETE_INT_6" localSheetId="8">#REF!</definedName>
    <definedName name="MO_PAÑETE_INT_6">#REF!</definedName>
    <definedName name="MO_PAÑETE_INT_7" localSheetId="8">#REF!</definedName>
    <definedName name="MO_PAÑETE_INT_7">#REF!</definedName>
    <definedName name="MO_PAÑETE_INT_8" localSheetId="8">#REF!</definedName>
    <definedName name="MO_PAÑETE_INT_8">#REF!</definedName>
    <definedName name="MO_PAÑETE_INT_9" localSheetId="8">#REF!</definedName>
    <definedName name="MO_PAÑETE_INT_9">#REF!</definedName>
    <definedName name="MO_PAÑETE_PULIDO" localSheetId="8">#REF!</definedName>
    <definedName name="MO_PAÑETE_PULIDO">#REF!</definedName>
    <definedName name="MO_PAÑETE_PULIDO_10" localSheetId="8">#REF!</definedName>
    <definedName name="MO_PAÑETE_PULIDO_10">#REF!</definedName>
    <definedName name="MO_PAÑETE_PULIDO_11" localSheetId="8">#REF!</definedName>
    <definedName name="MO_PAÑETE_PULIDO_11">#REF!</definedName>
    <definedName name="MO_PAÑETE_PULIDO_6" localSheetId="8">#REF!</definedName>
    <definedName name="MO_PAÑETE_PULIDO_6">#REF!</definedName>
    <definedName name="MO_PAÑETE_PULIDO_7" localSheetId="8">#REF!</definedName>
    <definedName name="MO_PAÑETE_PULIDO_7">#REF!</definedName>
    <definedName name="MO_PAÑETE_PULIDO_8" localSheetId="8">#REF!</definedName>
    <definedName name="MO_PAÑETE_PULIDO_8">#REF!</definedName>
    <definedName name="MO_PAÑETE_PULIDO_9" localSheetId="8">#REF!</definedName>
    <definedName name="MO_PAÑETE_PULIDO_9">#REF!</definedName>
    <definedName name="MO_PAÑETE_RASGADO" localSheetId="8">#REF!</definedName>
    <definedName name="MO_PAÑETE_RASGADO">#REF!</definedName>
    <definedName name="MO_PAÑETE_RASGADO_10" localSheetId="8">#REF!</definedName>
    <definedName name="MO_PAÑETE_RASGADO_10">#REF!</definedName>
    <definedName name="MO_PAÑETE_RASGADO_11" localSheetId="8">#REF!</definedName>
    <definedName name="MO_PAÑETE_RASGADO_11">#REF!</definedName>
    <definedName name="MO_PAÑETE_RASGADO_6" localSheetId="8">#REF!</definedName>
    <definedName name="MO_PAÑETE_RASGADO_6">#REF!</definedName>
    <definedName name="MO_PAÑETE_RASGADO_7" localSheetId="8">#REF!</definedName>
    <definedName name="MO_PAÑETE_RASGADO_7">#REF!</definedName>
    <definedName name="MO_PAÑETE_RASGADO_8" localSheetId="8">#REF!</definedName>
    <definedName name="MO_PAÑETE_RASGADO_8">#REF!</definedName>
    <definedName name="MO_PAÑETE_RASGADO_9" localSheetId="8">#REF!</definedName>
    <definedName name="MO_PAÑETE_RASGADO_9">#REF!</definedName>
    <definedName name="MO_PAÑETE_TECHOSyVIGAS" localSheetId="8">#REF!</definedName>
    <definedName name="MO_PAÑETE_TECHOSyVIGAS">#REF!</definedName>
    <definedName name="MO_PAÑETE_TECHOSyVIGAS_10" localSheetId="8">#REF!</definedName>
    <definedName name="MO_PAÑETE_TECHOSyVIGAS_10">#REF!</definedName>
    <definedName name="MO_PAÑETE_TECHOSyVIGAS_11" localSheetId="8">#REF!</definedName>
    <definedName name="MO_PAÑETE_TECHOSyVIGAS_11">#REF!</definedName>
    <definedName name="MO_PAÑETE_TECHOSyVIGAS_6" localSheetId="8">#REF!</definedName>
    <definedName name="MO_PAÑETE_TECHOSyVIGAS_6">#REF!</definedName>
    <definedName name="MO_PAÑETE_TECHOSyVIGAS_7" localSheetId="8">#REF!</definedName>
    <definedName name="MO_PAÑETE_TECHOSyVIGAS_7">#REF!</definedName>
    <definedName name="MO_PAÑETE_TECHOSyVIGAS_8" localSheetId="8">#REF!</definedName>
    <definedName name="MO_PAÑETE_TECHOSyVIGAS_8">#REF!</definedName>
    <definedName name="MO_PAÑETE_TECHOSyVIGAS_9" localSheetId="8">#REF!</definedName>
    <definedName name="MO_PAÑETE_TECHOSyVIGAS_9">#REF!</definedName>
    <definedName name="MO_PERRILLA" localSheetId="8">#REF!</definedName>
    <definedName name="MO_PERRILLA">#REF!</definedName>
    <definedName name="MO_PERRILLA_10" localSheetId="8">#REF!</definedName>
    <definedName name="MO_PERRILLA_10">#REF!</definedName>
    <definedName name="MO_PERRILLA_11" localSheetId="8">#REF!</definedName>
    <definedName name="MO_PERRILLA_11">#REF!</definedName>
    <definedName name="MO_PERRILLA_6" localSheetId="8">#REF!</definedName>
    <definedName name="MO_PERRILLA_6">#REF!</definedName>
    <definedName name="MO_PERRILLA_7" localSheetId="8">#REF!</definedName>
    <definedName name="MO_PERRILLA_7">#REF!</definedName>
    <definedName name="MO_PERRILLA_8" localSheetId="8">#REF!</definedName>
    <definedName name="MO_PERRILLA_8">#REF!</definedName>
    <definedName name="MO_PERRILLA_9" localSheetId="8">#REF!</definedName>
    <definedName name="MO_PERRILLA_9">#REF!</definedName>
    <definedName name="MO_PIEDRA" localSheetId="8">#REF!</definedName>
    <definedName name="MO_PIEDRA">#REF!</definedName>
    <definedName name="MO_PIEDRA_10" localSheetId="8">#REF!</definedName>
    <definedName name="MO_PIEDRA_10">#REF!</definedName>
    <definedName name="MO_PIEDRA_11" localSheetId="8">#REF!</definedName>
    <definedName name="MO_PIEDRA_11">#REF!</definedName>
    <definedName name="MO_PIEDRA_6" localSheetId="8">#REF!</definedName>
    <definedName name="MO_PIEDRA_6">#REF!</definedName>
    <definedName name="MO_PIEDRA_7" localSheetId="8">#REF!</definedName>
    <definedName name="MO_PIEDRA_7">#REF!</definedName>
    <definedName name="MO_PIEDRA_8" localSheetId="8">#REF!</definedName>
    <definedName name="MO_PIEDRA_8">#REF!</definedName>
    <definedName name="MO_PIEDRA_9" localSheetId="8">#REF!</definedName>
    <definedName name="MO_PIEDRA_9">#REF!</definedName>
    <definedName name="MO_PINTURA" localSheetId="8">#REF!</definedName>
    <definedName name="MO_PINTURA">#REF!</definedName>
    <definedName name="MO_PINTURA_10" localSheetId="8">#REF!</definedName>
    <definedName name="MO_PINTURA_10">#REF!</definedName>
    <definedName name="MO_PINTURA_11" localSheetId="8">#REF!</definedName>
    <definedName name="MO_PINTURA_11">#REF!</definedName>
    <definedName name="MO_PINTURA_6" localSheetId="8">#REF!</definedName>
    <definedName name="MO_PINTURA_6">#REF!</definedName>
    <definedName name="MO_PINTURA_7" localSheetId="8">#REF!</definedName>
    <definedName name="MO_PINTURA_7">#REF!</definedName>
    <definedName name="MO_PINTURA_8" localSheetId="8">#REF!</definedName>
    <definedName name="MO_PINTURA_8">#REF!</definedName>
    <definedName name="MO_PINTURA_9" localSheetId="8">#REF!</definedName>
    <definedName name="MO_PINTURA_9">#REF!</definedName>
    <definedName name="MO_PISO_ADOQUIN" localSheetId="8">#REF!</definedName>
    <definedName name="MO_PISO_ADOQUIN">#REF!</definedName>
    <definedName name="MO_PISO_ADOQUIN_10" localSheetId="8">#REF!</definedName>
    <definedName name="MO_PISO_ADOQUIN_10">#REF!</definedName>
    <definedName name="MO_PISO_ADOQUIN_11" localSheetId="8">#REF!</definedName>
    <definedName name="MO_PISO_ADOQUIN_11">#REF!</definedName>
    <definedName name="MO_PISO_ADOQUIN_6" localSheetId="8">#REF!</definedName>
    <definedName name="MO_PISO_ADOQUIN_6">#REF!</definedName>
    <definedName name="MO_PISO_ADOQUIN_7" localSheetId="8">#REF!</definedName>
    <definedName name="MO_PISO_ADOQUIN_7">#REF!</definedName>
    <definedName name="MO_PISO_ADOQUIN_8" localSheetId="8">#REF!</definedName>
    <definedName name="MO_PISO_ADOQUIN_8">#REF!</definedName>
    <definedName name="MO_PISO_ADOQUIN_9" localSheetId="8">#REF!</definedName>
    <definedName name="MO_PISO_ADOQUIN_9">#REF!</definedName>
    <definedName name="MO_PISO_CementoPulido" localSheetId="8">#REF!</definedName>
    <definedName name="MO_PISO_CementoPulido">#REF!</definedName>
    <definedName name="MO_PISO_CementoPulido_10" localSheetId="8">#REF!</definedName>
    <definedName name="MO_PISO_CementoPulido_10">#REF!</definedName>
    <definedName name="MO_PISO_CementoPulido_11" localSheetId="8">#REF!</definedName>
    <definedName name="MO_PISO_CementoPulido_11">#REF!</definedName>
    <definedName name="MO_PISO_CementoPulido_6" localSheetId="8">#REF!</definedName>
    <definedName name="MO_PISO_CementoPulido_6">#REF!</definedName>
    <definedName name="MO_PISO_CementoPulido_7" localSheetId="8">#REF!</definedName>
    <definedName name="MO_PISO_CementoPulido_7">#REF!</definedName>
    <definedName name="MO_PISO_CementoPulido_8" localSheetId="8">#REF!</definedName>
    <definedName name="MO_PISO_CementoPulido_8">#REF!</definedName>
    <definedName name="MO_PISO_CementoPulido_9" localSheetId="8">#REF!</definedName>
    <definedName name="MO_PISO_CementoPulido_9">#REF!</definedName>
    <definedName name="MO_PISO_CERAMICA_15a20" localSheetId="8">#REF!</definedName>
    <definedName name="MO_PISO_CERAMICA_15a20">#REF!</definedName>
    <definedName name="MO_PISO_CERAMICA_15a20_10" localSheetId="8">#REF!</definedName>
    <definedName name="MO_PISO_CERAMICA_15a20_10">#REF!</definedName>
    <definedName name="MO_PISO_CERAMICA_15a20_11" localSheetId="8">#REF!</definedName>
    <definedName name="MO_PISO_CERAMICA_15a20_11">#REF!</definedName>
    <definedName name="MO_PISO_CERAMICA_15a20_6" localSheetId="8">#REF!</definedName>
    <definedName name="MO_PISO_CERAMICA_15a20_6">#REF!</definedName>
    <definedName name="MO_PISO_CERAMICA_15a20_7" localSheetId="8">#REF!</definedName>
    <definedName name="MO_PISO_CERAMICA_15a20_7">#REF!</definedName>
    <definedName name="MO_PISO_CERAMICA_15a20_8" localSheetId="8">#REF!</definedName>
    <definedName name="MO_PISO_CERAMICA_15a20_8">#REF!</definedName>
    <definedName name="MO_PISO_CERAMICA_15a20_9" localSheetId="8">#REF!</definedName>
    <definedName name="MO_PISO_CERAMICA_15a20_9">#REF!</definedName>
    <definedName name="MO_PISO_CERAMICA_15a20_BASE" localSheetId="8">#REF!</definedName>
    <definedName name="MO_PISO_CERAMICA_15a20_BASE">#REF!</definedName>
    <definedName name="MO_PISO_CERAMICA_15a20_BASE_10" localSheetId="8">#REF!</definedName>
    <definedName name="MO_PISO_CERAMICA_15a20_BASE_10">#REF!</definedName>
    <definedName name="MO_PISO_CERAMICA_15a20_BASE_11" localSheetId="8">#REF!</definedName>
    <definedName name="MO_PISO_CERAMICA_15a20_BASE_11">#REF!</definedName>
    <definedName name="MO_PISO_CERAMICA_15a20_BASE_6" localSheetId="8">#REF!</definedName>
    <definedName name="MO_PISO_CERAMICA_15a20_BASE_6">#REF!</definedName>
    <definedName name="MO_PISO_CERAMICA_15a20_BASE_7" localSheetId="8">#REF!</definedName>
    <definedName name="MO_PISO_CERAMICA_15a20_BASE_7">#REF!</definedName>
    <definedName name="MO_PISO_CERAMICA_15a20_BASE_8" localSheetId="8">#REF!</definedName>
    <definedName name="MO_PISO_CERAMICA_15a20_BASE_8">#REF!</definedName>
    <definedName name="MO_PISO_CERAMICA_15a20_BASE_9" localSheetId="8">#REF!</definedName>
    <definedName name="MO_PISO_CERAMICA_15a20_BASE_9">#REF!</definedName>
    <definedName name="MO_PISO_CERAMICA_30a40" localSheetId="8">#REF!</definedName>
    <definedName name="MO_PISO_CERAMICA_30a40">#REF!</definedName>
    <definedName name="MO_PISO_CERAMICA_30a40_10" localSheetId="8">#REF!</definedName>
    <definedName name="MO_PISO_CERAMICA_30a40_10">#REF!</definedName>
    <definedName name="MO_PISO_CERAMICA_30a40_11" localSheetId="8">#REF!</definedName>
    <definedName name="MO_PISO_CERAMICA_30a40_11">#REF!</definedName>
    <definedName name="MO_PISO_CERAMICA_30a40_6" localSheetId="8">#REF!</definedName>
    <definedName name="MO_PISO_CERAMICA_30a40_6">#REF!</definedName>
    <definedName name="MO_PISO_CERAMICA_30a40_7" localSheetId="8">#REF!</definedName>
    <definedName name="MO_PISO_CERAMICA_30a40_7">#REF!</definedName>
    <definedName name="MO_PISO_CERAMICA_30a40_8" localSheetId="8">#REF!</definedName>
    <definedName name="MO_PISO_CERAMICA_30a40_8">#REF!</definedName>
    <definedName name="MO_PISO_CERAMICA_30a40_9" localSheetId="8">#REF!</definedName>
    <definedName name="MO_PISO_CERAMICA_30a40_9">#REF!</definedName>
    <definedName name="MO_PISO_CERAMICA_30a40_BASE" localSheetId="8">#REF!</definedName>
    <definedName name="MO_PISO_CERAMICA_30a40_BASE">#REF!</definedName>
    <definedName name="MO_PISO_CERAMICA_30a40_BASE_10" localSheetId="8">#REF!</definedName>
    <definedName name="MO_PISO_CERAMICA_30a40_BASE_10">#REF!</definedName>
    <definedName name="MO_PISO_CERAMICA_30a40_BASE_11" localSheetId="8">#REF!</definedName>
    <definedName name="MO_PISO_CERAMICA_30a40_BASE_11">#REF!</definedName>
    <definedName name="MO_PISO_CERAMICA_30a40_BASE_6" localSheetId="8">#REF!</definedName>
    <definedName name="MO_PISO_CERAMICA_30a40_BASE_6">#REF!</definedName>
    <definedName name="MO_PISO_CERAMICA_30a40_BASE_7" localSheetId="8">#REF!</definedName>
    <definedName name="MO_PISO_CERAMICA_30a40_BASE_7">#REF!</definedName>
    <definedName name="MO_PISO_CERAMICA_30a40_BASE_8" localSheetId="8">#REF!</definedName>
    <definedName name="MO_PISO_CERAMICA_30a40_BASE_8">#REF!</definedName>
    <definedName name="MO_PISO_CERAMICA_30a40_BASE_9" localSheetId="8">#REF!</definedName>
    <definedName name="MO_PISO_CERAMICA_30a40_BASE_9">#REF!</definedName>
    <definedName name="MO_PISO_FROTA_VIOL" localSheetId="8">#REF!</definedName>
    <definedName name="MO_PISO_FROTA_VIOL">#REF!</definedName>
    <definedName name="MO_PISO_FROTA_VIOL_10" localSheetId="8">#REF!</definedName>
    <definedName name="MO_PISO_FROTA_VIOL_10">#REF!</definedName>
    <definedName name="MO_PISO_FROTA_VIOL_11" localSheetId="8">#REF!</definedName>
    <definedName name="MO_PISO_FROTA_VIOL_11">#REF!</definedName>
    <definedName name="MO_PISO_FROTA_VIOL_6" localSheetId="8">#REF!</definedName>
    <definedName name="MO_PISO_FROTA_VIOL_6">#REF!</definedName>
    <definedName name="MO_PISO_FROTA_VIOL_7" localSheetId="8">#REF!</definedName>
    <definedName name="MO_PISO_FROTA_VIOL_7">#REF!</definedName>
    <definedName name="MO_PISO_FROTA_VIOL_8" localSheetId="8">#REF!</definedName>
    <definedName name="MO_PISO_FROTA_VIOL_8">#REF!</definedName>
    <definedName name="MO_PISO_FROTA_VIOL_9" localSheetId="8">#REF!</definedName>
    <definedName name="MO_PISO_FROTA_VIOL_9">#REF!</definedName>
    <definedName name="MO_PISO_FROTADO" localSheetId="8">#REF!</definedName>
    <definedName name="MO_PISO_FROTADO">#REF!</definedName>
    <definedName name="MO_PISO_FROTADO_10" localSheetId="8">#REF!</definedName>
    <definedName name="MO_PISO_FROTADO_10">#REF!</definedName>
    <definedName name="MO_PISO_FROTADO_11" localSheetId="8">#REF!</definedName>
    <definedName name="MO_PISO_FROTADO_11">#REF!</definedName>
    <definedName name="MO_PISO_FROTADO_6" localSheetId="8">#REF!</definedName>
    <definedName name="MO_PISO_FROTADO_6">#REF!</definedName>
    <definedName name="MO_PISO_FROTADO_7" localSheetId="8">#REF!</definedName>
    <definedName name="MO_PISO_FROTADO_7">#REF!</definedName>
    <definedName name="MO_PISO_FROTADO_8" localSheetId="8">#REF!</definedName>
    <definedName name="MO_PISO_FROTADO_8">#REF!</definedName>
    <definedName name="MO_PISO_FROTADO_9" localSheetId="8">#REF!</definedName>
    <definedName name="MO_PISO_FROTADO_9">#REF!</definedName>
    <definedName name="MO_PISO_GRANITO_25" localSheetId="8">#REF!</definedName>
    <definedName name="MO_PISO_GRANITO_25">#REF!</definedName>
    <definedName name="MO_PISO_GRANITO_25_10" localSheetId="8">#REF!</definedName>
    <definedName name="MO_PISO_GRANITO_25_10">#REF!</definedName>
    <definedName name="MO_PISO_GRANITO_25_11" localSheetId="8">#REF!</definedName>
    <definedName name="MO_PISO_GRANITO_25_11">#REF!</definedName>
    <definedName name="MO_PISO_GRANITO_25_6" localSheetId="8">#REF!</definedName>
    <definedName name="MO_PISO_GRANITO_25_6">#REF!</definedName>
    <definedName name="MO_PISO_GRANITO_25_7" localSheetId="8">#REF!</definedName>
    <definedName name="MO_PISO_GRANITO_25_7">#REF!</definedName>
    <definedName name="MO_PISO_GRANITO_25_8" localSheetId="8">#REF!</definedName>
    <definedName name="MO_PISO_GRANITO_25_8">#REF!</definedName>
    <definedName name="MO_PISO_GRANITO_25_9" localSheetId="8">#REF!</definedName>
    <definedName name="MO_PISO_GRANITO_25_9">#REF!</definedName>
    <definedName name="MO_PISO_GRANITO_30" localSheetId="8">#REF!</definedName>
    <definedName name="MO_PISO_GRANITO_30">#REF!</definedName>
    <definedName name="MO_PISO_GRANITO_30_10" localSheetId="8">#REF!</definedName>
    <definedName name="MO_PISO_GRANITO_30_10">#REF!</definedName>
    <definedName name="MO_PISO_GRANITO_30_11" localSheetId="8">#REF!</definedName>
    <definedName name="MO_PISO_GRANITO_30_11">#REF!</definedName>
    <definedName name="MO_PISO_GRANITO_30_6" localSheetId="8">#REF!</definedName>
    <definedName name="MO_PISO_GRANITO_30_6">#REF!</definedName>
    <definedName name="MO_PISO_GRANITO_30_7" localSheetId="8">#REF!</definedName>
    <definedName name="MO_PISO_GRANITO_30_7">#REF!</definedName>
    <definedName name="MO_PISO_GRANITO_30_8" localSheetId="8">#REF!</definedName>
    <definedName name="MO_PISO_GRANITO_30_8">#REF!</definedName>
    <definedName name="MO_PISO_GRANITO_30_9" localSheetId="8">#REF!</definedName>
    <definedName name="MO_PISO_GRANITO_30_9">#REF!</definedName>
    <definedName name="MO_PISO_GRANITO_33" localSheetId="8">#REF!</definedName>
    <definedName name="MO_PISO_GRANITO_33">#REF!</definedName>
    <definedName name="MO_PISO_GRANITO_33_10" localSheetId="8">#REF!</definedName>
    <definedName name="MO_PISO_GRANITO_33_10">#REF!</definedName>
    <definedName name="MO_PISO_GRANITO_33_11" localSheetId="8">#REF!</definedName>
    <definedName name="MO_PISO_GRANITO_33_11">#REF!</definedName>
    <definedName name="MO_PISO_GRANITO_33_6" localSheetId="8">#REF!</definedName>
    <definedName name="MO_PISO_GRANITO_33_6">#REF!</definedName>
    <definedName name="MO_PISO_GRANITO_33_7" localSheetId="8">#REF!</definedName>
    <definedName name="MO_PISO_GRANITO_33_7">#REF!</definedName>
    <definedName name="MO_PISO_GRANITO_33_8" localSheetId="8">#REF!</definedName>
    <definedName name="MO_PISO_GRANITO_33_8">#REF!</definedName>
    <definedName name="MO_PISO_GRANITO_33_9" localSheetId="8">#REF!</definedName>
    <definedName name="MO_PISO_GRANITO_33_9">#REF!</definedName>
    <definedName name="MO_PISO_GRANITO_40" localSheetId="8">#REF!</definedName>
    <definedName name="MO_PISO_GRANITO_40">#REF!</definedName>
    <definedName name="MO_PISO_GRANITO_40_10" localSheetId="8">#REF!</definedName>
    <definedName name="MO_PISO_GRANITO_40_10">#REF!</definedName>
    <definedName name="MO_PISO_GRANITO_40_11" localSheetId="8">#REF!</definedName>
    <definedName name="MO_PISO_GRANITO_40_11">#REF!</definedName>
    <definedName name="MO_PISO_GRANITO_40_6" localSheetId="8">#REF!</definedName>
    <definedName name="MO_PISO_GRANITO_40_6">#REF!</definedName>
    <definedName name="MO_PISO_GRANITO_40_7" localSheetId="8">#REF!</definedName>
    <definedName name="MO_PISO_GRANITO_40_7">#REF!</definedName>
    <definedName name="MO_PISO_GRANITO_40_8" localSheetId="8">#REF!</definedName>
    <definedName name="MO_PISO_GRANITO_40_8">#REF!</definedName>
    <definedName name="MO_PISO_GRANITO_40_9" localSheetId="8">#REF!</definedName>
    <definedName name="MO_PISO_GRANITO_40_9">#REF!</definedName>
    <definedName name="MO_PISO_GRANITO_50" localSheetId="8">#REF!</definedName>
    <definedName name="MO_PISO_GRANITO_50">#REF!</definedName>
    <definedName name="MO_PISO_GRANITO_50_10" localSheetId="8">#REF!</definedName>
    <definedName name="MO_PISO_GRANITO_50_10">#REF!</definedName>
    <definedName name="MO_PISO_GRANITO_50_11" localSheetId="8">#REF!</definedName>
    <definedName name="MO_PISO_GRANITO_50_11">#REF!</definedName>
    <definedName name="MO_PISO_GRANITO_50_6" localSheetId="8">#REF!</definedName>
    <definedName name="MO_PISO_GRANITO_50_6">#REF!</definedName>
    <definedName name="MO_PISO_GRANITO_50_7" localSheetId="8">#REF!</definedName>
    <definedName name="MO_PISO_GRANITO_50_7">#REF!</definedName>
    <definedName name="MO_PISO_GRANITO_50_8" localSheetId="8">#REF!</definedName>
    <definedName name="MO_PISO_GRANITO_50_8">#REF!</definedName>
    <definedName name="MO_PISO_GRANITO_50_9" localSheetId="8">#REF!</definedName>
    <definedName name="MO_PISO_GRANITO_50_9">#REF!</definedName>
    <definedName name="MO_PISO_PULI_VIOL" localSheetId="8">#REF!</definedName>
    <definedName name="MO_PISO_PULI_VIOL">#REF!</definedName>
    <definedName name="MO_PISO_PULI_VIOL_10" localSheetId="8">#REF!</definedName>
    <definedName name="MO_PISO_PULI_VIOL_10">#REF!</definedName>
    <definedName name="MO_PISO_PULI_VIOL_11" localSheetId="8">#REF!</definedName>
    <definedName name="MO_PISO_PULI_VIOL_11">#REF!</definedName>
    <definedName name="MO_PISO_PULI_VIOL_6" localSheetId="8">#REF!</definedName>
    <definedName name="MO_PISO_PULI_VIOL_6">#REF!</definedName>
    <definedName name="MO_PISO_PULI_VIOL_7" localSheetId="8">#REF!</definedName>
    <definedName name="MO_PISO_PULI_VIOL_7">#REF!</definedName>
    <definedName name="MO_PISO_PULI_VIOL_8" localSheetId="8">#REF!</definedName>
    <definedName name="MO_PISO_PULI_VIOL_8">#REF!</definedName>
    <definedName name="MO_PISO_PULI_VIOL_9" localSheetId="8">#REF!</definedName>
    <definedName name="MO_PISO_PULI_VIOL_9">#REF!</definedName>
    <definedName name="MO_PISO_ZOCALO" localSheetId="8">#REF!</definedName>
    <definedName name="MO_PISO_ZOCALO">#REF!</definedName>
    <definedName name="MO_PISO_ZOCALO_10" localSheetId="8">#REF!</definedName>
    <definedName name="MO_PISO_ZOCALO_10">#REF!</definedName>
    <definedName name="MO_PISO_ZOCALO_11" localSheetId="8">#REF!</definedName>
    <definedName name="MO_PISO_ZOCALO_11">#REF!</definedName>
    <definedName name="MO_PISO_ZOCALO_6" localSheetId="8">#REF!</definedName>
    <definedName name="MO_PISO_ZOCALO_6">#REF!</definedName>
    <definedName name="MO_PISO_ZOCALO_7" localSheetId="8">#REF!</definedName>
    <definedName name="MO_PISO_ZOCALO_7">#REF!</definedName>
    <definedName name="MO_PISO_ZOCALO_8" localSheetId="8">#REF!</definedName>
    <definedName name="MO_PISO_ZOCALO_8">#REF!</definedName>
    <definedName name="MO_PISO_ZOCALO_9" localSheetId="8">#REF!</definedName>
    <definedName name="MO_PISO_ZOCALO_9">#REF!</definedName>
    <definedName name="MO_REPELLO" localSheetId="8">#REF!</definedName>
    <definedName name="MO_REPELLO">#REF!</definedName>
    <definedName name="MO_REPELLO_10" localSheetId="8">#REF!</definedName>
    <definedName name="MO_REPELLO_10">#REF!</definedName>
    <definedName name="MO_REPELLO_11" localSheetId="8">#REF!</definedName>
    <definedName name="MO_REPELLO_11">#REF!</definedName>
    <definedName name="MO_REPELLO_6" localSheetId="8">#REF!</definedName>
    <definedName name="MO_REPELLO_6">#REF!</definedName>
    <definedName name="MO_REPELLO_7" localSheetId="8">#REF!</definedName>
    <definedName name="MO_REPELLO_7">#REF!</definedName>
    <definedName name="MO_REPELLO_8" localSheetId="8">#REF!</definedName>
    <definedName name="MO_REPELLO_8">#REF!</definedName>
    <definedName name="MO_REPELLO_9" localSheetId="8">#REF!</definedName>
    <definedName name="MO_REPELLO_9">#REF!</definedName>
    <definedName name="MO_RESANE_FROTA" localSheetId="8">#REF!</definedName>
    <definedName name="MO_RESANE_FROTA">#REF!</definedName>
    <definedName name="MO_RESANE_FROTA_10" localSheetId="8">#REF!</definedName>
    <definedName name="MO_RESANE_FROTA_10">#REF!</definedName>
    <definedName name="MO_RESANE_FROTA_11" localSheetId="8">#REF!</definedName>
    <definedName name="MO_RESANE_FROTA_11">#REF!</definedName>
    <definedName name="MO_RESANE_FROTA_6" localSheetId="8">#REF!</definedName>
    <definedName name="MO_RESANE_FROTA_6">#REF!</definedName>
    <definedName name="MO_RESANE_FROTA_7" localSheetId="8">#REF!</definedName>
    <definedName name="MO_RESANE_FROTA_7">#REF!</definedName>
    <definedName name="MO_RESANE_FROTA_8" localSheetId="8">#REF!</definedName>
    <definedName name="MO_RESANE_FROTA_8">#REF!</definedName>
    <definedName name="MO_RESANE_FROTA_9" localSheetId="8">#REF!</definedName>
    <definedName name="MO_RESANE_FROTA_9">#REF!</definedName>
    <definedName name="MO_RESANE_GOMA" localSheetId="8">#REF!</definedName>
    <definedName name="MO_RESANE_GOMA">#REF!</definedName>
    <definedName name="MO_RESANE_GOMA_10" localSheetId="8">#REF!</definedName>
    <definedName name="MO_RESANE_GOMA_10">#REF!</definedName>
    <definedName name="MO_RESANE_GOMA_11" localSheetId="8">#REF!</definedName>
    <definedName name="MO_RESANE_GOMA_11">#REF!</definedName>
    <definedName name="MO_RESANE_GOMA_6" localSheetId="8">#REF!</definedName>
    <definedName name="MO_RESANE_GOMA_6">#REF!</definedName>
    <definedName name="MO_RESANE_GOMA_7" localSheetId="8">#REF!</definedName>
    <definedName name="MO_RESANE_GOMA_7">#REF!</definedName>
    <definedName name="MO_RESANE_GOMA_8" localSheetId="8">#REF!</definedName>
    <definedName name="MO_RESANE_GOMA_8">#REF!</definedName>
    <definedName name="MO_RESANE_GOMA_9" localSheetId="8">#REF!</definedName>
    <definedName name="MO_RESANE_GOMA_9">#REF!</definedName>
    <definedName name="MO_SUBIDA_BLOCK_4_1NIVEL" localSheetId="8">#REF!</definedName>
    <definedName name="MO_SUBIDA_BLOCK_4_1NIVEL">#REF!</definedName>
    <definedName name="MO_SUBIDA_BLOCK_4_1NIVEL_10" localSheetId="8">#REF!</definedName>
    <definedName name="MO_SUBIDA_BLOCK_4_1NIVEL_10">#REF!</definedName>
    <definedName name="MO_SUBIDA_BLOCK_4_1NIVEL_11" localSheetId="8">#REF!</definedName>
    <definedName name="MO_SUBIDA_BLOCK_4_1NIVEL_11">#REF!</definedName>
    <definedName name="MO_SUBIDA_BLOCK_4_1NIVEL_6" localSheetId="8">#REF!</definedName>
    <definedName name="MO_SUBIDA_BLOCK_4_1NIVEL_6">#REF!</definedName>
    <definedName name="MO_SUBIDA_BLOCK_4_1NIVEL_7" localSheetId="8">#REF!</definedName>
    <definedName name="MO_SUBIDA_BLOCK_4_1NIVEL_7">#REF!</definedName>
    <definedName name="MO_SUBIDA_BLOCK_4_1NIVEL_8" localSheetId="8">#REF!</definedName>
    <definedName name="MO_SUBIDA_BLOCK_4_1NIVEL_8">#REF!</definedName>
    <definedName name="MO_SUBIDA_BLOCK_4_1NIVEL_9" localSheetId="8">#REF!</definedName>
    <definedName name="MO_SUBIDA_BLOCK_4_1NIVEL_9">#REF!</definedName>
    <definedName name="MO_SUBIDA_BLOCK_6_1NIVEL" localSheetId="8">#REF!</definedName>
    <definedName name="MO_SUBIDA_BLOCK_6_1NIVEL">#REF!</definedName>
    <definedName name="MO_SUBIDA_BLOCK_6_1NIVEL_10" localSheetId="8">#REF!</definedName>
    <definedName name="MO_SUBIDA_BLOCK_6_1NIVEL_10">#REF!</definedName>
    <definedName name="MO_SUBIDA_BLOCK_6_1NIVEL_11" localSheetId="8">#REF!</definedName>
    <definedName name="MO_SUBIDA_BLOCK_6_1NIVEL_11">#REF!</definedName>
    <definedName name="MO_SUBIDA_BLOCK_6_1NIVEL_6" localSheetId="8">#REF!</definedName>
    <definedName name="MO_SUBIDA_BLOCK_6_1NIVEL_6">#REF!</definedName>
    <definedName name="MO_SUBIDA_BLOCK_6_1NIVEL_7" localSheetId="8">#REF!</definedName>
    <definedName name="MO_SUBIDA_BLOCK_6_1NIVEL_7">#REF!</definedName>
    <definedName name="MO_SUBIDA_BLOCK_6_1NIVEL_8" localSheetId="8">#REF!</definedName>
    <definedName name="MO_SUBIDA_BLOCK_6_1NIVEL_8">#REF!</definedName>
    <definedName name="MO_SUBIDA_BLOCK_6_1NIVEL_9" localSheetId="8">#REF!</definedName>
    <definedName name="MO_SUBIDA_BLOCK_6_1NIVEL_9">#REF!</definedName>
    <definedName name="MO_SUBIDA_BLOCK_8_1NIVEL" localSheetId="8">#REF!</definedName>
    <definedName name="MO_SUBIDA_BLOCK_8_1NIVEL">#REF!</definedName>
    <definedName name="MO_SUBIDA_BLOCK_8_1NIVEL_10" localSheetId="8">#REF!</definedName>
    <definedName name="MO_SUBIDA_BLOCK_8_1NIVEL_10">#REF!</definedName>
    <definedName name="MO_SUBIDA_BLOCK_8_1NIVEL_11" localSheetId="8">#REF!</definedName>
    <definedName name="MO_SUBIDA_BLOCK_8_1NIVEL_11">#REF!</definedName>
    <definedName name="MO_SUBIDA_BLOCK_8_1NIVEL_6" localSheetId="8">#REF!</definedName>
    <definedName name="MO_SUBIDA_BLOCK_8_1NIVEL_6">#REF!</definedName>
    <definedName name="MO_SUBIDA_BLOCK_8_1NIVEL_7" localSheetId="8">#REF!</definedName>
    <definedName name="MO_SUBIDA_BLOCK_8_1NIVEL_7">#REF!</definedName>
    <definedName name="MO_SUBIDA_BLOCK_8_1NIVEL_8" localSheetId="8">#REF!</definedName>
    <definedName name="MO_SUBIDA_BLOCK_8_1NIVEL_8">#REF!</definedName>
    <definedName name="MO_SUBIDA_BLOCK_8_1NIVEL_9" localSheetId="8">#REF!</definedName>
    <definedName name="MO_SUBIDA_BLOCK_8_1NIVEL_9">#REF!</definedName>
    <definedName name="MO_SUBIDA_CEMENTO_1NIVEL" localSheetId="8">#REF!</definedName>
    <definedName name="MO_SUBIDA_CEMENTO_1NIVEL">#REF!</definedName>
    <definedName name="MO_SUBIDA_CEMENTO_1NIVEL_10" localSheetId="8">#REF!</definedName>
    <definedName name="MO_SUBIDA_CEMENTO_1NIVEL_10">#REF!</definedName>
    <definedName name="MO_SUBIDA_CEMENTO_1NIVEL_11" localSheetId="8">#REF!</definedName>
    <definedName name="MO_SUBIDA_CEMENTO_1NIVEL_11">#REF!</definedName>
    <definedName name="MO_SUBIDA_CEMENTO_1NIVEL_6" localSheetId="8">#REF!</definedName>
    <definedName name="MO_SUBIDA_CEMENTO_1NIVEL_6">#REF!</definedName>
    <definedName name="MO_SUBIDA_CEMENTO_1NIVEL_7" localSheetId="8">#REF!</definedName>
    <definedName name="MO_SUBIDA_CEMENTO_1NIVEL_7">#REF!</definedName>
    <definedName name="MO_SUBIDA_CEMENTO_1NIVEL_8" localSheetId="8">#REF!</definedName>
    <definedName name="MO_SUBIDA_CEMENTO_1NIVEL_8">#REF!</definedName>
    <definedName name="MO_SUBIDA_CEMENTO_1NIVEL_9" localSheetId="8">#REF!</definedName>
    <definedName name="MO_SUBIDA_CEMENTO_1NIVEL_9">#REF!</definedName>
    <definedName name="MO_SUBIDA_MADERA_1NIVEL" localSheetId="8">#REF!</definedName>
    <definedName name="MO_SUBIDA_MADERA_1NIVEL">#REF!</definedName>
    <definedName name="MO_SUBIDA_MADERA_1NIVEL_10" localSheetId="8">#REF!</definedName>
    <definedName name="MO_SUBIDA_MADERA_1NIVEL_10">#REF!</definedName>
    <definedName name="MO_SUBIDA_MADERA_1NIVEL_11" localSheetId="8">#REF!</definedName>
    <definedName name="MO_SUBIDA_MADERA_1NIVEL_11">#REF!</definedName>
    <definedName name="MO_SUBIDA_MADERA_1NIVEL_6" localSheetId="8">#REF!</definedName>
    <definedName name="MO_SUBIDA_MADERA_1NIVEL_6">#REF!</definedName>
    <definedName name="MO_SUBIDA_MADERA_1NIVEL_7" localSheetId="8">#REF!</definedName>
    <definedName name="MO_SUBIDA_MADERA_1NIVEL_7">#REF!</definedName>
    <definedName name="MO_SUBIDA_MADERA_1NIVEL_8" localSheetId="8">#REF!</definedName>
    <definedName name="MO_SUBIDA_MADERA_1NIVEL_8">#REF!</definedName>
    <definedName name="MO_SUBIDA_MADERA_1NIVEL_9" localSheetId="8">#REF!</definedName>
    <definedName name="MO_SUBIDA_MADERA_1NIVEL_9">#REF!</definedName>
    <definedName name="MO_SUBIR_AGREGADO_1Nivel" localSheetId="8">#REF!</definedName>
    <definedName name="MO_SUBIR_AGREGADO_1Nivel">#REF!</definedName>
    <definedName name="MO_SUBIR_AGREGADO_1Nivel_10" localSheetId="8">#REF!</definedName>
    <definedName name="MO_SUBIR_AGREGADO_1Nivel_10">#REF!</definedName>
    <definedName name="MO_SUBIR_AGREGADO_1Nivel_11" localSheetId="8">#REF!</definedName>
    <definedName name="MO_SUBIR_AGREGADO_1Nivel_11">#REF!</definedName>
    <definedName name="MO_SUBIR_AGREGADO_1Nivel_6" localSheetId="8">#REF!</definedName>
    <definedName name="MO_SUBIR_AGREGADO_1Nivel_6">#REF!</definedName>
    <definedName name="MO_SUBIR_AGREGADO_1Nivel_7" localSheetId="8">#REF!</definedName>
    <definedName name="MO_SUBIR_AGREGADO_1Nivel_7">#REF!</definedName>
    <definedName name="MO_SUBIR_AGREGADO_1Nivel_8" localSheetId="8">#REF!</definedName>
    <definedName name="MO_SUBIR_AGREGADO_1Nivel_8">#REF!</definedName>
    <definedName name="MO_SUBIR_AGREGADO_1Nivel_9" localSheetId="8">#REF!</definedName>
    <definedName name="MO_SUBIR_AGREGADO_1Nivel_9">#REF!</definedName>
    <definedName name="MO_SubirAcero_1Niv" localSheetId="8">#REF!</definedName>
    <definedName name="MO_SubirAcero_1Niv">#REF!</definedName>
    <definedName name="MO_SubirAcero_1Niv_10" localSheetId="8">#REF!</definedName>
    <definedName name="MO_SubirAcero_1Niv_10">#REF!</definedName>
    <definedName name="MO_SubirAcero_1Niv_11" localSheetId="8">#REF!</definedName>
    <definedName name="MO_SubirAcero_1Niv_11">#REF!</definedName>
    <definedName name="MO_SubirAcero_1Niv_6" localSheetId="8">#REF!</definedName>
    <definedName name="MO_SubirAcero_1Niv_6">#REF!</definedName>
    <definedName name="MO_SubirAcero_1Niv_7" localSheetId="8">#REF!</definedName>
    <definedName name="MO_SubirAcero_1Niv_7">#REF!</definedName>
    <definedName name="MO_SubirAcero_1Niv_8" localSheetId="8">#REF!</definedName>
    <definedName name="MO_SubirAcero_1Niv_8">#REF!</definedName>
    <definedName name="MO_SubirAcero_1Niv_9" localSheetId="8">#REF!</definedName>
    <definedName name="MO_SubirAcero_1Niv_9">#REF!</definedName>
    <definedName name="MO_ZABALETA_PISO" localSheetId="8">#REF!</definedName>
    <definedName name="MO_ZABALETA_PISO">#REF!</definedName>
    <definedName name="MO_ZABALETA_PISO_10" localSheetId="8">#REF!</definedName>
    <definedName name="MO_ZABALETA_PISO_10">#REF!</definedName>
    <definedName name="MO_ZABALETA_PISO_11" localSheetId="8">#REF!</definedName>
    <definedName name="MO_ZABALETA_PISO_11">#REF!</definedName>
    <definedName name="MO_ZABALETA_PISO_6" localSheetId="8">#REF!</definedName>
    <definedName name="MO_ZABALETA_PISO_6">#REF!</definedName>
    <definedName name="MO_ZABALETA_PISO_7" localSheetId="8">#REF!</definedName>
    <definedName name="MO_ZABALETA_PISO_7">#REF!</definedName>
    <definedName name="MO_ZABALETA_PISO_8" localSheetId="8">#REF!</definedName>
    <definedName name="MO_ZABALETA_PISO_8">#REF!</definedName>
    <definedName name="MO_ZABALETA_PISO_9" localSheetId="8">#REF!</definedName>
    <definedName name="MO_ZABALETA_PISO_9">#REF!</definedName>
    <definedName name="MO_ZABALETA_TECHO" localSheetId="8">#REF!</definedName>
    <definedName name="MO_ZABALETA_TECHO">#REF!</definedName>
    <definedName name="MO_ZABALETA_TECHO_10" localSheetId="8">#REF!</definedName>
    <definedName name="MO_ZABALETA_TECHO_10">#REF!</definedName>
    <definedName name="MO_ZABALETA_TECHO_11" localSheetId="8">#REF!</definedName>
    <definedName name="MO_ZABALETA_TECHO_11">#REF!</definedName>
    <definedName name="MO_ZABALETA_TECHO_6" localSheetId="8">#REF!</definedName>
    <definedName name="MO_ZABALETA_TECHO_6">#REF!</definedName>
    <definedName name="MO_ZABALETA_TECHO_7" localSheetId="8">#REF!</definedName>
    <definedName name="MO_ZABALETA_TECHO_7">#REF!</definedName>
    <definedName name="MO_ZABALETA_TECHO_8" localSheetId="8">#REF!</definedName>
    <definedName name="MO_ZABALETA_TECHO_8">#REF!</definedName>
    <definedName name="MO_ZABALETA_TECHO_9" localSheetId="8">#REF!</definedName>
    <definedName name="MO_ZABALETA_TECHO_9">#REF!</definedName>
    <definedName name="moacero" localSheetId="8">#REF!</definedName>
    <definedName name="moacero">#REF!</definedName>
    <definedName name="moacero_8" localSheetId="8">#REF!</definedName>
    <definedName name="moacero_8">#REF!</definedName>
    <definedName name="moaceromalla" localSheetId="8">#REF!</definedName>
    <definedName name="moaceromalla">#REF!</definedName>
    <definedName name="moaceromalla_8" localSheetId="8">#REF!</definedName>
    <definedName name="moaceromalla_8">#REF!</definedName>
    <definedName name="moacerorampa" localSheetId="8">#REF!</definedName>
    <definedName name="moacerorampa">#REF!</definedName>
    <definedName name="moacerorampa_8" localSheetId="8">#REF!</definedName>
    <definedName name="moacerorampa_8">#REF!</definedName>
    <definedName name="MOLDE_ESTAMPADO" localSheetId="8">#REF!</definedName>
    <definedName name="MOLDE_ESTAMPADO">#REF!</definedName>
    <definedName name="MOLDE_ESTAMPADO_10" localSheetId="8">#REF!</definedName>
    <definedName name="MOLDE_ESTAMPADO_10">#REF!</definedName>
    <definedName name="MOLDE_ESTAMPADO_11" localSheetId="8">#REF!</definedName>
    <definedName name="MOLDE_ESTAMPADO_11">#REF!</definedName>
    <definedName name="MOLDE_ESTAMPADO_6" localSheetId="8">#REF!</definedName>
    <definedName name="MOLDE_ESTAMPADO_6">#REF!</definedName>
    <definedName name="MOLDE_ESTAMPADO_7" localSheetId="8">#REF!</definedName>
    <definedName name="MOLDE_ESTAMPADO_7">#REF!</definedName>
    <definedName name="MOLDE_ESTAMPADO_8" localSheetId="8">#REF!</definedName>
    <definedName name="MOLDE_ESTAMPADO_8">#REF!</definedName>
    <definedName name="MOLDE_ESTAMPADO_9" localSheetId="8">#REF!</definedName>
    <definedName name="MOLDE_ESTAMPADO_9">#REF!</definedName>
    <definedName name="MOPISOCERAMICA" localSheetId="8">[20]INS!#REF!</definedName>
    <definedName name="MOPISOCERAMICA">[20]INS!#REF!</definedName>
    <definedName name="MOPISOCERAMICA_6" localSheetId="8">#REF!</definedName>
    <definedName name="MOPISOCERAMICA_6">#REF!</definedName>
    <definedName name="MOPISOCERAMICA_8" localSheetId="8">#REF!</definedName>
    <definedName name="MOPISOCERAMICA_8">#REF!</definedName>
    <definedName name="morpanete">'[28]Analisis Unit. '!$F$85</definedName>
    <definedName name="mortero.1.4.pañete">'[32]Ana. Horm mexc mort'!$D$85</definedName>
    <definedName name="MOTONIVELADORA" localSheetId="8">#REF!</definedName>
    <definedName name="MOTONIVELADORA">#REF!</definedName>
    <definedName name="MOTONIVELADORA_10" localSheetId="8">#REF!</definedName>
    <definedName name="MOTONIVELADORA_10">#REF!</definedName>
    <definedName name="MOTONIVELADORA_11" localSheetId="8">#REF!</definedName>
    <definedName name="MOTONIVELADORA_11">#REF!</definedName>
    <definedName name="MOTONIVELADORA_6" localSheetId="8">#REF!</definedName>
    <definedName name="MOTONIVELADORA_6">#REF!</definedName>
    <definedName name="MOTONIVELADORA_7" localSheetId="8">#REF!</definedName>
    <definedName name="MOTONIVELADORA_7">#REF!</definedName>
    <definedName name="MOTONIVELADORA_8" localSheetId="8">#REF!</definedName>
    <definedName name="MOTONIVELADORA_8">#REF!</definedName>
    <definedName name="MOTONIVELADORA_9" localSheetId="8">#REF!</definedName>
    <definedName name="MOTONIVELADORA_9">#REF!</definedName>
    <definedName name="MURO30" localSheetId="8">#REF!</definedName>
    <definedName name="MURO30">#REF!</definedName>
    <definedName name="MURO30_6" localSheetId="8">#REF!</definedName>
    <definedName name="MURO30_6">#REF!</definedName>
    <definedName name="MUROBOVEDA12A10X2AD" localSheetId="8">#REF!</definedName>
    <definedName name="MUROBOVEDA12A10X2AD">#REF!</definedName>
    <definedName name="MUROBOVEDA12A10X2AD_6" localSheetId="8">#REF!</definedName>
    <definedName name="MUROBOVEDA12A10X2AD_6">#REF!</definedName>
    <definedName name="NADA" localSheetId="8">[39]Insumos!#REF!</definedName>
    <definedName name="NADA">[39]Insumos!#REF!</definedName>
    <definedName name="NADA_6" localSheetId="8">#REF!</definedName>
    <definedName name="NADA_6">#REF!</definedName>
    <definedName name="NADA_8" localSheetId="8">#REF!</definedName>
    <definedName name="NADA_8">#REF!</definedName>
    <definedName name="NAMA" localSheetId="8">#REF!</definedName>
    <definedName name="NAMA">#REF!</definedName>
    <definedName name="NINGUNA" localSheetId="8">[39]Insumos!#REF!</definedName>
    <definedName name="NINGUNA">[39]Insumos!#REF!</definedName>
    <definedName name="NINGUNA_6" localSheetId="8">#REF!</definedName>
    <definedName name="NINGUNA_6">#REF!</definedName>
    <definedName name="NINGUNA_8" localSheetId="8">#REF!</definedName>
    <definedName name="NINGUNA_8">#REF!</definedName>
    <definedName name="NIPLE_ACERO_12x3" localSheetId="8">#REF!</definedName>
    <definedName name="NIPLE_ACERO_12x3">#REF!</definedName>
    <definedName name="NIPLE_ACERO_12x3_10" localSheetId="8">#REF!</definedName>
    <definedName name="NIPLE_ACERO_12x3_10">#REF!</definedName>
    <definedName name="NIPLE_ACERO_12x3_11" localSheetId="8">#REF!</definedName>
    <definedName name="NIPLE_ACERO_12x3_11">#REF!</definedName>
    <definedName name="NIPLE_ACERO_12x3_6" localSheetId="8">#REF!</definedName>
    <definedName name="NIPLE_ACERO_12x3_6">#REF!</definedName>
    <definedName name="NIPLE_ACERO_12x3_7" localSheetId="8">#REF!</definedName>
    <definedName name="NIPLE_ACERO_12x3_7">#REF!</definedName>
    <definedName name="NIPLE_ACERO_12x3_8" localSheetId="8">#REF!</definedName>
    <definedName name="NIPLE_ACERO_12x3_8">#REF!</definedName>
    <definedName name="NIPLE_ACERO_12x3_9" localSheetId="8">#REF!</definedName>
    <definedName name="NIPLE_ACERO_12x3_9">#REF!</definedName>
    <definedName name="NIPLE_ACERO_16x2" localSheetId="8">#REF!</definedName>
    <definedName name="NIPLE_ACERO_16x2">#REF!</definedName>
    <definedName name="NIPLE_ACERO_16x2_10" localSheetId="8">#REF!</definedName>
    <definedName name="NIPLE_ACERO_16x2_10">#REF!</definedName>
    <definedName name="NIPLE_ACERO_16x2_11" localSheetId="8">#REF!</definedName>
    <definedName name="NIPLE_ACERO_16x2_11">#REF!</definedName>
    <definedName name="NIPLE_ACERO_16x2_6" localSheetId="8">#REF!</definedName>
    <definedName name="NIPLE_ACERO_16x2_6">#REF!</definedName>
    <definedName name="NIPLE_ACERO_16x2_7" localSheetId="8">#REF!</definedName>
    <definedName name="NIPLE_ACERO_16x2_7">#REF!</definedName>
    <definedName name="NIPLE_ACERO_16x2_8" localSheetId="8">#REF!</definedName>
    <definedName name="NIPLE_ACERO_16x2_8">#REF!</definedName>
    <definedName name="NIPLE_ACERO_16x2_9" localSheetId="8">#REF!</definedName>
    <definedName name="NIPLE_ACERO_16x2_9">#REF!</definedName>
    <definedName name="NIPLE_ACERO_16x3" localSheetId="8">#REF!</definedName>
    <definedName name="NIPLE_ACERO_16x3">#REF!</definedName>
    <definedName name="NIPLE_ACERO_16x3_10" localSheetId="8">#REF!</definedName>
    <definedName name="NIPLE_ACERO_16x3_10">#REF!</definedName>
    <definedName name="NIPLE_ACERO_16x3_11" localSheetId="8">#REF!</definedName>
    <definedName name="NIPLE_ACERO_16x3_11">#REF!</definedName>
    <definedName name="NIPLE_ACERO_16x3_6" localSheetId="8">#REF!</definedName>
    <definedName name="NIPLE_ACERO_16x3_6">#REF!</definedName>
    <definedName name="NIPLE_ACERO_16x3_7" localSheetId="8">#REF!</definedName>
    <definedName name="NIPLE_ACERO_16x3_7">#REF!</definedName>
    <definedName name="NIPLE_ACERO_16x3_8" localSheetId="8">#REF!</definedName>
    <definedName name="NIPLE_ACERO_16x3_8">#REF!</definedName>
    <definedName name="NIPLE_ACERO_16x3_9" localSheetId="8">#REF!</definedName>
    <definedName name="NIPLE_ACERO_16x3_9">#REF!</definedName>
    <definedName name="NIPLE_ACERO_20x3" localSheetId="8">#REF!</definedName>
    <definedName name="NIPLE_ACERO_20x3">#REF!</definedName>
    <definedName name="NIPLE_ACERO_20x3_10" localSheetId="8">#REF!</definedName>
    <definedName name="NIPLE_ACERO_20x3_10">#REF!</definedName>
    <definedName name="NIPLE_ACERO_20x3_11" localSheetId="8">#REF!</definedName>
    <definedName name="NIPLE_ACERO_20x3_11">#REF!</definedName>
    <definedName name="NIPLE_ACERO_20x3_6" localSheetId="8">#REF!</definedName>
    <definedName name="NIPLE_ACERO_20x3_6">#REF!</definedName>
    <definedName name="NIPLE_ACERO_20x3_7" localSheetId="8">#REF!</definedName>
    <definedName name="NIPLE_ACERO_20x3_7">#REF!</definedName>
    <definedName name="NIPLE_ACERO_20x3_8" localSheetId="8">#REF!</definedName>
    <definedName name="NIPLE_ACERO_20x3_8">#REF!</definedName>
    <definedName name="NIPLE_ACERO_20x3_9" localSheetId="8">#REF!</definedName>
    <definedName name="NIPLE_ACERO_20x3_9">#REF!</definedName>
    <definedName name="NIPLE_ACERO_6x3" localSheetId="8">#REF!</definedName>
    <definedName name="NIPLE_ACERO_6x3">#REF!</definedName>
    <definedName name="NIPLE_ACERO_6x3_10" localSheetId="8">#REF!</definedName>
    <definedName name="NIPLE_ACERO_6x3_10">#REF!</definedName>
    <definedName name="NIPLE_ACERO_6x3_11" localSheetId="8">#REF!</definedName>
    <definedName name="NIPLE_ACERO_6x3_11">#REF!</definedName>
    <definedName name="NIPLE_ACERO_6x3_6" localSheetId="8">#REF!</definedName>
    <definedName name="NIPLE_ACERO_6x3_6">#REF!</definedName>
    <definedName name="NIPLE_ACERO_6x3_7" localSheetId="8">#REF!</definedName>
    <definedName name="NIPLE_ACERO_6x3_7">#REF!</definedName>
    <definedName name="NIPLE_ACERO_6x3_8" localSheetId="8">#REF!</definedName>
    <definedName name="NIPLE_ACERO_6x3_8">#REF!</definedName>
    <definedName name="NIPLE_ACERO_6x3_9" localSheetId="8">#REF!</definedName>
    <definedName name="NIPLE_ACERO_6x3_9">#REF!</definedName>
    <definedName name="NIPLE_ACERO_8x3" localSheetId="8">#REF!</definedName>
    <definedName name="NIPLE_ACERO_8x3">#REF!</definedName>
    <definedName name="NIPLE_ACERO_8x3_10" localSheetId="8">#REF!</definedName>
    <definedName name="NIPLE_ACERO_8x3_10">#REF!</definedName>
    <definedName name="NIPLE_ACERO_8x3_11" localSheetId="8">#REF!</definedName>
    <definedName name="NIPLE_ACERO_8x3_11">#REF!</definedName>
    <definedName name="NIPLE_ACERO_8x3_6" localSheetId="8">#REF!</definedName>
    <definedName name="NIPLE_ACERO_8x3_6">#REF!</definedName>
    <definedName name="NIPLE_ACERO_8x3_7" localSheetId="8">#REF!</definedName>
    <definedName name="NIPLE_ACERO_8x3_7">#REF!</definedName>
    <definedName name="NIPLE_ACERO_8x3_8" localSheetId="8">#REF!</definedName>
    <definedName name="NIPLE_ACERO_8x3_8">#REF!</definedName>
    <definedName name="NIPLE_ACERO_8x3_9" localSheetId="8">#REF!</definedName>
    <definedName name="NIPLE_ACERO_8x3_9">#REF!</definedName>
    <definedName name="NIPLE_ACERO_PLATILLADO_12x12" localSheetId="8">#REF!</definedName>
    <definedName name="NIPLE_ACERO_PLATILLADO_12x12">#REF!</definedName>
    <definedName name="NIPLE_ACERO_PLATILLADO_12x12_10" localSheetId="8">#REF!</definedName>
    <definedName name="NIPLE_ACERO_PLATILLADO_12x12_10">#REF!</definedName>
    <definedName name="NIPLE_ACERO_PLATILLADO_12x12_11" localSheetId="8">#REF!</definedName>
    <definedName name="NIPLE_ACERO_PLATILLADO_12x12_11">#REF!</definedName>
    <definedName name="NIPLE_ACERO_PLATILLADO_12x12_6" localSheetId="8">#REF!</definedName>
    <definedName name="NIPLE_ACERO_PLATILLADO_12x12_6">#REF!</definedName>
    <definedName name="NIPLE_ACERO_PLATILLADO_12x12_7" localSheetId="8">#REF!</definedName>
    <definedName name="NIPLE_ACERO_PLATILLADO_12x12_7">#REF!</definedName>
    <definedName name="NIPLE_ACERO_PLATILLADO_12x12_8" localSheetId="8">#REF!</definedName>
    <definedName name="NIPLE_ACERO_PLATILLADO_12x12_8">#REF!</definedName>
    <definedName name="NIPLE_ACERO_PLATILLADO_12x12_9" localSheetId="8">#REF!</definedName>
    <definedName name="NIPLE_ACERO_PLATILLADO_12x12_9">#REF!</definedName>
    <definedName name="NIPLE_ACERO_PLATILLADO_2x1" localSheetId="8">#REF!</definedName>
    <definedName name="NIPLE_ACERO_PLATILLADO_2x1">#REF!</definedName>
    <definedName name="NIPLE_ACERO_PLATILLADO_2x1_10" localSheetId="8">#REF!</definedName>
    <definedName name="NIPLE_ACERO_PLATILLADO_2x1_10">#REF!</definedName>
    <definedName name="NIPLE_ACERO_PLATILLADO_2x1_11" localSheetId="8">#REF!</definedName>
    <definedName name="NIPLE_ACERO_PLATILLADO_2x1_11">#REF!</definedName>
    <definedName name="NIPLE_ACERO_PLATILLADO_2x1_6" localSheetId="8">#REF!</definedName>
    <definedName name="NIPLE_ACERO_PLATILLADO_2x1_6">#REF!</definedName>
    <definedName name="NIPLE_ACERO_PLATILLADO_2x1_7" localSheetId="8">#REF!</definedName>
    <definedName name="NIPLE_ACERO_PLATILLADO_2x1_7">#REF!</definedName>
    <definedName name="NIPLE_ACERO_PLATILLADO_2x1_8" localSheetId="8">#REF!</definedName>
    <definedName name="NIPLE_ACERO_PLATILLADO_2x1_8">#REF!</definedName>
    <definedName name="NIPLE_ACERO_PLATILLADO_2x1_9" localSheetId="8">#REF!</definedName>
    <definedName name="NIPLE_ACERO_PLATILLADO_2x1_9">#REF!</definedName>
    <definedName name="NIPLE_ACERO_PLATILLADO_3x1" localSheetId="8">#REF!</definedName>
    <definedName name="NIPLE_ACERO_PLATILLADO_3x1">#REF!</definedName>
    <definedName name="NIPLE_ACERO_PLATILLADO_3x1_10" localSheetId="8">#REF!</definedName>
    <definedName name="NIPLE_ACERO_PLATILLADO_3x1_10">#REF!</definedName>
    <definedName name="NIPLE_ACERO_PLATILLADO_3x1_11" localSheetId="8">#REF!</definedName>
    <definedName name="NIPLE_ACERO_PLATILLADO_3x1_11">#REF!</definedName>
    <definedName name="NIPLE_ACERO_PLATILLADO_3x1_6" localSheetId="8">#REF!</definedName>
    <definedName name="NIPLE_ACERO_PLATILLADO_3x1_6">#REF!</definedName>
    <definedName name="NIPLE_ACERO_PLATILLADO_3x1_7" localSheetId="8">#REF!</definedName>
    <definedName name="NIPLE_ACERO_PLATILLADO_3x1_7">#REF!</definedName>
    <definedName name="NIPLE_ACERO_PLATILLADO_3x1_8" localSheetId="8">#REF!</definedName>
    <definedName name="NIPLE_ACERO_PLATILLADO_3x1_8">#REF!</definedName>
    <definedName name="NIPLE_ACERO_PLATILLADO_3x1_9" localSheetId="8">#REF!</definedName>
    <definedName name="NIPLE_ACERO_PLATILLADO_3x1_9">#REF!</definedName>
    <definedName name="NIPLE_ACERO_PLATILLADO_8x1" localSheetId="8">#REF!</definedName>
    <definedName name="NIPLE_ACERO_PLATILLADO_8x1">#REF!</definedName>
    <definedName name="NIPLE_ACERO_PLATILLADO_8x1_10" localSheetId="8">#REF!</definedName>
    <definedName name="NIPLE_ACERO_PLATILLADO_8x1_10">#REF!</definedName>
    <definedName name="NIPLE_ACERO_PLATILLADO_8x1_11" localSheetId="8">#REF!</definedName>
    <definedName name="NIPLE_ACERO_PLATILLADO_8x1_11">#REF!</definedName>
    <definedName name="NIPLE_ACERO_PLATILLADO_8x1_6" localSheetId="8">#REF!</definedName>
    <definedName name="NIPLE_ACERO_PLATILLADO_8x1_6">#REF!</definedName>
    <definedName name="NIPLE_ACERO_PLATILLADO_8x1_7" localSheetId="8">#REF!</definedName>
    <definedName name="NIPLE_ACERO_PLATILLADO_8x1_7">#REF!</definedName>
    <definedName name="NIPLE_ACERO_PLATILLADO_8x1_8" localSheetId="8">#REF!</definedName>
    <definedName name="NIPLE_ACERO_PLATILLADO_8x1_8">#REF!</definedName>
    <definedName name="NIPLE_ACERO_PLATILLADO_8x1_9" localSheetId="8">#REF!</definedName>
    <definedName name="NIPLE_ACERO_PLATILLADO_8x1_9">#REF!</definedName>
    <definedName name="NIPLE_CROMO_38x2_12" localSheetId="8">#REF!</definedName>
    <definedName name="NIPLE_CROMO_38x2_12">#REF!</definedName>
    <definedName name="NIPLE_CROMO_38x2_12_10" localSheetId="8">#REF!</definedName>
    <definedName name="NIPLE_CROMO_38x2_12_10">#REF!</definedName>
    <definedName name="NIPLE_CROMO_38x2_12_11" localSheetId="8">#REF!</definedName>
    <definedName name="NIPLE_CROMO_38x2_12_11">#REF!</definedName>
    <definedName name="NIPLE_CROMO_38x2_12_6" localSheetId="8">#REF!</definedName>
    <definedName name="NIPLE_CROMO_38x2_12_6">#REF!</definedName>
    <definedName name="NIPLE_CROMO_38x2_12_7" localSheetId="8">#REF!</definedName>
    <definedName name="NIPLE_CROMO_38x2_12_7">#REF!</definedName>
    <definedName name="NIPLE_CROMO_38x2_12_8" localSheetId="8">#REF!</definedName>
    <definedName name="NIPLE_CROMO_38x2_12_8">#REF!</definedName>
    <definedName name="NIPLE_CROMO_38x2_12_9" localSheetId="8">#REF!</definedName>
    <definedName name="NIPLE_CROMO_38x2_12_9">#REF!</definedName>
    <definedName name="NIPLE_HG_12x4" localSheetId="8">#REF!</definedName>
    <definedName name="NIPLE_HG_12x4">#REF!</definedName>
    <definedName name="NIPLE_HG_12x4_10" localSheetId="8">#REF!</definedName>
    <definedName name="NIPLE_HG_12x4_10">#REF!</definedName>
    <definedName name="NIPLE_HG_12x4_11" localSheetId="8">#REF!</definedName>
    <definedName name="NIPLE_HG_12x4_11">#REF!</definedName>
    <definedName name="NIPLE_HG_12x4_6" localSheetId="8">#REF!</definedName>
    <definedName name="NIPLE_HG_12x4_6">#REF!</definedName>
    <definedName name="NIPLE_HG_12x4_7" localSheetId="8">#REF!</definedName>
    <definedName name="NIPLE_HG_12x4_7">#REF!</definedName>
    <definedName name="NIPLE_HG_12x4_8" localSheetId="8">#REF!</definedName>
    <definedName name="NIPLE_HG_12x4_8">#REF!</definedName>
    <definedName name="NIPLE_HG_12x4_9" localSheetId="8">#REF!</definedName>
    <definedName name="NIPLE_HG_12x4_9">#REF!</definedName>
    <definedName name="NIPLE_HG_34x4" localSheetId="8">#REF!</definedName>
    <definedName name="NIPLE_HG_34x4">#REF!</definedName>
    <definedName name="NIPLE_HG_34x4_10" localSheetId="8">#REF!</definedName>
    <definedName name="NIPLE_HG_34x4_10">#REF!</definedName>
    <definedName name="NIPLE_HG_34x4_11" localSheetId="8">#REF!</definedName>
    <definedName name="NIPLE_HG_34x4_11">#REF!</definedName>
    <definedName name="NIPLE_HG_34x4_6" localSheetId="8">#REF!</definedName>
    <definedName name="NIPLE_HG_34x4_6">#REF!</definedName>
    <definedName name="NIPLE_HG_34x4_7" localSheetId="8">#REF!</definedName>
    <definedName name="NIPLE_HG_34x4_7">#REF!</definedName>
    <definedName name="NIPLE_HG_34x4_8" localSheetId="8">#REF!</definedName>
    <definedName name="NIPLE_HG_34x4_8">#REF!</definedName>
    <definedName name="NIPLE_HG_34x4_9" localSheetId="8">#REF!</definedName>
    <definedName name="NIPLE_HG_34x4_9">#REF!</definedName>
    <definedName name="NUEVA" localSheetId="8">#REF!</definedName>
    <definedName name="NUEVA">#REF!</definedName>
    <definedName name="num_linhas" localSheetId="8">#REF!</definedName>
    <definedName name="num_linhas">#REF!</definedName>
    <definedName name="OPERADOR_GREADER" localSheetId="8">#REF!</definedName>
    <definedName name="OPERADOR_GREADER">#REF!</definedName>
    <definedName name="OPERADOR_GREADER_10" localSheetId="8">#REF!</definedName>
    <definedName name="OPERADOR_GREADER_10">#REF!</definedName>
    <definedName name="OPERADOR_GREADER_11" localSheetId="8">#REF!</definedName>
    <definedName name="OPERADOR_GREADER_11">#REF!</definedName>
    <definedName name="OPERADOR_GREADER_6" localSheetId="8">#REF!</definedName>
    <definedName name="OPERADOR_GREADER_6">#REF!</definedName>
    <definedName name="OPERADOR_GREADER_7" localSheetId="8">#REF!</definedName>
    <definedName name="OPERADOR_GREADER_7">#REF!</definedName>
    <definedName name="OPERADOR_GREADER_8" localSheetId="8">#REF!</definedName>
    <definedName name="OPERADOR_GREADER_8">#REF!</definedName>
    <definedName name="OPERADOR_GREADER_9" localSheetId="8">#REF!</definedName>
    <definedName name="OPERADOR_GREADER_9">#REF!</definedName>
    <definedName name="OPERADOR_PALA" localSheetId="8">#REF!</definedName>
    <definedName name="OPERADOR_PALA">#REF!</definedName>
    <definedName name="OPERADOR_PALA_10" localSheetId="8">#REF!</definedName>
    <definedName name="OPERADOR_PALA_10">#REF!</definedName>
    <definedName name="OPERADOR_PALA_11" localSheetId="8">#REF!</definedName>
    <definedName name="OPERADOR_PALA_11">#REF!</definedName>
    <definedName name="OPERADOR_PALA_6" localSheetId="8">#REF!</definedName>
    <definedName name="OPERADOR_PALA_6">#REF!</definedName>
    <definedName name="OPERADOR_PALA_7" localSheetId="8">#REF!</definedName>
    <definedName name="OPERADOR_PALA_7">#REF!</definedName>
    <definedName name="OPERADOR_PALA_8" localSheetId="8">#REF!</definedName>
    <definedName name="OPERADOR_PALA_8">#REF!</definedName>
    <definedName name="OPERADOR_PALA_9" localSheetId="8">#REF!</definedName>
    <definedName name="OPERADOR_PALA_9">#REF!</definedName>
    <definedName name="OPERADOR_TRACTOR" localSheetId="8">#REF!</definedName>
    <definedName name="OPERADOR_TRACTOR">#REF!</definedName>
    <definedName name="OPERADOR_TRACTOR_10" localSheetId="8">#REF!</definedName>
    <definedName name="OPERADOR_TRACTOR_10">#REF!</definedName>
    <definedName name="OPERADOR_TRACTOR_11" localSheetId="8">#REF!</definedName>
    <definedName name="OPERADOR_TRACTOR_11">#REF!</definedName>
    <definedName name="OPERADOR_TRACTOR_6" localSheetId="8">#REF!</definedName>
    <definedName name="OPERADOR_TRACTOR_6">#REF!</definedName>
    <definedName name="OPERADOR_TRACTOR_7" localSheetId="8">#REF!</definedName>
    <definedName name="OPERADOR_TRACTOR_7">#REF!</definedName>
    <definedName name="OPERADOR_TRACTOR_8" localSheetId="8">#REF!</definedName>
    <definedName name="OPERADOR_TRACTOR_8">#REF!</definedName>
    <definedName name="OPERADOR_TRACTOR_9" localSheetId="8">#REF!</definedName>
    <definedName name="OPERADOR_TRACTOR_9">#REF!</definedName>
    <definedName name="operadorpala">[29]OBRAMANO!$F$72</definedName>
    <definedName name="operadorretro">[29]OBRAMANO!$F$77</definedName>
    <definedName name="operadorrodillo">[29]OBRAMANO!$F$75</definedName>
    <definedName name="operadortractor">[29]OBRAMANO!$F$76</definedName>
    <definedName name="Operario_1ra" localSheetId="8">#REF!</definedName>
    <definedName name="Operario_1ra">#REF!</definedName>
    <definedName name="Operario_1ra_10" localSheetId="8">#REF!</definedName>
    <definedName name="Operario_1ra_10">#REF!</definedName>
    <definedName name="Operario_1ra_11" localSheetId="8">#REF!</definedName>
    <definedName name="Operario_1ra_11">#REF!</definedName>
    <definedName name="Operario_1ra_6" localSheetId="8">#REF!</definedName>
    <definedName name="Operario_1ra_6">#REF!</definedName>
    <definedName name="Operario_1ra_7" localSheetId="8">#REF!</definedName>
    <definedName name="Operario_1ra_7">#REF!</definedName>
    <definedName name="Operario_1ra_8" localSheetId="8">#REF!</definedName>
    <definedName name="Operario_1ra_8">#REF!</definedName>
    <definedName name="Operario_1ra_9" localSheetId="8">#REF!</definedName>
    <definedName name="Operario_1ra_9">#REF!</definedName>
    <definedName name="Operario_2da" localSheetId="8">#REF!</definedName>
    <definedName name="Operario_2da">#REF!</definedName>
    <definedName name="Operario_2da_10" localSheetId="8">#REF!</definedName>
    <definedName name="Operario_2da_10">#REF!</definedName>
    <definedName name="Operario_2da_11" localSheetId="8">#REF!</definedName>
    <definedName name="Operario_2da_11">#REF!</definedName>
    <definedName name="Operario_2da_6" localSheetId="8">#REF!</definedName>
    <definedName name="Operario_2da_6">#REF!</definedName>
    <definedName name="Operario_2da_7" localSheetId="8">#REF!</definedName>
    <definedName name="Operario_2da_7">#REF!</definedName>
    <definedName name="Operario_2da_8" localSheetId="8">#REF!</definedName>
    <definedName name="Operario_2da_8">#REF!</definedName>
    <definedName name="Operario_2da_9" localSheetId="8">#REF!</definedName>
    <definedName name="Operario_2da_9">#REF!</definedName>
    <definedName name="Operario_3ra" localSheetId="8">#REF!</definedName>
    <definedName name="Operario_3ra">#REF!</definedName>
    <definedName name="Operario_3ra_10" localSheetId="8">#REF!</definedName>
    <definedName name="Operario_3ra_10">#REF!</definedName>
    <definedName name="Operario_3ra_11" localSheetId="8">#REF!</definedName>
    <definedName name="Operario_3ra_11">#REF!</definedName>
    <definedName name="Operario_3ra_6" localSheetId="8">#REF!</definedName>
    <definedName name="Operario_3ra_6">#REF!</definedName>
    <definedName name="Operario_3ra_7" localSheetId="8">#REF!</definedName>
    <definedName name="Operario_3ra_7">#REF!</definedName>
    <definedName name="Operario_3ra_8" localSheetId="8">#REF!</definedName>
    <definedName name="Operario_3ra_8">#REF!</definedName>
    <definedName name="Operario_3ra_9" localSheetId="8">#REF!</definedName>
    <definedName name="Operario_3ra_9">#REF!</definedName>
    <definedName name="OPERARIOPRIMERA">[31]SALARIOS!$C$10</definedName>
    <definedName name="OXIGENO_CIL" localSheetId="8">#REF!</definedName>
    <definedName name="OXIGENO_CIL">#REF!</definedName>
    <definedName name="OXIGENO_CIL_10" localSheetId="8">#REF!</definedName>
    <definedName name="OXIGENO_CIL_10">#REF!</definedName>
    <definedName name="OXIGENO_CIL_11" localSheetId="8">#REF!</definedName>
    <definedName name="OXIGENO_CIL_11">#REF!</definedName>
    <definedName name="OXIGENO_CIL_6" localSheetId="8">#REF!</definedName>
    <definedName name="OXIGENO_CIL_6">#REF!</definedName>
    <definedName name="OXIGENO_CIL_7" localSheetId="8">#REF!</definedName>
    <definedName name="OXIGENO_CIL_7">#REF!</definedName>
    <definedName name="OXIGENO_CIL_8" localSheetId="8">#REF!</definedName>
    <definedName name="OXIGENO_CIL_8">#REF!</definedName>
    <definedName name="OXIGENO_CIL_9" localSheetId="8">#REF!</definedName>
    <definedName name="OXIGENO_CIL_9">#REF!</definedName>
    <definedName name="p" localSheetId="8">[40]peso!#REF!</definedName>
    <definedName name="p">[40]peso!#REF!</definedName>
    <definedName name="P.U.Amercoat_385ASA_2">#N/A</definedName>
    <definedName name="P.U.Amercoat_385ASA_3">#N/A</definedName>
    <definedName name="P.U.Dimecote9">[41]Insumos!$E$13</definedName>
    <definedName name="P.U.Dimecote9_2">#N/A</definedName>
    <definedName name="P.U.Dimecote9_3">#N/A</definedName>
    <definedName name="P.U.Thinner1000">[41]Insumos!$E$12</definedName>
    <definedName name="P.U.Thinner1000_2">#N/A</definedName>
    <definedName name="P.U.Thinner1000_3">#N/A</definedName>
    <definedName name="P.U.Urethane_Acrilico">[41]Insumos!$E$17</definedName>
    <definedName name="P.U.Urethane_Acrilico_2">#N/A</definedName>
    <definedName name="P.U.Urethane_Acrilico_3">#N/A</definedName>
    <definedName name="p_1">#N/A</definedName>
    <definedName name="p_2">#N/A</definedName>
    <definedName name="p_3">#N/A</definedName>
    <definedName name="p_8" localSheetId="8">#REF!</definedName>
    <definedName name="p_8">#REF!</definedName>
    <definedName name="P1XE" localSheetId="8">#REF!</definedName>
    <definedName name="P1XE">#REF!</definedName>
    <definedName name="P1XE_6" localSheetId="8">#REF!</definedName>
    <definedName name="P1XE_6">#REF!</definedName>
    <definedName name="P1XT" localSheetId="8">#REF!</definedName>
    <definedName name="P1XT">#REF!</definedName>
    <definedName name="P1XT_6" localSheetId="8">#REF!</definedName>
    <definedName name="P1XT_6">#REF!</definedName>
    <definedName name="P1YE" localSheetId="8">#REF!</definedName>
    <definedName name="P1YE">#REF!</definedName>
    <definedName name="P1YE_6" localSheetId="8">#REF!</definedName>
    <definedName name="P1YE_6">#REF!</definedName>
    <definedName name="P1YT" localSheetId="8">#REF!</definedName>
    <definedName name="P1YT">#REF!</definedName>
    <definedName name="P1YT_6" localSheetId="8">#REF!</definedName>
    <definedName name="P1YT_6">#REF!</definedName>
    <definedName name="P2XE" localSheetId="8">#REF!</definedName>
    <definedName name="P2XE">#REF!</definedName>
    <definedName name="P2XE_6" localSheetId="8">#REF!</definedName>
    <definedName name="P2XE_6">#REF!</definedName>
    <definedName name="P2XT" localSheetId="8">#REF!</definedName>
    <definedName name="P2XT">#REF!</definedName>
    <definedName name="P2XT_6" localSheetId="8">#REF!</definedName>
    <definedName name="P2XT_6">#REF!</definedName>
    <definedName name="P2YE" localSheetId="8">#REF!</definedName>
    <definedName name="P2YE">#REF!</definedName>
    <definedName name="P2YE_6" localSheetId="8">#REF!</definedName>
    <definedName name="P2YE_6">#REF!</definedName>
    <definedName name="P3XE" localSheetId="8">#REF!</definedName>
    <definedName name="P3XE">#REF!</definedName>
    <definedName name="P3XE_6" localSheetId="8">#REF!</definedName>
    <definedName name="P3XE_6">#REF!</definedName>
    <definedName name="P3XT" localSheetId="8">#REF!</definedName>
    <definedName name="P3XT">#REF!</definedName>
    <definedName name="P3XT_6" localSheetId="8">#REF!</definedName>
    <definedName name="P3XT_6">#REF!</definedName>
    <definedName name="P3YE" localSheetId="8">#REF!</definedName>
    <definedName name="P3YE">#REF!</definedName>
    <definedName name="P3YE_6" localSheetId="8">#REF!</definedName>
    <definedName name="P3YE_6">#REF!</definedName>
    <definedName name="P3YT" localSheetId="8">#REF!</definedName>
    <definedName name="P3YT">#REF!</definedName>
    <definedName name="P3YT_6" localSheetId="8">#REF!</definedName>
    <definedName name="P3YT_6">#REF!</definedName>
    <definedName name="P4XE" localSheetId="8">#REF!</definedName>
    <definedName name="P4XE">#REF!</definedName>
    <definedName name="P4XE_6" localSheetId="8">#REF!</definedName>
    <definedName name="P4XE_6">#REF!</definedName>
    <definedName name="P4XT" localSheetId="8">#REF!</definedName>
    <definedName name="P4XT">#REF!</definedName>
    <definedName name="P4XT_6" localSheetId="8">#REF!</definedName>
    <definedName name="P4XT_6">#REF!</definedName>
    <definedName name="P4YE" localSheetId="8">#REF!</definedName>
    <definedName name="P4YE">#REF!</definedName>
    <definedName name="P4YE_6" localSheetId="8">#REF!</definedName>
    <definedName name="P4YE_6">#REF!</definedName>
    <definedName name="P4YT" localSheetId="8">#REF!</definedName>
    <definedName name="P4YT">#REF!</definedName>
    <definedName name="P4YT_6" localSheetId="8">#REF!</definedName>
    <definedName name="P4YT_6">#REF!</definedName>
    <definedName name="P5XE" localSheetId="8">#REF!</definedName>
    <definedName name="P5XE">#REF!</definedName>
    <definedName name="P5XE_6" localSheetId="8">#REF!</definedName>
    <definedName name="P5XE_6">#REF!</definedName>
    <definedName name="P5YE" localSheetId="8">#REF!</definedName>
    <definedName name="P5YE">#REF!</definedName>
    <definedName name="P5YE_6" localSheetId="8">#REF!</definedName>
    <definedName name="P5YE_6">#REF!</definedName>
    <definedName name="P5YT" localSheetId="8">#REF!</definedName>
    <definedName name="P5YT">#REF!</definedName>
    <definedName name="P5YT_6" localSheetId="8">#REF!</definedName>
    <definedName name="P5YT_6">#REF!</definedName>
    <definedName name="P6XE" localSheetId="8">#REF!</definedName>
    <definedName name="P6XE">#REF!</definedName>
    <definedName name="P6XE_6" localSheetId="8">#REF!</definedName>
    <definedName name="P6XE_6">#REF!</definedName>
    <definedName name="P6XT" localSheetId="8">#REF!</definedName>
    <definedName name="P6XT">#REF!</definedName>
    <definedName name="P6XT_6" localSheetId="8">#REF!</definedName>
    <definedName name="P6XT_6">#REF!</definedName>
    <definedName name="P6YE" localSheetId="8">#REF!</definedName>
    <definedName name="P6YE">#REF!</definedName>
    <definedName name="P6YE_6" localSheetId="8">#REF!</definedName>
    <definedName name="P6YE_6">#REF!</definedName>
    <definedName name="P6YT" localSheetId="8">#REF!</definedName>
    <definedName name="P6YT">#REF!</definedName>
    <definedName name="P6YT_6" localSheetId="8">#REF!</definedName>
    <definedName name="P6YT_6">#REF!</definedName>
    <definedName name="P7XE" localSheetId="8">#REF!</definedName>
    <definedName name="P7XE">#REF!</definedName>
    <definedName name="P7XE_6" localSheetId="8">#REF!</definedName>
    <definedName name="P7XE_6">#REF!</definedName>
    <definedName name="P7YE" localSheetId="8">#REF!</definedName>
    <definedName name="P7YE">#REF!</definedName>
    <definedName name="P7YE_6" localSheetId="8">#REF!</definedName>
    <definedName name="P7YE_6">#REF!</definedName>
    <definedName name="P7YT" localSheetId="8">#REF!</definedName>
    <definedName name="P7YT">#REF!</definedName>
    <definedName name="P7YT_6" localSheetId="8">#REF!</definedName>
    <definedName name="P7YT_6">#REF!</definedName>
    <definedName name="PALA" localSheetId="8">#REF!</definedName>
    <definedName name="PALA">#REF!</definedName>
    <definedName name="PALA_10" localSheetId="8">#REF!</definedName>
    <definedName name="PALA_10">#REF!</definedName>
    <definedName name="PALA_11" localSheetId="8">#REF!</definedName>
    <definedName name="PALA_11">#REF!</definedName>
    <definedName name="PALA_6" localSheetId="8">#REF!</definedName>
    <definedName name="PALA_6">#REF!</definedName>
    <definedName name="PALA_7" localSheetId="8">#REF!</definedName>
    <definedName name="PALA_7">#REF!</definedName>
    <definedName name="PALA_8" localSheetId="8">#REF!</definedName>
    <definedName name="PALA_8">#REF!</definedName>
    <definedName name="PALA_9" localSheetId="8">#REF!</definedName>
    <definedName name="PALA_9">#REF!</definedName>
    <definedName name="PALA_950" localSheetId="8">#REF!</definedName>
    <definedName name="PALA_950">#REF!</definedName>
    <definedName name="PALA_950_10" localSheetId="8">#REF!</definedName>
    <definedName name="PALA_950_10">#REF!</definedName>
    <definedName name="PALA_950_11" localSheetId="8">#REF!</definedName>
    <definedName name="PALA_950_11">#REF!</definedName>
    <definedName name="PALA_950_6" localSheetId="8">#REF!</definedName>
    <definedName name="PALA_950_6">#REF!</definedName>
    <definedName name="PALA_950_7" localSheetId="8">#REF!</definedName>
    <definedName name="PALA_950_7">#REF!</definedName>
    <definedName name="PALA_950_8" localSheetId="8">#REF!</definedName>
    <definedName name="PALA_950_8">#REF!</definedName>
    <definedName name="PALA_950_9" localSheetId="8">#REF!</definedName>
    <definedName name="PALA_950_9">#REF!</definedName>
    <definedName name="PANEL_DIST_24C" localSheetId="8">#REF!</definedName>
    <definedName name="PANEL_DIST_24C">#REF!</definedName>
    <definedName name="PANEL_DIST_24C_10" localSheetId="8">#REF!</definedName>
    <definedName name="PANEL_DIST_24C_10">#REF!</definedName>
    <definedName name="PANEL_DIST_24C_11" localSheetId="8">#REF!</definedName>
    <definedName name="PANEL_DIST_24C_11">#REF!</definedName>
    <definedName name="PANEL_DIST_24C_6" localSheetId="8">#REF!</definedName>
    <definedName name="PANEL_DIST_24C_6">#REF!</definedName>
    <definedName name="PANEL_DIST_24C_7" localSheetId="8">#REF!</definedName>
    <definedName name="PANEL_DIST_24C_7">#REF!</definedName>
    <definedName name="PANEL_DIST_24C_8" localSheetId="8">#REF!</definedName>
    <definedName name="PANEL_DIST_24C_8">#REF!</definedName>
    <definedName name="PANEL_DIST_24C_9" localSheetId="8">#REF!</definedName>
    <definedName name="PANEL_DIST_24C_9">#REF!</definedName>
    <definedName name="PANEL_DIST_32C" localSheetId="8">#REF!</definedName>
    <definedName name="PANEL_DIST_32C">#REF!</definedName>
    <definedName name="PANEL_DIST_32C_10" localSheetId="8">#REF!</definedName>
    <definedName name="PANEL_DIST_32C_10">#REF!</definedName>
    <definedName name="PANEL_DIST_32C_11" localSheetId="8">#REF!</definedName>
    <definedName name="PANEL_DIST_32C_11">#REF!</definedName>
    <definedName name="PANEL_DIST_32C_6" localSheetId="8">#REF!</definedName>
    <definedName name="PANEL_DIST_32C_6">#REF!</definedName>
    <definedName name="PANEL_DIST_32C_7" localSheetId="8">#REF!</definedName>
    <definedName name="PANEL_DIST_32C_7">#REF!</definedName>
    <definedName name="PANEL_DIST_32C_8" localSheetId="8">#REF!</definedName>
    <definedName name="PANEL_DIST_32C_8">#REF!</definedName>
    <definedName name="PANEL_DIST_32C_9" localSheetId="8">#REF!</definedName>
    <definedName name="PANEL_DIST_32C_9">#REF!</definedName>
    <definedName name="PANEL_DIST_4a8C" localSheetId="8">#REF!</definedName>
    <definedName name="PANEL_DIST_4a8C">#REF!</definedName>
    <definedName name="PANEL_DIST_4a8C_10" localSheetId="8">#REF!</definedName>
    <definedName name="PANEL_DIST_4a8C_10">#REF!</definedName>
    <definedName name="PANEL_DIST_4a8C_11" localSheetId="8">#REF!</definedName>
    <definedName name="PANEL_DIST_4a8C_11">#REF!</definedName>
    <definedName name="PANEL_DIST_4a8C_6" localSheetId="8">#REF!</definedName>
    <definedName name="PANEL_DIST_4a8C_6">#REF!</definedName>
    <definedName name="PANEL_DIST_4a8C_7" localSheetId="8">#REF!</definedName>
    <definedName name="PANEL_DIST_4a8C_7">#REF!</definedName>
    <definedName name="PANEL_DIST_4a8C_8" localSheetId="8">#REF!</definedName>
    <definedName name="PANEL_DIST_4a8C_8">#REF!</definedName>
    <definedName name="PANEL_DIST_4a8C_9" localSheetId="8">#REF!</definedName>
    <definedName name="PANEL_DIST_4a8C_9">#REF!</definedName>
    <definedName name="PanelDist_6a12_Circ_125a" localSheetId="8">#REF!</definedName>
    <definedName name="PanelDist_6a12_Circ_125a">#REF!</definedName>
    <definedName name="PanelDist_6a12_Circ_125a_10" localSheetId="8">#REF!</definedName>
    <definedName name="PanelDist_6a12_Circ_125a_10">#REF!</definedName>
    <definedName name="PanelDist_6a12_Circ_125a_11" localSheetId="8">#REF!</definedName>
    <definedName name="PanelDist_6a12_Circ_125a_11">#REF!</definedName>
    <definedName name="PanelDist_6a12_Circ_125a_6" localSheetId="8">#REF!</definedName>
    <definedName name="PanelDist_6a12_Circ_125a_6">#REF!</definedName>
    <definedName name="PanelDist_6a12_Circ_125a_7" localSheetId="8">#REF!</definedName>
    <definedName name="PanelDist_6a12_Circ_125a_7">#REF!</definedName>
    <definedName name="PanelDist_6a12_Circ_125a_8" localSheetId="8">#REF!</definedName>
    <definedName name="PanelDist_6a12_Circ_125a_8">#REF!</definedName>
    <definedName name="PanelDist_6a12_Circ_125a_9" localSheetId="8">#REF!</definedName>
    <definedName name="PanelDist_6a12_Circ_125a_9">#REF!</definedName>
    <definedName name="PARARRAYOS_9KV" localSheetId="8">#REF!</definedName>
    <definedName name="PARARRAYOS_9KV">#REF!</definedName>
    <definedName name="PARARRAYOS_9KV_10" localSheetId="8">#REF!</definedName>
    <definedName name="PARARRAYOS_9KV_10">#REF!</definedName>
    <definedName name="PARARRAYOS_9KV_11" localSheetId="8">#REF!</definedName>
    <definedName name="PARARRAYOS_9KV_11">#REF!</definedName>
    <definedName name="PARARRAYOS_9KV_6" localSheetId="8">#REF!</definedName>
    <definedName name="PARARRAYOS_9KV_6">#REF!</definedName>
    <definedName name="PARARRAYOS_9KV_7" localSheetId="8">#REF!</definedName>
    <definedName name="PARARRAYOS_9KV_7">#REF!</definedName>
    <definedName name="PARARRAYOS_9KV_8" localSheetId="8">#REF!</definedName>
    <definedName name="PARARRAYOS_9KV_8">#REF!</definedName>
    <definedName name="PARARRAYOS_9KV_9" localSheetId="8">#REF!</definedName>
    <definedName name="PARARRAYOS_9KV_9">#REF!</definedName>
    <definedName name="PEON" localSheetId="8">#REF!</definedName>
    <definedName name="PEON">#REF!</definedName>
    <definedName name="Peon_1">[13]MO!$B$11</definedName>
    <definedName name="Peon_1_10" localSheetId="8">#REF!</definedName>
    <definedName name="Peon_1_10">#REF!</definedName>
    <definedName name="Peon_1_11" localSheetId="8">#REF!</definedName>
    <definedName name="Peon_1_11">#REF!</definedName>
    <definedName name="Peon_1_5" localSheetId="8">#REF!</definedName>
    <definedName name="Peon_1_5">#REF!</definedName>
    <definedName name="Peon_1_6" localSheetId="8">#REF!</definedName>
    <definedName name="Peon_1_6">#REF!</definedName>
    <definedName name="Peon_1_7" localSheetId="8">#REF!</definedName>
    <definedName name="Peon_1_7">#REF!</definedName>
    <definedName name="Peon_1_8" localSheetId="8">#REF!</definedName>
    <definedName name="Peon_1_8">#REF!</definedName>
    <definedName name="Peon_1_9" localSheetId="8">#REF!</definedName>
    <definedName name="Peon_1_9">#REF!</definedName>
    <definedName name="Peon_6" localSheetId="8">#REF!</definedName>
    <definedName name="Peon_6">#REF!</definedName>
    <definedName name="Peon_Colchas">[22]MO!$B$11</definedName>
    <definedName name="PEONCARP" localSheetId="8">[20]INS!#REF!</definedName>
    <definedName name="PEONCARP">[20]INS!#REF!</definedName>
    <definedName name="PEONCARP_6" localSheetId="8">#REF!</definedName>
    <definedName name="PEONCARP_6">#REF!</definedName>
    <definedName name="PEONCARP_8" localSheetId="8">#REF!</definedName>
    <definedName name="PEONCARP_8">#REF!</definedName>
    <definedName name="Peones_3">#N/A</definedName>
    <definedName name="PERFIL_CUADRADO_34">[22]INSU!$B$91</definedName>
    <definedName name="Pernos" localSheetId="8">#REF!</definedName>
    <definedName name="Pernos">#REF!</definedName>
    <definedName name="Pernos_3">"$#REF!.$B$68"</definedName>
    <definedName name="Pernos_6" localSheetId="8">#REF!</definedName>
    <definedName name="Pernos_6">#REF!</definedName>
    <definedName name="Pernos_8" localSheetId="8">#REF!</definedName>
    <definedName name="Pernos_8">#REF!</definedName>
    <definedName name="PICO" localSheetId="8">#REF!</definedName>
    <definedName name="PICO">#REF!</definedName>
    <definedName name="PICO_10" localSheetId="8">#REF!</definedName>
    <definedName name="PICO_10">#REF!</definedName>
    <definedName name="PICO_11" localSheetId="8">#REF!</definedName>
    <definedName name="PICO_11">#REF!</definedName>
    <definedName name="PICO_6" localSheetId="8">#REF!</definedName>
    <definedName name="PICO_6">#REF!</definedName>
    <definedName name="PICO_7" localSheetId="8">#REF!</definedName>
    <definedName name="PICO_7">#REF!</definedName>
    <definedName name="PICO_8" localSheetId="8">#REF!</definedName>
    <definedName name="PICO_8">#REF!</definedName>
    <definedName name="PICO_9" localSheetId="8">#REF!</definedName>
    <definedName name="PICO_9">#REF!</definedName>
    <definedName name="PIEDRA" localSheetId="8">#REF!</definedName>
    <definedName name="PIEDRA">#REF!</definedName>
    <definedName name="PIEDRA_10" localSheetId="8">#REF!</definedName>
    <definedName name="PIEDRA_10">#REF!</definedName>
    <definedName name="PIEDRA_11" localSheetId="8">#REF!</definedName>
    <definedName name="PIEDRA_11">#REF!</definedName>
    <definedName name="PIEDRA_6" localSheetId="8">#REF!</definedName>
    <definedName name="PIEDRA_6">#REF!</definedName>
    <definedName name="PIEDRA_7" localSheetId="8">#REF!</definedName>
    <definedName name="PIEDRA_7">#REF!</definedName>
    <definedName name="PIEDRA_8" localSheetId="8">#REF!</definedName>
    <definedName name="PIEDRA_8">#REF!</definedName>
    <definedName name="PIEDRA_9" localSheetId="8">#REF!</definedName>
    <definedName name="PIEDRA_9">#REF!</definedName>
    <definedName name="PIEDRA_GAVIONES" localSheetId="8">#REF!</definedName>
    <definedName name="PIEDRA_GAVIONES">#REF!</definedName>
    <definedName name="PIEDRA_GAVIONES_10" localSheetId="8">#REF!</definedName>
    <definedName name="PIEDRA_GAVIONES_10">#REF!</definedName>
    <definedName name="PIEDRA_GAVIONES_11" localSheetId="8">#REF!</definedName>
    <definedName name="PIEDRA_GAVIONES_11">#REF!</definedName>
    <definedName name="PIEDRA_GAVIONES_6" localSheetId="8">#REF!</definedName>
    <definedName name="PIEDRA_GAVIONES_6">#REF!</definedName>
    <definedName name="PIEDRA_GAVIONES_7" localSheetId="8">#REF!</definedName>
    <definedName name="PIEDRA_GAVIONES_7">#REF!</definedName>
    <definedName name="PIEDRA_GAVIONES_8" localSheetId="8">#REF!</definedName>
    <definedName name="PIEDRA_GAVIONES_8">#REF!</definedName>
    <definedName name="PIEDRA_GAVIONES_9" localSheetId="8">#REF!</definedName>
    <definedName name="PIEDRA_GAVIONES_9">#REF!</definedName>
    <definedName name="PINO">[31]INS!$D$770</definedName>
    <definedName name="PINTURA_ACR_COLOR_PREPARADO" localSheetId="8">#REF!</definedName>
    <definedName name="PINTURA_ACR_COLOR_PREPARADO">#REF!</definedName>
    <definedName name="PINTURA_ACR_COLOR_PREPARADO_10" localSheetId="8">#REF!</definedName>
    <definedName name="PINTURA_ACR_COLOR_PREPARADO_10">#REF!</definedName>
    <definedName name="PINTURA_ACR_COLOR_PREPARADO_11" localSheetId="8">#REF!</definedName>
    <definedName name="PINTURA_ACR_COLOR_PREPARADO_11">#REF!</definedName>
    <definedName name="PINTURA_ACR_COLOR_PREPARADO_6" localSheetId="8">#REF!</definedName>
    <definedName name="PINTURA_ACR_COLOR_PREPARADO_6">#REF!</definedName>
    <definedName name="PINTURA_ACR_COLOR_PREPARADO_7" localSheetId="8">#REF!</definedName>
    <definedName name="PINTURA_ACR_COLOR_PREPARADO_7">#REF!</definedName>
    <definedName name="PINTURA_ACR_COLOR_PREPARADO_8" localSheetId="8">#REF!</definedName>
    <definedName name="PINTURA_ACR_COLOR_PREPARADO_8">#REF!</definedName>
    <definedName name="PINTURA_ACR_COLOR_PREPARADO_9" localSheetId="8">#REF!</definedName>
    <definedName name="PINTURA_ACR_COLOR_PREPARADO_9">#REF!</definedName>
    <definedName name="PINTURA_ACR_EXT" localSheetId="8">#REF!</definedName>
    <definedName name="PINTURA_ACR_EXT">#REF!</definedName>
    <definedName name="PINTURA_ACR_EXT_10" localSheetId="8">#REF!</definedName>
    <definedName name="PINTURA_ACR_EXT_10">#REF!</definedName>
    <definedName name="PINTURA_ACR_EXT_11" localSheetId="8">#REF!</definedName>
    <definedName name="PINTURA_ACR_EXT_11">#REF!</definedName>
    <definedName name="PINTURA_ACR_EXT_6" localSheetId="8">#REF!</definedName>
    <definedName name="PINTURA_ACR_EXT_6">#REF!</definedName>
    <definedName name="PINTURA_ACR_EXT_7" localSheetId="8">#REF!</definedName>
    <definedName name="PINTURA_ACR_EXT_7">#REF!</definedName>
    <definedName name="PINTURA_ACR_EXT_8" localSheetId="8">#REF!</definedName>
    <definedName name="PINTURA_ACR_EXT_8">#REF!</definedName>
    <definedName name="PINTURA_ACR_EXT_9" localSheetId="8">#REF!</definedName>
    <definedName name="PINTURA_ACR_EXT_9">#REF!</definedName>
    <definedName name="PINTURA_ACR_INT" localSheetId="8">#REF!</definedName>
    <definedName name="PINTURA_ACR_INT">#REF!</definedName>
    <definedName name="PINTURA_ACR_INT_10" localSheetId="8">#REF!</definedName>
    <definedName name="PINTURA_ACR_INT_10">#REF!</definedName>
    <definedName name="PINTURA_ACR_INT_11" localSheetId="8">#REF!</definedName>
    <definedName name="PINTURA_ACR_INT_11">#REF!</definedName>
    <definedName name="PINTURA_ACR_INT_6" localSheetId="8">#REF!</definedName>
    <definedName name="PINTURA_ACR_INT_6">#REF!</definedName>
    <definedName name="PINTURA_ACR_INT_7" localSheetId="8">#REF!</definedName>
    <definedName name="PINTURA_ACR_INT_7">#REF!</definedName>
    <definedName name="PINTURA_ACR_INT_8" localSheetId="8">#REF!</definedName>
    <definedName name="PINTURA_ACR_INT_8">#REF!</definedName>
    <definedName name="PINTURA_ACR_INT_9" localSheetId="8">#REF!</definedName>
    <definedName name="PINTURA_ACR_INT_9">#REF!</definedName>
    <definedName name="PINTURA_BASE" localSheetId="8">#REF!</definedName>
    <definedName name="PINTURA_BASE">#REF!</definedName>
    <definedName name="PINTURA_BASE_10" localSheetId="8">#REF!</definedName>
    <definedName name="PINTURA_BASE_10">#REF!</definedName>
    <definedName name="PINTURA_BASE_11" localSheetId="8">#REF!</definedName>
    <definedName name="PINTURA_BASE_11">#REF!</definedName>
    <definedName name="PINTURA_BASE_6" localSheetId="8">#REF!</definedName>
    <definedName name="PINTURA_BASE_6">#REF!</definedName>
    <definedName name="PINTURA_BASE_7" localSheetId="8">#REF!</definedName>
    <definedName name="PINTURA_BASE_7">#REF!</definedName>
    <definedName name="PINTURA_BASE_8" localSheetId="8">#REF!</definedName>
    <definedName name="PINTURA_BASE_8">#REF!</definedName>
    <definedName name="PINTURA_BASE_9" localSheetId="8">#REF!</definedName>
    <definedName name="PINTURA_BASE_9">#REF!</definedName>
    <definedName name="Pintura_Epóxica_Popular_3">#N/A</definedName>
    <definedName name="PINTURA_MANTENIMIENTO" localSheetId="8">#REF!</definedName>
    <definedName name="PINTURA_MANTENIMIENTO">#REF!</definedName>
    <definedName name="PINTURA_MANTENIMIENTO_10" localSheetId="8">#REF!</definedName>
    <definedName name="PINTURA_MANTENIMIENTO_10">#REF!</definedName>
    <definedName name="PINTURA_MANTENIMIENTO_11" localSheetId="8">#REF!</definedName>
    <definedName name="PINTURA_MANTENIMIENTO_11">#REF!</definedName>
    <definedName name="PINTURA_MANTENIMIENTO_6" localSheetId="8">#REF!</definedName>
    <definedName name="PINTURA_MANTENIMIENTO_6">#REF!</definedName>
    <definedName name="PINTURA_MANTENIMIENTO_7" localSheetId="8">#REF!</definedName>
    <definedName name="PINTURA_MANTENIMIENTO_7">#REF!</definedName>
    <definedName name="PINTURA_MANTENIMIENTO_8" localSheetId="8">#REF!</definedName>
    <definedName name="PINTURA_MANTENIMIENTO_8">#REF!</definedName>
    <definedName name="PINTURA_MANTENIMIENTO_9" localSheetId="8">#REF!</definedName>
    <definedName name="PINTURA_MANTENIMIENTO_9">#REF!</definedName>
    <definedName name="PINTURA_OXIDO_ROJO" localSheetId="8">#REF!</definedName>
    <definedName name="PINTURA_OXIDO_ROJO">#REF!</definedName>
    <definedName name="PINTURA_OXIDO_ROJO_10" localSheetId="8">#REF!</definedName>
    <definedName name="PINTURA_OXIDO_ROJO_10">#REF!</definedName>
    <definedName name="PINTURA_OXIDO_ROJO_11" localSheetId="8">#REF!</definedName>
    <definedName name="PINTURA_OXIDO_ROJO_11">#REF!</definedName>
    <definedName name="PINTURA_OXIDO_ROJO_6" localSheetId="8">#REF!</definedName>
    <definedName name="PINTURA_OXIDO_ROJO_6">#REF!</definedName>
    <definedName name="PINTURA_OXIDO_ROJO_7" localSheetId="8">#REF!</definedName>
    <definedName name="PINTURA_OXIDO_ROJO_7">#REF!</definedName>
    <definedName name="PINTURA_OXIDO_ROJO_8" localSheetId="8">#REF!</definedName>
    <definedName name="PINTURA_OXIDO_ROJO_8">#REF!</definedName>
    <definedName name="PINTURA_OXIDO_ROJO_9" localSheetId="8">#REF!</definedName>
    <definedName name="PINTURA_OXIDO_ROJO_9">#REF!</definedName>
    <definedName name="PISO_GRANITO_FONDO_BCO">[22]INSU!$B$103</definedName>
    <definedName name="Plancha_de_Plywood_4_x8_x3_4_3">#N/A</definedName>
    <definedName name="PLANTA_ELECTRICA" localSheetId="8">#REF!</definedName>
    <definedName name="PLANTA_ELECTRICA">#REF!</definedName>
    <definedName name="PLANTA_ELECTRICA_10" localSheetId="8">#REF!</definedName>
    <definedName name="PLANTA_ELECTRICA_10">#REF!</definedName>
    <definedName name="PLANTA_ELECTRICA_11" localSheetId="8">#REF!</definedName>
    <definedName name="PLANTA_ELECTRICA_11">#REF!</definedName>
    <definedName name="PLANTA_ELECTRICA_6" localSheetId="8">#REF!</definedName>
    <definedName name="PLANTA_ELECTRICA_6">#REF!</definedName>
    <definedName name="PLANTA_ELECTRICA_7" localSheetId="8">#REF!</definedName>
    <definedName name="PLANTA_ELECTRICA_7">#REF!</definedName>
    <definedName name="PLANTA_ELECTRICA_8" localSheetId="8">#REF!</definedName>
    <definedName name="PLANTA_ELECTRICA_8">#REF!</definedName>
    <definedName name="PLANTA_ELECTRICA_9" localSheetId="8">#REF!</definedName>
    <definedName name="PLANTA_ELECTRICA_9">#REF!</definedName>
    <definedName name="Planta_Eléctrica_para_tesado_3">#N/A</definedName>
    <definedName name="PLASTICO">[22]INSU!$B$90</definedName>
    <definedName name="PLIGADORA2">[20]INS!$D$563</definedName>
    <definedName name="PLIGADORA2_6" localSheetId="8">#REF!</definedName>
    <definedName name="PLIGADORA2_6">#REF!</definedName>
    <definedName name="PLOMERO" localSheetId="8">[20]INS!#REF!</definedName>
    <definedName name="PLOMERO">[20]INS!#REF!</definedName>
    <definedName name="PLOMERO_6" localSheetId="8">#REF!</definedName>
    <definedName name="PLOMERO_6">#REF!</definedName>
    <definedName name="PLOMERO_8" localSheetId="8">#REF!</definedName>
    <definedName name="PLOMERO_8">#REF!</definedName>
    <definedName name="PLOMERO_SOLDADOR" localSheetId="8">#REF!</definedName>
    <definedName name="PLOMERO_SOLDADOR">#REF!</definedName>
    <definedName name="PLOMERO_SOLDADOR_10" localSheetId="8">#REF!</definedName>
    <definedName name="PLOMERO_SOLDADOR_10">#REF!</definedName>
    <definedName name="PLOMERO_SOLDADOR_11" localSheetId="8">#REF!</definedName>
    <definedName name="PLOMERO_SOLDADOR_11">#REF!</definedName>
    <definedName name="PLOMERO_SOLDADOR_6" localSheetId="8">#REF!</definedName>
    <definedName name="PLOMERO_SOLDADOR_6">#REF!</definedName>
    <definedName name="PLOMERO_SOLDADOR_7" localSheetId="8">#REF!</definedName>
    <definedName name="PLOMERO_SOLDADOR_7">#REF!</definedName>
    <definedName name="PLOMERO_SOLDADOR_8" localSheetId="8">#REF!</definedName>
    <definedName name="PLOMERO_SOLDADOR_8">#REF!</definedName>
    <definedName name="PLOMERO_SOLDADOR_9" localSheetId="8">#REF!</definedName>
    <definedName name="PLOMERO_SOLDADOR_9">#REF!</definedName>
    <definedName name="PLOMEROAYUDANTE" localSheetId="8">[20]INS!#REF!</definedName>
    <definedName name="PLOMEROAYUDANTE">[20]INS!#REF!</definedName>
    <definedName name="PLOMEROAYUDANTE_6" localSheetId="8">#REF!</definedName>
    <definedName name="PLOMEROAYUDANTE_6">#REF!</definedName>
    <definedName name="PLOMEROAYUDANTE_8" localSheetId="8">#REF!</definedName>
    <definedName name="PLOMEROAYUDANTE_8">#REF!</definedName>
    <definedName name="PLOMEROOFICIAL" localSheetId="8">[20]INS!#REF!</definedName>
    <definedName name="PLOMEROOFICIAL">[20]INS!#REF!</definedName>
    <definedName name="PLOMEROOFICIAL_6" localSheetId="8">#REF!</definedName>
    <definedName name="PLOMEROOFICIAL_6">#REF!</definedName>
    <definedName name="PLOMEROOFICIAL_8" localSheetId="8">#REF!</definedName>
    <definedName name="PLOMEROOFICIAL_8">#REF!</definedName>
    <definedName name="PLYWOOD_34_2CARAS">[13]INSU!$D$133</definedName>
    <definedName name="PLYWOOD_34_2CARAS_10" localSheetId="8">#REF!</definedName>
    <definedName name="PLYWOOD_34_2CARAS_10">#REF!</definedName>
    <definedName name="PLYWOOD_34_2CARAS_11" localSheetId="8">#REF!</definedName>
    <definedName name="PLYWOOD_34_2CARAS_11">#REF!</definedName>
    <definedName name="PLYWOOD_34_2CARAS_5" localSheetId="8">#REF!</definedName>
    <definedName name="PLYWOOD_34_2CARAS_5">#REF!</definedName>
    <definedName name="PLYWOOD_34_2CARAS_6" localSheetId="8">#REF!</definedName>
    <definedName name="PLYWOOD_34_2CARAS_6">#REF!</definedName>
    <definedName name="PLYWOOD_34_2CARAS_7" localSheetId="8">#REF!</definedName>
    <definedName name="PLYWOOD_34_2CARAS_7">#REF!</definedName>
    <definedName name="PLYWOOD_34_2CARAS_8" localSheetId="8">#REF!</definedName>
    <definedName name="PLYWOOD_34_2CARAS_8">#REF!</definedName>
    <definedName name="PLYWOOD_34_2CARAS_9" localSheetId="8">#REF!</definedName>
    <definedName name="PLYWOOD_34_2CARAS_9">#REF!</definedName>
    <definedName name="pmadera2162" localSheetId="8">[27]precios!#REF!</definedName>
    <definedName name="pmadera2162">[27]precios!#REF!</definedName>
    <definedName name="pmadera2162_8" localSheetId="8">#REF!</definedName>
    <definedName name="pmadera2162_8">#REF!</definedName>
    <definedName name="po">[42]PRESUPUESTO!$O$9:$O$236</definedName>
    <definedName name="porcentaje_3">"$#REF!.$J$12"</definedName>
    <definedName name="POSTE_HA_25_CUAD" localSheetId="8">#REF!</definedName>
    <definedName name="POSTE_HA_25_CUAD">#REF!</definedName>
    <definedName name="POSTE_HA_25_CUAD_10" localSheetId="8">#REF!</definedName>
    <definedName name="POSTE_HA_25_CUAD_10">#REF!</definedName>
    <definedName name="POSTE_HA_25_CUAD_11" localSheetId="8">#REF!</definedName>
    <definedName name="POSTE_HA_25_CUAD_11">#REF!</definedName>
    <definedName name="POSTE_HA_25_CUAD_6" localSheetId="8">#REF!</definedName>
    <definedName name="POSTE_HA_25_CUAD_6">#REF!</definedName>
    <definedName name="POSTE_HA_25_CUAD_7" localSheetId="8">#REF!</definedName>
    <definedName name="POSTE_HA_25_CUAD_7">#REF!</definedName>
    <definedName name="POSTE_HA_25_CUAD_8" localSheetId="8">#REF!</definedName>
    <definedName name="POSTE_HA_25_CUAD_8">#REF!</definedName>
    <definedName name="POSTE_HA_25_CUAD_9" localSheetId="8">#REF!</definedName>
    <definedName name="POSTE_HA_25_CUAD_9">#REF!</definedName>
    <definedName name="POSTE_HA_30_CUAD" localSheetId="8">#REF!</definedName>
    <definedName name="POSTE_HA_30_CUAD">#REF!</definedName>
    <definedName name="POSTE_HA_30_CUAD_10" localSheetId="8">#REF!</definedName>
    <definedName name="POSTE_HA_30_CUAD_10">#REF!</definedName>
    <definedName name="POSTE_HA_30_CUAD_11" localSheetId="8">#REF!</definedName>
    <definedName name="POSTE_HA_30_CUAD_11">#REF!</definedName>
    <definedName name="POSTE_HA_30_CUAD_6" localSheetId="8">#REF!</definedName>
    <definedName name="POSTE_HA_30_CUAD_6">#REF!</definedName>
    <definedName name="POSTE_HA_30_CUAD_7" localSheetId="8">#REF!</definedName>
    <definedName name="POSTE_HA_30_CUAD_7">#REF!</definedName>
    <definedName name="POSTE_HA_30_CUAD_8" localSheetId="8">#REF!</definedName>
    <definedName name="POSTE_HA_30_CUAD_8">#REF!</definedName>
    <definedName name="POSTE_HA_30_CUAD_9" localSheetId="8">#REF!</definedName>
    <definedName name="POSTE_HA_30_CUAD_9">#REF!</definedName>
    <definedName name="POSTE_HA_35_CUAD" localSheetId="8">#REF!</definedName>
    <definedName name="POSTE_HA_35_CUAD">#REF!</definedName>
    <definedName name="POSTE_HA_35_CUAD_10" localSheetId="8">#REF!</definedName>
    <definedName name="POSTE_HA_35_CUAD_10">#REF!</definedName>
    <definedName name="POSTE_HA_35_CUAD_11" localSheetId="8">#REF!</definedName>
    <definedName name="POSTE_HA_35_CUAD_11">#REF!</definedName>
    <definedName name="POSTE_HA_35_CUAD_6" localSheetId="8">#REF!</definedName>
    <definedName name="POSTE_HA_35_CUAD_6">#REF!</definedName>
    <definedName name="POSTE_HA_35_CUAD_7" localSheetId="8">#REF!</definedName>
    <definedName name="POSTE_HA_35_CUAD_7">#REF!</definedName>
    <definedName name="POSTE_HA_35_CUAD_8" localSheetId="8">#REF!</definedName>
    <definedName name="POSTE_HA_35_CUAD_8">#REF!</definedName>
    <definedName name="POSTE_HA_35_CUAD_9" localSheetId="8">#REF!</definedName>
    <definedName name="POSTE_HA_35_CUAD_9">#REF!</definedName>
    <definedName name="POSTE_HA_40_CUAD" localSheetId="8">#REF!</definedName>
    <definedName name="POSTE_HA_40_CUAD">#REF!</definedName>
    <definedName name="POSTE_HA_40_CUAD_10" localSheetId="8">#REF!</definedName>
    <definedName name="POSTE_HA_40_CUAD_10">#REF!</definedName>
    <definedName name="POSTE_HA_40_CUAD_11" localSheetId="8">#REF!</definedName>
    <definedName name="POSTE_HA_40_CUAD_11">#REF!</definedName>
    <definedName name="POSTE_HA_40_CUAD_6" localSheetId="8">#REF!</definedName>
    <definedName name="POSTE_HA_40_CUAD_6">#REF!</definedName>
    <definedName name="POSTE_HA_40_CUAD_7" localSheetId="8">#REF!</definedName>
    <definedName name="POSTE_HA_40_CUAD_7">#REF!</definedName>
    <definedName name="POSTE_HA_40_CUAD_8" localSheetId="8">#REF!</definedName>
    <definedName name="POSTE_HA_40_CUAD_8">#REF!</definedName>
    <definedName name="POSTE_HA_40_CUAD_9" localSheetId="8">#REF!</definedName>
    <definedName name="POSTE_HA_40_CUAD_9">#REF!</definedName>
    <definedName name="PREC._UNITARIO">#N/A</definedName>
    <definedName name="PREC._UNITARIO_6">NA()</definedName>
    <definedName name="precios">[43]Precios!$A$4:$F$1576</definedName>
    <definedName name="PRESUPUESTO">#N/A</definedName>
    <definedName name="PRESUPUESTO_6">NA()</definedName>
    <definedName name="PRIMA_3">"$#REF!.$M$38"</definedName>
    <definedName name="prticos_3">#N/A</definedName>
    <definedName name="PU_3">"$#REF!.$E$1:$E$65534"</definedName>
    <definedName name="pu1_2">"$#REF!.$E$1:$E$65534"</definedName>
    <definedName name="pu1_3">"$#REF!.$E$1:$E$65534"</definedName>
    <definedName name="PU6_2">"$#REF!.$E$1:$E$65534"</definedName>
    <definedName name="PU6_3">"$#REF!.$E$1:$E$65534"</definedName>
    <definedName name="pubaranda_3">#N/A</definedName>
    <definedName name="PUERTA_PANEL_PINO" localSheetId="8">#REF!</definedName>
    <definedName name="PUERTA_PANEL_PINO">#REF!</definedName>
    <definedName name="PUERTA_PANEL_PINO_10" localSheetId="8">#REF!</definedName>
    <definedName name="PUERTA_PANEL_PINO_10">#REF!</definedName>
    <definedName name="PUERTA_PANEL_PINO_11" localSheetId="8">#REF!</definedName>
    <definedName name="PUERTA_PANEL_PINO_11">#REF!</definedName>
    <definedName name="PUERTA_PANEL_PINO_6" localSheetId="8">#REF!</definedName>
    <definedName name="PUERTA_PANEL_PINO_6">#REF!</definedName>
    <definedName name="PUERTA_PANEL_PINO_7" localSheetId="8">#REF!</definedName>
    <definedName name="PUERTA_PANEL_PINO_7">#REF!</definedName>
    <definedName name="PUERTA_PANEL_PINO_8" localSheetId="8">#REF!</definedName>
    <definedName name="PUERTA_PANEL_PINO_8">#REF!</definedName>
    <definedName name="PUERTA_PANEL_PINO_9" localSheetId="8">#REF!</definedName>
    <definedName name="PUERTA_PANEL_PINO_9">#REF!</definedName>
    <definedName name="PUERTA_PLYWOOD" localSheetId="8">#REF!</definedName>
    <definedName name="PUERTA_PLYWOOD">#REF!</definedName>
    <definedName name="PUERTA_PLYWOOD_10" localSheetId="8">#REF!</definedName>
    <definedName name="PUERTA_PLYWOOD_10">#REF!</definedName>
    <definedName name="PUERTA_PLYWOOD_11" localSheetId="8">#REF!</definedName>
    <definedName name="PUERTA_PLYWOOD_11">#REF!</definedName>
    <definedName name="PUERTA_PLYWOOD_6" localSheetId="8">#REF!</definedName>
    <definedName name="PUERTA_PLYWOOD_6">#REF!</definedName>
    <definedName name="PUERTA_PLYWOOD_7" localSheetId="8">#REF!</definedName>
    <definedName name="PUERTA_PLYWOOD_7">#REF!</definedName>
    <definedName name="PUERTA_PLYWOOD_8" localSheetId="8">#REF!</definedName>
    <definedName name="PUERTA_PLYWOOD_8">#REF!</definedName>
    <definedName name="PUERTA_PLYWOOD_9" localSheetId="8">#REF!</definedName>
    <definedName name="PUERTA_PLYWOOD_9">#REF!</definedName>
    <definedName name="PULIDO_Y_BRILLADO_ESCALON" localSheetId="8">#REF!</definedName>
    <definedName name="PULIDO_Y_BRILLADO_ESCALON">#REF!</definedName>
    <definedName name="PULIDO_Y_BRILLADO_ESCALON_10" localSheetId="8">#REF!</definedName>
    <definedName name="PULIDO_Y_BRILLADO_ESCALON_10">#REF!</definedName>
    <definedName name="PULIDO_Y_BRILLADO_ESCALON_11" localSheetId="8">#REF!</definedName>
    <definedName name="PULIDO_Y_BRILLADO_ESCALON_11">#REF!</definedName>
    <definedName name="PULIDO_Y_BRILLADO_ESCALON_6" localSheetId="8">#REF!</definedName>
    <definedName name="PULIDO_Y_BRILLADO_ESCALON_6">#REF!</definedName>
    <definedName name="PULIDO_Y_BRILLADO_ESCALON_7" localSheetId="8">#REF!</definedName>
    <definedName name="PULIDO_Y_BRILLADO_ESCALON_7">#REF!</definedName>
    <definedName name="PULIDO_Y_BRILLADO_ESCALON_8" localSheetId="8">#REF!</definedName>
    <definedName name="PULIDO_Y_BRILLADO_ESCALON_8">#REF!</definedName>
    <definedName name="PULIDO_Y_BRILLADO_ESCALON_9" localSheetId="8">#REF!</definedName>
    <definedName name="PULIDO_Y_BRILLADO_ESCALON_9">#REF!</definedName>
    <definedName name="PULIDOyBRILLADO_TC" localSheetId="8">#REF!</definedName>
    <definedName name="PULIDOyBRILLADO_TC">#REF!</definedName>
    <definedName name="PULIDOyBRILLADO_TC_10" localSheetId="8">#REF!</definedName>
    <definedName name="PULIDOyBRILLADO_TC_10">#REF!</definedName>
    <definedName name="PULIDOyBRILLADO_TC_11" localSheetId="8">#REF!</definedName>
    <definedName name="PULIDOyBRILLADO_TC_11">#REF!</definedName>
    <definedName name="PULIDOyBRILLADO_TC_6" localSheetId="8">#REF!</definedName>
    <definedName name="PULIDOyBRILLADO_TC_6">#REF!</definedName>
    <definedName name="PULIDOyBRILLADO_TC_7" localSheetId="8">#REF!</definedName>
    <definedName name="PULIDOyBRILLADO_TC_7">#REF!</definedName>
    <definedName name="PULIDOyBRILLADO_TC_8" localSheetId="8">#REF!</definedName>
    <definedName name="PULIDOyBRILLADO_TC_8">#REF!</definedName>
    <definedName name="PULIDOyBRILLADO_TC_9" localSheetId="8">#REF!</definedName>
    <definedName name="PULIDOyBRILLADO_TC_9">#REF!</definedName>
    <definedName name="PUZAPATAMURORAMPA">'[12]Análisis de Precios'!$F$201</definedName>
    <definedName name="PWINCHE2000K">[20]INS!$D$568</definedName>
    <definedName name="PWINCHE2000K_6" localSheetId="8">#REF!</definedName>
    <definedName name="PWINCHE2000K_6">#REF!</definedName>
    <definedName name="Q" localSheetId="8">#REF!</definedName>
    <definedName name="Q">#REF!</definedName>
    <definedName name="Q_10" localSheetId="8">#REF!</definedName>
    <definedName name="Q_10">#REF!</definedName>
    <definedName name="Q_11" localSheetId="8">#REF!</definedName>
    <definedName name="Q_11">#REF!</definedName>
    <definedName name="Q_5" localSheetId="8">#REF!</definedName>
    <definedName name="Q_5">#REF!</definedName>
    <definedName name="Q_6" localSheetId="8">#REF!</definedName>
    <definedName name="Q_6">#REF!</definedName>
    <definedName name="Q_7" localSheetId="8">#REF!</definedName>
    <definedName name="Q_7">#REF!</definedName>
    <definedName name="Q_8" localSheetId="8">#REF!</definedName>
    <definedName name="Q_8">#REF!</definedName>
    <definedName name="Q_9" localSheetId="8">#REF!</definedName>
    <definedName name="Q_9">#REF!</definedName>
    <definedName name="QQ" localSheetId="8">[20]INS!#REF!</definedName>
    <definedName name="QQ">[20]INS!#REF!</definedName>
    <definedName name="QQQ" localSheetId="8">[10]M.O.!#REF!</definedName>
    <definedName name="QQQ">[10]M.O.!#REF!</definedName>
    <definedName name="QQQQ" localSheetId="8">#REF!</definedName>
    <definedName name="QQQQ">#REF!</definedName>
    <definedName name="QQQQQ" localSheetId="8">#REF!</definedName>
    <definedName name="QQQQQ">#REF!</definedName>
    <definedName name="qw">[42]PRESUPUESTO!$M$10:$AH$731</definedName>
    <definedName name="qwe">[44]INSU!$D$133</definedName>
    <definedName name="qwe_6" localSheetId="8">#REF!</definedName>
    <definedName name="qwe_6">#REF!</definedName>
    <definedName name="RASTRILLO" localSheetId="8">#REF!</definedName>
    <definedName name="RASTRILLO">#REF!</definedName>
    <definedName name="RASTRILLO_10" localSheetId="8">#REF!</definedName>
    <definedName name="RASTRILLO_10">#REF!</definedName>
    <definedName name="RASTRILLO_11" localSheetId="8">#REF!</definedName>
    <definedName name="RASTRILLO_11">#REF!</definedName>
    <definedName name="RASTRILLO_6" localSheetId="8">#REF!</definedName>
    <definedName name="RASTRILLO_6">#REF!</definedName>
    <definedName name="RASTRILLO_7" localSheetId="8">#REF!</definedName>
    <definedName name="RASTRILLO_7">#REF!</definedName>
    <definedName name="RASTRILLO_8" localSheetId="8">#REF!</definedName>
    <definedName name="RASTRILLO_8">#REF!</definedName>
    <definedName name="RASTRILLO_9" localSheetId="8">#REF!</definedName>
    <definedName name="RASTRILLO_9">#REF!</definedName>
    <definedName name="REAL" localSheetId="8">#REF!</definedName>
    <definedName name="REAL">#REF!</definedName>
    <definedName name="REDUCCION_BUSHING_HG_12x38" localSheetId="8">#REF!</definedName>
    <definedName name="REDUCCION_BUSHING_HG_12x38">#REF!</definedName>
    <definedName name="REDUCCION_BUSHING_HG_12x38_10" localSheetId="8">#REF!</definedName>
    <definedName name="REDUCCION_BUSHING_HG_12x38_10">#REF!</definedName>
    <definedName name="REDUCCION_BUSHING_HG_12x38_11" localSheetId="8">#REF!</definedName>
    <definedName name="REDUCCION_BUSHING_HG_12x38_11">#REF!</definedName>
    <definedName name="REDUCCION_BUSHING_HG_12x38_6" localSheetId="8">#REF!</definedName>
    <definedName name="REDUCCION_BUSHING_HG_12x38_6">#REF!</definedName>
    <definedName name="REDUCCION_BUSHING_HG_12x38_7" localSheetId="8">#REF!</definedName>
    <definedName name="REDUCCION_BUSHING_HG_12x38_7">#REF!</definedName>
    <definedName name="REDUCCION_BUSHING_HG_12x38_8" localSheetId="8">#REF!</definedName>
    <definedName name="REDUCCION_BUSHING_HG_12x38_8">#REF!</definedName>
    <definedName name="REDUCCION_BUSHING_HG_12x38_9" localSheetId="8">#REF!</definedName>
    <definedName name="REDUCCION_BUSHING_HG_12x38_9">#REF!</definedName>
    <definedName name="REDUCCION_PVC_34a12" localSheetId="8">#REF!</definedName>
    <definedName name="REDUCCION_PVC_34a12">#REF!</definedName>
    <definedName name="REDUCCION_PVC_34a12_10" localSheetId="8">#REF!</definedName>
    <definedName name="REDUCCION_PVC_34a12_10">#REF!</definedName>
    <definedName name="REDUCCION_PVC_34a12_11" localSheetId="8">#REF!</definedName>
    <definedName name="REDUCCION_PVC_34a12_11">#REF!</definedName>
    <definedName name="REDUCCION_PVC_34a12_6" localSheetId="8">#REF!</definedName>
    <definedName name="REDUCCION_PVC_34a12_6">#REF!</definedName>
    <definedName name="REDUCCION_PVC_34a12_7" localSheetId="8">#REF!</definedName>
    <definedName name="REDUCCION_PVC_34a12_7">#REF!</definedName>
    <definedName name="REDUCCION_PVC_34a12_8" localSheetId="8">#REF!</definedName>
    <definedName name="REDUCCION_PVC_34a12_8">#REF!</definedName>
    <definedName name="REDUCCION_PVC_34a12_9" localSheetId="8">#REF!</definedName>
    <definedName name="REDUCCION_PVC_34a12_9">#REF!</definedName>
    <definedName name="REDUCCION_PVC_DREN_4x2" localSheetId="8">#REF!</definedName>
    <definedName name="REDUCCION_PVC_DREN_4x2">#REF!</definedName>
    <definedName name="REDUCCION_PVC_DREN_4x2_10" localSheetId="8">#REF!</definedName>
    <definedName name="REDUCCION_PVC_DREN_4x2_10">#REF!</definedName>
    <definedName name="REDUCCION_PVC_DREN_4x2_11" localSheetId="8">#REF!</definedName>
    <definedName name="REDUCCION_PVC_DREN_4x2_11">#REF!</definedName>
    <definedName name="REDUCCION_PVC_DREN_4x2_6" localSheetId="8">#REF!</definedName>
    <definedName name="REDUCCION_PVC_DREN_4x2_6">#REF!</definedName>
    <definedName name="REDUCCION_PVC_DREN_4x2_7" localSheetId="8">#REF!</definedName>
    <definedName name="REDUCCION_PVC_DREN_4x2_7">#REF!</definedName>
    <definedName name="REDUCCION_PVC_DREN_4x2_8" localSheetId="8">#REF!</definedName>
    <definedName name="REDUCCION_PVC_DREN_4x2_8">#REF!</definedName>
    <definedName name="REDUCCION_PVC_DREN_4x2_9" localSheetId="8">#REF!</definedName>
    <definedName name="REDUCCION_PVC_DREN_4x2_9">#REF!</definedName>
    <definedName name="REFERENCIA">[45]COF!$G$733</definedName>
    <definedName name="REFERENCIA_10" localSheetId="8">#REF!</definedName>
    <definedName name="REFERENCIA_10">#REF!</definedName>
    <definedName name="REFERENCIA_11" localSheetId="8">#REF!</definedName>
    <definedName name="REFERENCIA_11">#REF!</definedName>
    <definedName name="REFERENCIA_6" localSheetId="8">#REF!</definedName>
    <definedName name="REFERENCIA_6">#REF!</definedName>
    <definedName name="REFERENCIA_7" localSheetId="8">#REF!</definedName>
    <definedName name="REFERENCIA_7">#REF!</definedName>
    <definedName name="REFERENCIA_8" localSheetId="8">#REF!</definedName>
    <definedName name="REFERENCIA_8">#REF!</definedName>
    <definedName name="REFERENCIA_9" localSheetId="8">#REF!</definedName>
    <definedName name="REFERENCIA_9">#REF!</definedName>
    <definedName name="REGISTRO_ELEC_6x6" localSheetId="8">#REF!</definedName>
    <definedName name="REGISTRO_ELEC_6x6">#REF!</definedName>
    <definedName name="REGISTRO_ELEC_6x6_10" localSheetId="8">#REF!</definedName>
    <definedName name="REGISTRO_ELEC_6x6_10">#REF!</definedName>
    <definedName name="REGISTRO_ELEC_6x6_11" localSheetId="8">#REF!</definedName>
    <definedName name="REGISTRO_ELEC_6x6_11">#REF!</definedName>
    <definedName name="REGISTRO_ELEC_6x6_6" localSheetId="8">#REF!</definedName>
    <definedName name="REGISTRO_ELEC_6x6_6">#REF!</definedName>
    <definedName name="REGISTRO_ELEC_6x6_7" localSheetId="8">#REF!</definedName>
    <definedName name="REGISTRO_ELEC_6x6_7">#REF!</definedName>
    <definedName name="REGISTRO_ELEC_6x6_8" localSheetId="8">#REF!</definedName>
    <definedName name="REGISTRO_ELEC_6x6_8">#REF!</definedName>
    <definedName name="REGISTRO_ELEC_6x6_9" localSheetId="8">#REF!</definedName>
    <definedName name="REGISTRO_ELEC_6x6_9">#REF!</definedName>
    <definedName name="registros" localSheetId="8">#REF!</definedName>
    <definedName name="registros">#REF!</definedName>
    <definedName name="REGLA_PAÑETE" localSheetId="8">#REF!</definedName>
    <definedName name="REGLA_PAÑETE">#REF!</definedName>
    <definedName name="REGLA_PAÑETE_10" localSheetId="8">#REF!</definedName>
    <definedName name="REGLA_PAÑETE_10">#REF!</definedName>
    <definedName name="REGLA_PAÑETE_11" localSheetId="8">#REF!</definedName>
    <definedName name="REGLA_PAÑETE_11">#REF!</definedName>
    <definedName name="REGLA_PAÑETE_6" localSheetId="8">#REF!</definedName>
    <definedName name="REGLA_PAÑETE_6">#REF!</definedName>
    <definedName name="REGLA_PAÑETE_7" localSheetId="8">#REF!</definedName>
    <definedName name="REGLA_PAÑETE_7">#REF!</definedName>
    <definedName name="REGLA_PAÑETE_8" localSheetId="8">#REF!</definedName>
    <definedName name="REGLA_PAÑETE_8">#REF!</definedName>
    <definedName name="REGLA_PAÑETE_9" localSheetId="8">#REF!</definedName>
    <definedName name="REGLA_PAÑETE_9">#REF!</definedName>
    <definedName name="REJILLA_PISO" localSheetId="8">#REF!</definedName>
    <definedName name="REJILLA_PISO">#REF!</definedName>
    <definedName name="REJILLA_PISO_10" localSheetId="8">#REF!</definedName>
    <definedName name="REJILLA_PISO_10">#REF!</definedName>
    <definedName name="REJILLA_PISO_11" localSheetId="8">#REF!</definedName>
    <definedName name="REJILLA_PISO_11">#REF!</definedName>
    <definedName name="REJILLA_PISO_6" localSheetId="8">#REF!</definedName>
    <definedName name="REJILLA_PISO_6">#REF!</definedName>
    <definedName name="REJILLA_PISO_7" localSheetId="8">#REF!</definedName>
    <definedName name="REJILLA_PISO_7">#REF!</definedName>
    <definedName name="REJILLA_PISO_8" localSheetId="8">#REF!</definedName>
    <definedName name="REJILLA_PISO_8">#REF!</definedName>
    <definedName name="REJILLA_PISO_9" localSheetId="8">#REF!</definedName>
    <definedName name="REJILLA_PISO_9">#REF!</definedName>
    <definedName name="REJILLAS_1x1" localSheetId="8">#REF!</definedName>
    <definedName name="REJILLAS_1x1">#REF!</definedName>
    <definedName name="REJILLAS_1x1_10" localSheetId="8">#REF!</definedName>
    <definedName name="REJILLAS_1x1_10">#REF!</definedName>
    <definedName name="REJILLAS_1x1_11" localSheetId="8">#REF!</definedName>
    <definedName name="REJILLAS_1x1_11">#REF!</definedName>
    <definedName name="REJILLAS_1x1_6" localSheetId="8">#REF!</definedName>
    <definedName name="REJILLAS_1x1_6">#REF!</definedName>
    <definedName name="REJILLAS_1x1_7" localSheetId="8">#REF!</definedName>
    <definedName name="REJILLAS_1x1_7">#REF!</definedName>
    <definedName name="REJILLAS_1x1_8" localSheetId="8">#REF!</definedName>
    <definedName name="REJILLAS_1x1_8">#REF!</definedName>
    <definedName name="REJILLAS_1x1_9" localSheetId="8">#REF!</definedName>
    <definedName name="REJILLAS_1x1_9">#REF!</definedName>
    <definedName name="REPORTE">#N/A</definedName>
    <definedName name="REPORTE_01">#N/A</definedName>
    <definedName name="REPORTE_01_6">NA()</definedName>
    <definedName name="REPORTE_02">#N/A</definedName>
    <definedName name="REPORTE_02_6">NA()</definedName>
    <definedName name="REPORTE_03">#N/A</definedName>
    <definedName name="REPORTE_03_6">NA()</definedName>
    <definedName name="REPORTE_04">#N/A</definedName>
    <definedName name="REPORTE_04_6">NA()</definedName>
    <definedName name="REPORTE_05">#N/A</definedName>
    <definedName name="REPORTE_05_6">NA()</definedName>
    <definedName name="REPORTE_06">#N/A</definedName>
    <definedName name="REPORTE_06_6">NA()</definedName>
    <definedName name="REPORTE_07">#N/A</definedName>
    <definedName name="REPORTE_07_6">NA()</definedName>
    <definedName name="REPORTE_08">#N/A</definedName>
    <definedName name="REPORTE_08_6">NA()</definedName>
    <definedName name="REPORTE_09">#N/A</definedName>
    <definedName name="REPORTE_09_6">NA()</definedName>
    <definedName name="REPORTE_6">NA()</definedName>
    <definedName name="RETRO_320" localSheetId="8">#REF!</definedName>
    <definedName name="RETRO_320">#REF!</definedName>
    <definedName name="RETRO_320_10" localSheetId="8">#REF!</definedName>
    <definedName name="RETRO_320_10">#REF!</definedName>
    <definedName name="RETRO_320_11" localSheetId="8">#REF!</definedName>
    <definedName name="RETRO_320_11">#REF!</definedName>
    <definedName name="RETRO_320_6" localSheetId="8">#REF!</definedName>
    <definedName name="RETRO_320_6">#REF!</definedName>
    <definedName name="RETRO_320_7" localSheetId="8">#REF!</definedName>
    <definedName name="RETRO_320_7">#REF!</definedName>
    <definedName name="RETRO_320_8" localSheetId="8">#REF!</definedName>
    <definedName name="RETRO_320_8">#REF!</definedName>
    <definedName name="RETRO_320_9" localSheetId="8">#REF!</definedName>
    <definedName name="RETRO_320_9">#REF!</definedName>
    <definedName name="REVESTIMIENTO_CERAMICA_20x20" localSheetId="8">#REF!</definedName>
    <definedName name="REVESTIMIENTO_CERAMICA_20x20">#REF!</definedName>
    <definedName name="REVESTIMIENTO_CERAMICA_20x20_10" localSheetId="8">#REF!</definedName>
    <definedName name="REVESTIMIENTO_CERAMICA_20x20_10">#REF!</definedName>
    <definedName name="REVESTIMIENTO_CERAMICA_20x20_11" localSheetId="8">#REF!</definedName>
    <definedName name="REVESTIMIENTO_CERAMICA_20x20_11">#REF!</definedName>
    <definedName name="REVESTIMIENTO_CERAMICA_20x20_6" localSheetId="8">#REF!</definedName>
    <definedName name="REVESTIMIENTO_CERAMICA_20x20_6">#REF!</definedName>
    <definedName name="REVESTIMIENTO_CERAMICA_20x20_7" localSheetId="8">#REF!</definedName>
    <definedName name="REVESTIMIENTO_CERAMICA_20x20_7">#REF!</definedName>
    <definedName name="REVESTIMIENTO_CERAMICA_20x20_8" localSheetId="8">#REF!</definedName>
    <definedName name="REVESTIMIENTO_CERAMICA_20x20_8">#REF!</definedName>
    <definedName name="REVESTIMIENTO_CERAMICA_20x20_9" localSheetId="8">#REF!</definedName>
    <definedName name="REVESTIMIENTO_CERAMICA_20x20_9">#REF!</definedName>
    <definedName name="RODILLO_CAT_815" localSheetId="8">#REF!</definedName>
    <definedName name="RODILLO_CAT_815">#REF!</definedName>
    <definedName name="RODILLO_CAT_815_10" localSheetId="8">#REF!</definedName>
    <definedName name="RODILLO_CAT_815_10">#REF!</definedName>
    <definedName name="RODILLO_CAT_815_11" localSheetId="8">#REF!</definedName>
    <definedName name="RODILLO_CAT_815_11">#REF!</definedName>
    <definedName name="RODILLO_CAT_815_6" localSheetId="8">#REF!</definedName>
    <definedName name="RODILLO_CAT_815_6">#REF!</definedName>
    <definedName name="RODILLO_CAT_815_7" localSheetId="8">#REF!</definedName>
    <definedName name="RODILLO_CAT_815_7">#REF!</definedName>
    <definedName name="RODILLO_CAT_815_8" localSheetId="8">#REF!</definedName>
    <definedName name="RODILLO_CAT_815_8">#REF!</definedName>
    <definedName name="RODILLO_CAT_815_9" localSheetId="8">#REF!</definedName>
    <definedName name="RODILLO_CAT_815_9">#REF!</definedName>
    <definedName name="ROSETA" localSheetId="8">#REF!</definedName>
    <definedName name="ROSETA">#REF!</definedName>
    <definedName name="ROSETA_10" localSheetId="8">#REF!</definedName>
    <definedName name="ROSETA_10">#REF!</definedName>
    <definedName name="ROSETA_11" localSheetId="8">#REF!</definedName>
    <definedName name="ROSETA_11">#REF!</definedName>
    <definedName name="ROSETA_6" localSheetId="8">#REF!</definedName>
    <definedName name="ROSETA_6">#REF!</definedName>
    <definedName name="ROSETA_7" localSheetId="8">#REF!</definedName>
    <definedName name="ROSETA_7">#REF!</definedName>
    <definedName name="ROSETA_8" localSheetId="8">#REF!</definedName>
    <definedName name="ROSETA_8">#REF!</definedName>
    <definedName name="ROSETA_9" localSheetId="8">#REF!</definedName>
    <definedName name="ROSETA_9">#REF!</definedName>
    <definedName name="SALARIO" localSheetId="8">#REF!</definedName>
    <definedName name="SALARIO">#REF!</definedName>
    <definedName name="SALIDA">#N/A</definedName>
    <definedName name="SALIDA_6">NA()</definedName>
    <definedName name="SDSDFSDFSDF" localSheetId="8">#REF!</definedName>
    <definedName name="SDSDFSDFSDF">#REF!</definedName>
    <definedName name="SDSDFSDFSDF_6" localSheetId="8">#REF!</definedName>
    <definedName name="SDSDFSDFSDF_6">#REF!</definedName>
    <definedName name="SEGUETA" localSheetId="8">#REF!</definedName>
    <definedName name="SEGUETA">#REF!</definedName>
    <definedName name="SEGUETA_10" localSheetId="8">#REF!</definedName>
    <definedName name="SEGUETA_10">#REF!</definedName>
    <definedName name="SEGUETA_11" localSheetId="8">#REF!</definedName>
    <definedName name="SEGUETA_11">#REF!</definedName>
    <definedName name="SEGUETA_6" localSheetId="8">#REF!</definedName>
    <definedName name="SEGUETA_6">#REF!</definedName>
    <definedName name="SEGUETA_7" localSheetId="8">#REF!</definedName>
    <definedName name="SEGUETA_7">#REF!</definedName>
    <definedName name="SEGUETA_8" localSheetId="8">#REF!</definedName>
    <definedName name="SEGUETA_8">#REF!</definedName>
    <definedName name="SEGUETA_9" localSheetId="8">#REF!</definedName>
    <definedName name="SEGUETA_9">#REF!</definedName>
    <definedName name="SIERRA_ELECTRICA" localSheetId="8">#REF!</definedName>
    <definedName name="SIERRA_ELECTRICA">#REF!</definedName>
    <definedName name="SIERRA_ELECTRICA_10" localSheetId="8">#REF!</definedName>
    <definedName name="SIERRA_ELECTRICA_10">#REF!</definedName>
    <definedName name="SIERRA_ELECTRICA_11" localSheetId="8">#REF!</definedName>
    <definedName name="SIERRA_ELECTRICA_11">#REF!</definedName>
    <definedName name="SIERRA_ELECTRICA_6" localSheetId="8">#REF!</definedName>
    <definedName name="SIERRA_ELECTRICA_6">#REF!</definedName>
    <definedName name="SIERRA_ELECTRICA_7" localSheetId="8">#REF!</definedName>
    <definedName name="SIERRA_ELECTRICA_7">#REF!</definedName>
    <definedName name="SIERRA_ELECTRICA_8" localSheetId="8">#REF!</definedName>
    <definedName name="SIERRA_ELECTRICA_8">#REF!</definedName>
    <definedName name="SIERRA_ELECTRICA_9" localSheetId="8">#REF!</definedName>
    <definedName name="SIERRA_ELECTRICA_9">#REF!</definedName>
    <definedName name="SIFON_PVC_1_12" localSheetId="8">#REF!</definedName>
    <definedName name="SIFON_PVC_1_12">#REF!</definedName>
    <definedName name="SIFON_PVC_1_12_10" localSheetId="8">#REF!</definedName>
    <definedName name="SIFON_PVC_1_12_10">#REF!</definedName>
    <definedName name="SIFON_PVC_1_12_11" localSheetId="8">#REF!</definedName>
    <definedName name="SIFON_PVC_1_12_11">#REF!</definedName>
    <definedName name="SIFON_PVC_1_12_6" localSheetId="8">#REF!</definedName>
    <definedName name="SIFON_PVC_1_12_6">#REF!</definedName>
    <definedName name="SIFON_PVC_1_12_7" localSheetId="8">#REF!</definedName>
    <definedName name="SIFON_PVC_1_12_7">#REF!</definedName>
    <definedName name="SIFON_PVC_1_12_8" localSheetId="8">#REF!</definedName>
    <definedName name="SIFON_PVC_1_12_8">#REF!</definedName>
    <definedName name="SIFON_PVC_1_12_9" localSheetId="8">#REF!</definedName>
    <definedName name="SIFON_PVC_1_12_9">#REF!</definedName>
    <definedName name="SIFON_PVC_1_14" localSheetId="8">#REF!</definedName>
    <definedName name="SIFON_PVC_1_14">#REF!</definedName>
    <definedName name="SIFON_PVC_1_14_10" localSheetId="8">#REF!</definedName>
    <definedName name="SIFON_PVC_1_14_10">#REF!</definedName>
    <definedName name="SIFON_PVC_1_14_11" localSheetId="8">#REF!</definedName>
    <definedName name="SIFON_PVC_1_14_11">#REF!</definedName>
    <definedName name="SIFON_PVC_1_14_6" localSheetId="8">#REF!</definedName>
    <definedName name="SIFON_PVC_1_14_6">#REF!</definedName>
    <definedName name="SIFON_PVC_1_14_7" localSheetId="8">#REF!</definedName>
    <definedName name="SIFON_PVC_1_14_7">#REF!</definedName>
    <definedName name="SIFON_PVC_1_14_8" localSheetId="8">#REF!</definedName>
    <definedName name="SIFON_PVC_1_14_8">#REF!</definedName>
    <definedName name="SIFON_PVC_1_14_9" localSheetId="8">#REF!</definedName>
    <definedName name="SIFON_PVC_1_14_9">#REF!</definedName>
    <definedName name="SIFON_PVC_2" localSheetId="8">#REF!</definedName>
    <definedName name="SIFON_PVC_2">#REF!</definedName>
    <definedName name="SIFON_PVC_2_10" localSheetId="8">#REF!</definedName>
    <definedName name="SIFON_PVC_2_10">#REF!</definedName>
    <definedName name="SIFON_PVC_2_11" localSheetId="8">#REF!</definedName>
    <definedName name="SIFON_PVC_2_11">#REF!</definedName>
    <definedName name="SIFON_PVC_2_6" localSheetId="8">#REF!</definedName>
    <definedName name="SIFON_PVC_2_6">#REF!</definedName>
    <definedName name="SIFON_PVC_2_7" localSheetId="8">#REF!</definedName>
    <definedName name="SIFON_PVC_2_7">#REF!</definedName>
    <definedName name="SIFON_PVC_2_8" localSheetId="8">#REF!</definedName>
    <definedName name="SIFON_PVC_2_8">#REF!</definedName>
    <definedName name="SIFON_PVC_2_9" localSheetId="8">#REF!</definedName>
    <definedName name="SIFON_PVC_2_9">#REF!</definedName>
    <definedName name="SIFON_PVC_4" localSheetId="8">#REF!</definedName>
    <definedName name="SIFON_PVC_4">#REF!</definedName>
    <definedName name="SIFON_PVC_4_10" localSheetId="8">#REF!</definedName>
    <definedName name="SIFON_PVC_4_10">#REF!</definedName>
    <definedName name="SIFON_PVC_4_11" localSheetId="8">#REF!</definedName>
    <definedName name="SIFON_PVC_4_11">#REF!</definedName>
    <definedName name="SIFON_PVC_4_6" localSheetId="8">#REF!</definedName>
    <definedName name="SIFON_PVC_4_6">#REF!</definedName>
    <definedName name="SIFON_PVC_4_7" localSheetId="8">#REF!</definedName>
    <definedName name="SIFON_PVC_4_7">#REF!</definedName>
    <definedName name="SIFON_PVC_4_8" localSheetId="8">#REF!</definedName>
    <definedName name="SIFON_PVC_4_8">#REF!</definedName>
    <definedName name="SIFON_PVC_4_9" localSheetId="8">#REF!</definedName>
    <definedName name="SIFON_PVC_4_9">#REF!</definedName>
    <definedName name="SILICONE" localSheetId="8">#REF!</definedName>
    <definedName name="SILICONE">#REF!</definedName>
    <definedName name="SILICONE_10" localSheetId="8">#REF!</definedName>
    <definedName name="SILICONE_10">#REF!</definedName>
    <definedName name="SILICONE_11" localSheetId="8">#REF!</definedName>
    <definedName name="SILICONE_11">#REF!</definedName>
    <definedName name="SILICONE_6" localSheetId="8">#REF!</definedName>
    <definedName name="SILICONE_6">#REF!</definedName>
    <definedName name="SILICONE_7" localSheetId="8">#REF!</definedName>
    <definedName name="SILICONE_7">#REF!</definedName>
    <definedName name="SILICONE_8" localSheetId="8">#REF!</definedName>
    <definedName name="SILICONE_8">#REF!</definedName>
    <definedName name="SILICONE_9" localSheetId="8">#REF!</definedName>
    <definedName name="SILICONE_9">#REF!</definedName>
    <definedName name="SOLDADORA" localSheetId="8">#REF!</definedName>
    <definedName name="SOLDADORA">#REF!</definedName>
    <definedName name="SOLDADORA_10" localSheetId="8">#REF!</definedName>
    <definedName name="SOLDADORA_10">#REF!</definedName>
    <definedName name="SOLDADORA_11" localSheetId="8">#REF!</definedName>
    <definedName name="SOLDADORA_11">#REF!</definedName>
    <definedName name="SOLDADORA_6" localSheetId="8">#REF!</definedName>
    <definedName name="SOLDADORA_6">#REF!</definedName>
    <definedName name="SOLDADORA_7" localSheetId="8">#REF!</definedName>
    <definedName name="SOLDADORA_7">#REF!</definedName>
    <definedName name="SOLDADORA_8" localSheetId="8">#REF!</definedName>
    <definedName name="SOLDADORA_8">#REF!</definedName>
    <definedName name="SOLDADORA_9" localSheetId="8">#REF!</definedName>
    <definedName name="SOLDADORA_9">#REF!</definedName>
    <definedName name="spm" localSheetId="8">#REF!</definedName>
    <definedName name="spm">#REF!</definedName>
    <definedName name="SS">[17]M.O.!$C$12</definedName>
    <definedName name="SSSSSSS" localSheetId="8">#REF!</definedName>
    <definedName name="SSSSSSS">#REF!</definedName>
    <definedName name="SSSSSSSSSS" localSheetId="8">#REF!</definedName>
    <definedName name="SSSSSSSSSS">#REF!</definedName>
    <definedName name="SUB" localSheetId="8">[46]presupuesto!#REF!</definedName>
    <definedName name="SUB">[46]presupuesto!#REF!</definedName>
    <definedName name="SUB_3">#N/A</definedName>
    <definedName name="SUB_TOTAL" localSheetId="8">#REF!</definedName>
    <definedName name="SUB_TOTAL">#REF!</definedName>
    <definedName name="SUB_TOTAL_10" localSheetId="8">#REF!</definedName>
    <definedName name="SUB_TOTAL_10">#REF!</definedName>
    <definedName name="SUB_TOTAL_11" localSheetId="8">#REF!</definedName>
    <definedName name="SUB_TOTAL_11">#REF!</definedName>
    <definedName name="SUB_TOTAL_6" localSheetId="8">#REF!</definedName>
    <definedName name="SUB_TOTAL_6">#REF!</definedName>
    <definedName name="SUB_TOTAL_7" localSheetId="8">#REF!</definedName>
    <definedName name="SUB_TOTAL_7">#REF!</definedName>
    <definedName name="SUB_TOTAL_8" localSheetId="8">#REF!</definedName>
    <definedName name="SUB_TOTAL_8">#REF!</definedName>
    <definedName name="SUB_TOTAL_9" localSheetId="8">#REF!</definedName>
    <definedName name="SUB_TOTAL_9">#REF!</definedName>
    <definedName name="Subida__Bajada_y_Transporte_Cemento_3">#N/A</definedName>
    <definedName name="subtotal_3">"$#REF!.$H$59"</definedName>
    <definedName name="SUBTOTAL1_3">"$#REF!.$H$52"</definedName>
    <definedName name="SUBTOTALA_3">"$#REF!.$M$53"</definedName>
    <definedName name="SUBTOTALGASTOSGENERALES_3">"$#REF!.$H$67"</definedName>
    <definedName name="SUBTOTALGASTOSGENERALES1_3">"$#REF!.$H$59"</definedName>
    <definedName name="SUBTOTALPRESU_3">"$#REF!.$F$52"</definedName>
    <definedName name="SUELDO_3">"$#REF!.$#REF!$#REF!"</definedName>
    <definedName name="TABLETAS_3">#N/A</definedName>
    <definedName name="TANQUE_55Gls" localSheetId="8">#REF!</definedName>
    <definedName name="TANQUE_55Gls">#REF!</definedName>
    <definedName name="TANQUE_55Gls_10" localSheetId="8">#REF!</definedName>
    <definedName name="TANQUE_55Gls_10">#REF!</definedName>
    <definedName name="TANQUE_55Gls_11" localSheetId="8">#REF!</definedName>
    <definedName name="TANQUE_55Gls_11">#REF!</definedName>
    <definedName name="TANQUE_55Gls_6" localSheetId="8">#REF!</definedName>
    <definedName name="TANQUE_55Gls_6">#REF!</definedName>
    <definedName name="TANQUE_55Gls_7" localSheetId="8">#REF!</definedName>
    <definedName name="TANQUE_55Gls_7">#REF!</definedName>
    <definedName name="TANQUE_55Gls_8" localSheetId="8">#REF!</definedName>
    <definedName name="TANQUE_55Gls_8">#REF!</definedName>
    <definedName name="TANQUE_55Gls_9" localSheetId="8">#REF!</definedName>
    <definedName name="TANQUE_55Gls_9">#REF!</definedName>
    <definedName name="TAPA_ALUMINIO_1x1" localSheetId="8">#REF!</definedName>
    <definedName name="TAPA_ALUMINIO_1x1">#REF!</definedName>
    <definedName name="TAPA_ALUMINIO_1x1_10" localSheetId="8">#REF!</definedName>
    <definedName name="TAPA_ALUMINIO_1x1_10">#REF!</definedName>
    <definedName name="TAPA_ALUMINIO_1x1_11" localSheetId="8">#REF!</definedName>
    <definedName name="TAPA_ALUMINIO_1x1_11">#REF!</definedName>
    <definedName name="TAPA_ALUMINIO_1x1_6" localSheetId="8">#REF!</definedName>
    <definedName name="TAPA_ALUMINIO_1x1_6">#REF!</definedName>
    <definedName name="TAPA_ALUMINIO_1x1_7" localSheetId="8">#REF!</definedName>
    <definedName name="TAPA_ALUMINIO_1x1_7">#REF!</definedName>
    <definedName name="TAPA_ALUMINIO_1x1_8" localSheetId="8">#REF!</definedName>
    <definedName name="TAPA_ALUMINIO_1x1_8">#REF!</definedName>
    <definedName name="TAPA_ALUMINIO_1x1_9" localSheetId="8">#REF!</definedName>
    <definedName name="TAPA_ALUMINIO_1x1_9">#REF!</definedName>
    <definedName name="TAPA_REGISTRO_HF" localSheetId="8">#REF!</definedName>
    <definedName name="TAPA_REGISTRO_HF">#REF!</definedName>
    <definedName name="TAPA_REGISTRO_HF_10" localSheetId="8">#REF!</definedName>
    <definedName name="TAPA_REGISTRO_HF_10">#REF!</definedName>
    <definedName name="TAPA_REGISTRO_HF_11" localSheetId="8">#REF!</definedName>
    <definedName name="TAPA_REGISTRO_HF_11">#REF!</definedName>
    <definedName name="TAPA_REGISTRO_HF_6" localSheetId="8">#REF!</definedName>
    <definedName name="TAPA_REGISTRO_HF_6">#REF!</definedName>
    <definedName name="TAPA_REGISTRO_HF_7" localSheetId="8">#REF!</definedName>
    <definedName name="TAPA_REGISTRO_HF_7">#REF!</definedName>
    <definedName name="TAPA_REGISTRO_HF_8" localSheetId="8">#REF!</definedName>
    <definedName name="TAPA_REGISTRO_HF_8">#REF!</definedName>
    <definedName name="TAPA_REGISTRO_HF_9" localSheetId="8">#REF!</definedName>
    <definedName name="TAPA_REGISTRO_HF_9">#REF!</definedName>
    <definedName name="TAPA_REGISTRO_HF_LIVIANA" localSheetId="8">#REF!</definedName>
    <definedName name="TAPA_REGISTRO_HF_LIVIANA">#REF!</definedName>
    <definedName name="TAPA_REGISTRO_HF_LIVIANA_10" localSheetId="8">#REF!</definedName>
    <definedName name="TAPA_REGISTRO_HF_LIVIANA_10">#REF!</definedName>
    <definedName name="TAPA_REGISTRO_HF_LIVIANA_11" localSheetId="8">#REF!</definedName>
    <definedName name="TAPA_REGISTRO_HF_LIVIANA_11">#REF!</definedName>
    <definedName name="TAPA_REGISTRO_HF_LIVIANA_6" localSheetId="8">#REF!</definedName>
    <definedName name="TAPA_REGISTRO_HF_LIVIANA_6">#REF!</definedName>
    <definedName name="TAPA_REGISTRO_HF_LIVIANA_7" localSheetId="8">#REF!</definedName>
    <definedName name="TAPA_REGISTRO_HF_LIVIANA_7">#REF!</definedName>
    <definedName name="TAPA_REGISTRO_HF_LIVIANA_8" localSheetId="8">#REF!</definedName>
    <definedName name="TAPA_REGISTRO_HF_LIVIANA_8">#REF!</definedName>
    <definedName name="TAPA_REGISTRO_HF_LIVIANA_9" localSheetId="8">#REF!</definedName>
    <definedName name="TAPA_REGISTRO_HF_LIVIANA_9">#REF!</definedName>
    <definedName name="TAPE_3M" localSheetId="8">#REF!</definedName>
    <definedName name="TAPE_3M">#REF!</definedName>
    <definedName name="TAPE_3M_10" localSheetId="8">#REF!</definedName>
    <definedName name="TAPE_3M_10">#REF!</definedName>
    <definedName name="TAPE_3M_11" localSheetId="8">#REF!</definedName>
    <definedName name="TAPE_3M_11">#REF!</definedName>
    <definedName name="TAPE_3M_6" localSheetId="8">#REF!</definedName>
    <definedName name="TAPE_3M_6">#REF!</definedName>
    <definedName name="TAPE_3M_7" localSheetId="8">#REF!</definedName>
    <definedName name="TAPE_3M_7">#REF!</definedName>
    <definedName name="TAPE_3M_8" localSheetId="8">#REF!</definedName>
    <definedName name="TAPE_3M_8">#REF!</definedName>
    <definedName name="TAPE_3M_9" localSheetId="8">#REF!</definedName>
    <definedName name="TAPE_3M_9">#REF!</definedName>
    <definedName name="TC" localSheetId="8">#REF!</definedName>
    <definedName name="TC">#REF!</definedName>
    <definedName name="TEE_ACERO_12x8" localSheetId="8">#REF!</definedName>
    <definedName name="TEE_ACERO_12x8">#REF!</definedName>
    <definedName name="TEE_ACERO_12x8_10" localSheetId="8">#REF!</definedName>
    <definedName name="TEE_ACERO_12x8_10">#REF!</definedName>
    <definedName name="TEE_ACERO_12x8_11" localSheetId="8">#REF!</definedName>
    <definedName name="TEE_ACERO_12x8_11">#REF!</definedName>
    <definedName name="TEE_ACERO_12x8_6" localSheetId="8">#REF!</definedName>
    <definedName name="TEE_ACERO_12x8_6">#REF!</definedName>
    <definedName name="TEE_ACERO_12x8_7" localSheetId="8">#REF!</definedName>
    <definedName name="TEE_ACERO_12x8_7">#REF!</definedName>
    <definedName name="TEE_ACERO_12x8_8" localSheetId="8">#REF!</definedName>
    <definedName name="TEE_ACERO_12x8_8">#REF!</definedName>
    <definedName name="TEE_ACERO_12x8_9" localSheetId="8">#REF!</definedName>
    <definedName name="TEE_ACERO_12x8_9">#REF!</definedName>
    <definedName name="TEE_ACERO_16x12" localSheetId="8">#REF!</definedName>
    <definedName name="TEE_ACERO_16x12">#REF!</definedName>
    <definedName name="TEE_ACERO_16x12_10" localSheetId="8">#REF!</definedName>
    <definedName name="TEE_ACERO_16x12_10">#REF!</definedName>
    <definedName name="TEE_ACERO_16x12_11" localSheetId="8">#REF!</definedName>
    <definedName name="TEE_ACERO_16x12_11">#REF!</definedName>
    <definedName name="TEE_ACERO_16x12_6" localSheetId="8">#REF!</definedName>
    <definedName name="TEE_ACERO_16x12_6">#REF!</definedName>
    <definedName name="TEE_ACERO_16x12_7" localSheetId="8">#REF!</definedName>
    <definedName name="TEE_ACERO_16x12_7">#REF!</definedName>
    <definedName name="TEE_ACERO_16x12_8" localSheetId="8">#REF!</definedName>
    <definedName name="TEE_ACERO_16x12_8">#REF!</definedName>
    <definedName name="TEE_ACERO_16x12_9" localSheetId="8">#REF!</definedName>
    <definedName name="TEE_ACERO_16x12_9">#REF!</definedName>
    <definedName name="TEE_ACERO_16x16" localSheetId="8">#REF!</definedName>
    <definedName name="TEE_ACERO_16x16">#REF!</definedName>
    <definedName name="TEE_ACERO_16x16_10" localSheetId="8">#REF!</definedName>
    <definedName name="TEE_ACERO_16x16_10">#REF!</definedName>
    <definedName name="TEE_ACERO_16x16_11" localSheetId="8">#REF!</definedName>
    <definedName name="TEE_ACERO_16x16_11">#REF!</definedName>
    <definedName name="TEE_ACERO_16x16_6" localSheetId="8">#REF!</definedName>
    <definedName name="TEE_ACERO_16x16_6">#REF!</definedName>
    <definedName name="TEE_ACERO_16x16_7" localSheetId="8">#REF!</definedName>
    <definedName name="TEE_ACERO_16x16_7">#REF!</definedName>
    <definedName name="TEE_ACERO_16x16_8" localSheetId="8">#REF!</definedName>
    <definedName name="TEE_ACERO_16x16_8">#REF!</definedName>
    <definedName name="TEE_ACERO_16x16_9" localSheetId="8">#REF!</definedName>
    <definedName name="TEE_ACERO_16x16_9">#REF!</definedName>
    <definedName name="TEE_ACERO_16x6" localSheetId="8">#REF!</definedName>
    <definedName name="TEE_ACERO_16x6">#REF!</definedName>
    <definedName name="TEE_ACERO_16x6_10" localSheetId="8">#REF!</definedName>
    <definedName name="TEE_ACERO_16x6_10">#REF!</definedName>
    <definedName name="TEE_ACERO_16x6_11" localSheetId="8">#REF!</definedName>
    <definedName name="TEE_ACERO_16x6_11">#REF!</definedName>
    <definedName name="TEE_ACERO_16x6_6" localSheetId="8">#REF!</definedName>
    <definedName name="TEE_ACERO_16x6_6">#REF!</definedName>
    <definedName name="TEE_ACERO_16x6_7" localSheetId="8">#REF!</definedName>
    <definedName name="TEE_ACERO_16x6_7">#REF!</definedName>
    <definedName name="TEE_ACERO_16x6_8" localSheetId="8">#REF!</definedName>
    <definedName name="TEE_ACERO_16x6_8">#REF!</definedName>
    <definedName name="TEE_ACERO_16x6_9" localSheetId="8">#REF!</definedName>
    <definedName name="TEE_ACERO_16x6_9">#REF!</definedName>
    <definedName name="TEE_ACERO_16x8" localSheetId="8">#REF!</definedName>
    <definedName name="TEE_ACERO_16x8">#REF!</definedName>
    <definedName name="TEE_ACERO_16x8_10" localSheetId="8">#REF!</definedName>
    <definedName name="TEE_ACERO_16x8_10">#REF!</definedName>
    <definedName name="TEE_ACERO_16x8_11" localSheetId="8">#REF!</definedName>
    <definedName name="TEE_ACERO_16x8_11">#REF!</definedName>
    <definedName name="TEE_ACERO_16x8_6" localSheetId="8">#REF!</definedName>
    <definedName name="TEE_ACERO_16x8_6">#REF!</definedName>
    <definedName name="TEE_ACERO_16x8_7" localSheetId="8">#REF!</definedName>
    <definedName name="TEE_ACERO_16x8_7">#REF!</definedName>
    <definedName name="TEE_ACERO_16x8_8" localSheetId="8">#REF!</definedName>
    <definedName name="TEE_ACERO_16x8_8">#REF!</definedName>
    <definedName name="TEE_ACERO_16x8_9" localSheetId="8">#REF!</definedName>
    <definedName name="TEE_ACERO_16x8_9">#REF!</definedName>
    <definedName name="TEE_ACERO_20x16" localSheetId="8">#REF!</definedName>
    <definedName name="TEE_ACERO_20x16">#REF!</definedName>
    <definedName name="TEE_ACERO_20x16_10" localSheetId="8">#REF!</definedName>
    <definedName name="TEE_ACERO_20x16_10">#REF!</definedName>
    <definedName name="TEE_ACERO_20x16_11" localSheetId="8">#REF!</definedName>
    <definedName name="TEE_ACERO_20x16_11">#REF!</definedName>
    <definedName name="TEE_ACERO_20x16_6" localSheetId="8">#REF!</definedName>
    <definedName name="TEE_ACERO_20x16_6">#REF!</definedName>
    <definedName name="TEE_ACERO_20x16_7" localSheetId="8">#REF!</definedName>
    <definedName name="TEE_ACERO_20x16_7">#REF!</definedName>
    <definedName name="TEE_ACERO_20x16_8" localSheetId="8">#REF!</definedName>
    <definedName name="TEE_ACERO_20x16_8">#REF!</definedName>
    <definedName name="TEE_ACERO_20x16_9" localSheetId="8">#REF!</definedName>
    <definedName name="TEE_ACERO_20x16_9">#REF!</definedName>
    <definedName name="TEE_CPVC_12" localSheetId="8">#REF!</definedName>
    <definedName name="TEE_CPVC_12">#REF!</definedName>
    <definedName name="TEE_CPVC_12_10" localSheetId="8">#REF!</definedName>
    <definedName name="TEE_CPVC_12_10">#REF!</definedName>
    <definedName name="TEE_CPVC_12_11" localSheetId="8">#REF!</definedName>
    <definedName name="TEE_CPVC_12_11">#REF!</definedName>
    <definedName name="TEE_CPVC_12_6" localSheetId="8">#REF!</definedName>
    <definedName name="TEE_CPVC_12_6">#REF!</definedName>
    <definedName name="TEE_CPVC_12_7" localSheetId="8">#REF!</definedName>
    <definedName name="TEE_CPVC_12_7">#REF!</definedName>
    <definedName name="TEE_CPVC_12_8" localSheetId="8">#REF!</definedName>
    <definedName name="TEE_CPVC_12_8">#REF!</definedName>
    <definedName name="TEE_CPVC_12_9" localSheetId="8">#REF!</definedName>
    <definedName name="TEE_CPVC_12_9">#REF!</definedName>
    <definedName name="TEE_HG_1" localSheetId="8">#REF!</definedName>
    <definedName name="TEE_HG_1">#REF!</definedName>
    <definedName name="TEE_HG_1_10" localSheetId="8">#REF!</definedName>
    <definedName name="TEE_HG_1_10">#REF!</definedName>
    <definedName name="TEE_HG_1_11" localSheetId="8">#REF!</definedName>
    <definedName name="TEE_HG_1_11">#REF!</definedName>
    <definedName name="TEE_HG_1_12" localSheetId="8">#REF!</definedName>
    <definedName name="TEE_HG_1_12">#REF!</definedName>
    <definedName name="TEE_HG_1_12_10" localSheetId="8">#REF!</definedName>
    <definedName name="TEE_HG_1_12_10">#REF!</definedName>
    <definedName name="TEE_HG_1_12_11" localSheetId="8">#REF!</definedName>
    <definedName name="TEE_HG_1_12_11">#REF!</definedName>
    <definedName name="TEE_HG_1_12_6" localSheetId="8">#REF!</definedName>
    <definedName name="TEE_HG_1_12_6">#REF!</definedName>
    <definedName name="TEE_HG_1_12_7" localSheetId="8">#REF!</definedName>
    <definedName name="TEE_HG_1_12_7">#REF!</definedName>
    <definedName name="TEE_HG_1_12_8" localSheetId="8">#REF!</definedName>
    <definedName name="TEE_HG_1_12_8">#REF!</definedName>
    <definedName name="TEE_HG_1_12_9" localSheetId="8">#REF!</definedName>
    <definedName name="TEE_HG_1_12_9">#REF!</definedName>
    <definedName name="TEE_HG_1_6" localSheetId="8">#REF!</definedName>
    <definedName name="TEE_HG_1_6">#REF!</definedName>
    <definedName name="TEE_HG_1_7" localSheetId="8">#REF!</definedName>
    <definedName name="TEE_HG_1_7">#REF!</definedName>
    <definedName name="TEE_HG_1_8" localSheetId="8">#REF!</definedName>
    <definedName name="TEE_HG_1_8">#REF!</definedName>
    <definedName name="TEE_HG_1_9" localSheetId="8">#REF!</definedName>
    <definedName name="TEE_HG_1_9">#REF!</definedName>
    <definedName name="TEE_HG_12" localSheetId="8">#REF!</definedName>
    <definedName name="TEE_HG_12">#REF!</definedName>
    <definedName name="TEE_HG_12_10" localSheetId="8">#REF!</definedName>
    <definedName name="TEE_HG_12_10">#REF!</definedName>
    <definedName name="TEE_HG_12_11" localSheetId="8">#REF!</definedName>
    <definedName name="TEE_HG_12_11">#REF!</definedName>
    <definedName name="TEE_HG_12_6" localSheetId="8">#REF!</definedName>
    <definedName name="TEE_HG_12_6">#REF!</definedName>
    <definedName name="TEE_HG_12_7" localSheetId="8">#REF!</definedName>
    <definedName name="TEE_HG_12_7">#REF!</definedName>
    <definedName name="TEE_HG_12_8" localSheetId="8">#REF!</definedName>
    <definedName name="TEE_HG_12_8">#REF!</definedName>
    <definedName name="TEE_HG_12_9" localSheetId="8">#REF!</definedName>
    <definedName name="TEE_HG_12_9">#REF!</definedName>
    <definedName name="TEE_HG_34" localSheetId="8">#REF!</definedName>
    <definedName name="TEE_HG_34">#REF!</definedName>
    <definedName name="TEE_HG_34_10" localSheetId="8">#REF!</definedName>
    <definedName name="TEE_HG_34_10">#REF!</definedName>
    <definedName name="TEE_HG_34_11" localSheetId="8">#REF!</definedName>
    <definedName name="TEE_HG_34_11">#REF!</definedName>
    <definedName name="TEE_HG_34_6" localSheetId="8">#REF!</definedName>
    <definedName name="TEE_HG_34_6">#REF!</definedName>
    <definedName name="TEE_HG_34_7" localSheetId="8">#REF!</definedName>
    <definedName name="TEE_HG_34_7">#REF!</definedName>
    <definedName name="TEE_HG_34_8" localSheetId="8">#REF!</definedName>
    <definedName name="TEE_HG_34_8">#REF!</definedName>
    <definedName name="TEE_HG_34_9" localSheetId="8">#REF!</definedName>
    <definedName name="TEE_HG_34_9">#REF!</definedName>
    <definedName name="TEE_PVC_PRES_1" localSheetId="8">#REF!</definedName>
    <definedName name="TEE_PVC_PRES_1">#REF!</definedName>
    <definedName name="TEE_PVC_PRES_1_10" localSheetId="8">#REF!</definedName>
    <definedName name="TEE_PVC_PRES_1_10">#REF!</definedName>
    <definedName name="TEE_PVC_PRES_1_11" localSheetId="8">#REF!</definedName>
    <definedName name="TEE_PVC_PRES_1_11">#REF!</definedName>
    <definedName name="TEE_PVC_PRES_1_6" localSheetId="8">#REF!</definedName>
    <definedName name="TEE_PVC_PRES_1_6">#REF!</definedName>
    <definedName name="TEE_PVC_PRES_1_7" localSheetId="8">#REF!</definedName>
    <definedName name="TEE_PVC_PRES_1_7">#REF!</definedName>
    <definedName name="TEE_PVC_PRES_1_8" localSheetId="8">#REF!</definedName>
    <definedName name="TEE_PVC_PRES_1_8">#REF!</definedName>
    <definedName name="TEE_PVC_PRES_1_9" localSheetId="8">#REF!</definedName>
    <definedName name="TEE_PVC_PRES_1_9">#REF!</definedName>
    <definedName name="TEE_PVC_PRES_12" localSheetId="8">#REF!</definedName>
    <definedName name="TEE_PVC_PRES_12">#REF!</definedName>
    <definedName name="TEE_PVC_PRES_12_10" localSheetId="8">#REF!</definedName>
    <definedName name="TEE_PVC_PRES_12_10">#REF!</definedName>
    <definedName name="TEE_PVC_PRES_12_11" localSheetId="8">#REF!</definedName>
    <definedName name="TEE_PVC_PRES_12_11">#REF!</definedName>
    <definedName name="TEE_PVC_PRES_12_6" localSheetId="8">#REF!</definedName>
    <definedName name="TEE_PVC_PRES_12_6">#REF!</definedName>
    <definedName name="TEE_PVC_PRES_12_7" localSheetId="8">#REF!</definedName>
    <definedName name="TEE_PVC_PRES_12_7">#REF!</definedName>
    <definedName name="TEE_PVC_PRES_12_8" localSheetId="8">#REF!</definedName>
    <definedName name="TEE_PVC_PRES_12_8">#REF!</definedName>
    <definedName name="TEE_PVC_PRES_12_9" localSheetId="8">#REF!</definedName>
    <definedName name="TEE_PVC_PRES_12_9">#REF!</definedName>
    <definedName name="TEE_PVC_PRES_34" localSheetId="8">#REF!</definedName>
    <definedName name="TEE_PVC_PRES_34">#REF!</definedName>
    <definedName name="TEE_PVC_PRES_34_10" localSheetId="8">#REF!</definedName>
    <definedName name="TEE_PVC_PRES_34_10">#REF!</definedName>
    <definedName name="TEE_PVC_PRES_34_11" localSheetId="8">#REF!</definedName>
    <definedName name="TEE_PVC_PRES_34_11">#REF!</definedName>
    <definedName name="TEE_PVC_PRES_34_6" localSheetId="8">#REF!</definedName>
    <definedName name="TEE_PVC_PRES_34_6">#REF!</definedName>
    <definedName name="TEE_PVC_PRES_34_7" localSheetId="8">#REF!</definedName>
    <definedName name="TEE_PVC_PRES_34_7">#REF!</definedName>
    <definedName name="TEE_PVC_PRES_34_8" localSheetId="8">#REF!</definedName>
    <definedName name="TEE_PVC_PRES_34_8">#REF!</definedName>
    <definedName name="TEE_PVC_PRES_34_9" localSheetId="8">#REF!</definedName>
    <definedName name="TEE_PVC_PRES_34_9">#REF!</definedName>
    <definedName name="TEFLON" localSheetId="8">#REF!</definedName>
    <definedName name="TEFLON">#REF!</definedName>
    <definedName name="TEFLON_10" localSheetId="8">#REF!</definedName>
    <definedName name="TEFLON_10">#REF!</definedName>
    <definedName name="TEFLON_11" localSheetId="8">#REF!</definedName>
    <definedName name="TEFLON_11">#REF!</definedName>
    <definedName name="TEFLON_6" localSheetId="8">#REF!</definedName>
    <definedName name="TEFLON_6">#REF!</definedName>
    <definedName name="TEFLON_7" localSheetId="8">#REF!</definedName>
    <definedName name="TEFLON_7">#REF!</definedName>
    <definedName name="TEFLON_8" localSheetId="8">#REF!</definedName>
    <definedName name="TEFLON_8">#REF!</definedName>
    <definedName name="TEFLON_9" localSheetId="8">#REF!</definedName>
    <definedName name="TEFLON_9">#REF!</definedName>
    <definedName name="THINNER" localSheetId="8">#REF!</definedName>
    <definedName name="THINNER">#REF!</definedName>
    <definedName name="THINNER_10" localSheetId="8">#REF!</definedName>
    <definedName name="THINNER_10">#REF!</definedName>
    <definedName name="THINNER_11" localSheetId="8">#REF!</definedName>
    <definedName name="THINNER_11">#REF!</definedName>
    <definedName name="THINNER_6" localSheetId="8">#REF!</definedName>
    <definedName name="THINNER_6">#REF!</definedName>
    <definedName name="THINNER_7" localSheetId="8">#REF!</definedName>
    <definedName name="THINNER_7">#REF!</definedName>
    <definedName name="THINNER_8" localSheetId="8">#REF!</definedName>
    <definedName name="THINNER_8">#REF!</definedName>
    <definedName name="THINNER_9" localSheetId="8">#REF!</definedName>
    <definedName name="THINNER_9">#REF!</definedName>
    <definedName name="_xlnm.Print_Titles" localSheetId="0">'ALCANT. OPCION 1'!$1:$9</definedName>
    <definedName name="_xlnm.Print_Titles" localSheetId="1">Presupuesto!$1:$9</definedName>
    <definedName name="_xlnm.Print_Titles" localSheetId="8">'PRESUPUESTO-base + equilibrio '!$A:$F,'PRESUPUESTO-base + equilibrio '!$1:$14</definedName>
    <definedName name="_xlnm.Print_Titles">#N/A</definedName>
    <definedName name="TNC" localSheetId="8">#REF!</definedName>
    <definedName name="TNC">#REF!</definedName>
    <definedName name="Tolas" localSheetId="8">#REF!</definedName>
    <definedName name="Tolas">#REF!</definedName>
    <definedName name="Tolas_3">"$#REF!.$B$13"</definedName>
    <definedName name="Tolas_8" localSheetId="8">#REF!</definedName>
    <definedName name="Tolas_8">#REF!</definedName>
    <definedName name="TOMACORRIENTE_110V" localSheetId="8">#REF!</definedName>
    <definedName name="TOMACORRIENTE_110V">#REF!</definedName>
    <definedName name="TOMACORRIENTE_110V_10" localSheetId="8">#REF!</definedName>
    <definedName name="TOMACORRIENTE_110V_10">#REF!</definedName>
    <definedName name="TOMACORRIENTE_110V_11" localSheetId="8">#REF!</definedName>
    <definedName name="TOMACORRIENTE_110V_11">#REF!</definedName>
    <definedName name="TOMACORRIENTE_110V_6" localSheetId="8">#REF!</definedName>
    <definedName name="TOMACORRIENTE_110V_6">#REF!</definedName>
    <definedName name="TOMACORRIENTE_110V_7" localSheetId="8">#REF!</definedName>
    <definedName name="TOMACORRIENTE_110V_7">#REF!</definedName>
    <definedName name="TOMACORRIENTE_110V_8" localSheetId="8">#REF!</definedName>
    <definedName name="TOMACORRIENTE_110V_8">#REF!</definedName>
    <definedName name="TOMACORRIENTE_110V_9" localSheetId="8">#REF!</definedName>
    <definedName name="TOMACORRIENTE_110V_9">#REF!</definedName>
    <definedName name="TOMACORRIENTE_220V_SENC" localSheetId="8">#REF!</definedName>
    <definedName name="TOMACORRIENTE_220V_SENC">#REF!</definedName>
    <definedName name="TOMACORRIENTE_220V_SENC_10" localSheetId="8">#REF!</definedName>
    <definedName name="TOMACORRIENTE_220V_SENC_10">#REF!</definedName>
    <definedName name="TOMACORRIENTE_220V_SENC_11" localSheetId="8">#REF!</definedName>
    <definedName name="TOMACORRIENTE_220V_SENC_11">#REF!</definedName>
    <definedName name="TOMACORRIENTE_220V_SENC_6" localSheetId="8">#REF!</definedName>
    <definedName name="TOMACORRIENTE_220V_SENC_6">#REF!</definedName>
    <definedName name="TOMACORRIENTE_220V_SENC_7" localSheetId="8">#REF!</definedName>
    <definedName name="TOMACORRIENTE_220V_SENC_7">#REF!</definedName>
    <definedName name="TOMACORRIENTE_220V_SENC_8" localSheetId="8">#REF!</definedName>
    <definedName name="TOMACORRIENTE_220V_SENC_8">#REF!</definedName>
    <definedName name="TOMACORRIENTE_220V_SENC_9" localSheetId="8">#REF!</definedName>
    <definedName name="TOMACORRIENTE_220V_SENC_9">#REF!</definedName>
    <definedName name="TOMACORRIENTE_30a" localSheetId="8">#REF!</definedName>
    <definedName name="TOMACORRIENTE_30a">#REF!</definedName>
    <definedName name="TOMACORRIENTE_30a_10" localSheetId="8">#REF!</definedName>
    <definedName name="TOMACORRIENTE_30a_10">#REF!</definedName>
    <definedName name="TOMACORRIENTE_30a_11" localSheetId="8">#REF!</definedName>
    <definedName name="TOMACORRIENTE_30a_11">#REF!</definedName>
    <definedName name="TOMACORRIENTE_30a_6" localSheetId="8">#REF!</definedName>
    <definedName name="TOMACORRIENTE_30a_6">#REF!</definedName>
    <definedName name="TOMACORRIENTE_30a_7" localSheetId="8">#REF!</definedName>
    <definedName name="TOMACORRIENTE_30a_7">#REF!</definedName>
    <definedName name="TOMACORRIENTE_30a_8" localSheetId="8">#REF!</definedName>
    <definedName name="TOMACORRIENTE_30a_8">#REF!</definedName>
    <definedName name="TOMACORRIENTE_30a_9" localSheetId="8">#REF!</definedName>
    <definedName name="TOMACORRIENTE_30a_9">#REF!</definedName>
    <definedName name="TOPOGRAFIA_3">#N/A</definedName>
    <definedName name="Topografo" localSheetId="8">#REF!</definedName>
    <definedName name="Topografo">#REF!</definedName>
    <definedName name="Topografo_10" localSheetId="8">#REF!</definedName>
    <definedName name="Topografo_10">#REF!</definedName>
    <definedName name="Topografo_11" localSheetId="8">#REF!</definedName>
    <definedName name="Topografo_11">#REF!</definedName>
    <definedName name="Topografo_6" localSheetId="8">#REF!</definedName>
    <definedName name="Topografo_6">#REF!</definedName>
    <definedName name="Topografo_7" localSheetId="8">#REF!</definedName>
    <definedName name="Topografo_7">#REF!</definedName>
    <definedName name="Topografo_8" localSheetId="8">#REF!</definedName>
    <definedName name="Topografo_8">#REF!</definedName>
    <definedName name="Topografo_9" localSheetId="8">#REF!</definedName>
    <definedName name="Topografo_9">#REF!</definedName>
    <definedName name="TORNILLOS" localSheetId="8">#REF!</definedName>
    <definedName name="TORNILLOS">#REF!</definedName>
    <definedName name="TORNILLOS_3">"$#REF!.$B$#REF!"</definedName>
    <definedName name="Tornillos_5_x3_8_3">#N/A</definedName>
    <definedName name="TORNILLOS_8" localSheetId="8">#REF!</definedName>
    <definedName name="TORNILLOS_8">#REF!</definedName>
    <definedName name="TORNILLOS_INODORO" localSheetId="8">#REF!</definedName>
    <definedName name="TORNILLOS_INODORO">#REF!</definedName>
    <definedName name="TORNILLOS_INODORO_10" localSheetId="8">#REF!</definedName>
    <definedName name="TORNILLOS_INODORO_10">#REF!</definedName>
    <definedName name="TORNILLOS_INODORO_11" localSheetId="8">#REF!</definedName>
    <definedName name="TORNILLOS_INODORO_11">#REF!</definedName>
    <definedName name="TORNILLOS_INODORO_6" localSheetId="8">#REF!</definedName>
    <definedName name="TORNILLOS_INODORO_6">#REF!</definedName>
    <definedName name="TORNILLOS_INODORO_7" localSheetId="8">#REF!</definedName>
    <definedName name="TORNILLOS_INODORO_7">#REF!</definedName>
    <definedName name="TORNILLOS_INODORO_8" localSheetId="8">#REF!</definedName>
    <definedName name="TORNILLOS_INODORO_8">#REF!</definedName>
    <definedName name="TORNILLOS_INODORO_9" localSheetId="8">#REF!</definedName>
    <definedName name="TORNILLOS_INODORO_9">#REF!</definedName>
    <definedName name="totalgeneral_3">"$#REF!.$M$56"</definedName>
    <definedName name="TRACTOR_D8K" localSheetId="8">#REF!</definedName>
    <definedName name="TRACTOR_D8K">#REF!</definedName>
    <definedName name="TRACTOR_D8K_10" localSheetId="8">#REF!</definedName>
    <definedName name="TRACTOR_D8K_10">#REF!</definedName>
    <definedName name="TRACTOR_D8K_11" localSheetId="8">#REF!</definedName>
    <definedName name="TRACTOR_D8K_11">#REF!</definedName>
    <definedName name="TRACTOR_D8K_6" localSheetId="8">#REF!</definedName>
    <definedName name="TRACTOR_D8K_6">#REF!</definedName>
    <definedName name="TRACTOR_D8K_7" localSheetId="8">#REF!</definedName>
    <definedName name="TRACTOR_D8K_7">#REF!</definedName>
    <definedName name="TRACTOR_D8K_8" localSheetId="8">#REF!</definedName>
    <definedName name="TRACTOR_D8K_8">#REF!</definedName>
    <definedName name="TRACTOR_D8K_9" localSheetId="8">#REF!</definedName>
    <definedName name="TRACTOR_D8K_9">#REF!</definedName>
    <definedName name="TRANSFER_MANUAL_150_3AMPS" localSheetId="8">#REF!</definedName>
    <definedName name="TRANSFER_MANUAL_150_3AMPS">#REF!</definedName>
    <definedName name="TRANSFER_MANUAL_150_3AMPS_10" localSheetId="8">#REF!</definedName>
    <definedName name="TRANSFER_MANUAL_150_3AMPS_10">#REF!</definedName>
    <definedName name="TRANSFER_MANUAL_150_3AMPS_11" localSheetId="8">#REF!</definedName>
    <definedName name="TRANSFER_MANUAL_150_3AMPS_11">#REF!</definedName>
    <definedName name="TRANSFER_MANUAL_150_3AMPS_6" localSheetId="8">#REF!</definedName>
    <definedName name="TRANSFER_MANUAL_150_3AMPS_6">#REF!</definedName>
    <definedName name="TRANSFER_MANUAL_150_3AMPS_7" localSheetId="8">#REF!</definedName>
    <definedName name="TRANSFER_MANUAL_150_3AMPS_7">#REF!</definedName>
    <definedName name="TRANSFER_MANUAL_150_3AMPS_8" localSheetId="8">#REF!</definedName>
    <definedName name="TRANSFER_MANUAL_150_3AMPS_8">#REF!</definedName>
    <definedName name="TRANSFER_MANUAL_150_3AMPS_9" localSheetId="8">#REF!</definedName>
    <definedName name="TRANSFER_MANUAL_150_3AMPS_9">#REF!</definedName>
    <definedName name="TRANSFER_MANUAL_800_3AMPS" localSheetId="8">#REF!</definedName>
    <definedName name="TRANSFER_MANUAL_800_3AMPS">#REF!</definedName>
    <definedName name="TRANSFER_MANUAL_800_3AMPS_10" localSheetId="8">#REF!</definedName>
    <definedName name="TRANSFER_MANUAL_800_3AMPS_10">#REF!</definedName>
    <definedName name="TRANSFER_MANUAL_800_3AMPS_11" localSheetId="8">#REF!</definedName>
    <definedName name="TRANSFER_MANUAL_800_3AMPS_11">#REF!</definedName>
    <definedName name="TRANSFER_MANUAL_800_3AMPS_6" localSheetId="8">#REF!</definedName>
    <definedName name="TRANSFER_MANUAL_800_3AMPS_6">#REF!</definedName>
    <definedName name="TRANSFER_MANUAL_800_3AMPS_7" localSheetId="8">#REF!</definedName>
    <definedName name="TRANSFER_MANUAL_800_3AMPS_7">#REF!</definedName>
    <definedName name="TRANSFER_MANUAL_800_3AMPS_8" localSheetId="8">#REF!</definedName>
    <definedName name="TRANSFER_MANUAL_800_3AMPS_8">#REF!</definedName>
    <definedName name="TRANSFER_MANUAL_800_3AMPS_9" localSheetId="8">#REF!</definedName>
    <definedName name="TRANSFER_MANUAL_800_3AMPS_9">#REF!</definedName>
    <definedName name="TRANSFORMADOR_100KVA_240_480_POSTE" localSheetId="8">#REF!</definedName>
    <definedName name="TRANSFORMADOR_100KVA_240_480_POSTE">#REF!</definedName>
    <definedName name="TRANSFORMADOR_100KVA_240_480_POSTE_10" localSheetId="8">#REF!</definedName>
    <definedName name="TRANSFORMADOR_100KVA_240_480_POSTE_10">#REF!</definedName>
    <definedName name="TRANSFORMADOR_100KVA_240_480_POSTE_11" localSheetId="8">#REF!</definedName>
    <definedName name="TRANSFORMADOR_100KVA_240_480_POSTE_11">#REF!</definedName>
    <definedName name="TRANSFORMADOR_100KVA_240_480_POSTE_6" localSheetId="8">#REF!</definedName>
    <definedName name="TRANSFORMADOR_100KVA_240_480_POSTE_6">#REF!</definedName>
    <definedName name="TRANSFORMADOR_100KVA_240_480_POSTE_7" localSheetId="8">#REF!</definedName>
    <definedName name="TRANSFORMADOR_100KVA_240_480_POSTE_7">#REF!</definedName>
    <definedName name="TRANSFORMADOR_100KVA_240_480_POSTE_8" localSheetId="8">#REF!</definedName>
    <definedName name="TRANSFORMADOR_100KVA_240_480_POSTE_8">#REF!</definedName>
    <definedName name="TRANSFORMADOR_100KVA_240_480_POSTE_9" localSheetId="8">#REF!</definedName>
    <definedName name="TRANSFORMADOR_100KVA_240_480_POSTE_9">#REF!</definedName>
    <definedName name="TRANSFORMADOR_15KVA_120_240_POSTE" localSheetId="8">#REF!</definedName>
    <definedName name="TRANSFORMADOR_15KVA_120_240_POSTE">#REF!</definedName>
    <definedName name="TRANSFORMADOR_15KVA_120_240_POSTE_10" localSheetId="8">#REF!</definedName>
    <definedName name="TRANSFORMADOR_15KVA_120_240_POSTE_10">#REF!</definedName>
    <definedName name="TRANSFORMADOR_15KVA_120_240_POSTE_11" localSheetId="8">#REF!</definedName>
    <definedName name="TRANSFORMADOR_15KVA_120_240_POSTE_11">#REF!</definedName>
    <definedName name="TRANSFORMADOR_15KVA_120_240_POSTE_6" localSheetId="8">#REF!</definedName>
    <definedName name="TRANSFORMADOR_15KVA_120_240_POSTE_6">#REF!</definedName>
    <definedName name="TRANSFORMADOR_15KVA_120_240_POSTE_7" localSheetId="8">#REF!</definedName>
    <definedName name="TRANSFORMADOR_15KVA_120_240_POSTE_7">#REF!</definedName>
    <definedName name="TRANSFORMADOR_15KVA_120_240_POSTE_8" localSheetId="8">#REF!</definedName>
    <definedName name="TRANSFORMADOR_15KVA_120_240_POSTE_8">#REF!</definedName>
    <definedName name="TRANSFORMADOR_15KVA_120_240_POSTE_9" localSheetId="8">#REF!</definedName>
    <definedName name="TRANSFORMADOR_15KVA_120_240_POSTE_9">#REF!</definedName>
    <definedName name="TRANSFORMADOR_25KVA_240_480_POSTE" localSheetId="8">#REF!</definedName>
    <definedName name="TRANSFORMADOR_25KVA_240_480_POSTE">#REF!</definedName>
    <definedName name="TRANSFORMADOR_25KVA_240_480_POSTE_10" localSheetId="8">#REF!</definedName>
    <definedName name="TRANSFORMADOR_25KVA_240_480_POSTE_10">#REF!</definedName>
    <definedName name="TRANSFORMADOR_25KVA_240_480_POSTE_11" localSheetId="8">#REF!</definedName>
    <definedName name="TRANSFORMADOR_25KVA_240_480_POSTE_11">#REF!</definedName>
    <definedName name="TRANSFORMADOR_25KVA_240_480_POSTE_6" localSheetId="8">#REF!</definedName>
    <definedName name="TRANSFORMADOR_25KVA_240_480_POSTE_6">#REF!</definedName>
    <definedName name="TRANSFORMADOR_25KVA_240_480_POSTE_7" localSheetId="8">#REF!</definedName>
    <definedName name="TRANSFORMADOR_25KVA_240_480_POSTE_7">#REF!</definedName>
    <definedName name="TRANSFORMADOR_25KVA_240_480_POSTE_8" localSheetId="8">#REF!</definedName>
    <definedName name="TRANSFORMADOR_25KVA_240_480_POSTE_8">#REF!</definedName>
    <definedName name="TRANSFORMADOR_25KVA_240_480_POSTE_9" localSheetId="8">#REF!</definedName>
    <definedName name="TRANSFORMADOR_25KVA_240_480_POSTE_9">#REF!</definedName>
    <definedName name="Tratamiento_Moldes_para_Barandilla_3">#N/A</definedName>
    <definedName name="TRATARMADERA">'[47]Ins 2'!$E$51</definedName>
    <definedName name="Trompo" localSheetId="8">#REF!</definedName>
    <definedName name="Trompo">#REF!</definedName>
    <definedName name="Trompo_10" localSheetId="8">#REF!</definedName>
    <definedName name="Trompo_10">#REF!</definedName>
    <definedName name="Trompo_11" localSheetId="8">#REF!</definedName>
    <definedName name="Trompo_11">#REF!</definedName>
    <definedName name="Trompo_6" localSheetId="8">#REF!</definedName>
    <definedName name="Trompo_6">#REF!</definedName>
    <definedName name="Trompo_7" localSheetId="8">#REF!</definedName>
    <definedName name="Trompo_7">#REF!</definedName>
    <definedName name="Trompo_8" localSheetId="8">#REF!</definedName>
    <definedName name="Trompo_8">#REF!</definedName>
    <definedName name="Trompo_9" localSheetId="8">#REF!</definedName>
    <definedName name="Trompo_9">#REF!</definedName>
    <definedName name="tub8x12">[6]analisis!$G$2313</definedName>
    <definedName name="tub8x516">[6]analisis!$G$2322</definedName>
    <definedName name="TUBO_ACERO_16" localSheetId="8">#REF!</definedName>
    <definedName name="TUBO_ACERO_16">#REF!</definedName>
    <definedName name="TUBO_ACERO_16_10" localSheetId="8">#REF!</definedName>
    <definedName name="TUBO_ACERO_16_10">#REF!</definedName>
    <definedName name="TUBO_ACERO_16_11" localSheetId="8">#REF!</definedName>
    <definedName name="TUBO_ACERO_16_11">#REF!</definedName>
    <definedName name="TUBO_ACERO_16_6" localSheetId="8">#REF!</definedName>
    <definedName name="TUBO_ACERO_16_6">#REF!</definedName>
    <definedName name="TUBO_ACERO_16_7" localSheetId="8">#REF!</definedName>
    <definedName name="TUBO_ACERO_16_7">#REF!</definedName>
    <definedName name="TUBO_ACERO_16_8" localSheetId="8">#REF!</definedName>
    <definedName name="TUBO_ACERO_16_8">#REF!</definedName>
    <definedName name="TUBO_ACERO_16_9" localSheetId="8">#REF!</definedName>
    <definedName name="TUBO_ACERO_16_9">#REF!</definedName>
    <definedName name="TUBO_ACERO_20" localSheetId="8">#REF!</definedName>
    <definedName name="TUBO_ACERO_20">#REF!</definedName>
    <definedName name="TUBO_ACERO_20_10" localSheetId="8">#REF!</definedName>
    <definedName name="TUBO_ACERO_20_10">#REF!</definedName>
    <definedName name="TUBO_ACERO_20_11" localSheetId="8">#REF!</definedName>
    <definedName name="TUBO_ACERO_20_11">#REF!</definedName>
    <definedName name="TUBO_ACERO_20_6" localSheetId="8">#REF!</definedName>
    <definedName name="TUBO_ACERO_20_6">#REF!</definedName>
    <definedName name="TUBO_ACERO_20_7" localSheetId="8">#REF!</definedName>
    <definedName name="TUBO_ACERO_20_7">#REF!</definedName>
    <definedName name="TUBO_ACERO_20_8" localSheetId="8">#REF!</definedName>
    <definedName name="TUBO_ACERO_20_8">#REF!</definedName>
    <definedName name="TUBO_ACERO_20_9" localSheetId="8">#REF!</definedName>
    <definedName name="TUBO_ACERO_20_9">#REF!</definedName>
    <definedName name="TUBO_ACERO_20_e14" localSheetId="8">#REF!</definedName>
    <definedName name="TUBO_ACERO_20_e14">#REF!</definedName>
    <definedName name="TUBO_ACERO_20_e14_10" localSheetId="8">#REF!</definedName>
    <definedName name="TUBO_ACERO_20_e14_10">#REF!</definedName>
    <definedName name="TUBO_ACERO_20_e14_11" localSheetId="8">#REF!</definedName>
    <definedName name="TUBO_ACERO_20_e14_11">#REF!</definedName>
    <definedName name="TUBO_ACERO_20_e14_6" localSheetId="8">#REF!</definedName>
    <definedName name="TUBO_ACERO_20_e14_6">#REF!</definedName>
    <definedName name="TUBO_ACERO_20_e14_7" localSheetId="8">#REF!</definedName>
    <definedName name="TUBO_ACERO_20_e14_7">#REF!</definedName>
    <definedName name="TUBO_ACERO_20_e14_8" localSheetId="8">#REF!</definedName>
    <definedName name="TUBO_ACERO_20_e14_8">#REF!</definedName>
    <definedName name="TUBO_ACERO_20_e14_9" localSheetId="8">#REF!</definedName>
    <definedName name="TUBO_ACERO_20_e14_9">#REF!</definedName>
    <definedName name="TUBO_ACERO_3" localSheetId="8">#REF!</definedName>
    <definedName name="TUBO_ACERO_3">#REF!</definedName>
    <definedName name="TUBO_ACERO_3_10" localSheetId="8">#REF!</definedName>
    <definedName name="TUBO_ACERO_3_10">#REF!</definedName>
    <definedName name="TUBO_ACERO_3_11" localSheetId="8">#REF!</definedName>
    <definedName name="TUBO_ACERO_3_11">#REF!</definedName>
    <definedName name="TUBO_ACERO_3_6" localSheetId="8">#REF!</definedName>
    <definedName name="TUBO_ACERO_3_6">#REF!</definedName>
    <definedName name="TUBO_ACERO_3_7" localSheetId="8">#REF!</definedName>
    <definedName name="TUBO_ACERO_3_7">#REF!</definedName>
    <definedName name="TUBO_ACERO_3_8" localSheetId="8">#REF!</definedName>
    <definedName name="TUBO_ACERO_3_8">#REF!</definedName>
    <definedName name="TUBO_ACERO_3_9" localSheetId="8">#REF!</definedName>
    <definedName name="TUBO_ACERO_3_9">#REF!</definedName>
    <definedName name="TUBO_ACERO_4" localSheetId="8">#REF!</definedName>
    <definedName name="TUBO_ACERO_4">#REF!</definedName>
    <definedName name="TUBO_ACERO_4_10" localSheetId="8">#REF!</definedName>
    <definedName name="TUBO_ACERO_4_10">#REF!</definedName>
    <definedName name="TUBO_ACERO_4_11" localSheetId="8">#REF!</definedName>
    <definedName name="TUBO_ACERO_4_11">#REF!</definedName>
    <definedName name="TUBO_ACERO_4_6" localSheetId="8">#REF!</definedName>
    <definedName name="TUBO_ACERO_4_6">#REF!</definedName>
    <definedName name="TUBO_ACERO_4_7" localSheetId="8">#REF!</definedName>
    <definedName name="TUBO_ACERO_4_7">#REF!</definedName>
    <definedName name="TUBO_ACERO_4_8" localSheetId="8">#REF!</definedName>
    <definedName name="TUBO_ACERO_4_8">#REF!</definedName>
    <definedName name="TUBO_ACERO_4_9" localSheetId="8">#REF!</definedName>
    <definedName name="TUBO_ACERO_4_9">#REF!</definedName>
    <definedName name="TUBO_ACERO_6" localSheetId="8">#REF!</definedName>
    <definedName name="TUBO_ACERO_6">#REF!</definedName>
    <definedName name="TUBO_ACERO_6_10" localSheetId="8">#REF!</definedName>
    <definedName name="TUBO_ACERO_6_10">#REF!</definedName>
    <definedName name="TUBO_ACERO_6_11" localSheetId="8">#REF!</definedName>
    <definedName name="TUBO_ACERO_6_11">#REF!</definedName>
    <definedName name="TUBO_ACERO_6_6" localSheetId="8">#REF!</definedName>
    <definedName name="TUBO_ACERO_6_6">#REF!</definedName>
    <definedName name="TUBO_ACERO_6_7" localSheetId="8">#REF!</definedName>
    <definedName name="TUBO_ACERO_6_7">#REF!</definedName>
    <definedName name="TUBO_ACERO_6_8" localSheetId="8">#REF!</definedName>
    <definedName name="TUBO_ACERO_6_8">#REF!</definedName>
    <definedName name="TUBO_ACERO_6_9" localSheetId="8">#REF!</definedName>
    <definedName name="TUBO_ACERO_6_9">#REF!</definedName>
    <definedName name="TUBO_ACERO_8" localSheetId="8">#REF!</definedName>
    <definedName name="TUBO_ACERO_8">#REF!</definedName>
    <definedName name="TUBO_ACERO_8_10" localSheetId="8">#REF!</definedName>
    <definedName name="TUBO_ACERO_8_10">#REF!</definedName>
    <definedName name="TUBO_ACERO_8_11" localSheetId="8">#REF!</definedName>
    <definedName name="TUBO_ACERO_8_11">#REF!</definedName>
    <definedName name="TUBO_ACERO_8_6" localSheetId="8">#REF!</definedName>
    <definedName name="TUBO_ACERO_8_6">#REF!</definedName>
    <definedName name="TUBO_ACERO_8_7" localSheetId="8">#REF!</definedName>
    <definedName name="TUBO_ACERO_8_7">#REF!</definedName>
    <definedName name="TUBO_ACERO_8_8" localSheetId="8">#REF!</definedName>
    <definedName name="TUBO_ACERO_8_8">#REF!</definedName>
    <definedName name="TUBO_ACERO_8_9" localSheetId="8">#REF!</definedName>
    <definedName name="TUBO_ACERO_8_9">#REF!</definedName>
    <definedName name="TUBO_CPVC_12" localSheetId="8">#REF!</definedName>
    <definedName name="TUBO_CPVC_12">#REF!</definedName>
    <definedName name="TUBO_CPVC_12_10" localSheetId="8">#REF!</definedName>
    <definedName name="TUBO_CPVC_12_10">#REF!</definedName>
    <definedName name="TUBO_CPVC_12_11" localSheetId="8">#REF!</definedName>
    <definedName name="TUBO_CPVC_12_11">#REF!</definedName>
    <definedName name="TUBO_CPVC_12_6" localSheetId="8">#REF!</definedName>
    <definedName name="TUBO_CPVC_12_6">#REF!</definedName>
    <definedName name="TUBO_CPVC_12_7" localSheetId="8">#REF!</definedName>
    <definedName name="TUBO_CPVC_12_7">#REF!</definedName>
    <definedName name="TUBO_CPVC_12_8" localSheetId="8">#REF!</definedName>
    <definedName name="TUBO_CPVC_12_8">#REF!</definedName>
    <definedName name="TUBO_CPVC_12_9" localSheetId="8">#REF!</definedName>
    <definedName name="TUBO_CPVC_12_9">#REF!</definedName>
    <definedName name="TUBO_FLEXIBLE_INODORO_C_TUERCA" localSheetId="8">#REF!</definedName>
    <definedName name="TUBO_FLEXIBLE_INODORO_C_TUERCA">#REF!</definedName>
    <definedName name="TUBO_FLEXIBLE_INODORO_C_TUERCA_10" localSheetId="8">#REF!</definedName>
    <definedName name="TUBO_FLEXIBLE_INODORO_C_TUERCA_10">#REF!</definedName>
    <definedName name="TUBO_FLEXIBLE_INODORO_C_TUERCA_11" localSheetId="8">#REF!</definedName>
    <definedName name="TUBO_FLEXIBLE_INODORO_C_TUERCA_11">#REF!</definedName>
    <definedName name="TUBO_FLEXIBLE_INODORO_C_TUERCA_6" localSheetId="8">#REF!</definedName>
    <definedName name="TUBO_FLEXIBLE_INODORO_C_TUERCA_6">#REF!</definedName>
    <definedName name="TUBO_FLEXIBLE_INODORO_C_TUERCA_7" localSheetId="8">#REF!</definedName>
    <definedName name="TUBO_FLEXIBLE_INODORO_C_TUERCA_7">#REF!</definedName>
    <definedName name="TUBO_FLEXIBLE_INODORO_C_TUERCA_8" localSheetId="8">#REF!</definedName>
    <definedName name="TUBO_FLEXIBLE_INODORO_C_TUERCA_8">#REF!</definedName>
    <definedName name="TUBO_FLEXIBLE_INODORO_C_TUERCA_9" localSheetId="8">#REF!</definedName>
    <definedName name="TUBO_FLEXIBLE_INODORO_C_TUERCA_9">#REF!</definedName>
    <definedName name="TUBO_HA_36" localSheetId="8">#REF!</definedName>
    <definedName name="TUBO_HA_36">#REF!</definedName>
    <definedName name="TUBO_HA_36_10" localSheetId="8">#REF!</definedName>
    <definedName name="TUBO_HA_36_10">#REF!</definedName>
    <definedName name="TUBO_HA_36_11" localSheetId="8">#REF!</definedName>
    <definedName name="TUBO_HA_36_11">#REF!</definedName>
    <definedName name="TUBO_HA_36_6" localSheetId="8">#REF!</definedName>
    <definedName name="TUBO_HA_36_6">#REF!</definedName>
    <definedName name="TUBO_HA_36_7" localSheetId="8">#REF!</definedName>
    <definedName name="TUBO_HA_36_7">#REF!</definedName>
    <definedName name="TUBO_HA_36_8" localSheetId="8">#REF!</definedName>
    <definedName name="TUBO_HA_36_8">#REF!</definedName>
    <definedName name="TUBO_HA_36_9" localSheetId="8">#REF!</definedName>
    <definedName name="TUBO_HA_36_9">#REF!</definedName>
    <definedName name="TUBO_HG_1" localSheetId="8">#REF!</definedName>
    <definedName name="TUBO_HG_1">#REF!</definedName>
    <definedName name="TUBO_HG_1_10" localSheetId="8">#REF!</definedName>
    <definedName name="TUBO_HG_1_10">#REF!</definedName>
    <definedName name="TUBO_HG_1_11" localSheetId="8">#REF!</definedName>
    <definedName name="TUBO_HG_1_11">#REF!</definedName>
    <definedName name="TUBO_HG_1_12" localSheetId="8">#REF!</definedName>
    <definedName name="TUBO_HG_1_12">#REF!</definedName>
    <definedName name="TUBO_HG_1_12_10" localSheetId="8">#REF!</definedName>
    <definedName name="TUBO_HG_1_12_10">#REF!</definedName>
    <definedName name="TUBO_HG_1_12_11" localSheetId="8">#REF!</definedName>
    <definedName name="TUBO_HG_1_12_11">#REF!</definedName>
    <definedName name="TUBO_HG_1_12_6" localSheetId="8">#REF!</definedName>
    <definedName name="TUBO_HG_1_12_6">#REF!</definedName>
    <definedName name="TUBO_HG_1_12_7" localSheetId="8">#REF!</definedName>
    <definedName name="TUBO_HG_1_12_7">#REF!</definedName>
    <definedName name="TUBO_HG_1_12_8" localSheetId="8">#REF!</definedName>
    <definedName name="TUBO_HG_1_12_8">#REF!</definedName>
    <definedName name="TUBO_HG_1_12_9" localSheetId="8">#REF!</definedName>
    <definedName name="TUBO_HG_1_12_9">#REF!</definedName>
    <definedName name="TUBO_HG_1_6" localSheetId="8">#REF!</definedName>
    <definedName name="TUBO_HG_1_6">#REF!</definedName>
    <definedName name="TUBO_HG_1_7" localSheetId="8">#REF!</definedName>
    <definedName name="TUBO_HG_1_7">#REF!</definedName>
    <definedName name="TUBO_HG_1_8" localSheetId="8">#REF!</definedName>
    <definedName name="TUBO_HG_1_8">#REF!</definedName>
    <definedName name="TUBO_HG_1_9" localSheetId="8">#REF!</definedName>
    <definedName name="TUBO_HG_1_9">#REF!</definedName>
    <definedName name="TUBO_HG_12" localSheetId="8">#REF!</definedName>
    <definedName name="TUBO_HG_12">#REF!</definedName>
    <definedName name="TUBO_HG_12_10" localSheetId="8">#REF!</definedName>
    <definedName name="TUBO_HG_12_10">#REF!</definedName>
    <definedName name="TUBO_HG_12_11" localSheetId="8">#REF!</definedName>
    <definedName name="TUBO_HG_12_11">#REF!</definedName>
    <definedName name="TUBO_HG_12_6" localSheetId="8">#REF!</definedName>
    <definedName name="TUBO_HG_12_6">#REF!</definedName>
    <definedName name="TUBO_HG_12_7" localSheetId="8">#REF!</definedName>
    <definedName name="TUBO_HG_12_7">#REF!</definedName>
    <definedName name="TUBO_HG_12_8" localSheetId="8">#REF!</definedName>
    <definedName name="TUBO_HG_12_8">#REF!</definedName>
    <definedName name="TUBO_HG_12_9" localSheetId="8">#REF!</definedName>
    <definedName name="TUBO_HG_12_9">#REF!</definedName>
    <definedName name="TUBO_HG_34" localSheetId="8">#REF!</definedName>
    <definedName name="TUBO_HG_34">#REF!</definedName>
    <definedName name="TUBO_HG_34_10" localSheetId="8">#REF!</definedName>
    <definedName name="TUBO_HG_34_10">#REF!</definedName>
    <definedName name="TUBO_HG_34_11" localSheetId="8">#REF!</definedName>
    <definedName name="TUBO_HG_34_11">#REF!</definedName>
    <definedName name="TUBO_HG_34_6" localSheetId="8">#REF!</definedName>
    <definedName name="TUBO_HG_34_6">#REF!</definedName>
    <definedName name="TUBO_HG_34_7" localSheetId="8">#REF!</definedName>
    <definedName name="TUBO_HG_34_7">#REF!</definedName>
    <definedName name="TUBO_HG_34_8" localSheetId="8">#REF!</definedName>
    <definedName name="TUBO_HG_34_8">#REF!</definedName>
    <definedName name="TUBO_HG_34_9" localSheetId="8">#REF!</definedName>
    <definedName name="TUBO_HG_34_9">#REF!</definedName>
    <definedName name="TUBO_PVC_DRENAJE_1_12" localSheetId="8">#REF!</definedName>
    <definedName name="TUBO_PVC_DRENAJE_1_12">#REF!</definedName>
    <definedName name="TUBO_PVC_DRENAJE_1_12_10" localSheetId="8">#REF!</definedName>
    <definedName name="TUBO_PVC_DRENAJE_1_12_10">#REF!</definedName>
    <definedName name="TUBO_PVC_DRENAJE_1_12_11" localSheetId="8">#REF!</definedName>
    <definedName name="TUBO_PVC_DRENAJE_1_12_11">#REF!</definedName>
    <definedName name="TUBO_PVC_DRENAJE_1_12_6" localSheetId="8">#REF!</definedName>
    <definedName name="TUBO_PVC_DRENAJE_1_12_6">#REF!</definedName>
    <definedName name="TUBO_PVC_DRENAJE_1_12_7" localSheetId="8">#REF!</definedName>
    <definedName name="TUBO_PVC_DRENAJE_1_12_7">#REF!</definedName>
    <definedName name="TUBO_PVC_DRENAJE_1_12_8" localSheetId="8">#REF!</definedName>
    <definedName name="TUBO_PVC_DRENAJE_1_12_8">#REF!</definedName>
    <definedName name="TUBO_PVC_DRENAJE_1_12_9" localSheetId="8">#REF!</definedName>
    <definedName name="TUBO_PVC_DRENAJE_1_12_9">#REF!</definedName>
    <definedName name="TUBO_PVC_SCH40_12" localSheetId="8">#REF!</definedName>
    <definedName name="TUBO_PVC_SCH40_12">#REF!</definedName>
    <definedName name="TUBO_PVC_SCH40_12_10" localSheetId="8">#REF!</definedName>
    <definedName name="TUBO_PVC_SCH40_12_10">#REF!</definedName>
    <definedName name="TUBO_PVC_SCH40_12_11" localSheetId="8">#REF!</definedName>
    <definedName name="TUBO_PVC_SCH40_12_11">#REF!</definedName>
    <definedName name="TUBO_PVC_SCH40_12_6" localSheetId="8">#REF!</definedName>
    <definedName name="TUBO_PVC_SCH40_12_6">#REF!</definedName>
    <definedName name="TUBO_PVC_SCH40_12_7" localSheetId="8">#REF!</definedName>
    <definedName name="TUBO_PVC_SCH40_12_7">#REF!</definedName>
    <definedName name="TUBO_PVC_SCH40_12_8" localSheetId="8">#REF!</definedName>
    <definedName name="TUBO_PVC_SCH40_12_8">#REF!</definedName>
    <definedName name="TUBO_PVC_SCH40_12_9" localSheetId="8">#REF!</definedName>
    <definedName name="TUBO_PVC_SCH40_12_9">#REF!</definedName>
    <definedName name="TUBO_PVC_SCH40_34" localSheetId="8">#REF!</definedName>
    <definedName name="TUBO_PVC_SCH40_34">#REF!</definedName>
    <definedName name="TUBO_PVC_SCH40_34_10" localSheetId="8">#REF!</definedName>
    <definedName name="TUBO_PVC_SCH40_34_10">#REF!</definedName>
    <definedName name="TUBO_PVC_SCH40_34_11" localSheetId="8">#REF!</definedName>
    <definedName name="TUBO_PVC_SCH40_34_11">#REF!</definedName>
    <definedName name="TUBO_PVC_SCH40_34_6" localSheetId="8">#REF!</definedName>
    <definedName name="TUBO_PVC_SCH40_34_6">#REF!</definedName>
    <definedName name="TUBO_PVC_SCH40_34_7" localSheetId="8">#REF!</definedName>
    <definedName name="TUBO_PVC_SCH40_34_7">#REF!</definedName>
    <definedName name="TUBO_PVC_SCH40_34_8" localSheetId="8">#REF!</definedName>
    <definedName name="TUBO_PVC_SCH40_34_8">#REF!</definedName>
    <definedName name="TUBO_PVC_SCH40_34_9" localSheetId="8">#REF!</definedName>
    <definedName name="TUBO_PVC_SCH40_34_9">#REF!</definedName>
    <definedName name="TUBO_PVC_SDR21_2" localSheetId="8">#REF!</definedName>
    <definedName name="TUBO_PVC_SDR21_2">#REF!</definedName>
    <definedName name="TUBO_PVC_SDR21_2_10" localSheetId="8">#REF!</definedName>
    <definedName name="TUBO_PVC_SDR21_2_10">#REF!</definedName>
    <definedName name="TUBO_PVC_SDR21_2_11" localSheetId="8">#REF!</definedName>
    <definedName name="TUBO_PVC_SDR21_2_11">#REF!</definedName>
    <definedName name="TUBO_PVC_SDR21_2_6" localSheetId="8">#REF!</definedName>
    <definedName name="TUBO_PVC_SDR21_2_6">#REF!</definedName>
    <definedName name="TUBO_PVC_SDR21_2_7" localSheetId="8">#REF!</definedName>
    <definedName name="TUBO_PVC_SDR21_2_7">#REF!</definedName>
    <definedName name="TUBO_PVC_SDR21_2_8" localSheetId="8">#REF!</definedName>
    <definedName name="TUBO_PVC_SDR21_2_8">#REF!</definedName>
    <definedName name="TUBO_PVC_SDR21_2_9" localSheetId="8">#REF!</definedName>
    <definedName name="TUBO_PVC_SDR21_2_9">#REF!</definedName>
    <definedName name="TUBO_PVC_SDR21_JG_16" localSheetId="8">#REF!</definedName>
    <definedName name="TUBO_PVC_SDR21_JG_16">#REF!</definedName>
    <definedName name="TUBO_PVC_SDR21_JG_16_10" localSheetId="8">#REF!</definedName>
    <definedName name="TUBO_PVC_SDR21_JG_16_10">#REF!</definedName>
    <definedName name="TUBO_PVC_SDR21_JG_16_11" localSheetId="8">#REF!</definedName>
    <definedName name="TUBO_PVC_SDR21_JG_16_11">#REF!</definedName>
    <definedName name="TUBO_PVC_SDR21_JG_16_6" localSheetId="8">#REF!</definedName>
    <definedName name="TUBO_PVC_SDR21_JG_16_6">#REF!</definedName>
    <definedName name="TUBO_PVC_SDR21_JG_16_7" localSheetId="8">#REF!</definedName>
    <definedName name="TUBO_PVC_SDR21_JG_16_7">#REF!</definedName>
    <definedName name="TUBO_PVC_SDR21_JG_16_8" localSheetId="8">#REF!</definedName>
    <definedName name="TUBO_PVC_SDR21_JG_16_8">#REF!</definedName>
    <definedName name="TUBO_PVC_SDR21_JG_16_9" localSheetId="8">#REF!</definedName>
    <definedName name="TUBO_PVC_SDR21_JG_16_9">#REF!</definedName>
    <definedName name="TUBO_PVC_SDR21_JG_6" localSheetId="8">#REF!</definedName>
    <definedName name="TUBO_PVC_SDR21_JG_6">#REF!</definedName>
    <definedName name="TUBO_PVC_SDR21_JG_6_10" localSheetId="8">#REF!</definedName>
    <definedName name="TUBO_PVC_SDR21_JG_6_10">#REF!</definedName>
    <definedName name="TUBO_PVC_SDR21_JG_6_11" localSheetId="8">#REF!</definedName>
    <definedName name="TUBO_PVC_SDR21_JG_6_11">#REF!</definedName>
    <definedName name="TUBO_PVC_SDR21_JG_6_6" localSheetId="8">#REF!</definedName>
    <definedName name="TUBO_PVC_SDR21_JG_6_6">#REF!</definedName>
    <definedName name="TUBO_PVC_SDR21_JG_6_7" localSheetId="8">#REF!</definedName>
    <definedName name="TUBO_PVC_SDR21_JG_6_7">#REF!</definedName>
    <definedName name="TUBO_PVC_SDR21_JG_6_8" localSheetId="8">#REF!</definedName>
    <definedName name="TUBO_PVC_SDR21_JG_6_8">#REF!</definedName>
    <definedName name="TUBO_PVC_SDR21_JG_6_9" localSheetId="8">#REF!</definedName>
    <definedName name="TUBO_PVC_SDR21_JG_6_9">#REF!</definedName>
    <definedName name="TUBO_PVC_SDR21_JG_8" localSheetId="8">#REF!</definedName>
    <definedName name="TUBO_PVC_SDR21_JG_8">#REF!</definedName>
    <definedName name="TUBO_PVC_SDR21_JG_8_10" localSheetId="8">#REF!</definedName>
    <definedName name="TUBO_PVC_SDR21_JG_8_10">#REF!</definedName>
    <definedName name="TUBO_PVC_SDR21_JG_8_11" localSheetId="8">#REF!</definedName>
    <definedName name="TUBO_PVC_SDR21_JG_8_11">#REF!</definedName>
    <definedName name="TUBO_PVC_SDR21_JG_8_6" localSheetId="8">#REF!</definedName>
    <definedName name="TUBO_PVC_SDR21_JG_8_6">#REF!</definedName>
    <definedName name="TUBO_PVC_SDR21_JG_8_7" localSheetId="8">#REF!</definedName>
    <definedName name="TUBO_PVC_SDR21_JG_8_7">#REF!</definedName>
    <definedName name="TUBO_PVC_SDR21_JG_8_8" localSheetId="8">#REF!</definedName>
    <definedName name="TUBO_PVC_SDR21_JG_8_8">#REF!</definedName>
    <definedName name="TUBO_PVC_SDR21_JG_8_9" localSheetId="8">#REF!</definedName>
    <definedName name="TUBO_PVC_SDR21_JG_8_9">#REF!</definedName>
    <definedName name="TUBO_PVC_SDR26_12" localSheetId="8">#REF!</definedName>
    <definedName name="TUBO_PVC_SDR26_12">#REF!</definedName>
    <definedName name="TUBO_PVC_SDR26_12_10" localSheetId="8">#REF!</definedName>
    <definedName name="TUBO_PVC_SDR26_12_10">#REF!</definedName>
    <definedName name="TUBO_PVC_SDR26_12_11" localSheetId="8">#REF!</definedName>
    <definedName name="TUBO_PVC_SDR26_12_11">#REF!</definedName>
    <definedName name="TUBO_PVC_SDR26_12_6" localSheetId="8">#REF!</definedName>
    <definedName name="TUBO_PVC_SDR26_12_6">#REF!</definedName>
    <definedName name="TUBO_PVC_SDR26_12_7" localSheetId="8">#REF!</definedName>
    <definedName name="TUBO_PVC_SDR26_12_7">#REF!</definedName>
    <definedName name="TUBO_PVC_SDR26_12_8" localSheetId="8">#REF!</definedName>
    <definedName name="TUBO_PVC_SDR26_12_8">#REF!</definedName>
    <definedName name="TUBO_PVC_SDR26_12_9" localSheetId="8">#REF!</definedName>
    <definedName name="TUBO_PVC_SDR26_12_9">#REF!</definedName>
    <definedName name="TUBO_PVC_SDR26_2" localSheetId="8">#REF!</definedName>
    <definedName name="TUBO_PVC_SDR26_2">#REF!</definedName>
    <definedName name="TUBO_PVC_SDR26_2_10" localSheetId="8">#REF!</definedName>
    <definedName name="TUBO_PVC_SDR26_2_10">#REF!</definedName>
    <definedName name="TUBO_PVC_SDR26_2_11" localSheetId="8">#REF!</definedName>
    <definedName name="TUBO_PVC_SDR26_2_11">#REF!</definedName>
    <definedName name="TUBO_PVC_SDR26_2_6" localSheetId="8">#REF!</definedName>
    <definedName name="TUBO_PVC_SDR26_2_6">#REF!</definedName>
    <definedName name="TUBO_PVC_SDR26_2_7" localSheetId="8">#REF!</definedName>
    <definedName name="TUBO_PVC_SDR26_2_7">#REF!</definedName>
    <definedName name="TUBO_PVC_SDR26_2_8" localSheetId="8">#REF!</definedName>
    <definedName name="TUBO_PVC_SDR26_2_8">#REF!</definedName>
    <definedName name="TUBO_PVC_SDR26_2_9" localSheetId="8">#REF!</definedName>
    <definedName name="TUBO_PVC_SDR26_2_9">#REF!</definedName>
    <definedName name="TUBO_PVC_SDR26_34" localSheetId="8">#REF!</definedName>
    <definedName name="TUBO_PVC_SDR26_34">#REF!</definedName>
    <definedName name="TUBO_PVC_SDR26_34_10" localSheetId="8">#REF!</definedName>
    <definedName name="TUBO_PVC_SDR26_34_10">#REF!</definedName>
    <definedName name="TUBO_PVC_SDR26_34_11" localSheetId="8">#REF!</definedName>
    <definedName name="TUBO_PVC_SDR26_34_11">#REF!</definedName>
    <definedName name="TUBO_PVC_SDR26_34_6" localSheetId="8">#REF!</definedName>
    <definedName name="TUBO_PVC_SDR26_34_6">#REF!</definedName>
    <definedName name="TUBO_PVC_SDR26_34_7" localSheetId="8">#REF!</definedName>
    <definedName name="TUBO_PVC_SDR26_34_7">#REF!</definedName>
    <definedName name="TUBO_PVC_SDR26_34_8" localSheetId="8">#REF!</definedName>
    <definedName name="TUBO_PVC_SDR26_34_8">#REF!</definedName>
    <definedName name="TUBO_PVC_SDR26_34_9" localSheetId="8">#REF!</definedName>
    <definedName name="TUBO_PVC_SDR26_34_9">#REF!</definedName>
    <definedName name="TUBO_PVC_SDR26_JG_16" localSheetId="8">#REF!</definedName>
    <definedName name="TUBO_PVC_SDR26_JG_16">#REF!</definedName>
    <definedName name="TUBO_PVC_SDR26_JG_16_10" localSheetId="8">#REF!</definedName>
    <definedName name="TUBO_PVC_SDR26_JG_16_10">#REF!</definedName>
    <definedName name="TUBO_PVC_SDR26_JG_16_11" localSheetId="8">#REF!</definedName>
    <definedName name="TUBO_PVC_SDR26_JG_16_11">#REF!</definedName>
    <definedName name="TUBO_PVC_SDR26_JG_16_6" localSheetId="8">#REF!</definedName>
    <definedName name="TUBO_PVC_SDR26_JG_16_6">#REF!</definedName>
    <definedName name="TUBO_PVC_SDR26_JG_16_7" localSheetId="8">#REF!</definedName>
    <definedName name="TUBO_PVC_SDR26_JG_16_7">#REF!</definedName>
    <definedName name="TUBO_PVC_SDR26_JG_16_8" localSheetId="8">#REF!</definedName>
    <definedName name="TUBO_PVC_SDR26_JG_16_8">#REF!</definedName>
    <definedName name="TUBO_PVC_SDR26_JG_16_9" localSheetId="8">#REF!</definedName>
    <definedName name="TUBO_PVC_SDR26_JG_16_9">#REF!</definedName>
    <definedName name="TUBO_PVC_SDR26_JG_3" localSheetId="8">#REF!</definedName>
    <definedName name="TUBO_PVC_SDR26_JG_3">#REF!</definedName>
    <definedName name="TUBO_PVC_SDR26_JG_3_10" localSheetId="8">#REF!</definedName>
    <definedName name="TUBO_PVC_SDR26_JG_3_10">#REF!</definedName>
    <definedName name="TUBO_PVC_SDR26_JG_3_11" localSheetId="8">#REF!</definedName>
    <definedName name="TUBO_PVC_SDR26_JG_3_11">#REF!</definedName>
    <definedName name="TUBO_PVC_SDR26_JG_3_6" localSheetId="8">#REF!</definedName>
    <definedName name="TUBO_PVC_SDR26_JG_3_6">#REF!</definedName>
    <definedName name="TUBO_PVC_SDR26_JG_3_7" localSheetId="8">#REF!</definedName>
    <definedName name="TUBO_PVC_SDR26_JG_3_7">#REF!</definedName>
    <definedName name="TUBO_PVC_SDR26_JG_3_8" localSheetId="8">#REF!</definedName>
    <definedName name="TUBO_PVC_SDR26_JG_3_8">#REF!</definedName>
    <definedName name="TUBO_PVC_SDR26_JG_3_9" localSheetId="8">#REF!</definedName>
    <definedName name="TUBO_PVC_SDR26_JG_3_9">#REF!</definedName>
    <definedName name="TUBO_PVC_SDR26_JG_4" localSheetId="8">#REF!</definedName>
    <definedName name="TUBO_PVC_SDR26_JG_4">#REF!</definedName>
    <definedName name="TUBO_PVC_SDR26_JG_4_10" localSheetId="8">#REF!</definedName>
    <definedName name="TUBO_PVC_SDR26_JG_4_10">#REF!</definedName>
    <definedName name="TUBO_PVC_SDR26_JG_4_11" localSheetId="8">#REF!</definedName>
    <definedName name="TUBO_PVC_SDR26_JG_4_11">#REF!</definedName>
    <definedName name="TUBO_PVC_SDR26_JG_4_6" localSheetId="8">#REF!</definedName>
    <definedName name="TUBO_PVC_SDR26_JG_4_6">#REF!</definedName>
    <definedName name="TUBO_PVC_SDR26_JG_4_7" localSheetId="8">#REF!</definedName>
    <definedName name="TUBO_PVC_SDR26_JG_4_7">#REF!</definedName>
    <definedName name="TUBO_PVC_SDR26_JG_4_8" localSheetId="8">#REF!</definedName>
    <definedName name="TUBO_PVC_SDR26_JG_4_8">#REF!</definedName>
    <definedName name="TUBO_PVC_SDR26_JG_4_9" localSheetId="8">#REF!</definedName>
    <definedName name="TUBO_PVC_SDR26_JG_4_9">#REF!</definedName>
    <definedName name="TUBO_PVC_SDR26_JG_6" localSheetId="8">#REF!</definedName>
    <definedName name="TUBO_PVC_SDR26_JG_6">#REF!</definedName>
    <definedName name="TUBO_PVC_SDR26_JG_6_10" localSheetId="8">#REF!</definedName>
    <definedName name="TUBO_PVC_SDR26_JG_6_10">#REF!</definedName>
    <definedName name="TUBO_PVC_SDR26_JG_6_11" localSheetId="8">#REF!</definedName>
    <definedName name="TUBO_PVC_SDR26_JG_6_11">#REF!</definedName>
    <definedName name="TUBO_PVC_SDR26_JG_6_6" localSheetId="8">#REF!</definedName>
    <definedName name="TUBO_PVC_SDR26_JG_6_6">#REF!</definedName>
    <definedName name="TUBO_PVC_SDR26_JG_6_7" localSheetId="8">#REF!</definedName>
    <definedName name="TUBO_PVC_SDR26_JG_6_7">#REF!</definedName>
    <definedName name="TUBO_PVC_SDR26_JG_6_8" localSheetId="8">#REF!</definedName>
    <definedName name="TUBO_PVC_SDR26_JG_6_8">#REF!</definedName>
    <definedName name="TUBO_PVC_SDR26_JG_6_9" localSheetId="8">#REF!</definedName>
    <definedName name="TUBO_PVC_SDR26_JG_6_9">#REF!</definedName>
    <definedName name="TUBO_PVC_SDR26_JG_8" localSheetId="8">#REF!</definedName>
    <definedName name="TUBO_PVC_SDR26_JG_8">#REF!</definedName>
    <definedName name="TUBO_PVC_SDR26_JG_8_10" localSheetId="8">#REF!</definedName>
    <definedName name="TUBO_PVC_SDR26_JG_8_10">#REF!</definedName>
    <definedName name="TUBO_PVC_SDR26_JG_8_11" localSheetId="8">#REF!</definedName>
    <definedName name="TUBO_PVC_SDR26_JG_8_11">#REF!</definedName>
    <definedName name="TUBO_PVC_SDR26_JG_8_6" localSheetId="8">#REF!</definedName>
    <definedName name="TUBO_PVC_SDR26_JG_8_6">#REF!</definedName>
    <definedName name="TUBO_PVC_SDR26_JG_8_7" localSheetId="8">#REF!</definedName>
    <definedName name="TUBO_PVC_SDR26_JG_8_7">#REF!</definedName>
    <definedName name="TUBO_PVC_SDR26_JG_8_8" localSheetId="8">#REF!</definedName>
    <definedName name="TUBO_PVC_SDR26_JG_8_8">#REF!</definedName>
    <definedName name="TUBO_PVC_SDR26_JG_8_9" localSheetId="8">#REF!</definedName>
    <definedName name="TUBO_PVC_SDR26_JG_8_9">#REF!</definedName>
    <definedName name="TUBO_PVC_SDR325_JG_16" localSheetId="8">#REF!</definedName>
    <definedName name="TUBO_PVC_SDR325_JG_16">#REF!</definedName>
    <definedName name="TUBO_PVC_SDR325_JG_16_10" localSheetId="8">#REF!</definedName>
    <definedName name="TUBO_PVC_SDR325_JG_16_10">#REF!</definedName>
    <definedName name="TUBO_PVC_SDR325_JG_16_11" localSheetId="8">#REF!</definedName>
    <definedName name="TUBO_PVC_SDR325_JG_16_11">#REF!</definedName>
    <definedName name="TUBO_PVC_SDR325_JG_16_6" localSheetId="8">#REF!</definedName>
    <definedName name="TUBO_PVC_SDR325_JG_16_6">#REF!</definedName>
    <definedName name="TUBO_PVC_SDR325_JG_16_7" localSheetId="8">#REF!</definedName>
    <definedName name="TUBO_PVC_SDR325_JG_16_7">#REF!</definedName>
    <definedName name="TUBO_PVC_SDR325_JG_16_8" localSheetId="8">#REF!</definedName>
    <definedName name="TUBO_PVC_SDR325_JG_16_8">#REF!</definedName>
    <definedName name="TUBO_PVC_SDR325_JG_16_9" localSheetId="8">#REF!</definedName>
    <definedName name="TUBO_PVC_SDR325_JG_16_9">#REF!</definedName>
    <definedName name="TUBO_PVC_SDR325_JG_20" localSheetId="8">#REF!</definedName>
    <definedName name="TUBO_PVC_SDR325_JG_20">#REF!</definedName>
    <definedName name="TUBO_PVC_SDR325_JG_20_10" localSheetId="8">#REF!</definedName>
    <definedName name="TUBO_PVC_SDR325_JG_20_10">#REF!</definedName>
    <definedName name="TUBO_PVC_SDR325_JG_20_11" localSheetId="8">#REF!</definedName>
    <definedName name="TUBO_PVC_SDR325_JG_20_11">#REF!</definedName>
    <definedName name="TUBO_PVC_SDR325_JG_20_6" localSheetId="8">#REF!</definedName>
    <definedName name="TUBO_PVC_SDR325_JG_20_6">#REF!</definedName>
    <definedName name="TUBO_PVC_SDR325_JG_20_7" localSheetId="8">#REF!</definedName>
    <definedName name="TUBO_PVC_SDR325_JG_20_7">#REF!</definedName>
    <definedName name="TUBO_PVC_SDR325_JG_20_8" localSheetId="8">#REF!</definedName>
    <definedName name="TUBO_PVC_SDR325_JG_20_8">#REF!</definedName>
    <definedName name="TUBO_PVC_SDR325_JG_20_9" localSheetId="8">#REF!</definedName>
    <definedName name="TUBO_PVC_SDR325_JG_20_9">#REF!</definedName>
    <definedName name="TUBO_PVC_SDR325_JG_8" localSheetId="8">#REF!</definedName>
    <definedName name="TUBO_PVC_SDR325_JG_8">#REF!</definedName>
    <definedName name="TUBO_PVC_SDR325_JG_8_10" localSheetId="8">#REF!</definedName>
    <definedName name="TUBO_PVC_SDR325_JG_8_10">#REF!</definedName>
    <definedName name="TUBO_PVC_SDR325_JG_8_11" localSheetId="8">#REF!</definedName>
    <definedName name="TUBO_PVC_SDR325_JG_8_11">#REF!</definedName>
    <definedName name="TUBO_PVC_SDR325_JG_8_6" localSheetId="8">#REF!</definedName>
    <definedName name="TUBO_PVC_SDR325_JG_8_6">#REF!</definedName>
    <definedName name="TUBO_PVC_SDR325_JG_8_7" localSheetId="8">#REF!</definedName>
    <definedName name="TUBO_PVC_SDR325_JG_8_7">#REF!</definedName>
    <definedName name="TUBO_PVC_SDR325_JG_8_8" localSheetId="8">#REF!</definedName>
    <definedName name="TUBO_PVC_SDR325_JG_8_8">#REF!</definedName>
    <definedName name="TUBO_PVC_SDR325_JG_8_9" localSheetId="8">#REF!</definedName>
    <definedName name="TUBO_PVC_SDR325_JG_8_9">#REF!</definedName>
    <definedName name="TUBO_PVC_SDR41_2" localSheetId="8">#REF!</definedName>
    <definedName name="TUBO_PVC_SDR41_2">#REF!</definedName>
    <definedName name="TUBO_PVC_SDR41_2_10" localSheetId="8">#REF!</definedName>
    <definedName name="TUBO_PVC_SDR41_2_10">#REF!</definedName>
    <definedName name="TUBO_PVC_SDR41_2_11" localSheetId="8">#REF!</definedName>
    <definedName name="TUBO_PVC_SDR41_2_11">#REF!</definedName>
    <definedName name="TUBO_PVC_SDR41_2_6" localSheetId="8">#REF!</definedName>
    <definedName name="TUBO_PVC_SDR41_2_6">#REF!</definedName>
    <definedName name="TUBO_PVC_SDR41_2_7" localSheetId="8">#REF!</definedName>
    <definedName name="TUBO_PVC_SDR41_2_7">#REF!</definedName>
    <definedName name="TUBO_PVC_SDR41_2_8" localSheetId="8">#REF!</definedName>
    <definedName name="TUBO_PVC_SDR41_2_8">#REF!</definedName>
    <definedName name="TUBO_PVC_SDR41_2_9" localSheetId="8">#REF!</definedName>
    <definedName name="TUBO_PVC_SDR41_2_9">#REF!</definedName>
    <definedName name="TUBO_PVC_SDR41_3" localSheetId="8">#REF!</definedName>
    <definedName name="TUBO_PVC_SDR41_3">#REF!</definedName>
    <definedName name="TUBO_PVC_SDR41_3_10" localSheetId="8">#REF!</definedName>
    <definedName name="TUBO_PVC_SDR41_3_10">#REF!</definedName>
    <definedName name="TUBO_PVC_SDR41_3_11" localSheetId="8">#REF!</definedName>
    <definedName name="TUBO_PVC_SDR41_3_11">#REF!</definedName>
    <definedName name="TUBO_PVC_SDR41_3_6" localSheetId="8">#REF!</definedName>
    <definedName name="TUBO_PVC_SDR41_3_6">#REF!</definedName>
    <definedName name="TUBO_PVC_SDR41_3_7" localSheetId="8">#REF!</definedName>
    <definedName name="TUBO_PVC_SDR41_3_7">#REF!</definedName>
    <definedName name="TUBO_PVC_SDR41_3_8" localSheetId="8">#REF!</definedName>
    <definedName name="TUBO_PVC_SDR41_3_8">#REF!</definedName>
    <definedName name="TUBO_PVC_SDR41_3_9" localSheetId="8">#REF!</definedName>
    <definedName name="TUBO_PVC_SDR41_3_9">#REF!</definedName>
    <definedName name="TUBO_PVC_SDR41_4" localSheetId="8">#REF!</definedName>
    <definedName name="TUBO_PVC_SDR41_4">#REF!</definedName>
    <definedName name="TUBO_PVC_SDR41_4_10" localSheetId="8">#REF!</definedName>
    <definedName name="TUBO_PVC_SDR41_4_10">#REF!</definedName>
    <definedName name="TUBO_PVC_SDR41_4_11" localSheetId="8">#REF!</definedName>
    <definedName name="TUBO_PVC_SDR41_4_11">#REF!</definedName>
    <definedName name="TUBO_PVC_SDR41_4_6" localSheetId="8">#REF!</definedName>
    <definedName name="TUBO_PVC_SDR41_4_6">#REF!</definedName>
    <definedName name="TUBO_PVC_SDR41_4_7" localSheetId="8">#REF!</definedName>
    <definedName name="TUBO_PVC_SDR41_4_7">#REF!</definedName>
    <definedName name="TUBO_PVC_SDR41_4_8" localSheetId="8">#REF!</definedName>
    <definedName name="TUBO_PVC_SDR41_4_8">#REF!</definedName>
    <definedName name="TUBO_PVC_SDR41_4_9" localSheetId="8">#REF!</definedName>
    <definedName name="TUBO_PVC_SDR41_4_9">#REF!</definedName>
    <definedName name="TYPE_3M" localSheetId="8">#REF!</definedName>
    <definedName name="TYPE_3M">#REF!</definedName>
    <definedName name="TYPE_3M_10" localSheetId="8">#REF!</definedName>
    <definedName name="TYPE_3M_10">#REF!</definedName>
    <definedName name="TYPE_3M_11" localSheetId="8">#REF!</definedName>
    <definedName name="TYPE_3M_11">#REF!</definedName>
    <definedName name="TYPE_3M_6" localSheetId="8">#REF!</definedName>
    <definedName name="TYPE_3M_6">#REF!</definedName>
    <definedName name="TYPE_3M_7" localSheetId="8">#REF!</definedName>
    <definedName name="TYPE_3M_7">#REF!</definedName>
    <definedName name="TYPE_3M_8" localSheetId="8">#REF!</definedName>
    <definedName name="TYPE_3M_8">#REF!</definedName>
    <definedName name="TYPE_3M_9" localSheetId="8">#REF!</definedName>
    <definedName name="TYPE_3M_9">#REF!</definedName>
    <definedName name="UND">#N/A</definedName>
    <definedName name="UND_6">NA()</definedName>
    <definedName name="UNION_HG_1" localSheetId="8">#REF!</definedName>
    <definedName name="UNION_HG_1">#REF!</definedName>
    <definedName name="UNION_HG_1_10" localSheetId="8">#REF!</definedName>
    <definedName name="UNION_HG_1_10">#REF!</definedName>
    <definedName name="UNION_HG_1_11" localSheetId="8">#REF!</definedName>
    <definedName name="UNION_HG_1_11">#REF!</definedName>
    <definedName name="UNION_HG_1_6" localSheetId="8">#REF!</definedName>
    <definedName name="UNION_HG_1_6">#REF!</definedName>
    <definedName name="UNION_HG_1_7" localSheetId="8">#REF!</definedName>
    <definedName name="UNION_HG_1_7">#REF!</definedName>
    <definedName name="UNION_HG_1_8" localSheetId="8">#REF!</definedName>
    <definedName name="UNION_HG_1_8">#REF!</definedName>
    <definedName name="UNION_HG_1_9" localSheetId="8">#REF!</definedName>
    <definedName name="UNION_HG_1_9">#REF!</definedName>
    <definedName name="UNION_HG_12" localSheetId="8">#REF!</definedName>
    <definedName name="UNION_HG_12">#REF!</definedName>
    <definedName name="UNION_HG_12_10" localSheetId="8">#REF!</definedName>
    <definedName name="UNION_HG_12_10">#REF!</definedName>
    <definedName name="UNION_HG_12_11" localSheetId="8">#REF!</definedName>
    <definedName name="UNION_HG_12_11">#REF!</definedName>
    <definedName name="UNION_HG_12_6" localSheetId="8">#REF!</definedName>
    <definedName name="UNION_HG_12_6">#REF!</definedName>
    <definedName name="UNION_HG_12_7" localSheetId="8">#REF!</definedName>
    <definedName name="UNION_HG_12_7">#REF!</definedName>
    <definedName name="UNION_HG_12_8" localSheetId="8">#REF!</definedName>
    <definedName name="UNION_HG_12_8">#REF!</definedName>
    <definedName name="UNION_HG_12_9" localSheetId="8">#REF!</definedName>
    <definedName name="UNION_HG_12_9">#REF!</definedName>
    <definedName name="UNION_HG_34" localSheetId="8">#REF!</definedName>
    <definedName name="UNION_HG_34">#REF!</definedName>
    <definedName name="UNION_HG_34_10" localSheetId="8">#REF!</definedName>
    <definedName name="UNION_HG_34_10">#REF!</definedName>
    <definedName name="UNION_HG_34_11" localSheetId="8">#REF!</definedName>
    <definedName name="UNION_HG_34_11">#REF!</definedName>
    <definedName name="UNION_HG_34_6" localSheetId="8">#REF!</definedName>
    <definedName name="UNION_HG_34_6">#REF!</definedName>
    <definedName name="UNION_HG_34_7" localSheetId="8">#REF!</definedName>
    <definedName name="UNION_HG_34_7">#REF!</definedName>
    <definedName name="UNION_HG_34_8" localSheetId="8">#REF!</definedName>
    <definedName name="UNION_HG_34_8">#REF!</definedName>
    <definedName name="UNION_HG_34_9" localSheetId="8">#REF!</definedName>
    <definedName name="UNION_HG_34_9">#REF!</definedName>
    <definedName name="UNION_PVC_PRES_12" localSheetId="8">#REF!</definedName>
    <definedName name="UNION_PVC_PRES_12">#REF!</definedName>
    <definedName name="UNION_PVC_PRES_12_10" localSheetId="8">#REF!</definedName>
    <definedName name="UNION_PVC_PRES_12_10">#REF!</definedName>
    <definedName name="UNION_PVC_PRES_12_11" localSheetId="8">#REF!</definedName>
    <definedName name="UNION_PVC_PRES_12_11">#REF!</definedName>
    <definedName name="UNION_PVC_PRES_12_6" localSheetId="8">#REF!</definedName>
    <definedName name="UNION_PVC_PRES_12_6">#REF!</definedName>
    <definedName name="UNION_PVC_PRES_12_7" localSheetId="8">#REF!</definedName>
    <definedName name="UNION_PVC_PRES_12_7">#REF!</definedName>
    <definedName name="UNION_PVC_PRES_12_8" localSheetId="8">#REF!</definedName>
    <definedName name="UNION_PVC_PRES_12_8">#REF!</definedName>
    <definedName name="UNION_PVC_PRES_12_9" localSheetId="8">#REF!</definedName>
    <definedName name="UNION_PVC_PRES_12_9">#REF!</definedName>
    <definedName name="UNION_PVC_PRES_34" localSheetId="8">#REF!</definedName>
    <definedName name="UNION_PVC_PRES_34">#REF!</definedName>
    <definedName name="UNION_PVC_PRES_34_10" localSheetId="8">#REF!</definedName>
    <definedName name="UNION_PVC_PRES_34_10">#REF!</definedName>
    <definedName name="UNION_PVC_PRES_34_11" localSheetId="8">#REF!</definedName>
    <definedName name="UNION_PVC_PRES_34_11">#REF!</definedName>
    <definedName name="UNION_PVC_PRES_34_6" localSheetId="8">#REF!</definedName>
    <definedName name="UNION_PVC_PRES_34_6">#REF!</definedName>
    <definedName name="UNION_PVC_PRES_34_7" localSheetId="8">#REF!</definedName>
    <definedName name="UNION_PVC_PRES_34_7">#REF!</definedName>
    <definedName name="UNION_PVC_PRES_34_8" localSheetId="8">#REF!</definedName>
    <definedName name="UNION_PVC_PRES_34_8">#REF!</definedName>
    <definedName name="UNION_PVC_PRES_34_9" localSheetId="8">#REF!</definedName>
    <definedName name="UNION_PVC_PRES_34_9">#REF!</definedName>
    <definedName name="uso.vibrador">'[32]Costos Mano de Obra'!$O$42</definedName>
    <definedName name="VACC">[8]Precio!$F$31</definedName>
    <definedName name="vaciadohormigonindustrial" localSheetId="8">#REF!</definedName>
    <definedName name="vaciadohormigonindustrial">#REF!</definedName>
    <definedName name="vaciadohormigonindustrial_8" localSheetId="8">#REF!</definedName>
    <definedName name="vaciadohormigonindustrial_8">#REF!</definedName>
    <definedName name="vaciadozapata" localSheetId="8">#REF!</definedName>
    <definedName name="vaciadozapata">#REF!</definedName>
    <definedName name="vaciadozapata_8" localSheetId="8">#REF!</definedName>
    <definedName name="vaciadozapata_8">#REF!</definedName>
    <definedName name="valor2_2">#N/A</definedName>
    <definedName name="valor2_3">#N/A</definedName>
    <definedName name="valora_3">"$#REF!.$I$1:$I$65534"</definedName>
    <definedName name="valorp_3">"$#REF!.$K$1:$K$65534"</definedName>
    <definedName name="VALORPRESUPUESTO_3">"$#REF!.$F$1:$F$65534"</definedName>
    <definedName name="VALVULA_AIRE_1_HF_ROSCADA" localSheetId="8">#REF!</definedName>
    <definedName name="VALVULA_AIRE_1_HF_ROSCADA">#REF!</definedName>
    <definedName name="VALVULA_AIRE_1_HF_ROSCADA_10" localSheetId="8">#REF!</definedName>
    <definedName name="VALVULA_AIRE_1_HF_ROSCADA_10">#REF!</definedName>
    <definedName name="VALVULA_AIRE_1_HF_ROSCADA_11" localSheetId="8">#REF!</definedName>
    <definedName name="VALVULA_AIRE_1_HF_ROSCADA_11">#REF!</definedName>
    <definedName name="VALVULA_AIRE_1_HF_ROSCADA_6" localSheetId="8">#REF!</definedName>
    <definedName name="VALVULA_AIRE_1_HF_ROSCADA_6">#REF!</definedName>
    <definedName name="VALVULA_AIRE_1_HF_ROSCADA_7" localSheetId="8">#REF!</definedName>
    <definedName name="VALVULA_AIRE_1_HF_ROSCADA_7">#REF!</definedName>
    <definedName name="VALVULA_AIRE_1_HF_ROSCADA_8" localSheetId="8">#REF!</definedName>
    <definedName name="VALVULA_AIRE_1_HF_ROSCADA_8">#REF!</definedName>
    <definedName name="VALVULA_AIRE_1_HF_ROSCADA_9" localSheetId="8">#REF!</definedName>
    <definedName name="VALVULA_AIRE_1_HF_ROSCADA_9">#REF!</definedName>
    <definedName name="VALVULA_AIRE_3_HF_ROSCADA" localSheetId="8">#REF!</definedName>
    <definedName name="VALVULA_AIRE_3_HF_ROSCADA">#REF!</definedName>
    <definedName name="VALVULA_AIRE_3_HF_ROSCADA_10" localSheetId="8">#REF!</definedName>
    <definedName name="VALVULA_AIRE_3_HF_ROSCADA_10">#REF!</definedName>
    <definedName name="VALVULA_AIRE_3_HF_ROSCADA_11" localSheetId="8">#REF!</definedName>
    <definedName name="VALVULA_AIRE_3_HF_ROSCADA_11">#REF!</definedName>
    <definedName name="VALVULA_AIRE_3_HF_ROSCADA_6" localSheetId="8">#REF!</definedName>
    <definedName name="VALVULA_AIRE_3_HF_ROSCADA_6">#REF!</definedName>
    <definedName name="VALVULA_AIRE_3_HF_ROSCADA_7" localSheetId="8">#REF!</definedName>
    <definedName name="VALVULA_AIRE_3_HF_ROSCADA_7">#REF!</definedName>
    <definedName name="VALVULA_AIRE_3_HF_ROSCADA_8" localSheetId="8">#REF!</definedName>
    <definedName name="VALVULA_AIRE_3_HF_ROSCADA_8">#REF!</definedName>
    <definedName name="VALVULA_AIRE_3_HF_ROSCADA_9" localSheetId="8">#REF!</definedName>
    <definedName name="VALVULA_AIRE_3_HF_ROSCADA_9">#REF!</definedName>
    <definedName name="VALVULA_AIRE_34_HF_ROSCADA" localSheetId="8">#REF!</definedName>
    <definedName name="VALVULA_AIRE_34_HF_ROSCADA">#REF!</definedName>
    <definedName name="VALVULA_AIRE_34_HF_ROSCADA_10" localSheetId="8">#REF!</definedName>
    <definedName name="VALVULA_AIRE_34_HF_ROSCADA_10">#REF!</definedName>
    <definedName name="VALVULA_AIRE_34_HF_ROSCADA_11" localSheetId="8">#REF!</definedName>
    <definedName name="VALVULA_AIRE_34_HF_ROSCADA_11">#REF!</definedName>
    <definedName name="VALVULA_AIRE_34_HF_ROSCADA_6" localSheetId="8">#REF!</definedName>
    <definedName name="VALVULA_AIRE_34_HF_ROSCADA_6">#REF!</definedName>
    <definedName name="VALVULA_AIRE_34_HF_ROSCADA_7" localSheetId="8">#REF!</definedName>
    <definedName name="VALVULA_AIRE_34_HF_ROSCADA_7">#REF!</definedName>
    <definedName name="VALVULA_AIRE_34_HF_ROSCADA_8" localSheetId="8">#REF!</definedName>
    <definedName name="VALVULA_AIRE_34_HF_ROSCADA_8">#REF!</definedName>
    <definedName name="VALVULA_AIRE_34_HF_ROSCADA_9" localSheetId="8">#REF!</definedName>
    <definedName name="VALVULA_AIRE_34_HF_ROSCADA_9">#REF!</definedName>
    <definedName name="VALVULA_COMP_12_HF_PLATILLADA" localSheetId="8">#REF!</definedName>
    <definedName name="VALVULA_COMP_12_HF_PLATILLADA">#REF!</definedName>
    <definedName name="VALVULA_COMP_12_HF_PLATILLADA_10" localSheetId="8">#REF!</definedName>
    <definedName name="VALVULA_COMP_12_HF_PLATILLADA_10">#REF!</definedName>
    <definedName name="VALVULA_COMP_12_HF_PLATILLADA_11" localSheetId="8">#REF!</definedName>
    <definedName name="VALVULA_COMP_12_HF_PLATILLADA_11">#REF!</definedName>
    <definedName name="VALVULA_COMP_12_HF_PLATILLADA_6" localSheetId="8">#REF!</definedName>
    <definedName name="VALVULA_COMP_12_HF_PLATILLADA_6">#REF!</definedName>
    <definedName name="VALVULA_COMP_12_HF_PLATILLADA_7" localSheetId="8">#REF!</definedName>
    <definedName name="VALVULA_COMP_12_HF_PLATILLADA_7">#REF!</definedName>
    <definedName name="VALVULA_COMP_12_HF_PLATILLADA_8" localSheetId="8">#REF!</definedName>
    <definedName name="VALVULA_COMP_12_HF_PLATILLADA_8">#REF!</definedName>
    <definedName name="VALVULA_COMP_12_HF_PLATILLADA_9" localSheetId="8">#REF!</definedName>
    <definedName name="VALVULA_COMP_12_HF_PLATILLADA_9">#REF!</definedName>
    <definedName name="VALVULA_COMP_16_HF_PLATILLADA" localSheetId="8">#REF!</definedName>
    <definedName name="VALVULA_COMP_16_HF_PLATILLADA">#REF!</definedName>
    <definedName name="VALVULA_COMP_16_HF_PLATILLADA_10" localSheetId="8">#REF!</definedName>
    <definedName name="VALVULA_COMP_16_HF_PLATILLADA_10">#REF!</definedName>
    <definedName name="VALVULA_COMP_16_HF_PLATILLADA_11" localSheetId="8">#REF!</definedName>
    <definedName name="VALVULA_COMP_16_HF_PLATILLADA_11">#REF!</definedName>
    <definedName name="VALVULA_COMP_16_HF_PLATILLADA_6" localSheetId="8">#REF!</definedName>
    <definedName name="VALVULA_COMP_16_HF_PLATILLADA_6">#REF!</definedName>
    <definedName name="VALVULA_COMP_16_HF_PLATILLADA_7" localSheetId="8">#REF!</definedName>
    <definedName name="VALVULA_COMP_16_HF_PLATILLADA_7">#REF!</definedName>
    <definedName name="VALVULA_COMP_16_HF_PLATILLADA_8" localSheetId="8">#REF!</definedName>
    <definedName name="VALVULA_COMP_16_HF_PLATILLADA_8">#REF!</definedName>
    <definedName name="VALVULA_COMP_16_HF_PLATILLADA_9" localSheetId="8">#REF!</definedName>
    <definedName name="VALVULA_COMP_16_HF_PLATILLADA_9">#REF!</definedName>
    <definedName name="VALVULA_COMP_2_12_HF_ROSCADA" localSheetId="8">#REF!</definedName>
    <definedName name="VALVULA_COMP_2_12_HF_ROSCADA">#REF!</definedName>
    <definedName name="VALVULA_COMP_2_12_HF_ROSCADA_10" localSheetId="8">#REF!</definedName>
    <definedName name="VALVULA_COMP_2_12_HF_ROSCADA_10">#REF!</definedName>
    <definedName name="VALVULA_COMP_2_12_HF_ROSCADA_11" localSheetId="8">#REF!</definedName>
    <definedName name="VALVULA_COMP_2_12_HF_ROSCADA_11">#REF!</definedName>
    <definedName name="VALVULA_COMP_2_12_HF_ROSCADA_6" localSheetId="8">#REF!</definedName>
    <definedName name="VALVULA_COMP_2_12_HF_ROSCADA_6">#REF!</definedName>
    <definedName name="VALVULA_COMP_2_12_HF_ROSCADA_7" localSheetId="8">#REF!</definedName>
    <definedName name="VALVULA_COMP_2_12_HF_ROSCADA_7">#REF!</definedName>
    <definedName name="VALVULA_COMP_2_12_HF_ROSCADA_8" localSheetId="8">#REF!</definedName>
    <definedName name="VALVULA_COMP_2_12_HF_ROSCADA_8">#REF!</definedName>
    <definedName name="VALVULA_COMP_2_12_HF_ROSCADA_9" localSheetId="8">#REF!</definedName>
    <definedName name="VALVULA_COMP_2_12_HF_ROSCADA_9">#REF!</definedName>
    <definedName name="VALVULA_COMP_2_HF_ROSCADA" localSheetId="8">#REF!</definedName>
    <definedName name="VALVULA_COMP_2_HF_ROSCADA">#REF!</definedName>
    <definedName name="VALVULA_COMP_2_HF_ROSCADA_10" localSheetId="8">#REF!</definedName>
    <definedName name="VALVULA_COMP_2_HF_ROSCADA_10">#REF!</definedName>
    <definedName name="VALVULA_COMP_2_HF_ROSCADA_11" localSheetId="8">#REF!</definedName>
    <definedName name="VALVULA_COMP_2_HF_ROSCADA_11">#REF!</definedName>
    <definedName name="VALVULA_COMP_2_HF_ROSCADA_6" localSheetId="8">#REF!</definedName>
    <definedName name="VALVULA_COMP_2_HF_ROSCADA_6">#REF!</definedName>
    <definedName name="VALVULA_COMP_2_HF_ROSCADA_7" localSheetId="8">#REF!</definedName>
    <definedName name="VALVULA_COMP_2_HF_ROSCADA_7">#REF!</definedName>
    <definedName name="VALVULA_COMP_2_HF_ROSCADA_8" localSheetId="8">#REF!</definedName>
    <definedName name="VALVULA_COMP_2_HF_ROSCADA_8">#REF!</definedName>
    <definedName name="VALVULA_COMP_2_HF_ROSCADA_9" localSheetId="8">#REF!</definedName>
    <definedName name="VALVULA_COMP_2_HF_ROSCADA_9">#REF!</definedName>
    <definedName name="VALVULA_COMP_20_HF_PLATILLADA" localSheetId="8">#REF!</definedName>
    <definedName name="VALVULA_COMP_20_HF_PLATILLADA">#REF!</definedName>
    <definedName name="VALVULA_COMP_20_HF_PLATILLADA_10" localSheetId="8">#REF!</definedName>
    <definedName name="VALVULA_COMP_20_HF_PLATILLADA_10">#REF!</definedName>
    <definedName name="VALVULA_COMP_20_HF_PLATILLADA_11" localSheetId="8">#REF!</definedName>
    <definedName name="VALVULA_COMP_20_HF_PLATILLADA_11">#REF!</definedName>
    <definedName name="VALVULA_COMP_20_HF_PLATILLADA_6" localSheetId="8">#REF!</definedName>
    <definedName name="VALVULA_COMP_20_HF_PLATILLADA_6">#REF!</definedName>
    <definedName name="VALVULA_COMP_20_HF_PLATILLADA_7" localSheetId="8">#REF!</definedName>
    <definedName name="VALVULA_COMP_20_HF_PLATILLADA_7">#REF!</definedName>
    <definedName name="VALVULA_COMP_20_HF_PLATILLADA_8" localSheetId="8">#REF!</definedName>
    <definedName name="VALVULA_COMP_20_HF_PLATILLADA_8">#REF!</definedName>
    <definedName name="VALVULA_COMP_20_HF_PLATILLADA_9" localSheetId="8">#REF!</definedName>
    <definedName name="VALVULA_COMP_20_HF_PLATILLADA_9">#REF!</definedName>
    <definedName name="VALVULA_COMP_3_HF_ROSCADA" localSheetId="8">#REF!</definedName>
    <definedName name="VALVULA_COMP_3_HF_ROSCADA">#REF!</definedName>
    <definedName name="VALVULA_COMP_3_HF_ROSCADA_10" localSheetId="8">#REF!</definedName>
    <definedName name="VALVULA_COMP_3_HF_ROSCADA_10">#REF!</definedName>
    <definedName name="VALVULA_COMP_3_HF_ROSCADA_11" localSheetId="8">#REF!</definedName>
    <definedName name="VALVULA_COMP_3_HF_ROSCADA_11">#REF!</definedName>
    <definedName name="VALVULA_COMP_3_HF_ROSCADA_6" localSheetId="8">#REF!</definedName>
    <definedName name="VALVULA_COMP_3_HF_ROSCADA_6">#REF!</definedName>
    <definedName name="VALVULA_COMP_3_HF_ROSCADA_7" localSheetId="8">#REF!</definedName>
    <definedName name="VALVULA_COMP_3_HF_ROSCADA_7">#REF!</definedName>
    <definedName name="VALVULA_COMP_3_HF_ROSCADA_8" localSheetId="8">#REF!</definedName>
    <definedName name="VALVULA_COMP_3_HF_ROSCADA_8">#REF!</definedName>
    <definedName name="VALVULA_COMP_3_HF_ROSCADA_9" localSheetId="8">#REF!</definedName>
    <definedName name="VALVULA_COMP_3_HF_ROSCADA_9">#REF!</definedName>
    <definedName name="VALVULA_COMP_4_HF_PLATILLADA" localSheetId="8">#REF!</definedName>
    <definedName name="VALVULA_COMP_4_HF_PLATILLADA">#REF!</definedName>
    <definedName name="VALVULA_COMP_4_HF_PLATILLADA_10" localSheetId="8">#REF!</definedName>
    <definedName name="VALVULA_COMP_4_HF_PLATILLADA_10">#REF!</definedName>
    <definedName name="VALVULA_COMP_4_HF_PLATILLADA_11" localSheetId="8">#REF!</definedName>
    <definedName name="VALVULA_COMP_4_HF_PLATILLADA_11">#REF!</definedName>
    <definedName name="VALVULA_COMP_4_HF_PLATILLADA_6" localSheetId="8">#REF!</definedName>
    <definedName name="VALVULA_COMP_4_HF_PLATILLADA_6">#REF!</definedName>
    <definedName name="VALVULA_COMP_4_HF_PLATILLADA_7" localSheetId="8">#REF!</definedName>
    <definedName name="VALVULA_COMP_4_HF_PLATILLADA_7">#REF!</definedName>
    <definedName name="VALVULA_COMP_4_HF_PLATILLADA_8" localSheetId="8">#REF!</definedName>
    <definedName name="VALVULA_COMP_4_HF_PLATILLADA_8">#REF!</definedName>
    <definedName name="VALVULA_COMP_4_HF_PLATILLADA_9" localSheetId="8">#REF!</definedName>
    <definedName name="VALVULA_COMP_4_HF_PLATILLADA_9">#REF!</definedName>
    <definedName name="VALVULA_COMP_4_HF_ROSCADA" localSheetId="8">#REF!</definedName>
    <definedName name="VALVULA_COMP_4_HF_ROSCADA">#REF!</definedName>
    <definedName name="VALVULA_COMP_4_HF_ROSCADA_10" localSheetId="8">#REF!</definedName>
    <definedName name="VALVULA_COMP_4_HF_ROSCADA_10">#REF!</definedName>
    <definedName name="VALVULA_COMP_4_HF_ROSCADA_11" localSheetId="8">#REF!</definedName>
    <definedName name="VALVULA_COMP_4_HF_ROSCADA_11">#REF!</definedName>
    <definedName name="VALVULA_COMP_4_HF_ROSCADA_6" localSheetId="8">#REF!</definedName>
    <definedName name="VALVULA_COMP_4_HF_ROSCADA_6">#REF!</definedName>
    <definedName name="VALVULA_COMP_4_HF_ROSCADA_7" localSheetId="8">#REF!</definedName>
    <definedName name="VALVULA_COMP_4_HF_ROSCADA_7">#REF!</definedName>
    <definedName name="VALVULA_COMP_4_HF_ROSCADA_8" localSheetId="8">#REF!</definedName>
    <definedName name="VALVULA_COMP_4_HF_ROSCADA_8">#REF!</definedName>
    <definedName name="VALVULA_COMP_4_HF_ROSCADA_9" localSheetId="8">#REF!</definedName>
    <definedName name="VALVULA_COMP_4_HF_ROSCADA_9">#REF!</definedName>
    <definedName name="VALVULA_COMP_6_HF_PLATILLADA" localSheetId="8">#REF!</definedName>
    <definedName name="VALVULA_COMP_6_HF_PLATILLADA">#REF!</definedName>
    <definedName name="VALVULA_COMP_6_HF_PLATILLADA_10" localSheetId="8">#REF!</definedName>
    <definedName name="VALVULA_COMP_6_HF_PLATILLADA_10">#REF!</definedName>
    <definedName name="VALVULA_COMP_6_HF_PLATILLADA_11" localSheetId="8">#REF!</definedName>
    <definedName name="VALVULA_COMP_6_HF_PLATILLADA_11">#REF!</definedName>
    <definedName name="VALVULA_COMP_6_HF_PLATILLADA_6" localSheetId="8">#REF!</definedName>
    <definedName name="VALVULA_COMP_6_HF_PLATILLADA_6">#REF!</definedName>
    <definedName name="VALVULA_COMP_6_HF_PLATILLADA_7" localSheetId="8">#REF!</definedName>
    <definedName name="VALVULA_COMP_6_HF_PLATILLADA_7">#REF!</definedName>
    <definedName name="VALVULA_COMP_6_HF_PLATILLADA_8" localSheetId="8">#REF!</definedName>
    <definedName name="VALVULA_COMP_6_HF_PLATILLADA_8">#REF!</definedName>
    <definedName name="VALVULA_COMP_6_HF_PLATILLADA_9" localSheetId="8">#REF!</definedName>
    <definedName name="VALVULA_COMP_6_HF_PLATILLADA_9">#REF!</definedName>
    <definedName name="VALVULA_COMP_8_HF_PLATILLADA" localSheetId="8">#REF!</definedName>
    <definedName name="VALVULA_COMP_8_HF_PLATILLADA">#REF!</definedName>
    <definedName name="VALVULA_COMP_8_HF_PLATILLADA_10" localSheetId="8">#REF!</definedName>
    <definedName name="VALVULA_COMP_8_HF_PLATILLADA_10">#REF!</definedName>
    <definedName name="VALVULA_COMP_8_HF_PLATILLADA_11" localSheetId="8">#REF!</definedName>
    <definedName name="VALVULA_COMP_8_HF_PLATILLADA_11">#REF!</definedName>
    <definedName name="VALVULA_COMP_8_HF_PLATILLADA_6" localSheetId="8">#REF!</definedName>
    <definedName name="VALVULA_COMP_8_HF_PLATILLADA_6">#REF!</definedName>
    <definedName name="VALVULA_COMP_8_HF_PLATILLADA_7" localSheetId="8">#REF!</definedName>
    <definedName name="VALVULA_COMP_8_HF_PLATILLADA_7">#REF!</definedName>
    <definedName name="VALVULA_COMP_8_HF_PLATILLADA_8" localSheetId="8">#REF!</definedName>
    <definedName name="VALVULA_COMP_8_HF_PLATILLADA_8">#REF!</definedName>
    <definedName name="VALVULA_COMP_8_HF_PLATILLADA_9" localSheetId="8">#REF!</definedName>
    <definedName name="VALVULA_COMP_8_HF_PLATILLADA_9">#REF!</definedName>
    <definedName name="VARILLA" localSheetId="8">#REF!</definedName>
    <definedName name="VARILLA">#REF!</definedName>
    <definedName name="VARILLA_BLOQUES_20" localSheetId="8">#REF!</definedName>
    <definedName name="VARILLA_BLOQUES_20">#REF!</definedName>
    <definedName name="VARILLA_BLOQUES_20_10" localSheetId="8">#REF!</definedName>
    <definedName name="VARILLA_BLOQUES_20_10">#REF!</definedName>
    <definedName name="VARILLA_BLOQUES_20_11" localSheetId="8">#REF!</definedName>
    <definedName name="VARILLA_BLOQUES_20_11">#REF!</definedName>
    <definedName name="VARILLA_BLOQUES_20_6" localSheetId="8">#REF!</definedName>
    <definedName name="VARILLA_BLOQUES_20_6">#REF!</definedName>
    <definedName name="VARILLA_BLOQUES_20_7" localSheetId="8">#REF!</definedName>
    <definedName name="VARILLA_BLOQUES_20_7">#REF!</definedName>
    <definedName name="VARILLA_BLOQUES_20_8" localSheetId="8">#REF!</definedName>
    <definedName name="VARILLA_BLOQUES_20_8">#REF!</definedName>
    <definedName name="VARILLA_BLOQUES_20_9" localSheetId="8">#REF!</definedName>
    <definedName name="VARILLA_BLOQUES_20_9">#REF!</definedName>
    <definedName name="VARILLA_BLOQUES_40" localSheetId="8">#REF!</definedName>
    <definedName name="VARILLA_BLOQUES_40">#REF!</definedName>
    <definedName name="VARILLA_BLOQUES_40_10" localSheetId="8">#REF!</definedName>
    <definedName name="VARILLA_BLOQUES_40_10">#REF!</definedName>
    <definedName name="VARILLA_BLOQUES_40_11" localSheetId="8">#REF!</definedName>
    <definedName name="VARILLA_BLOQUES_40_11">#REF!</definedName>
    <definedName name="VARILLA_BLOQUES_40_6" localSheetId="8">#REF!</definedName>
    <definedName name="VARILLA_BLOQUES_40_6">#REF!</definedName>
    <definedName name="VARILLA_BLOQUES_40_7" localSheetId="8">#REF!</definedName>
    <definedName name="VARILLA_BLOQUES_40_7">#REF!</definedName>
    <definedName name="VARILLA_BLOQUES_40_8" localSheetId="8">#REF!</definedName>
    <definedName name="VARILLA_BLOQUES_40_8">#REF!</definedName>
    <definedName name="VARILLA_BLOQUES_40_9" localSheetId="8">#REF!</definedName>
    <definedName name="VARILLA_BLOQUES_40_9">#REF!</definedName>
    <definedName name="VARILLA_BLOQUES_60" localSheetId="8">#REF!</definedName>
    <definedName name="VARILLA_BLOQUES_60">#REF!</definedName>
    <definedName name="VARILLA_BLOQUES_60_10" localSheetId="8">#REF!</definedName>
    <definedName name="VARILLA_BLOQUES_60_10">#REF!</definedName>
    <definedName name="VARILLA_BLOQUES_60_11" localSheetId="8">#REF!</definedName>
    <definedName name="VARILLA_BLOQUES_60_11">#REF!</definedName>
    <definedName name="VARILLA_BLOQUES_60_6" localSheetId="8">#REF!</definedName>
    <definedName name="VARILLA_BLOQUES_60_6">#REF!</definedName>
    <definedName name="VARILLA_BLOQUES_60_7" localSheetId="8">#REF!</definedName>
    <definedName name="VARILLA_BLOQUES_60_7">#REF!</definedName>
    <definedName name="VARILLA_BLOQUES_60_8" localSheetId="8">#REF!</definedName>
    <definedName name="VARILLA_BLOQUES_60_8">#REF!</definedName>
    <definedName name="VARILLA_BLOQUES_60_9" localSheetId="8">#REF!</definedName>
    <definedName name="VARILLA_BLOQUES_60_9">#REF!</definedName>
    <definedName name="VARILLA_BLOQUES_80" localSheetId="8">#REF!</definedName>
    <definedName name="VARILLA_BLOQUES_80">#REF!</definedName>
    <definedName name="VARILLA_BLOQUES_80_10" localSheetId="8">#REF!</definedName>
    <definedName name="VARILLA_BLOQUES_80_10">#REF!</definedName>
    <definedName name="VARILLA_BLOQUES_80_11" localSheetId="8">#REF!</definedName>
    <definedName name="VARILLA_BLOQUES_80_11">#REF!</definedName>
    <definedName name="VARILLA_BLOQUES_80_6" localSheetId="8">#REF!</definedName>
    <definedName name="VARILLA_BLOQUES_80_6">#REF!</definedName>
    <definedName name="VARILLA_BLOQUES_80_7" localSheetId="8">#REF!</definedName>
    <definedName name="VARILLA_BLOQUES_80_7">#REF!</definedName>
    <definedName name="VARILLA_BLOQUES_80_8" localSheetId="8">#REF!</definedName>
    <definedName name="VARILLA_BLOQUES_80_8">#REF!</definedName>
    <definedName name="VARILLA_BLOQUES_80_9" localSheetId="8">#REF!</definedName>
    <definedName name="VARILLA_BLOQUES_80_9">#REF!</definedName>
    <definedName name="varillas_3">#N/A</definedName>
    <definedName name="VCOLGANTE1590" localSheetId="8">#REF!</definedName>
    <definedName name="VCOLGANTE1590">#REF!</definedName>
    <definedName name="VCOLGANTE1590_6" localSheetId="8">#REF!</definedName>
    <definedName name="VCOLGANTE1590_6">#REF!</definedName>
    <definedName name="verja" localSheetId="8">#REF!</definedName>
    <definedName name="verja">#REF!</definedName>
    <definedName name="VIBRADO" localSheetId="8">#REF!</definedName>
    <definedName name="VIBRADO">#REF!</definedName>
    <definedName name="VIBRADO_10" localSheetId="8">#REF!</definedName>
    <definedName name="VIBRADO_10">#REF!</definedName>
    <definedName name="VIBRADO_11" localSheetId="8">#REF!</definedName>
    <definedName name="VIBRADO_11">#REF!</definedName>
    <definedName name="VIBRADO_6" localSheetId="8">#REF!</definedName>
    <definedName name="VIBRADO_6">#REF!</definedName>
    <definedName name="VIBRADO_7" localSheetId="8">#REF!</definedName>
    <definedName name="VIBRADO_7">#REF!</definedName>
    <definedName name="VIBRADO_8" localSheetId="8">#REF!</definedName>
    <definedName name="VIBRADO_8">#REF!</definedName>
    <definedName name="VIBRADO_9" localSheetId="8">#REF!</definedName>
    <definedName name="VIBRADO_9">#REF!</definedName>
    <definedName name="VIGASHP" localSheetId="8">#REF!</definedName>
    <definedName name="VIGASHP">#REF!</definedName>
    <definedName name="VIGASHP_3">"$#REF!.$B$109"</definedName>
    <definedName name="VIGASHP_8" localSheetId="8">#REF!</definedName>
    <definedName name="VIGASHP_8">#REF!</definedName>
    <definedName name="VIOLINADO" localSheetId="8">#REF!</definedName>
    <definedName name="VIOLINADO">#REF!</definedName>
    <definedName name="VIOLINADO_10" localSheetId="8">#REF!</definedName>
    <definedName name="VIOLINADO_10">#REF!</definedName>
    <definedName name="VIOLINADO_11" localSheetId="8">#REF!</definedName>
    <definedName name="VIOLINADO_11">#REF!</definedName>
    <definedName name="VIOLINADO_6" localSheetId="8">#REF!</definedName>
    <definedName name="VIOLINADO_6">#REF!</definedName>
    <definedName name="VIOLINADO_7" localSheetId="8">#REF!</definedName>
    <definedName name="VIOLINADO_7">#REF!</definedName>
    <definedName name="VIOLINADO_8" localSheetId="8">#REF!</definedName>
    <definedName name="VIOLINADO_8">#REF!</definedName>
    <definedName name="VIOLINADO_9" localSheetId="8">#REF!</definedName>
    <definedName name="VIOLINADO_9">#REF!</definedName>
    <definedName name="VUELO10" localSheetId="8">#REF!</definedName>
    <definedName name="VUELO10">#REF!</definedName>
    <definedName name="VUELO10_6" localSheetId="8">#REF!</definedName>
    <definedName name="VUELO10_6">#REF!</definedName>
    <definedName name="w" localSheetId="8">#REF!</definedName>
    <definedName name="w">#REF!</definedName>
    <definedName name="W14X22">[6]analisis!$G$1637</definedName>
    <definedName name="W16X26">[6]analisis!$G$1814</definedName>
    <definedName name="W18X40">[6]analisis!$G$1872</definedName>
    <definedName name="W27X84">[6]analisis!$G$1977</definedName>
    <definedName name="w6x9">[6]analisis!$G$1453</definedName>
    <definedName name="Winche" localSheetId="8">#REF!</definedName>
    <definedName name="Winche">#REF!</definedName>
    <definedName name="Winche_10" localSheetId="8">#REF!</definedName>
    <definedName name="Winche_10">#REF!</definedName>
    <definedName name="Winche_11" localSheetId="8">#REF!</definedName>
    <definedName name="Winche_11">#REF!</definedName>
    <definedName name="Winche_6" localSheetId="8">#REF!</definedName>
    <definedName name="Winche_6">#REF!</definedName>
    <definedName name="Winche_7" localSheetId="8">#REF!</definedName>
    <definedName name="Winche_7">#REF!</definedName>
    <definedName name="Winche_8" localSheetId="8">#REF!</definedName>
    <definedName name="Winche_8">#REF!</definedName>
    <definedName name="Winche_9" localSheetId="8">#REF!</definedName>
    <definedName name="Winche_9">#REF!</definedName>
    <definedName name="WWW">[20]INS!$D$561</definedName>
    <definedName name="XXX" localSheetId="8">#REF!</definedName>
    <definedName name="XXX">#REF!</definedName>
    <definedName name="YEE_PVC_DREN_2" localSheetId="8">#REF!</definedName>
    <definedName name="YEE_PVC_DREN_2">#REF!</definedName>
    <definedName name="YEE_PVC_DREN_2_10" localSheetId="8">#REF!</definedName>
    <definedName name="YEE_PVC_DREN_2_10">#REF!</definedName>
    <definedName name="YEE_PVC_DREN_2_11" localSheetId="8">#REF!</definedName>
    <definedName name="YEE_PVC_DREN_2_11">#REF!</definedName>
    <definedName name="YEE_PVC_DREN_2_6" localSheetId="8">#REF!</definedName>
    <definedName name="YEE_PVC_DREN_2_6">#REF!</definedName>
    <definedName name="YEE_PVC_DREN_2_7" localSheetId="8">#REF!</definedName>
    <definedName name="YEE_PVC_DREN_2_7">#REF!</definedName>
    <definedName name="YEE_PVC_DREN_2_8" localSheetId="8">#REF!</definedName>
    <definedName name="YEE_PVC_DREN_2_8">#REF!</definedName>
    <definedName name="YEE_PVC_DREN_2_9" localSheetId="8">#REF!</definedName>
    <definedName name="YEE_PVC_DREN_2_9">#REF!</definedName>
    <definedName name="YEE_PVC_DREN_3" localSheetId="8">#REF!</definedName>
    <definedName name="YEE_PVC_DREN_3">#REF!</definedName>
    <definedName name="YEE_PVC_DREN_3_10" localSheetId="8">#REF!</definedName>
    <definedName name="YEE_PVC_DREN_3_10">#REF!</definedName>
    <definedName name="YEE_PVC_DREN_3_11" localSheetId="8">#REF!</definedName>
    <definedName name="YEE_PVC_DREN_3_11">#REF!</definedName>
    <definedName name="YEE_PVC_DREN_3_6" localSheetId="8">#REF!</definedName>
    <definedName name="YEE_PVC_DREN_3_6">#REF!</definedName>
    <definedName name="YEE_PVC_DREN_3_7" localSheetId="8">#REF!</definedName>
    <definedName name="YEE_PVC_DREN_3_7">#REF!</definedName>
    <definedName name="YEE_PVC_DREN_3_8" localSheetId="8">#REF!</definedName>
    <definedName name="YEE_PVC_DREN_3_8">#REF!</definedName>
    <definedName name="YEE_PVC_DREN_3_9" localSheetId="8">#REF!</definedName>
    <definedName name="YEE_PVC_DREN_3_9">#REF!</definedName>
    <definedName name="YEE_PVC_DREN_4" localSheetId="8">#REF!</definedName>
    <definedName name="YEE_PVC_DREN_4">#REF!</definedName>
    <definedName name="YEE_PVC_DREN_4_10" localSheetId="8">#REF!</definedName>
    <definedName name="YEE_PVC_DREN_4_10">#REF!</definedName>
    <definedName name="YEE_PVC_DREN_4_11" localSheetId="8">#REF!</definedName>
    <definedName name="YEE_PVC_DREN_4_11">#REF!</definedName>
    <definedName name="YEE_PVC_DREN_4_6" localSheetId="8">#REF!</definedName>
    <definedName name="YEE_PVC_DREN_4_6">#REF!</definedName>
    <definedName name="YEE_PVC_DREN_4_7" localSheetId="8">#REF!</definedName>
    <definedName name="YEE_PVC_DREN_4_7">#REF!</definedName>
    <definedName name="YEE_PVC_DREN_4_8" localSheetId="8">#REF!</definedName>
    <definedName name="YEE_PVC_DREN_4_8">#REF!</definedName>
    <definedName name="YEE_PVC_DREN_4_9" localSheetId="8">#REF!</definedName>
    <definedName name="YEE_PVC_DREN_4_9">#REF!</definedName>
    <definedName name="YEE_PVC_DREN_4x2" localSheetId="8">#REF!</definedName>
    <definedName name="YEE_PVC_DREN_4x2">#REF!</definedName>
    <definedName name="YEE_PVC_DREN_4x2_10" localSheetId="8">#REF!</definedName>
    <definedName name="YEE_PVC_DREN_4x2_10">#REF!</definedName>
    <definedName name="YEE_PVC_DREN_4x2_11" localSheetId="8">#REF!</definedName>
    <definedName name="YEE_PVC_DREN_4x2_11">#REF!</definedName>
    <definedName name="YEE_PVC_DREN_4x2_6" localSheetId="8">#REF!</definedName>
    <definedName name="YEE_PVC_DREN_4x2_6">#REF!</definedName>
    <definedName name="YEE_PVC_DREN_4x2_7" localSheetId="8">#REF!</definedName>
    <definedName name="YEE_PVC_DREN_4x2_7">#REF!</definedName>
    <definedName name="YEE_PVC_DREN_4x2_8" localSheetId="8">#REF!</definedName>
    <definedName name="YEE_PVC_DREN_4x2_8">#REF!</definedName>
    <definedName name="YEE_PVC_DREN_4x2_9" localSheetId="8">#REF!</definedName>
    <definedName name="YEE_PVC_DREN_4x2_9">#REF!</definedName>
    <definedName name="YYYY" localSheetId="8">#REF!</definedName>
    <definedName name="YYYY">#REF!</definedName>
    <definedName name="zapata">'[4]caseta de planta'!$C:$C</definedName>
    <definedName name="ZC1_6" localSheetId="8">#REF!</definedName>
    <definedName name="ZC1_6">#REF!</definedName>
    <definedName name="ZE1_6" localSheetId="8">#REF!</definedName>
    <definedName name="ZE1_6">#REF!</definedName>
    <definedName name="ZE2_6" localSheetId="8">#REF!</definedName>
    <definedName name="ZE2_6">#REF!</definedName>
    <definedName name="ZE3_6" localSheetId="8">#REF!</definedName>
    <definedName name="ZE3_6">#REF!</definedName>
    <definedName name="ZE4_6" localSheetId="8">#REF!</definedName>
    <definedName name="ZE4_6">#REF!</definedName>
    <definedName name="ZE5_6" localSheetId="8">#REF!</definedName>
    <definedName name="ZE5_6">#REF!</definedName>
    <definedName name="ZE6_6" localSheetId="8">#REF!</definedName>
    <definedName name="ZE6_6">#REF!</definedName>
    <definedName name="ZINC_CAL26_3x6" localSheetId="8">#REF!</definedName>
    <definedName name="ZINC_CAL26_3x6">#REF!</definedName>
    <definedName name="ZINC_CAL26_3x6_10" localSheetId="8">#REF!</definedName>
    <definedName name="ZINC_CAL26_3x6_10">#REF!</definedName>
    <definedName name="ZINC_CAL26_3x6_11" localSheetId="8">#REF!</definedName>
    <definedName name="ZINC_CAL26_3x6_11">#REF!</definedName>
    <definedName name="ZINC_CAL26_3x6_6" localSheetId="8">#REF!</definedName>
    <definedName name="ZINC_CAL26_3x6_6">#REF!</definedName>
    <definedName name="ZINC_CAL26_3x6_7" localSheetId="8">#REF!</definedName>
    <definedName name="ZINC_CAL26_3x6_7">#REF!</definedName>
    <definedName name="ZINC_CAL26_3x6_8" localSheetId="8">#REF!</definedName>
    <definedName name="ZINC_CAL26_3x6_8">#REF!</definedName>
    <definedName name="ZINC_CAL26_3x6_9" localSheetId="8">#REF!</definedName>
    <definedName name="ZINC_CAL26_3x6_9">#REF!</definedName>
    <definedName name="ZOCALO_8x34" localSheetId="8">#REF!</definedName>
    <definedName name="ZOCALO_8x34">#REF!</definedName>
    <definedName name="ZOCALO_8x34_10" localSheetId="8">#REF!</definedName>
    <definedName name="ZOCALO_8x34_10">#REF!</definedName>
    <definedName name="ZOCALO_8x34_11" localSheetId="8">#REF!</definedName>
    <definedName name="ZOCALO_8x34_11">#REF!</definedName>
    <definedName name="ZOCALO_8x34_6" localSheetId="8">#REF!</definedName>
    <definedName name="ZOCALO_8x34_6">#REF!</definedName>
    <definedName name="ZOCALO_8x34_7" localSheetId="8">#REF!</definedName>
    <definedName name="ZOCALO_8x34_7">#REF!</definedName>
    <definedName name="ZOCALO_8x34_8" localSheetId="8">#REF!</definedName>
    <definedName name="ZOCALO_8x34_8">#REF!</definedName>
    <definedName name="ZOCALO_8x34_9" localSheetId="8">#REF!</definedName>
    <definedName name="ZOCALO_8x34_9">#REF!</definedName>
  </definedNames>
  <calcPr calcId="162913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37" i="39" l="1"/>
  <c r="F1436" i="39"/>
  <c r="F1429" i="39"/>
  <c r="F1428" i="39"/>
  <c r="F1427" i="39"/>
  <c r="F1424" i="39"/>
  <c r="F1423" i="39"/>
  <c r="F1422" i="39"/>
  <c r="F1419" i="39"/>
  <c r="F1418" i="39"/>
  <c r="F1415" i="39"/>
  <c r="F1414" i="39"/>
  <c r="F1411" i="39"/>
  <c r="F1410" i="39"/>
  <c r="F1409" i="39"/>
  <c r="F1403" i="39"/>
  <c r="F1400" i="39"/>
  <c r="F1399" i="39"/>
  <c r="F1398" i="39"/>
  <c r="F1397" i="39"/>
  <c r="F1393" i="39"/>
  <c r="F1392" i="39"/>
  <c r="F1389" i="39"/>
  <c r="F1388" i="39"/>
  <c r="F1387" i="39"/>
  <c r="F1386" i="39"/>
  <c r="F1385" i="39"/>
  <c r="F1384" i="39"/>
  <c r="F1383" i="39"/>
  <c r="F1380" i="39"/>
  <c r="F1379" i="39"/>
  <c r="F1378" i="39"/>
  <c r="F1377" i="39"/>
  <c r="F1374" i="39"/>
  <c r="F1373" i="39"/>
  <c r="F1370" i="39"/>
  <c r="F1369" i="39"/>
  <c r="F1368" i="39"/>
  <c r="F1367" i="39"/>
  <c r="F1366" i="39"/>
  <c r="F1365" i="39"/>
  <c r="F1362" i="39"/>
  <c r="F1361" i="39"/>
  <c r="F1360" i="39"/>
  <c r="F1359" i="39"/>
  <c r="F1357" i="39"/>
  <c r="F1350" i="39"/>
  <c r="F1349" i="39"/>
  <c r="F1348" i="39"/>
  <c r="F1347" i="39"/>
  <c r="F1346" i="39"/>
  <c r="F1345" i="39"/>
  <c r="F1344" i="39"/>
  <c r="F1343" i="39"/>
  <c r="F1342" i="39"/>
  <c r="F1341" i="39"/>
  <c r="F1338" i="39"/>
  <c r="F1336" i="39"/>
  <c r="F1335" i="39"/>
  <c r="F1334" i="39"/>
  <c r="F1333" i="39"/>
  <c r="F1330" i="39"/>
  <c r="F1329" i="39"/>
  <c r="F1328" i="39"/>
  <c r="F1325" i="39"/>
  <c r="F1324" i="39"/>
  <c r="F1323" i="39"/>
  <c r="F1322" i="39"/>
  <c r="F1321" i="39"/>
  <c r="F1320" i="39"/>
  <c r="F1319" i="39"/>
  <c r="F1316" i="39"/>
  <c r="F1315" i="39"/>
  <c r="F1314" i="39"/>
  <c r="F1311" i="39"/>
  <c r="F1306" i="39"/>
  <c r="F1305" i="39"/>
  <c r="F1304" i="39"/>
  <c r="F1300" i="39"/>
  <c r="F1299" i="39"/>
  <c r="F1298" i="39"/>
  <c r="F1295" i="39"/>
  <c r="F1292" i="39"/>
  <c r="F1289" i="39"/>
  <c r="F1288" i="39"/>
  <c r="F1287" i="39"/>
  <c r="F1286" i="39"/>
  <c r="F1285" i="39"/>
  <c r="F1284" i="39"/>
  <c r="F1283" i="39"/>
  <c r="F1282" i="39"/>
  <c r="F1281" i="39"/>
  <c r="F1280" i="39"/>
  <c r="F1279" i="39"/>
  <c r="F1278" i="39"/>
  <c r="F1277" i="39"/>
  <c r="F1276" i="39"/>
  <c r="F1275" i="39"/>
  <c r="F1273" i="39"/>
  <c r="F1270" i="39"/>
  <c r="F1269" i="39"/>
  <c r="F1266" i="39"/>
  <c r="F1265" i="39"/>
  <c r="F1264" i="39"/>
  <c r="F1263" i="39"/>
  <c r="F1262" i="39"/>
  <c r="F1261" i="39"/>
  <c r="F1258" i="39"/>
  <c r="F1257" i="39"/>
  <c r="F1256" i="39"/>
  <c r="F1253" i="39"/>
  <c r="F1247" i="39"/>
  <c r="F1246" i="39"/>
  <c r="F1245" i="39"/>
  <c r="F1244" i="39"/>
  <c r="F1243" i="39"/>
  <c r="F1242" i="39"/>
  <c r="F1238" i="39"/>
  <c r="F1236" i="39"/>
  <c r="F1234" i="39"/>
  <c r="F1233" i="39"/>
  <c r="F1232" i="39"/>
  <c r="F1231" i="39"/>
  <c r="F1230" i="39"/>
  <c r="F1227" i="39"/>
  <c r="F1226" i="39"/>
  <c r="F1223" i="39"/>
  <c r="F1222" i="39"/>
  <c r="F1221" i="39"/>
  <c r="F1220" i="39"/>
  <c r="F1219" i="39"/>
  <c r="F1218" i="39"/>
  <c r="F1217" i="39"/>
  <c r="F1213" i="39"/>
  <c r="F1206" i="39"/>
  <c r="F1205" i="39"/>
  <c r="F1204" i="39"/>
  <c r="F1201" i="39"/>
  <c r="F1200" i="39"/>
  <c r="F1199" i="39"/>
  <c r="F1196" i="39"/>
  <c r="F1195" i="39"/>
  <c r="F1192" i="39"/>
  <c r="F1191" i="39"/>
  <c r="F1190" i="39"/>
  <c r="F1189" i="39"/>
  <c r="F1188" i="39"/>
  <c r="F1187" i="39"/>
  <c r="F1186" i="39"/>
  <c r="F1185" i="39"/>
  <c r="F1184" i="39"/>
  <c r="F1183" i="39"/>
  <c r="F1182" i="39"/>
  <c r="F1181" i="39"/>
  <c r="F1180" i="39"/>
  <c r="F1179" i="39"/>
  <c r="F1175" i="39"/>
  <c r="F1174" i="39"/>
  <c r="F1173" i="39"/>
  <c r="F1170" i="39"/>
  <c r="F1169" i="39"/>
  <c r="F1166" i="39"/>
  <c r="F1165" i="39"/>
  <c r="F1164" i="39"/>
  <c r="F1163" i="39"/>
  <c r="F1160" i="39"/>
  <c r="F1159" i="39"/>
  <c r="F1158" i="39"/>
  <c r="F1157" i="39"/>
  <c r="F1156" i="39"/>
  <c r="F1155" i="39"/>
  <c r="F1154" i="39"/>
  <c r="F1153" i="39"/>
  <c r="F1152" i="39"/>
  <c r="F1151" i="39"/>
  <c r="F1150" i="39"/>
  <c r="F1149" i="39"/>
  <c r="F1146" i="39"/>
  <c r="F1145" i="39"/>
  <c r="F1144" i="39"/>
  <c r="F1143" i="39"/>
  <c r="F1140" i="39"/>
  <c r="F1139" i="39"/>
  <c r="F1132" i="39"/>
  <c r="F1131" i="39"/>
  <c r="F1127" i="39"/>
  <c r="F1124" i="39"/>
  <c r="F1123" i="39"/>
  <c r="F1122" i="39"/>
  <c r="F1119" i="39"/>
  <c r="F1118" i="39"/>
  <c r="F1117" i="39"/>
  <c r="F1116" i="39"/>
  <c r="F1113" i="39"/>
  <c r="F1112" i="39"/>
  <c r="F1111" i="39"/>
  <c r="F1108" i="39"/>
  <c r="F1100" i="39"/>
  <c r="F1097" i="39"/>
  <c r="F1096" i="39"/>
  <c r="F1092" i="39"/>
  <c r="F1091" i="39"/>
  <c r="F1088" i="39"/>
  <c r="F1087" i="39"/>
  <c r="F1086" i="39"/>
  <c r="F1083" i="39"/>
  <c r="F1082" i="39"/>
  <c r="F1081" i="39"/>
  <c r="F1078" i="39"/>
  <c r="F1072" i="39"/>
  <c r="F1071" i="39"/>
  <c r="F1070" i="39"/>
  <c r="F1066" i="39"/>
  <c r="F1063" i="39"/>
  <c r="F1060" i="39"/>
  <c r="F1057" i="39"/>
  <c r="F1056" i="39"/>
  <c r="F1055" i="39"/>
  <c r="F1052" i="39"/>
  <c r="F1042" i="39"/>
  <c r="F1039" i="39"/>
  <c r="F1038" i="39"/>
  <c r="F1035" i="39"/>
  <c r="F1032" i="39"/>
  <c r="F1031" i="39"/>
  <c r="F1028" i="39"/>
  <c r="F1027" i="39"/>
  <c r="F1026" i="39"/>
  <c r="F1023" i="39"/>
  <c r="F1022" i="39"/>
  <c r="F1021" i="39"/>
  <c r="F1018" i="39"/>
  <c r="F1012" i="39"/>
  <c r="F1011" i="39"/>
  <c r="F1010" i="39"/>
  <c r="F1009" i="39"/>
  <c r="F1008" i="39"/>
  <c r="F1005" i="39"/>
  <c r="F1002" i="39"/>
  <c r="F999" i="39"/>
  <c r="F996" i="39"/>
  <c r="F995" i="39"/>
  <c r="F994" i="39"/>
  <c r="F991" i="39"/>
  <c r="F990" i="39"/>
  <c r="F989" i="39"/>
  <c r="F986" i="39"/>
  <c r="F978" i="39"/>
  <c r="F977" i="39"/>
  <c r="F976" i="39"/>
  <c r="F975" i="39"/>
  <c r="F974" i="39"/>
  <c r="F973" i="39"/>
  <c r="F972" i="39"/>
  <c r="F971" i="39"/>
  <c r="F970" i="39"/>
  <c r="F969" i="39"/>
  <c r="F968" i="39"/>
  <c r="F967" i="39"/>
  <c r="F964" i="39"/>
  <c r="F961" i="39"/>
  <c r="F960" i="39"/>
  <c r="F959" i="39"/>
  <c r="F958" i="39"/>
  <c r="F957" i="39"/>
  <c r="F956" i="39"/>
  <c r="F955" i="39"/>
  <c r="F954" i="39"/>
  <c r="F953" i="39"/>
  <c r="F950" i="39"/>
  <c r="F942" i="39"/>
  <c r="F940" i="39"/>
  <c r="F937" i="39"/>
  <c r="F934" i="39"/>
  <c r="F933" i="39"/>
  <c r="F932" i="39"/>
  <c r="F931" i="39"/>
  <c r="F930" i="39"/>
  <c r="F927" i="39"/>
  <c r="F922" i="39"/>
  <c r="F919" i="39"/>
  <c r="F918" i="39"/>
  <c r="F917" i="39"/>
  <c r="F916" i="39"/>
  <c r="F913" i="39"/>
  <c r="F906" i="39"/>
  <c r="F905" i="39"/>
  <c r="F904" i="39"/>
  <c r="F903" i="39"/>
  <c r="F902" i="39"/>
  <c r="F901" i="39"/>
  <c r="F900" i="39"/>
  <c r="F895" i="39"/>
  <c r="F893" i="39"/>
  <c r="F892" i="39"/>
  <c r="F891" i="39"/>
  <c r="F888" i="39"/>
  <c r="F887" i="39"/>
  <c r="F884" i="39"/>
  <c r="F883" i="39"/>
  <c r="F880" i="39"/>
  <c r="F879" i="39"/>
  <c r="F878" i="39"/>
  <c r="F877" i="39"/>
  <c r="F876" i="39"/>
  <c r="F873" i="39"/>
  <c r="F1459" i="39"/>
  <c r="F1461" i="39"/>
  <c r="F1460" i="39"/>
  <c r="F863" i="39"/>
  <c r="F862" i="39"/>
  <c r="F861" i="39"/>
  <c r="F854" i="39"/>
  <c r="F853" i="39"/>
  <c r="F852" i="39"/>
  <c r="F851" i="39"/>
  <c r="F850" i="39"/>
  <c r="F849" i="39"/>
  <c r="F846" i="39"/>
  <c r="F845" i="39"/>
  <c r="F844" i="39"/>
  <c r="F843" i="39"/>
  <c r="F842" i="39"/>
  <c r="F841" i="39"/>
  <c r="F840" i="39"/>
  <c r="F839" i="39"/>
  <c r="F838" i="39"/>
  <c r="F837" i="39"/>
  <c r="F836" i="39"/>
  <c r="F835" i="39"/>
  <c r="F832" i="39"/>
  <c r="F831" i="39"/>
  <c r="F830" i="39"/>
  <c r="F829" i="39"/>
  <c r="F828" i="39"/>
  <c r="F827" i="39"/>
  <c r="F824" i="39"/>
  <c r="F823" i="39"/>
  <c r="F822" i="39"/>
  <c r="F821" i="39"/>
  <c r="F820" i="39"/>
  <c r="F819" i="39"/>
  <c r="F816" i="39"/>
  <c r="F815" i="39"/>
  <c r="F814" i="39"/>
  <c r="F813" i="39"/>
  <c r="F812" i="39"/>
  <c r="F811" i="39"/>
  <c r="F810" i="39"/>
  <c r="F804" i="39"/>
  <c r="F803" i="39"/>
  <c r="F802" i="39"/>
  <c r="F801" i="39"/>
  <c r="F798" i="39"/>
  <c r="F797" i="39"/>
  <c r="F796" i="39"/>
  <c r="F795" i="39"/>
  <c r="F792" i="39"/>
  <c r="F791" i="39"/>
  <c r="F790" i="39"/>
  <c r="F789" i="39"/>
  <c r="F788" i="39"/>
  <c r="F787" i="39"/>
  <c r="F784" i="39"/>
  <c r="F783" i="39"/>
  <c r="F780" i="39"/>
  <c r="F779" i="39"/>
  <c r="F778" i="39"/>
  <c r="F777" i="39"/>
  <c r="F776" i="39"/>
  <c r="F775" i="39"/>
  <c r="F774" i="39"/>
  <c r="F773" i="39"/>
  <c r="F772" i="39"/>
  <c r="F771" i="39"/>
  <c r="F768" i="39"/>
  <c r="F767" i="39"/>
  <c r="F766" i="39"/>
  <c r="F765" i="39"/>
  <c r="F764" i="39"/>
  <c r="F763" i="39"/>
  <c r="F762" i="39"/>
  <c r="F761" i="39"/>
  <c r="F758" i="39"/>
  <c r="F757" i="39"/>
  <c r="F754" i="39"/>
  <c r="F753" i="39"/>
  <c r="F752" i="39"/>
  <c r="F751" i="39"/>
  <c r="F750" i="39"/>
  <c r="F749" i="39"/>
  <c r="F746" i="39"/>
  <c r="F745" i="39"/>
  <c r="F744" i="39"/>
  <c r="F743" i="39"/>
  <c r="F741" i="39"/>
  <c r="F735" i="39"/>
  <c r="F733" i="39"/>
  <c r="F730" i="39"/>
  <c r="F729" i="39"/>
  <c r="F728" i="39"/>
  <c r="F725" i="39"/>
  <c r="F724" i="39"/>
  <c r="F723" i="39"/>
  <c r="F722" i="39"/>
  <c r="F721" i="39"/>
  <c r="F720" i="39"/>
  <c r="F719" i="39"/>
  <c r="F718" i="39"/>
  <c r="F717" i="39"/>
  <c r="F716" i="39"/>
  <c r="F715" i="39"/>
  <c r="F714" i="39"/>
  <c r="F713" i="39"/>
  <c r="F712" i="39"/>
  <c r="F711" i="39"/>
  <c r="F710" i="39"/>
  <c r="F709" i="39"/>
  <c r="F706" i="39"/>
  <c r="F705" i="39"/>
  <c r="F704" i="39"/>
  <c r="F703" i="39"/>
  <c r="F702" i="39"/>
  <c r="F701" i="39"/>
  <c r="F700" i="39"/>
  <c r="F699" i="39"/>
  <c r="F698" i="39"/>
  <c r="F697" i="39"/>
  <c r="F696" i="39"/>
  <c r="F695" i="39"/>
  <c r="F694" i="39"/>
  <c r="F691" i="39"/>
  <c r="F690" i="39"/>
  <c r="F689" i="39"/>
  <c r="F686" i="39"/>
  <c r="F685" i="39"/>
  <c r="F684" i="39"/>
  <c r="F683" i="39"/>
  <c r="F682" i="39"/>
  <c r="F681" i="39"/>
  <c r="F680" i="39"/>
  <c r="F677" i="39"/>
  <c r="F676" i="39"/>
  <c r="F675" i="39"/>
  <c r="F672" i="39"/>
  <c r="F667" i="39"/>
  <c r="F666" i="39"/>
  <c r="F665" i="39"/>
  <c r="F664" i="39"/>
  <c r="F663" i="39"/>
  <c r="F660" i="39"/>
  <c r="F659" i="39"/>
  <c r="F658" i="39"/>
  <c r="F657" i="39"/>
  <c r="F654" i="39"/>
  <c r="F653" i="39"/>
  <c r="F652" i="39"/>
  <c r="F649" i="39"/>
  <c r="F648" i="39"/>
  <c r="F647" i="39"/>
  <c r="F646" i="39"/>
  <c r="F643" i="39"/>
  <c r="F642" i="39"/>
  <c r="F641" i="39"/>
  <c r="F640" i="39"/>
  <c r="F639" i="39"/>
  <c r="F638" i="39"/>
  <c r="F635" i="39"/>
  <c r="F634" i="39"/>
  <c r="F633" i="39"/>
  <c r="F632" i="39"/>
  <c r="F631" i="39"/>
  <c r="F630" i="39"/>
  <c r="F629" i="39"/>
  <c r="F628" i="39"/>
  <c r="F627" i="39"/>
  <c r="F626" i="39"/>
  <c r="F625" i="39"/>
  <c r="F624" i="39"/>
  <c r="F623" i="39"/>
  <c r="F622" i="39"/>
  <c r="F621" i="39"/>
  <c r="F620" i="39"/>
  <c r="F619" i="39"/>
  <c r="F618" i="39"/>
  <c r="F616" i="39"/>
  <c r="F615" i="39"/>
  <c r="F614" i="39"/>
  <c r="F613" i="39"/>
  <c r="F612" i="39"/>
  <c r="F611" i="39"/>
  <c r="F610" i="39"/>
  <c r="F609" i="39"/>
  <c r="F608" i="39"/>
  <c r="F607" i="39"/>
  <c r="F604" i="39"/>
  <c r="F603" i="39"/>
  <c r="F602" i="39"/>
  <c r="F601" i="39"/>
  <c r="F598" i="39"/>
  <c r="F597" i="39"/>
  <c r="F594" i="39"/>
  <c r="F593" i="39"/>
  <c r="F592" i="39"/>
  <c r="F591" i="39"/>
  <c r="F590" i="39"/>
  <c r="F589" i="39"/>
  <c r="F586" i="39"/>
  <c r="F585" i="39"/>
  <c r="F584" i="39"/>
  <c r="F581" i="39"/>
  <c r="F575" i="39"/>
  <c r="F573" i="39"/>
  <c r="F572" i="39"/>
  <c r="F571" i="39"/>
  <c r="F570" i="39"/>
  <c r="F567" i="39"/>
  <c r="F566" i="39"/>
  <c r="F565" i="39"/>
  <c r="F564" i="39"/>
  <c r="F563" i="39"/>
  <c r="F562" i="39"/>
  <c r="F561" i="39"/>
  <c r="F560" i="39"/>
  <c r="F559" i="39"/>
  <c r="F558" i="39"/>
  <c r="F557" i="39"/>
  <c r="F556" i="39"/>
  <c r="F555" i="39"/>
  <c r="F552" i="39"/>
  <c r="F551" i="39"/>
  <c r="F548" i="39"/>
  <c r="F547" i="39"/>
  <c r="F546" i="39"/>
  <c r="F543" i="39"/>
  <c r="F541" i="39"/>
  <c r="F539" i="39"/>
  <c r="F538" i="39"/>
  <c r="F537" i="39"/>
  <c r="F536" i="39"/>
  <c r="F535" i="39"/>
  <c r="F534" i="39"/>
  <c r="F533" i="39"/>
  <c r="F532" i="39"/>
  <c r="F531" i="39"/>
  <c r="F530" i="39"/>
  <c r="F529" i="39"/>
  <c r="F526" i="39"/>
  <c r="F525" i="39"/>
  <c r="F522" i="39"/>
  <c r="F521" i="39"/>
  <c r="F520" i="39"/>
  <c r="F519" i="39"/>
  <c r="F518" i="39"/>
  <c r="F517" i="39"/>
  <c r="F516" i="39"/>
  <c r="F513" i="39"/>
  <c r="F511" i="39"/>
  <c r="F505" i="39"/>
  <c r="F504" i="39"/>
  <c r="F503" i="39"/>
  <c r="F502" i="39"/>
  <c r="F501" i="39"/>
  <c r="F500" i="39"/>
  <c r="F499" i="39"/>
  <c r="F496" i="39"/>
  <c r="F495" i="39"/>
  <c r="F494" i="39"/>
  <c r="F493" i="39"/>
  <c r="F490" i="39"/>
  <c r="F489" i="39"/>
  <c r="F488" i="39"/>
  <c r="F487" i="39"/>
  <c r="F484" i="39"/>
  <c r="F483" i="39"/>
  <c r="F482" i="39"/>
  <c r="F481" i="39"/>
  <c r="F478" i="39"/>
  <c r="F477" i="39"/>
  <c r="F476" i="39"/>
  <c r="F475" i="39"/>
  <c r="F474" i="39"/>
  <c r="F473" i="39"/>
  <c r="F472" i="39"/>
  <c r="F471" i="39"/>
  <c r="F470" i="39"/>
  <c r="F469" i="39"/>
  <c r="F468" i="39"/>
  <c r="F467" i="39"/>
  <c r="F466" i="39"/>
  <c r="F465" i="39"/>
  <c r="F462" i="39"/>
  <c r="F461" i="39"/>
  <c r="F460" i="39"/>
  <c r="F459" i="39"/>
  <c r="F458" i="39"/>
  <c r="F457" i="39"/>
  <c r="F456" i="39"/>
  <c r="F455" i="39"/>
  <c r="F454" i="39"/>
  <c r="F453" i="39"/>
  <c r="F452" i="39"/>
  <c r="F451" i="39"/>
  <c r="F450" i="39"/>
  <c r="F449" i="39"/>
  <c r="F448" i="39"/>
  <c r="F447" i="39"/>
  <c r="F446" i="39"/>
  <c r="F445" i="39"/>
  <c r="F444" i="39"/>
  <c r="F443" i="39"/>
  <c r="F442" i="39"/>
  <c r="F441" i="39"/>
  <c r="F440" i="39"/>
  <c r="F439" i="39"/>
  <c r="F436" i="39"/>
  <c r="F435" i="39"/>
  <c r="F432" i="39"/>
  <c r="F431" i="39"/>
  <c r="F430" i="39"/>
  <c r="F429" i="39"/>
  <c r="F428" i="39"/>
  <c r="F427" i="39"/>
  <c r="F426" i="39"/>
  <c r="F423" i="39"/>
  <c r="F422" i="39"/>
  <c r="F421" i="39"/>
  <c r="F420" i="39"/>
  <c r="F419" i="39"/>
  <c r="F418" i="39"/>
  <c r="F417" i="39"/>
  <c r="F414" i="39"/>
  <c r="F413" i="39"/>
  <c r="F410" i="39"/>
  <c r="F409" i="39"/>
  <c r="F408" i="39"/>
  <c r="F407" i="39"/>
  <c r="F406" i="39"/>
  <c r="F405" i="39"/>
  <c r="F404" i="39"/>
  <c r="F403" i="39"/>
  <c r="F400" i="39"/>
  <c r="F399" i="39"/>
  <c r="F398" i="39"/>
  <c r="F397" i="39"/>
  <c r="F394" i="39"/>
  <c r="F393" i="39"/>
  <c r="F392" i="39"/>
  <c r="F391" i="39"/>
  <c r="F390" i="39"/>
  <c r="F389" i="39"/>
  <c r="F388" i="39"/>
  <c r="F387" i="39"/>
  <c r="F386" i="39"/>
  <c r="F385" i="39"/>
  <c r="F384" i="39"/>
  <c r="F383" i="39"/>
  <c r="F382" i="39"/>
  <c r="F379" i="39"/>
  <c r="F378" i="39"/>
  <c r="F377" i="39"/>
  <c r="F376" i="39"/>
  <c r="F373" i="39"/>
  <c r="F372" i="39"/>
  <c r="F371" i="39"/>
  <c r="F370" i="39"/>
  <c r="F369" i="39"/>
  <c r="F362" i="39"/>
  <c r="F361" i="39"/>
  <c r="F357" i="39"/>
  <c r="F356" i="39"/>
  <c r="F355" i="39"/>
  <c r="F354" i="39"/>
  <c r="F353" i="39"/>
  <c r="F350" i="39"/>
  <c r="F349" i="39"/>
  <c r="F348" i="39"/>
  <c r="F347" i="39"/>
  <c r="F346" i="39"/>
  <c r="F345" i="39"/>
  <c r="F344" i="39"/>
  <c r="F342" i="39"/>
  <c r="F339" i="39"/>
  <c r="F338" i="39"/>
  <c r="F337" i="39"/>
  <c r="F336" i="39"/>
  <c r="F333" i="39"/>
  <c r="F332" i="39"/>
  <c r="F331" i="39"/>
  <c r="F328" i="39"/>
  <c r="F320" i="39"/>
  <c r="F319" i="39"/>
  <c r="F316" i="39"/>
  <c r="F315" i="39"/>
  <c r="F312" i="39"/>
  <c r="F311" i="39"/>
  <c r="F310" i="39"/>
  <c r="F309" i="39"/>
  <c r="F308" i="39"/>
  <c r="F305" i="39"/>
  <c r="F304" i="39"/>
  <c r="F301" i="39"/>
  <c r="F300" i="39"/>
  <c r="F299" i="39"/>
  <c r="F296" i="39"/>
  <c r="F295" i="39"/>
  <c r="F294" i="39"/>
  <c r="F291" i="39"/>
  <c r="F285" i="39"/>
  <c r="F284" i="39"/>
  <c r="F283" i="39"/>
  <c r="F280" i="39"/>
  <c r="F279" i="39"/>
  <c r="F276" i="39"/>
  <c r="F273" i="39"/>
  <c r="F272" i="39"/>
  <c r="F271" i="39"/>
  <c r="F270" i="39"/>
  <c r="F267" i="39"/>
  <c r="F264" i="39"/>
  <c r="F261" i="39"/>
  <c r="F260" i="39"/>
  <c r="F259" i="39"/>
  <c r="F258" i="39"/>
  <c r="F255" i="39"/>
  <c r="F245" i="39"/>
  <c r="F244" i="39"/>
  <c r="F241" i="39"/>
  <c r="F240" i="39"/>
  <c r="F237" i="39"/>
  <c r="F236" i="39"/>
  <c r="F235" i="39"/>
  <c r="F234" i="39"/>
  <c r="F233" i="39"/>
  <c r="F230" i="39"/>
  <c r="F229" i="39"/>
  <c r="F226" i="39"/>
  <c r="F225" i="39"/>
  <c r="F224" i="39"/>
  <c r="F221" i="39"/>
  <c r="F220" i="39"/>
  <c r="F219" i="39"/>
  <c r="F216" i="39"/>
  <c r="F210" i="39"/>
  <c r="F209" i="39"/>
  <c r="F208" i="39"/>
  <c r="F207" i="39"/>
  <c r="F206" i="39"/>
  <c r="F203" i="39"/>
  <c r="F202" i="39"/>
  <c r="F201" i="39"/>
  <c r="F198" i="39"/>
  <c r="F195" i="39"/>
  <c r="F194" i="39"/>
  <c r="F193" i="39"/>
  <c r="F192" i="39"/>
  <c r="F189" i="39"/>
  <c r="F186" i="39"/>
  <c r="F185" i="39"/>
  <c r="F184" i="39"/>
  <c r="F181" i="39"/>
  <c r="F180" i="39"/>
  <c r="F179" i="39"/>
  <c r="F178" i="39"/>
  <c r="F175" i="39"/>
  <c r="F167" i="39"/>
  <c r="F165" i="39"/>
  <c r="F163" i="39"/>
  <c r="F161" i="39"/>
  <c r="F160" i="39"/>
  <c r="F159" i="39"/>
  <c r="F158" i="39"/>
  <c r="F157" i="39"/>
  <c r="F156" i="39"/>
  <c r="F155" i="39"/>
  <c r="F154" i="39"/>
  <c r="F153" i="39"/>
  <c r="F152" i="39"/>
  <c r="F151" i="39"/>
  <c r="F150" i="39"/>
  <c r="F149" i="39"/>
  <c r="F148" i="39"/>
  <c r="F147" i="39"/>
  <c r="F146" i="39"/>
  <c r="F145" i="39"/>
  <c r="F144" i="39"/>
  <c r="F143" i="39"/>
  <c r="F142" i="39"/>
  <c r="F141" i="39"/>
  <c r="F140" i="39"/>
  <c r="F139" i="39"/>
  <c r="F138" i="39"/>
  <c r="F137" i="39"/>
  <c r="F136" i="39"/>
  <c r="F135" i="39"/>
  <c r="F134" i="39"/>
  <c r="F133" i="39"/>
  <c r="F132" i="39"/>
  <c r="F131" i="39"/>
  <c r="F130" i="39"/>
  <c r="F129" i="39"/>
  <c r="F128" i="39"/>
  <c r="F127" i="39"/>
  <c r="F126" i="39"/>
  <c r="F123" i="39"/>
  <c r="F120" i="39"/>
  <c r="F119" i="39"/>
  <c r="F118" i="39"/>
  <c r="F117" i="39"/>
  <c r="F116" i="39"/>
  <c r="F115" i="39"/>
  <c r="F114" i="39"/>
  <c r="F113" i="39"/>
  <c r="F112" i="39"/>
  <c r="F109" i="39"/>
  <c r="F101" i="39"/>
  <c r="F99" i="39"/>
  <c r="F96" i="39"/>
  <c r="F93" i="39"/>
  <c r="F92" i="39"/>
  <c r="F91" i="39"/>
  <c r="F90" i="39"/>
  <c r="F89" i="39"/>
  <c r="F86" i="39"/>
  <c r="F81" i="39"/>
  <c r="F78" i="39"/>
  <c r="F77" i="39"/>
  <c r="F76" i="39"/>
  <c r="F75" i="39"/>
  <c r="F74" i="39"/>
  <c r="F71" i="39"/>
  <c r="F64" i="39"/>
  <c r="F63" i="39"/>
  <c r="F62" i="39"/>
  <c r="F61" i="39"/>
  <c r="F60" i="39"/>
  <c r="F59" i="39"/>
  <c r="F58" i="39"/>
  <c r="F57" i="39"/>
  <c r="F56" i="39"/>
  <c r="F55" i="39"/>
  <c r="F54" i="39"/>
  <c r="F53" i="39"/>
  <c r="F52" i="39"/>
  <c r="F50" i="39"/>
  <c r="F45" i="39"/>
  <c r="F43" i="39"/>
  <c r="F41" i="39"/>
  <c r="F40" i="39"/>
  <c r="F39" i="39"/>
  <c r="F36" i="39"/>
  <c r="F35" i="39"/>
  <c r="F32" i="39"/>
  <c r="F31" i="39"/>
  <c r="F30" i="39"/>
  <c r="F27" i="39"/>
  <c r="F26" i="39"/>
  <c r="F25" i="39"/>
  <c r="F24" i="39"/>
  <c r="F23" i="39"/>
  <c r="F22" i="39"/>
  <c r="F21" i="39"/>
  <c r="F18" i="39"/>
  <c r="F890" i="39" l="1"/>
  <c r="F889" i="39"/>
  <c r="F896" i="39" s="1"/>
  <c r="F979" i="39"/>
  <c r="F943" i="39"/>
  <c r="F1133" i="39"/>
  <c r="F1248" i="39"/>
  <c r="F1013" i="39"/>
  <c r="F1073" i="39"/>
  <c r="F1101" i="39"/>
  <c r="F907" i="39"/>
  <c r="F1307" i="39"/>
  <c r="F1043" i="39"/>
  <c r="F1208" i="39"/>
  <c r="F1431" i="39"/>
  <c r="F1438" i="39"/>
  <c r="F1404" i="39"/>
  <c r="F864" i="39"/>
  <c r="F211" i="39"/>
  <c r="F286" i="39"/>
  <c r="F47" i="39"/>
  <c r="F65" i="39"/>
  <c r="F506" i="39"/>
  <c r="F668" i="39"/>
  <c r="F856" i="39"/>
  <c r="F102" i="39"/>
  <c r="F246" i="39"/>
  <c r="F321" i="39"/>
  <c r="F736" i="39"/>
  <c r="F168" i="39"/>
  <c r="F38" i="39"/>
  <c r="F363" i="39"/>
  <c r="F37" i="39"/>
  <c r="F576" i="39"/>
  <c r="F805" i="39"/>
  <c r="F1103" i="39" l="1"/>
  <c r="F1045" i="39"/>
  <c r="F248" i="39"/>
  <c r="F323" i="39"/>
  <c r="F48" i="39"/>
  <c r="F858" i="39" l="1"/>
  <c r="F866" i="39" s="1"/>
  <c r="D717" i="32" l="1"/>
  <c r="D704" i="32"/>
  <c r="D703" i="32"/>
  <c r="D702" i="32"/>
  <c r="D699" i="32"/>
  <c r="D697" i="32"/>
  <c r="D687" i="32"/>
  <c r="D686" i="32"/>
  <c r="D681" i="32"/>
  <c r="D680" i="32"/>
  <c r="D658" i="32"/>
  <c r="D650" i="32"/>
  <c r="D649" i="32"/>
  <c r="D648" i="32"/>
  <c r="D647" i="32"/>
  <c r="D646" i="32"/>
  <c r="D645" i="32"/>
  <c r="D644" i="32"/>
  <c r="D642" i="32"/>
  <c r="D641" i="32"/>
  <c r="D640" i="32"/>
  <c r="D639" i="32"/>
  <c r="D637" i="32"/>
  <c r="D607" i="32"/>
  <c r="D606" i="32"/>
  <c r="D604" i="32"/>
  <c r="D589" i="32"/>
  <c r="D580" i="32"/>
  <c r="D579" i="32"/>
  <c r="D575" i="32"/>
  <c r="D573" i="32"/>
  <c r="D574" i="32" s="1"/>
  <c r="D572" i="32"/>
  <c r="D571" i="32"/>
  <c r="D570" i="32"/>
  <c r="D526" i="32"/>
  <c r="D525" i="32"/>
  <c r="D524" i="32"/>
  <c r="D519" i="32"/>
  <c r="D516" i="32"/>
  <c r="D515" i="32"/>
  <c r="D514" i="32"/>
  <c r="D507" i="32"/>
  <c r="D497" i="32"/>
  <c r="D496" i="32"/>
  <c r="D495" i="32"/>
  <c r="D493" i="32"/>
  <c r="D486" i="32"/>
  <c r="D185" i="32" s="1"/>
  <c r="D484" i="32"/>
  <c r="D483" i="32"/>
  <c r="D475" i="32"/>
  <c r="D462" i="32"/>
  <c r="D456" i="32"/>
  <c r="D381" i="32"/>
  <c r="D380" i="32"/>
  <c r="D368" i="32"/>
  <c r="D358" i="32"/>
  <c r="D357" i="32"/>
  <c r="D355" i="32"/>
  <c r="D354" i="32"/>
  <c r="D353" i="32"/>
  <c r="D349" i="32"/>
  <c r="D347" i="32"/>
  <c r="D346" i="32"/>
  <c r="D345" i="32"/>
  <c r="D344" i="32"/>
  <c r="D343" i="32"/>
  <c r="D340" i="32"/>
  <c r="D337" i="32"/>
  <c r="D335" i="32"/>
  <c r="D334" i="32"/>
  <c r="D332" i="32"/>
  <c r="D330" i="32"/>
  <c r="D329" i="32"/>
  <c r="D328" i="32"/>
  <c r="D327" i="32"/>
  <c r="D326" i="32"/>
  <c r="F12851" i="31" s="1"/>
  <c r="G12851" i="31" s="1"/>
  <c r="D321" i="32"/>
  <c r="D320" i="32"/>
  <c r="D317" i="32"/>
  <c r="D312" i="32"/>
  <c r="D311" i="32"/>
  <c r="D301" i="32"/>
  <c r="D300" i="32"/>
  <c r="D299" i="32"/>
  <c r="D298" i="32"/>
  <c r="D291" i="32"/>
  <c r="D290" i="32"/>
  <c r="D229" i="32"/>
  <c r="D228" i="32"/>
  <c r="D225" i="32"/>
  <c r="D219" i="32"/>
  <c r="D195" i="32"/>
  <c r="D194" i="32"/>
  <c r="D193" i="32"/>
  <c r="D192" i="32"/>
  <c r="D190" i="32"/>
  <c r="D188" i="32"/>
  <c r="D182" i="32"/>
  <c r="D176" i="32"/>
  <c r="D175" i="32"/>
  <c r="D177" i="32" s="1"/>
  <c r="D148" i="32"/>
  <c r="D146" i="32"/>
  <c r="D144" i="32"/>
  <c r="D135" i="32"/>
  <c r="D134" i="32"/>
  <c r="D129" i="32"/>
  <c r="D115" i="32"/>
  <c r="D111" i="32"/>
  <c r="D110" i="32"/>
  <c r="D109" i="32"/>
  <c r="D108" i="32"/>
  <c r="D100" i="32"/>
  <c r="D96" i="32"/>
  <c r="D91" i="32"/>
  <c r="D89" i="32"/>
  <c r="D88" i="32"/>
  <c r="D87" i="32"/>
  <c r="D90" i="32" s="1"/>
  <c r="D86" i="32"/>
  <c r="D67" i="32"/>
  <c r="D50" i="32"/>
  <c r="D47" i="32"/>
  <c r="D37" i="32"/>
  <c r="D18" i="32"/>
  <c r="D9" i="32"/>
  <c r="F15081" i="31" s="1"/>
  <c r="D8" i="32"/>
  <c r="F15118" i="31"/>
  <c r="E15118" i="31"/>
  <c r="F15114" i="31"/>
  <c r="I15114" i="31" s="1"/>
  <c r="I15115" i="31" s="1"/>
  <c r="I15123" i="31" s="1"/>
  <c r="E15114" i="31"/>
  <c r="F15110" i="31"/>
  <c r="D15110" i="31"/>
  <c r="F15109" i="31"/>
  <c r="G15109" i="31" s="1"/>
  <c r="E15109" i="31"/>
  <c r="D15109" i="31"/>
  <c r="F15105" i="31"/>
  <c r="I15105" i="31" s="1"/>
  <c r="I15106" i="31" s="1"/>
  <c r="I15121" i="31" s="1"/>
  <c r="E15105" i="31"/>
  <c r="E15102" i="31"/>
  <c r="E15127" i="31" s="1"/>
  <c r="C15102" i="31"/>
  <c r="F15090" i="31"/>
  <c r="I15090" i="31" s="1"/>
  <c r="I15091" i="31" s="1"/>
  <c r="I15096" i="31" s="1"/>
  <c r="E15090" i="31"/>
  <c r="I15086" i="31"/>
  <c r="F15086" i="31"/>
  <c r="G15086" i="31" s="1"/>
  <c r="E15086" i="31"/>
  <c r="F15085" i="31"/>
  <c r="G15085" i="31" s="1"/>
  <c r="E15085" i="31"/>
  <c r="E15081" i="31"/>
  <c r="F15080" i="31"/>
  <c r="G15080" i="31" s="1"/>
  <c r="E15080" i="31"/>
  <c r="F15079" i="31"/>
  <c r="G15079" i="31" s="1"/>
  <c r="E15079" i="31"/>
  <c r="F15075" i="31"/>
  <c r="I15075" i="31" s="1"/>
  <c r="E15075" i="31"/>
  <c r="F15074" i="31"/>
  <c r="I15074" i="31" s="1"/>
  <c r="E15074" i="31"/>
  <c r="F15073" i="31"/>
  <c r="I15073" i="31" s="1"/>
  <c r="E15073" i="31"/>
  <c r="F15072" i="31"/>
  <c r="I15072" i="31" s="1"/>
  <c r="E15072" i="31"/>
  <c r="E15069" i="31"/>
  <c r="E15099" i="31" s="1"/>
  <c r="C15069" i="31"/>
  <c r="F15057" i="31"/>
  <c r="I15057" i="31" s="1"/>
  <c r="I15058" i="31" s="1"/>
  <c r="I15063" i="31" s="1"/>
  <c r="E15057" i="31"/>
  <c r="F15053" i="31"/>
  <c r="I15053" i="31" s="1"/>
  <c r="I15054" i="31" s="1"/>
  <c r="I15062" i="31" s="1"/>
  <c r="E15053" i="31"/>
  <c r="F15049" i="31"/>
  <c r="G15049" i="31" s="1"/>
  <c r="E15049" i="31"/>
  <c r="F15045" i="31"/>
  <c r="I15045" i="31" s="1"/>
  <c r="I15046" i="31" s="1"/>
  <c r="I15060" i="31" s="1"/>
  <c r="E15045" i="31"/>
  <c r="E15042" i="31"/>
  <c r="E15066" i="31" s="1"/>
  <c r="C15042" i="31"/>
  <c r="F15028" i="31"/>
  <c r="I15028" i="31" s="1"/>
  <c r="I15029" i="31" s="1"/>
  <c r="I15034" i="31" s="1"/>
  <c r="E15028" i="31"/>
  <c r="F15024" i="31"/>
  <c r="G15024" i="31" s="1"/>
  <c r="E15024" i="31"/>
  <c r="F15020" i="31"/>
  <c r="G15020" i="31" s="1"/>
  <c r="E15020" i="31"/>
  <c r="F15016" i="31"/>
  <c r="I15016" i="31" s="1"/>
  <c r="I15017" i="31" s="1"/>
  <c r="I15031" i="31" s="1"/>
  <c r="E15016" i="31"/>
  <c r="E15013" i="31"/>
  <c r="E15037" i="31" s="1"/>
  <c r="C15013" i="31"/>
  <c r="E15011" i="31"/>
  <c r="F15003" i="31"/>
  <c r="I15003" i="31" s="1"/>
  <c r="I15004" i="31" s="1"/>
  <c r="I15009" i="31" s="1"/>
  <c r="E15003" i="31"/>
  <c r="F14999" i="31"/>
  <c r="E14999" i="31"/>
  <c r="F14995" i="31"/>
  <c r="I14995" i="31" s="1"/>
  <c r="I14996" i="31" s="1"/>
  <c r="I15007" i="31" s="1"/>
  <c r="E14995" i="31"/>
  <c r="F14991" i="31"/>
  <c r="G14991" i="31" s="1"/>
  <c r="E14991" i="31"/>
  <c r="C14988" i="31"/>
  <c r="E14986" i="31"/>
  <c r="F14978" i="31"/>
  <c r="I14978" i="31" s="1"/>
  <c r="I14979" i="31" s="1"/>
  <c r="I14984" i="31" s="1"/>
  <c r="E14978" i="31"/>
  <c r="F14974" i="31"/>
  <c r="I14974" i="31" s="1"/>
  <c r="I14975" i="31" s="1"/>
  <c r="I14983" i="31" s="1"/>
  <c r="E14974" i="31"/>
  <c r="F14970" i="31"/>
  <c r="I14970" i="31" s="1"/>
  <c r="I14971" i="31" s="1"/>
  <c r="I14982" i="31" s="1"/>
  <c r="E14970" i="31"/>
  <c r="F14966" i="31"/>
  <c r="I14966" i="31" s="1"/>
  <c r="I14967" i="31" s="1"/>
  <c r="I14981" i="31" s="1"/>
  <c r="E14966" i="31"/>
  <c r="C14963" i="31"/>
  <c r="E14961" i="31"/>
  <c r="F14953" i="31"/>
  <c r="I14953" i="31" s="1"/>
  <c r="I14954" i="31" s="1"/>
  <c r="I14959" i="31" s="1"/>
  <c r="E14953" i="31"/>
  <c r="F14949" i="31"/>
  <c r="E14949" i="31"/>
  <c r="F14945" i="31"/>
  <c r="I14945" i="31" s="1"/>
  <c r="I14946" i="31" s="1"/>
  <c r="I14957" i="31" s="1"/>
  <c r="E14945" i="31"/>
  <c r="F14941" i="31"/>
  <c r="G14941" i="31" s="1"/>
  <c r="E14941" i="31"/>
  <c r="C14938" i="31"/>
  <c r="E14936" i="31"/>
  <c r="F14928" i="31"/>
  <c r="I14928" i="31" s="1"/>
  <c r="I14929" i="31" s="1"/>
  <c r="I14934" i="31" s="1"/>
  <c r="E14928" i="31"/>
  <c r="F14924" i="31"/>
  <c r="I14924" i="31" s="1"/>
  <c r="I14925" i="31" s="1"/>
  <c r="I14933" i="31" s="1"/>
  <c r="E14924" i="31"/>
  <c r="F14920" i="31"/>
  <c r="I14920" i="31" s="1"/>
  <c r="I14921" i="31" s="1"/>
  <c r="I14932" i="31" s="1"/>
  <c r="E14920" i="31"/>
  <c r="F14916" i="31"/>
  <c r="I14916" i="31" s="1"/>
  <c r="I14917" i="31" s="1"/>
  <c r="I14931" i="31" s="1"/>
  <c r="E14916" i="31"/>
  <c r="C14913" i="31"/>
  <c r="E14911" i="31"/>
  <c r="F14903" i="31"/>
  <c r="I14903" i="31" s="1"/>
  <c r="I14904" i="31" s="1"/>
  <c r="I14909" i="31" s="1"/>
  <c r="E14903" i="31"/>
  <c r="F14899" i="31"/>
  <c r="E14899" i="31"/>
  <c r="F14895" i="31"/>
  <c r="I14895" i="31" s="1"/>
  <c r="I14896" i="31" s="1"/>
  <c r="I14907" i="31" s="1"/>
  <c r="E14895" i="31"/>
  <c r="F14891" i="31"/>
  <c r="G14891" i="31" s="1"/>
  <c r="E14891" i="31"/>
  <c r="C14888" i="31"/>
  <c r="E14886" i="31"/>
  <c r="F14878" i="31"/>
  <c r="I14878" i="31" s="1"/>
  <c r="I14879" i="31" s="1"/>
  <c r="I14884" i="31" s="1"/>
  <c r="E14878" i="31"/>
  <c r="F14874" i="31"/>
  <c r="I14874" i="31" s="1"/>
  <c r="I14875" i="31" s="1"/>
  <c r="I14883" i="31" s="1"/>
  <c r="E14874" i="31"/>
  <c r="F14870" i="31"/>
  <c r="I14870" i="31" s="1"/>
  <c r="I14871" i="31" s="1"/>
  <c r="I14882" i="31" s="1"/>
  <c r="E14870" i="31"/>
  <c r="F14866" i="31"/>
  <c r="I14866" i="31" s="1"/>
  <c r="I14867" i="31" s="1"/>
  <c r="I14881" i="31" s="1"/>
  <c r="E14866" i="31"/>
  <c r="C14863" i="31"/>
  <c r="E14861" i="31"/>
  <c r="F14853" i="31"/>
  <c r="I14853" i="31" s="1"/>
  <c r="I14854" i="31" s="1"/>
  <c r="I14859" i="31" s="1"/>
  <c r="E14853" i="31"/>
  <c r="F14849" i="31"/>
  <c r="E14849" i="31"/>
  <c r="F14845" i="31"/>
  <c r="I14845" i="31" s="1"/>
  <c r="I14846" i="31" s="1"/>
  <c r="I14857" i="31" s="1"/>
  <c r="E14845" i="31"/>
  <c r="F14841" i="31"/>
  <c r="G14841" i="31" s="1"/>
  <c r="E14841" i="31"/>
  <c r="C14838" i="31"/>
  <c r="E14836" i="31"/>
  <c r="F14828" i="31"/>
  <c r="I14828" i="31" s="1"/>
  <c r="I14829" i="31" s="1"/>
  <c r="I14834" i="31" s="1"/>
  <c r="E14828" i="31"/>
  <c r="F14824" i="31"/>
  <c r="I14824" i="31" s="1"/>
  <c r="I14825" i="31" s="1"/>
  <c r="I14833" i="31" s="1"/>
  <c r="E14824" i="31"/>
  <c r="F14820" i="31"/>
  <c r="I14820" i="31" s="1"/>
  <c r="I14821" i="31" s="1"/>
  <c r="I14832" i="31" s="1"/>
  <c r="E14820" i="31"/>
  <c r="F14816" i="31"/>
  <c r="I14816" i="31" s="1"/>
  <c r="I14817" i="31" s="1"/>
  <c r="I14831" i="31" s="1"/>
  <c r="E14816" i="31"/>
  <c r="C14813" i="31"/>
  <c r="E14811" i="31"/>
  <c r="F14803" i="31"/>
  <c r="I14803" i="31" s="1"/>
  <c r="I14804" i="31" s="1"/>
  <c r="I14809" i="31" s="1"/>
  <c r="E14803" i="31"/>
  <c r="F14799" i="31"/>
  <c r="E14799" i="31"/>
  <c r="F14795" i="31"/>
  <c r="I14795" i="31" s="1"/>
  <c r="I14796" i="31" s="1"/>
  <c r="I14807" i="31" s="1"/>
  <c r="E14795" i="31"/>
  <c r="F14791" i="31"/>
  <c r="G14791" i="31" s="1"/>
  <c r="E14791" i="31"/>
  <c r="C14788" i="31"/>
  <c r="E14786" i="31"/>
  <c r="F14778" i="31"/>
  <c r="I14778" i="31" s="1"/>
  <c r="I14779" i="31" s="1"/>
  <c r="I14784" i="31" s="1"/>
  <c r="E14778" i="31"/>
  <c r="G14774" i="31"/>
  <c r="F14774" i="31"/>
  <c r="I14774" i="31" s="1"/>
  <c r="I14775" i="31" s="1"/>
  <c r="I14783" i="31" s="1"/>
  <c r="E14774" i="31"/>
  <c r="F14770" i="31"/>
  <c r="I14770" i="31" s="1"/>
  <c r="I14771" i="31" s="1"/>
  <c r="I14782" i="31" s="1"/>
  <c r="E14770" i="31"/>
  <c r="F14766" i="31"/>
  <c r="I14766" i="31" s="1"/>
  <c r="I14767" i="31" s="1"/>
  <c r="I14781" i="31" s="1"/>
  <c r="E14766" i="31"/>
  <c r="C14763" i="31"/>
  <c r="E14761" i="31"/>
  <c r="F14753" i="31"/>
  <c r="I14753" i="31" s="1"/>
  <c r="I14754" i="31" s="1"/>
  <c r="I14759" i="31" s="1"/>
  <c r="E14753" i="31"/>
  <c r="G14749" i="31"/>
  <c r="F14749" i="31"/>
  <c r="I14749" i="31" s="1"/>
  <c r="I14750" i="31" s="1"/>
  <c r="I14758" i="31" s="1"/>
  <c r="E14749" i="31"/>
  <c r="F14745" i="31"/>
  <c r="I14745" i="31" s="1"/>
  <c r="I14746" i="31" s="1"/>
  <c r="I14757" i="31" s="1"/>
  <c r="E14745" i="31"/>
  <c r="F14741" i="31"/>
  <c r="G14741" i="31" s="1"/>
  <c r="E14741" i="31"/>
  <c r="C14738" i="31"/>
  <c r="E14736" i="31"/>
  <c r="F14728" i="31"/>
  <c r="I14728" i="31" s="1"/>
  <c r="I14729" i="31" s="1"/>
  <c r="I14734" i="31" s="1"/>
  <c r="E14728" i="31"/>
  <c r="F14724" i="31"/>
  <c r="E14724" i="31"/>
  <c r="F14720" i="31"/>
  <c r="I14720" i="31" s="1"/>
  <c r="I14721" i="31" s="1"/>
  <c r="I14732" i="31" s="1"/>
  <c r="E14720" i="31"/>
  <c r="F14716" i="31"/>
  <c r="I14716" i="31" s="1"/>
  <c r="I14717" i="31" s="1"/>
  <c r="I14731" i="31" s="1"/>
  <c r="E14716" i="31"/>
  <c r="C14713" i="31"/>
  <c r="E14711" i="31"/>
  <c r="F14703" i="31"/>
  <c r="I14703" i="31" s="1"/>
  <c r="I14704" i="31" s="1"/>
  <c r="I14709" i="31" s="1"/>
  <c r="E14703" i="31"/>
  <c r="F14699" i="31"/>
  <c r="G14699" i="31" s="1"/>
  <c r="E14699" i="31"/>
  <c r="F14695" i="31"/>
  <c r="I14695" i="31" s="1"/>
  <c r="I14696" i="31" s="1"/>
  <c r="I14707" i="31" s="1"/>
  <c r="E14695" i="31"/>
  <c r="F14691" i="31"/>
  <c r="G14691" i="31" s="1"/>
  <c r="E14691" i="31"/>
  <c r="C14688" i="31"/>
  <c r="E14686" i="31"/>
  <c r="F14678" i="31"/>
  <c r="I14678" i="31" s="1"/>
  <c r="I14679" i="31" s="1"/>
  <c r="I14684" i="31" s="1"/>
  <c r="E14678" i="31"/>
  <c r="F14674" i="31"/>
  <c r="E14674" i="31"/>
  <c r="F14670" i="31"/>
  <c r="I14670" i="31" s="1"/>
  <c r="I14671" i="31" s="1"/>
  <c r="I14682" i="31" s="1"/>
  <c r="E14670" i="31"/>
  <c r="F14666" i="31"/>
  <c r="E14666" i="31"/>
  <c r="C14663" i="31"/>
  <c r="E14661" i="31"/>
  <c r="F14653" i="31"/>
  <c r="I14653" i="31" s="1"/>
  <c r="I14654" i="31" s="1"/>
  <c r="I14659" i="31" s="1"/>
  <c r="E14653" i="31"/>
  <c r="F14649" i="31"/>
  <c r="E14649" i="31"/>
  <c r="F14645" i="31"/>
  <c r="I14645" i="31" s="1"/>
  <c r="I14646" i="31" s="1"/>
  <c r="I14657" i="31" s="1"/>
  <c r="E14645" i="31"/>
  <c r="F14641" i="31"/>
  <c r="E14641" i="31"/>
  <c r="C14638" i="31"/>
  <c r="E14636" i="31"/>
  <c r="F14628" i="31"/>
  <c r="I14628" i="31" s="1"/>
  <c r="I14629" i="31" s="1"/>
  <c r="I14634" i="31" s="1"/>
  <c r="E14628" i="31"/>
  <c r="F14624" i="31"/>
  <c r="I14624" i="31" s="1"/>
  <c r="I14625" i="31" s="1"/>
  <c r="I14633" i="31" s="1"/>
  <c r="E14624" i="31"/>
  <c r="F14620" i="31"/>
  <c r="I14620" i="31" s="1"/>
  <c r="I14621" i="31" s="1"/>
  <c r="I14632" i="31" s="1"/>
  <c r="E14620" i="31"/>
  <c r="F14616" i="31"/>
  <c r="E14616" i="31"/>
  <c r="C14613" i="31"/>
  <c r="E14611" i="31"/>
  <c r="F14603" i="31"/>
  <c r="I14603" i="31" s="1"/>
  <c r="I14604" i="31" s="1"/>
  <c r="I14609" i="31" s="1"/>
  <c r="E14603" i="31"/>
  <c r="F14599" i="31"/>
  <c r="G14599" i="31" s="1"/>
  <c r="E14599" i="31"/>
  <c r="F14595" i="31"/>
  <c r="I14595" i="31" s="1"/>
  <c r="I14596" i="31" s="1"/>
  <c r="I14607" i="31" s="1"/>
  <c r="E14595" i="31"/>
  <c r="F14591" i="31"/>
  <c r="G14591" i="31" s="1"/>
  <c r="E14591" i="31"/>
  <c r="C14588" i="31"/>
  <c r="E14586" i="31"/>
  <c r="F14578" i="31"/>
  <c r="I14578" i="31" s="1"/>
  <c r="I14579" i="31" s="1"/>
  <c r="I14584" i="31" s="1"/>
  <c r="E14578" i="31"/>
  <c r="F14574" i="31"/>
  <c r="E14574" i="31"/>
  <c r="F14570" i="31"/>
  <c r="I14570" i="31" s="1"/>
  <c r="I14571" i="31" s="1"/>
  <c r="I14582" i="31" s="1"/>
  <c r="E14570" i="31"/>
  <c r="I14566" i="31"/>
  <c r="I14567" i="31" s="1"/>
  <c r="I14581" i="31" s="1"/>
  <c r="F14566" i="31"/>
  <c r="G14566" i="31" s="1"/>
  <c r="E14566" i="31"/>
  <c r="C14563" i="31"/>
  <c r="E14561" i="31"/>
  <c r="F14553" i="31"/>
  <c r="I14553" i="31" s="1"/>
  <c r="I14554" i="31" s="1"/>
  <c r="I14559" i="31" s="1"/>
  <c r="E14553" i="31"/>
  <c r="F14549" i="31"/>
  <c r="E14549" i="31"/>
  <c r="F14545" i="31"/>
  <c r="I14545" i="31" s="1"/>
  <c r="I14546" i="31" s="1"/>
  <c r="I14557" i="31" s="1"/>
  <c r="E14545" i="31"/>
  <c r="F14541" i="31"/>
  <c r="E14541" i="31"/>
  <c r="C14538" i="31"/>
  <c r="E14536" i="31"/>
  <c r="F14528" i="31"/>
  <c r="I14528" i="31" s="1"/>
  <c r="I14529" i="31" s="1"/>
  <c r="I14534" i="31" s="1"/>
  <c r="E14528" i="31"/>
  <c r="G14524" i="31"/>
  <c r="F14524" i="31"/>
  <c r="I14524" i="31" s="1"/>
  <c r="I14525" i="31" s="1"/>
  <c r="I14533" i="31" s="1"/>
  <c r="E14524" i="31"/>
  <c r="F14520" i="31"/>
  <c r="I14520" i="31" s="1"/>
  <c r="I14521" i="31" s="1"/>
  <c r="I14532" i="31" s="1"/>
  <c r="E14520" i="31"/>
  <c r="F14516" i="31"/>
  <c r="G14516" i="31" s="1"/>
  <c r="E14516" i="31"/>
  <c r="C14513" i="31"/>
  <c r="E14511" i="31"/>
  <c r="F14503" i="31"/>
  <c r="I14503" i="31" s="1"/>
  <c r="I14504" i="31" s="1"/>
  <c r="I14509" i="31" s="1"/>
  <c r="E14503" i="31"/>
  <c r="F14499" i="31"/>
  <c r="E14499" i="31"/>
  <c r="F14495" i="31"/>
  <c r="I14495" i="31" s="1"/>
  <c r="I14496" i="31" s="1"/>
  <c r="I14507" i="31" s="1"/>
  <c r="E14495" i="31"/>
  <c r="F14491" i="31"/>
  <c r="E14491" i="31"/>
  <c r="C14488" i="31"/>
  <c r="E14486" i="31"/>
  <c r="F14478" i="31"/>
  <c r="I14478" i="31" s="1"/>
  <c r="I14479" i="31" s="1"/>
  <c r="I14484" i="31" s="1"/>
  <c r="E14478" i="31"/>
  <c r="F14474" i="31"/>
  <c r="E14474" i="31"/>
  <c r="F14470" i="31"/>
  <c r="I14470" i="31" s="1"/>
  <c r="I14471" i="31" s="1"/>
  <c r="I14482" i="31" s="1"/>
  <c r="E14470" i="31"/>
  <c r="F14466" i="31"/>
  <c r="E14466" i="31"/>
  <c r="C14463" i="31"/>
  <c r="E14461" i="31"/>
  <c r="F14453" i="31"/>
  <c r="I14453" i="31" s="1"/>
  <c r="I14454" i="31" s="1"/>
  <c r="I14459" i="31" s="1"/>
  <c r="E14453" i="31"/>
  <c r="F14449" i="31"/>
  <c r="G14449" i="31" s="1"/>
  <c r="E14449" i="31"/>
  <c r="F14445" i="31"/>
  <c r="I14445" i="31" s="1"/>
  <c r="I14446" i="31" s="1"/>
  <c r="I14457" i="31" s="1"/>
  <c r="E14445" i="31"/>
  <c r="F14441" i="31"/>
  <c r="E14441" i="31"/>
  <c r="C14438" i="31"/>
  <c r="E14436" i="31"/>
  <c r="F14428" i="31"/>
  <c r="I14428" i="31" s="1"/>
  <c r="I14429" i="31" s="1"/>
  <c r="I14434" i="31" s="1"/>
  <c r="E14428" i="31"/>
  <c r="F14424" i="31"/>
  <c r="I14424" i="31" s="1"/>
  <c r="I14425" i="31" s="1"/>
  <c r="I14433" i="31" s="1"/>
  <c r="E14424" i="31"/>
  <c r="F14420" i="31"/>
  <c r="I14420" i="31" s="1"/>
  <c r="I14421" i="31" s="1"/>
  <c r="I14432" i="31" s="1"/>
  <c r="E14420" i="31"/>
  <c r="F14416" i="31"/>
  <c r="E14416" i="31"/>
  <c r="C14413" i="31"/>
  <c r="E14411" i="31"/>
  <c r="F14403" i="31"/>
  <c r="I14403" i="31" s="1"/>
  <c r="I14404" i="31" s="1"/>
  <c r="I14409" i="31" s="1"/>
  <c r="E14403" i="31"/>
  <c r="F14399" i="31"/>
  <c r="G14399" i="31" s="1"/>
  <c r="E14399" i="31"/>
  <c r="F14395" i="31"/>
  <c r="I14395" i="31" s="1"/>
  <c r="I14396" i="31" s="1"/>
  <c r="I14407" i="31" s="1"/>
  <c r="E14395" i="31"/>
  <c r="F14391" i="31"/>
  <c r="E14391" i="31"/>
  <c r="C14388" i="31"/>
  <c r="E14386" i="31"/>
  <c r="F14378" i="31"/>
  <c r="I14378" i="31" s="1"/>
  <c r="I14379" i="31" s="1"/>
  <c r="I14384" i="31" s="1"/>
  <c r="E14378" i="31"/>
  <c r="F14374" i="31"/>
  <c r="I14374" i="31" s="1"/>
  <c r="I14375" i="31" s="1"/>
  <c r="I14383" i="31" s="1"/>
  <c r="E14374" i="31"/>
  <c r="F14370" i="31"/>
  <c r="I14370" i="31" s="1"/>
  <c r="I14371" i="31" s="1"/>
  <c r="I14382" i="31" s="1"/>
  <c r="E14370" i="31"/>
  <c r="F14366" i="31"/>
  <c r="E14366" i="31"/>
  <c r="C14363" i="31"/>
  <c r="E14361" i="31"/>
  <c r="F14353" i="31"/>
  <c r="I14353" i="31" s="1"/>
  <c r="I14354" i="31" s="1"/>
  <c r="I14359" i="31" s="1"/>
  <c r="E14353" i="31"/>
  <c r="F14349" i="31"/>
  <c r="E14349" i="31"/>
  <c r="F14345" i="31"/>
  <c r="I14345" i="31" s="1"/>
  <c r="I14346" i="31" s="1"/>
  <c r="I14357" i="31" s="1"/>
  <c r="E14345" i="31"/>
  <c r="F14341" i="31"/>
  <c r="E14341" i="31"/>
  <c r="C14338" i="31"/>
  <c r="E14336" i="31"/>
  <c r="F14328" i="31"/>
  <c r="I14328" i="31" s="1"/>
  <c r="I14329" i="31" s="1"/>
  <c r="I14334" i="31" s="1"/>
  <c r="E14328" i="31"/>
  <c r="F14324" i="31"/>
  <c r="I14324" i="31" s="1"/>
  <c r="I14325" i="31" s="1"/>
  <c r="I14333" i="31" s="1"/>
  <c r="E14324" i="31"/>
  <c r="F14320" i="31"/>
  <c r="I14320" i="31" s="1"/>
  <c r="I14321" i="31" s="1"/>
  <c r="I14332" i="31" s="1"/>
  <c r="E14320" i="31"/>
  <c r="I14316" i="31"/>
  <c r="I14317" i="31" s="1"/>
  <c r="I14331" i="31" s="1"/>
  <c r="F14316" i="31"/>
  <c r="G14316" i="31" s="1"/>
  <c r="E14316" i="31"/>
  <c r="C14313" i="31"/>
  <c r="E14312" i="31"/>
  <c r="F14304" i="31"/>
  <c r="I14304" i="31" s="1"/>
  <c r="I14305" i="31" s="1"/>
  <c r="I14310" i="31" s="1"/>
  <c r="E14304" i="31"/>
  <c r="F14300" i="31"/>
  <c r="E14300" i="31"/>
  <c r="F14296" i="31"/>
  <c r="I14296" i="31" s="1"/>
  <c r="I14297" i="31" s="1"/>
  <c r="I14308" i="31" s="1"/>
  <c r="E14296" i="31"/>
  <c r="F14292" i="31"/>
  <c r="E14292" i="31"/>
  <c r="C14289" i="31"/>
  <c r="E14287" i="31"/>
  <c r="F14279" i="31"/>
  <c r="I14279" i="31" s="1"/>
  <c r="I14280" i="31" s="1"/>
  <c r="I14285" i="31" s="1"/>
  <c r="E14279" i="31"/>
  <c r="F14275" i="31"/>
  <c r="I14275" i="31" s="1"/>
  <c r="I14276" i="31" s="1"/>
  <c r="I14284" i="31" s="1"/>
  <c r="E14275" i="31"/>
  <c r="F14271" i="31"/>
  <c r="I14271" i="31" s="1"/>
  <c r="I14272" i="31" s="1"/>
  <c r="I14283" i="31" s="1"/>
  <c r="E14271" i="31"/>
  <c r="F14267" i="31"/>
  <c r="E14267" i="31"/>
  <c r="C14264" i="31"/>
  <c r="E14262" i="31"/>
  <c r="F14254" i="31"/>
  <c r="I14254" i="31" s="1"/>
  <c r="I14255" i="31" s="1"/>
  <c r="I14260" i="31" s="1"/>
  <c r="E14254" i="31"/>
  <c r="F14250" i="31"/>
  <c r="G14250" i="31" s="1"/>
  <c r="E14250" i="31"/>
  <c r="F14246" i="31"/>
  <c r="I14246" i="31" s="1"/>
  <c r="I14247" i="31" s="1"/>
  <c r="I14258" i="31" s="1"/>
  <c r="E14246" i="31"/>
  <c r="F14242" i="31"/>
  <c r="I14242" i="31" s="1"/>
  <c r="I14243" i="31" s="1"/>
  <c r="I14257" i="31" s="1"/>
  <c r="E14242" i="31"/>
  <c r="C14239" i="31"/>
  <c r="E14237" i="31"/>
  <c r="F14229" i="31"/>
  <c r="I14229" i="31" s="1"/>
  <c r="I14230" i="31" s="1"/>
  <c r="I14235" i="31" s="1"/>
  <c r="E14229" i="31"/>
  <c r="F14225" i="31"/>
  <c r="I14225" i="31" s="1"/>
  <c r="I14226" i="31" s="1"/>
  <c r="I14234" i="31" s="1"/>
  <c r="E14225" i="31"/>
  <c r="F14221" i="31"/>
  <c r="I14221" i="31" s="1"/>
  <c r="I14222" i="31" s="1"/>
  <c r="I14233" i="31" s="1"/>
  <c r="E14221" i="31"/>
  <c r="F14217" i="31"/>
  <c r="E14217" i="31"/>
  <c r="C14214" i="31"/>
  <c r="E14211" i="31"/>
  <c r="F14203" i="31"/>
  <c r="I14203" i="31" s="1"/>
  <c r="I14204" i="31" s="1"/>
  <c r="I14209" i="31" s="1"/>
  <c r="E14203" i="31"/>
  <c r="F14199" i="31"/>
  <c r="E14199" i="31"/>
  <c r="F14195" i="31"/>
  <c r="I14195" i="31" s="1"/>
  <c r="I14196" i="31" s="1"/>
  <c r="I14207" i="31" s="1"/>
  <c r="E14195" i="31"/>
  <c r="I14192" i="31"/>
  <c r="I14206" i="31" s="1"/>
  <c r="F14191" i="31"/>
  <c r="I14191" i="31" s="1"/>
  <c r="E14191" i="31"/>
  <c r="C14188" i="31"/>
  <c r="F14178" i="31"/>
  <c r="I14178" i="31" s="1"/>
  <c r="I14179" i="31" s="1"/>
  <c r="I14184" i="31" s="1"/>
  <c r="E14178" i="31"/>
  <c r="F14174" i="31"/>
  <c r="G14174" i="31" s="1"/>
  <c r="E14174" i="31"/>
  <c r="F14170" i="31"/>
  <c r="I14170" i="31" s="1"/>
  <c r="I14171" i="31" s="1"/>
  <c r="I14182" i="31" s="1"/>
  <c r="E14170" i="31"/>
  <c r="F14166" i="31"/>
  <c r="I14166" i="31" s="1"/>
  <c r="I14167" i="31" s="1"/>
  <c r="I14181" i="31" s="1"/>
  <c r="E14166" i="31"/>
  <c r="E14163" i="31"/>
  <c r="E14186" i="31" s="1"/>
  <c r="C14163" i="31"/>
  <c r="F14153" i="31"/>
  <c r="I14153" i="31" s="1"/>
  <c r="I14154" i="31" s="1"/>
  <c r="I14159" i="31" s="1"/>
  <c r="E14153" i="31"/>
  <c r="F14149" i="31"/>
  <c r="E14149" i="31"/>
  <c r="F14145" i="31"/>
  <c r="I14145" i="31" s="1"/>
  <c r="I14146" i="31" s="1"/>
  <c r="I14157" i="31" s="1"/>
  <c r="E14145" i="31"/>
  <c r="F14141" i="31"/>
  <c r="E14141" i="31"/>
  <c r="E14138" i="31"/>
  <c r="E14161" i="31" s="1"/>
  <c r="C14138" i="31"/>
  <c r="F14128" i="31"/>
  <c r="I14128" i="31" s="1"/>
  <c r="I14129" i="31" s="1"/>
  <c r="I14134" i="31" s="1"/>
  <c r="E14128" i="31"/>
  <c r="F14124" i="31"/>
  <c r="E14124" i="31"/>
  <c r="F14120" i="31"/>
  <c r="I14120" i="31" s="1"/>
  <c r="I14121" i="31" s="1"/>
  <c r="I14132" i="31" s="1"/>
  <c r="E14120" i="31"/>
  <c r="F14116" i="31"/>
  <c r="E14116" i="31"/>
  <c r="E14113" i="31"/>
  <c r="E14136" i="31" s="1"/>
  <c r="C14113" i="31"/>
  <c r="E14111" i="31"/>
  <c r="F14103" i="31"/>
  <c r="I14103" i="31" s="1"/>
  <c r="I14104" i="31" s="1"/>
  <c r="I14109" i="31" s="1"/>
  <c r="E14103" i="31"/>
  <c r="F14099" i="31"/>
  <c r="I14099" i="31" s="1"/>
  <c r="I14100" i="31" s="1"/>
  <c r="I14108" i="31" s="1"/>
  <c r="E14099" i="31"/>
  <c r="F14095" i="31"/>
  <c r="I14095" i="31" s="1"/>
  <c r="I14096" i="31" s="1"/>
  <c r="I14107" i="31" s="1"/>
  <c r="E14095" i="31"/>
  <c r="F14091" i="31"/>
  <c r="E14091" i="31"/>
  <c r="C14088" i="31"/>
  <c r="E14086" i="31"/>
  <c r="F14078" i="31"/>
  <c r="I14078" i="31" s="1"/>
  <c r="I14079" i="31" s="1"/>
  <c r="I14084" i="31" s="1"/>
  <c r="E14078" i="31"/>
  <c r="F14074" i="31"/>
  <c r="G14074" i="31" s="1"/>
  <c r="E14074" i="31"/>
  <c r="F14070" i="31"/>
  <c r="I14070" i="31" s="1"/>
  <c r="I14071" i="31" s="1"/>
  <c r="I14082" i="31" s="1"/>
  <c r="E14070" i="31"/>
  <c r="F14066" i="31"/>
  <c r="E14066" i="31"/>
  <c r="C14063" i="31"/>
  <c r="E14061" i="31"/>
  <c r="F14053" i="31"/>
  <c r="I14053" i="31" s="1"/>
  <c r="I14054" i="31" s="1"/>
  <c r="I14059" i="31" s="1"/>
  <c r="E14053" i="31"/>
  <c r="F14049" i="31"/>
  <c r="I14049" i="31" s="1"/>
  <c r="I14050" i="31" s="1"/>
  <c r="I14058" i="31" s="1"/>
  <c r="E14049" i="31"/>
  <c r="F14045" i="31"/>
  <c r="I14045" i="31" s="1"/>
  <c r="I14046" i="31" s="1"/>
  <c r="I14057" i="31" s="1"/>
  <c r="E14045" i="31"/>
  <c r="F14041" i="31"/>
  <c r="E14041" i="31"/>
  <c r="C14038" i="31"/>
  <c r="E14034" i="31"/>
  <c r="F14026" i="31"/>
  <c r="I14026" i="31" s="1"/>
  <c r="I14027" i="31" s="1"/>
  <c r="I14032" i="31" s="1"/>
  <c r="E14026" i="31"/>
  <c r="F14022" i="31"/>
  <c r="E14022" i="31"/>
  <c r="F14018" i="31"/>
  <c r="I14018" i="31" s="1"/>
  <c r="I14019" i="31" s="1"/>
  <c r="I14030" i="31" s="1"/>
  <c r="E14018" i="31"/>
  <c r="F14014" i="31"/>
  <c r="G14014" i="31" s="1"/>
  <c r="E14014" i="31"/>
  <c r="C14011" i="31"/>
  <c r="E14008" i="31"/>
  <c r="F14000" i="31"/>
  <c r="I14000" i="31" s="1"/>
  <c r="I14001" i="31" s="1"/>
  <c r="I14006" i="31" s="1"/>
  <c r="E14000" i="31"/>
  <c r="F13996" i="31"/>
  <c r="I13996" i="31" s="1"/>
  <c r="I13997" i="31" s="1"/>
  <c r="I14005" i="31" s="1"/>
  <c r="E13996" i="31"/>
  <c r="F13992" i="31"/>
  <c r="I13992" i="31" s="1"/>
  <c r="I13993" i="31" s="1"/>
  <c r="I14004" i="31" s="1"/>
  <c r="E13992" i="31"/>
  <c r="F13988" i="31"/>
  <c r="E13988" i="31"/>
  <c r="C13985" i="31"/>
  <c r="E13982" i="31"/>
  <c r="F13974" i="31"/>
  <c r="I13974" i="31" s="1"/>
  <c r="I13975" i="31" s="1"/>
  <c r="I13980" i="31" s="1"/>
  <c r="E13974" i="31"/>
  <c r="F13970" i="31"/>
  <c r="I13970" i="31" s="1"/>
  <c r="I13971" i="31" s="1"/>
  <c r="I13979" i="31" s="1"/>
  <c r="E13970" i="31"/>
  <c r="F13966" i="31"/>
  <c r="I13966" i="31" s="1"/>
  <c r="I13967" i="31" s="1"/>
  <c r="I13978" i="31" s="1"/>
  <c r="E13966" i="31"/>
  <c r="F13962" i="31"/>
  <c r="E13962" i="31"/>
  <c r="C13959" i="31"/>
  <c r="E13957" i="31"/>
  <c r="F13949" i="31"/>
  <c r="I13949" i="31" s="1"/>
  <c r="I13950" i="31" s="1"/>
  <c r="I13955" i="31" s="1"/>
  <c r="E13949" i="31"/>
  <c r="F13945" i="31"/>
  <c r="I13945" i="31" s="1"/>
  <c r="I13946" i="31" s="1"/>
  <c r="I13954" i="31" s="1"/>
  <c r="E13945" i="31"/>
  <c r="F13941" i="31"/>
  <c r="I13941" i="31" s="1"/>
  <c r="I13942" i="31" s="1"/>
  <c r="I13953" i="31" s="1"/>
  <c r="E13941" i="31"/>
  <c r="F13937" i="31"/>
  <c r="E13937" i="31"/>
  <c r="C13934" i="31"/>
  <c r="E13932" i="31"/>
  <c r="F13924" i="31"/>
  <c r="I13924" i="31" s="1"/>
  <c r="I13925" i="31" s="1"/>
  <c r="I13930" i="31" s="1"/>
  <c r="E13924" i="31"/>
  <c r="F13920" i="31"/>
  <c r="G13920" i="31" s="1"/>
  <c r="E13920" i="31"/>
  <c r="F13916" i="31"/>
  <c r="I13916" i="31" s="1"/>
  <c r="I13917" i="31" s="1"/>
  <c r="I13928" i="31" s="1"/>
  <c r="E13916" i="31"/>
  <c r="G13912" i="31"/>
  <c r="F13912" i="31"/>
  <c r="I13912" i="31" s="1"/>
  <c r="I13913" i="31" s="1"/>
  <c r="I13927" i="31" s="1"/>
  <c r="E13912" i="31"/>
  <c r="C13909" i="31"/>
  <c r="E13907" i="31"/>
  <c r="F13899" i="31"/>
  <c r="I13899" i="31" s="1"/>
  <c r="I13900" i="31" s="1"/>
  <c r="I13905" i="31" s="1"/>
  <c r="E13899" i="31"/>
  <c r="F13895" i="31"/>
  <c r="I13895" i="31" s="1"/>
  <c r="I13896" i="31" s="1"/>
  <c r="I13904" i="31" s="1"/>
  <c r="E13895" i="31"/>
  <c r="F13891" i="31"/>
  <c r="I13891" i="31" s="1"/>
  <c r="I13892" i="31" s="1"/>
  <c r="I13903" i="31" s="1"/>
  <c r="E13891" i="31"/>
  <c r="F13887" i="31"/>
  <c r="E13887" i="31"/>
  <c r="C13884" i="31"/>
  <c r="E13882" i="31"/>
  <c r="F13874" i="31"/>
  <c r="I13874" i="31" s="1"/>
  <c r="I13875" i="31" s="1"/>
  <c r="I13880" i="31" s="1"/>
  <c r="E13874" i="31"/>
  <c r="F13870" i="31"/>
  <c r="G13870" i="31" s="1"/>
  <c r="E13870" i="31"/>
  <c r="I13866" i="31"/>
  <c r="I13867" i="31" s="1"/>
  <c r="I13878" i="31" s="1"/>
  <c r="F13866" i="31"/>
  <c r="E13866" i="31"/>
  <c r="G13862" i="31"/>
  <c r="F13862" i="31"/>
  <c r="I13862" i="31" s="1"/>
  <c r="I13863" i="31" s="1"/>
  <c r="I13877" i="31" s="1"/>
  <c r="E13862" i="31"/>
  <c r="C13859" i="31"/>
  <c r="E13857" i="31"/>
  <c r="F13849" i="31"/>
  <c r="I13849" i="31" s="1"/>
  <c r="I13850" i="31" s="1"/>
  <c r="I13855" i="31" s="1"/>
  <c r="E13849" i="31"/>
  <c r="F13845" i="31"/>
  <c r="I13845" i="31" s="1"/>
  <c r="I13846" i="31" s="1"/>
  <c r="I13854" i="31" s="1"/>
  <c r="E13845" i="31"/>
  <c r="F13841" i="31"/>
  <c r="I13841" i="31" s="1"/>
  <c r="I13842" i="31" s="1"/>
  <c r="I13853" i="31" s="1"/>
  <c r="E13841" i="31"/>
  <c r="F13837" i="31"/>
  <c r="E13837" i="31"/>
  <c r="C13834" i="31"/>
  <c r="E13832" i="31"/>
  <c r="F13824" i="31"/>
  <c r="I13824" i="31" s="1"/>
  <c r="I13825" i="31" s="1"/>
  <c r="I13830" i="31" s="1"/>
  <c r="E13824" i="31"/>
  <c r="F13820" i="31"/>
  <c r="I13820" i="31" s="1"/>
  <c r="I13821" i="31" s="1"/>
  <c r="I13829" i="31" s="1"/>
  <c r="E13820" i="31"/>
  <c r="F13816" i="31"/>
  <c r="I13816" i="31" s="1"/>
  <c r="I13817" i="31" s="1"/>
  <c r="I13828" i="31" s="1"/>
  <c r="E13816" i="31"/>
  <c r="F13812" i="31"/>
  <c r="I13812" i="31" s="1"/>
  <c r="I13813" i="31" s="1"/>
  <c r="I13827" i="31" s="1"/>
  <c r="E13812" i="31"/>
  <c r="C13809" i="31"/>
  <c r="E13807" i="31"/>
  <c r="F13799" i="31"/>
  <c r="I13799" i="31" s="1"/>
  <c r="I13800" i="31" s="1"/>
  <c r="I13805" i="31" s="1"/>
  <c r="E13799" i="31"/>
  <c r="F13795" i="31"/>
  <c r="E13795" i="31"/>
  <c r="F13791" i="31"/>
  <c r="I13791" i="31" s="1"/>
  <c r="I13792" i="31" s="1"/>
  <c r="I13803" i="31" s="1"/>
  <c r="E13791" i="31"/>
  <c r="F13787" i="31"/>
  <c r="E13787" i="31"/>
  <c r="C13784" i="31"/>
  <c r="E13781" i="31"/>
  <c r="F13773" i="31"/>
  <c r="I13773" i="31" s="1"/>
  <c r="I13774" i="31" s="1"/>
  <c r="I13779" i="31" s="1"/>
  <c r="E13773" i="31"/>
  <c r="F13769" i="31"/>
  <c r="I13769" i="31" s="1"/>
  <c r="I13770" i="31" s="1"/>
  <c r="I13778" i="31" s="1"/>
  <c r="E13769" i="31"/>
  <c r="F13765" i="31"/>
  <c r="I13765" i="31" s="1"/>
  <c r="I13766" i="31" s="1"/>
  <c r="I13777" i="31" s="1"/>
  <c r="E13765" i="31"/>
  <c r="G13761" i="31"/>
  <c r="F13761" i="31"/>
  <c r="I13761" i="31" s="1"/>
  <c r="I13762" i="31" s="1"/>
  <c r="I13776" i="31" s="1"/>
  <c r="E13761" i="31"/>
  <c r="C13758" i="31"/>
  <c r="E13755" i="31"/>
  <c r="F13747" i="31"/>
  <c r="I13747" i="31" s="1"/>
  <c r="I13748" i="31" s="1"/>
  <c r="I13753" i="31" s="1"/>
  <c r="E13747" i="31"/>
  <c r="F13743" i="31"/>
  <c r="G13743" i="31" s="1"/>
  <c r="E13743" i="31"/>
  <c r="F13739" i="31"/>
  <c r="I13739" i="31" s="1"/>
  <c r="I13740" i="31" s="1"/>
  <c r="I13751" i="31" s="1"/>
  <c r="E13739" i="31"/>
  <c r="F13735" i="31"/>
  <c r="E13735" i="31"/>
  <c r="C13732" i="31"/>
  <c r="E13730" i="31"/>
  <c r="F13722" i="31"/>
  <c r="I13722" i="31" s="1"/>
  <c r="I13723" i="31" s="1"/>
  <c r="I13728" i="31" s="1"/>
  <c r="E13722" i="31"/>
  <c r="F13718" i="31"/>
  <c r="I13718" i="31" s="1"/>
  <c r="I13719" i="31" s="1"/>
  <c r="I13727" i="31" s="1"/>
  <c r="E13718" i="31"/>
  <c r="F13714" i="31"/>
  <c r="I13714" i="31" s="1"/>
  <c r="I13715" i="31" s="1"/>
  <c r="I13726" i="31" s="1"/>
  <c r="E13714" i="31"/>
  <c r="F13710" i="31"/>
  <c r="I13710" i="31" s="1"/>
  <c r="I13711" i="31" s="1"/>
  <c r="I13725" i="31" s="1"/>
  <c r="E13710" i="31"/>
  <c r="C13707" i="31"/>
  <c r="E13705" i="31"/>
  <c r="F13697" i="31"/>
  <c r="I13697" i="31" s="1"/>
  <c r="I13698" i="31" s="1"/>
  <c r="I13703" i="31" s="1"/>
  <c r="E13697" i="31"/>
  <c r="F13693" i="31"/>
  <c r="G13693" i="31" s="1"/>
  <c r="E13693" i="31"/>
  <c r="F13689" i="31"/>
  <c r="I13689" i="31" s="1"/>
  <c r="I13690" i="31" s="1"/>
  <c r="I13701" i="31" s="1"/>
  <c r="E13689" i="31"/>
  <c r="F13685" i="31"/>
  <c r="E13685" i="31"/>
  <c r="C13682" i="31"/>
  <c r="E13680" i="31"/>
  <c r="F13672" i="31"/>
  <c r="I13672" i="31" s="1"/>
  <c r="I13673" i="31" s="1"/>
  <c r="I13678" i="31" s="1"/>
  <c r="E13672" i="31"/>
  <c r="F13668" i="31"/>
  <c r="I13668" i="31" s="1"/>
  <c r="I13669" i="31" s="1"/>
  <c r="I13677" i="31" s="1"/>
  <c r="E13668" i="31"/>
  <c r="F13664" i="31"/>
  <c r="I13664" i="31" s="1"/>
  <c r="I13665" i="31" s="1"/>
  <c r="I13676" i="31" s="1"/>
  <c r="E13664" i="31"/>
  <c r="F13660" i="31"/>
  <c r="E13660" i="31"/>
  <c r="C13657" i="31"/>
  <c r="E13655" i="31"/>
  <c r="F13647" i="31"/>
  <c r="I13647" i="31" s="1"/>
  <c r="I13648" i="31" s="1"/>
  <c r="I13653" i="31" s="1"/>
  <c r="E13647" i="31"/>
  <c r="F13643" i="31"/>
  <c r="E13643" i="31"/>
  <c r="F13639" i="31"/>
  <c r="I13639" i="31" s="1"/>
  <c r="I13640" i="31" s="1"/>
  <c r="I13651" i="31" s="1"/>
  <c r="E13639" i="31"/>
  <c r="I13636" i="31"/>
  <c r="I13650" i="31" s="1"/>
  <c r="F13635" i="31"/>
  <c r="I13635" i="31" s="1"/>
  <c r="E13635" i="31"/>
  <c r="C13632" i="31"/>
  <c r="E13629" i="31"/>
  <c r="F13621" i="31"/>
  <c r="I13621" i="31" s="1"/>
  <c r="I13622" i="31" s="1"/>
  <c r="I13627" i="31" s="1"/>
  <c r="E13621" i="31"/>
  <c r="F13617" i="31"/>
  <c r="I13617" i="31" s="1"/>
  <c r="I13618" i="31" s="1"/>
  <c r="I13626" i="31" s="1"/>
  <c r="E13617" i="31"/>
  <c r="F13613" i="31"/>
  <c r="I13613" i="31" s="1"/>
  <c r="I13614" i="31" s="1"/>
  <c r="I13625" i="31" s="1"/>
  <c r="E13613" i="31"/>
  <c r="F13609" i="31"/>
  <c r="I13609" i="31" s="1"/>
  <c r="I13610" i="31" s="1"/>
  <c r="I13624" i="31" s="1"/>
  <c r="E13609" i="31"/>
  <c r="C13606" i="31"/>
  <c r="E13604" i="31"/>
  <c r="F13596" i="31"/>
  <c r="I13596" i="31" s="1"/>
  <c r="I13597" i="31" s="1"/>
  <c r="I13602" i="31" s="1"/>
  <c r="E13596" i="31"/>
  <c r="F13592" i="31"/>
  <c r="G13592" i="31" s="1"/>
  <c r="E13592" i="31"/>
  <c r="F13588" i="31"/>
  <c r="I13588" i="31" s="1"/>
  <c r="I13589" i="31" s="1"/>
  <c r="I13600" i="31" s="1"/>
  <c r="E13588" i="31"/>
  <c r="F13584" i="31"/>
  <c r="E13584" i="31"/>
  <c r="C13581" i="31"/>
  <c r="E13580" i="31"/>
  <c r="F13572" i="31"/>
  <c r="I13572" i="31" s="1"/>
  <c r="I13573" i="31" s="1"/>
  <c r="I13578" i="31" s="1"/>
  <c r="E13572" i="31"/>
  <c r="F13568" i="31"/>
  <c r="G13568" i="31" s="1"/>
  <c r="E13568" i="31"/>
  <c r="F13564" i="31"/>
  <c r="I13564" i="31" s="1"/>
  <c r="I13565" i="31" s="1"/>
  <c r="I13576" i="31" s="1"/>
  <c r="E13564" i="31"/>
  <c r="F13560" i="31"/>
  <c r="E13560" i="31"/>
  <c r="C13557" i="31"/>
  <c r="E13555" i="31"/>
  <c r="F13547" i="31"/>
  <c r="I13547" i="31" s="1"/>
  <c r="I13548" i="31" s="1"/>
  <c r="I13553" i="31" s="1"/>
  <c r="E13547" i="31"/>
  <c r="F13543" i="31"/>
  <c r="E13543" i="31"/>
  <c r="F13539" i="31"/>
  <c r="I13539" i="31" s="1"/>
  <c r="I13540" i="31" s="1"/>
  <c r="I13551" i="31" s="1"/>
  <c r="E13539" i="31"/>
  <c r="F13535" i="31"/>
  <c r="I13535" i="31" s="1"/>
  <c r="I13536" i="31" s="1"/>
  <c r="I13550" i="31" s="1"/>
  <c r="E13535" i="31"/>
  <c r="C13532" i="31"/>
  <c r="E13530" i="31"/>
  <c r="F13522" i="31"/>
  <c r="I13522" i="31" s="1"/>
  <c r="I13523" i="31" s="1"/>
  <c r="I13528" i="31" s="1"/>
  <c r="E13522" i="31"/>
  <c r="F13518" i="31"/>
  <c r="I13518" i="31" s="1"/>
  <c r="I13519" i="31" s="1"/>
  <c r="I13527" i="31" s="1"/>
  <c r="E13518" i="31"/>
  <c r="F13514" i="31"/>
  <c r="I13514" i="31" s="1"/>
  <c r="I13515" i="31" s="1"/>
  <c r="I13526" i="31" s="1"/>
  <c r="E13514" i="31"/>
  <c r="F13510" i="31"/>
  <c r="E13510" i="31"/>
  <c r="C13507" i="31"/>
  <c r="E13505" i="31"/>
  <c r="F13497" i="31"/>
  <c r="I13497" i="31" s="1"/>
  <c r="I13498" i="31" s="1"/>
  <c r="I13503" i="31" s="1"/>
  <c r="E13497" i="31"/>
  <c r="F13493" i="31"/>
  <c r="G13493" i="31" s="1"/>
  <c r="E13493" i="31"/>
  <c r="F13489" i="31"/>
  <c r="I13489" i="31" s="1"/>
  <c r="I13490" i="31" s="1"/>
  <c r="I13501" i="31" s="1"/>
  <c r="E13489" i="31"/>
  <c r="F13485" i="31"/>
  <c r="I13485" i="31" s="1"/>
  <c r="I13486" i="31" s="1"/>
  <c r="I13500" i="31" s="1"/>
  <c r="E13485" i="31"/>
  <c r="C13482" i="31"/>
  <c r="E13480" i="31"/>
  <c r="F13472" i="31"/>
  <c r="I13472" i="31" s="1"/>
  <c r="I13473" i="31" s="1"/>
  <c r="I13478" i="31" s="1"/>
  <c r="E13472" i="31"/>
  <c r="F13468" i="31"/>
  <c r="I13468" i="31" s="1"/>
  <c r="I13469" i="31" s="1"/>
  <c r="I13477" i="31" s="1"/>
  <c r="E13468" i="31"/>
  <c r="F13464" i="31"/>
  <c r="I13464" i="31" s="1"/>
  <c r="I13465" i="31" s="1"/>
  <c r="I13476" i="31" s="1"/>
  <c r="E13464" i="31"/>
  <c r="I13460" i="31"/>
  <c r="I13461" i="31" s="1"/>
  <c r="I13475" i="31" s="1"/>
  <c r="F13460" i="31"/>
  <c r="G13460" i="31" s="1"/>
  <c r="E13460" i="31"/>
  <c r="C13457" i="31"/>
  <c r="E13455" i="31"/>
  <c r="F13447" i="31"/>
  <c r="I13447" i="31" s="1"/>
  <c r="I13448" i="31" s="1"/>
  <c r="I13453" i="31" s="1"/>
  <c r="E13447" i="31"/>
  <c r="F13443" i="31"/>
  <c r="G13443" i="31" s="1"/>
  <c r="E13443" i="31"/>
  <c r="F13439" i="31"/>
  <c r="I13439" i="31" s="1"/>
  <c r="I13440" i="31" s="1"/>
  <c r="I13451" i="31" s="1"/>
  <c r="E13439" i="31"/>
  <c r="F13435" i="31"/>
  <c r="I13435" i="31" s="1"/>
  <c r="I13436" i="31" s="1"/>
  <c r="I13450" i="31" s="1"/>
  <c r="E13435" i="31"/>
  <c r="C13432" i="31"/>
  <c r="F13421" i="31"/>
  <c r="I13421" i="31" s="1"/>
  <c r="I13422" i="31" s="1"/>
  <c r="I13427" i="31" s="1"/>
  <c r="E13421" i="31"/>
  <c r="F13417" i="31"/>
  <c r="I13417" i="31" s="1"/>
  <c r="I13418" i="31" s="1"/>
  <c r="I13426" i="31" s="1"/>
  <c r="E13417" i="31"/>
  <c r="F13413" i="31"/>
  <c r="I13413" i="31" s="1"/>
  <c r="E13413" i="31"/>
  <c r="F13412" i="31"/>
  <c r="I13412" i="31" s="1"/>
  <c r="E13412" i="31"/>
  <c r="F13411" i="31"/>
  <c r="I13411" i="31" s="1"/>
  <c r="E13411" i="31"/>
  <c r="F13407" i="31"/>
  <c r="G13407" i="31" s="1"/>
  <c r="E13407" i="31"/>
  <c r="F13406" i="31"/>
  <c r="E13406" i="31"/>
  <c r="F13405" i="31"/>
  <c r="E13405" i="31"/>
  <c r="F13404" i="31"/>
  <c r="G13404" i="31" s="1"/>
  <c r="E13404" i="31"/>
  <c r="C13401" i="31"/>
  <c r="F13389" i="31"/>
  <c r="I13389" i="31" s="1"/>
  <c r="I13390" i="31" s="1"/>
  <c r="I13395" i="31" s="1"/>
  <c r="E13389" i="31"/>
  <c r="F13385" i="31"/>
  <c r="I13385" i="31" s="1"/>
  <c r="I13386" i="31" s="1"/>
  <c r="I13394" i="31" s="1"/>
  <c r="E13385" i="31"/>
  <c r="F13381" i="31"/>
  <c r="I13381" i="31" s="1"/>
  <c r="E13381" i="31"/>
  <c r="F13380" i="31"/>
  <c r="I13380" i="31" s="1"/>
  <c r="E13380" i="31"/>
  <c r="F13379" i="31"/>
  <c r="I13379" i="31" s="1"/>
  <c r="I13382" i="31" s="1"/>
  <c r="I13393" i="31" s="1"/>
  <c r="E13379" i="31"/>
  <c r="F13375" i="31"/>
  <c r="E13375" i="31"/>
  <c r="F13374" i="31"/>
  <c r="G13374" i="31" s="1"/>
  <c r="E13374" i="31"/>
  <c r="F13373" i="31"/>
  <c r="E13373" i="31"/>
  <c r="F13372" i="31"/>
  <c r="G13372" i="31" s="1"/>
  <c r="E13372" i="31"/>
  <c r="F13371" i="31"/>
  <c r="G13371" i="31" s="1"/>
  <c r="E13371" i="31"/>
  <c r="F13370" i="31"/>
  <c r="G13370" i="31" s="1"/>
  <c r="E13370" i="31"/>
  <c r="C13367" i="31"/>
  <c r="E13365" i="31"/>
  <c r="F13357" i="31"/>
  <c r="I13357" i="31" s="1"/>
  <c r="I13358" i="31" s="1"/>
  <c r="I13363" i="31" s="1"/>
  <c r="E13357" i="31"/>
  <c r="F13353" i="31"/>
  <c r="I13353" i="31" s="1"/>
  <c r="I13354" i="31" s="1"/>
  <c r="I13362" i="31" s="1"/>
  <c r="E13353" i="31"/>
  <c r="F13349" i="31"/>
  <c r="I13349" i="31" s="1"/>
  <c r="E13349" i="31"/>
  <c r="F13348" i="31"/>
  <c r="I13348" i="31" s="1"/>
  <c r="E13348" i="31"/>
  <c r="I13344" i="31"/>
  <c r="G13344" i="31"/>
  <c r="G13343" i="31"/>
  <c r="F13343" i="31"/>
  <c r="I13343" i="31" s="1"/>
  <c r="C13340" i="31"/>
  <c r="E13338" i="31"/>
  <c r="F13330" i="31"/>
  <c r="I13330" i="31" s="1"/>
  <c r="I13331" i="31" s="1"/>
  <c r="I13336" i="31" s="1"/>
  <c r="E13330" i="31"/>
  <c r="F13326" i="31"/>
  <c r="I13326" i="31" s="1"/>
  <c r="I13327" i="31" s="1"/>
  <c r="I13335" i="31" s="1"/>
  <c r="E13326" i="31"/>
  <c r="F13322" i="31"/>
  <c r="I13322" i="31" s="1"/>
  <c r="E13322" i="31"/>
  <c r="F13321" i="31"/>
  <c r="I13321" i="31" s="1"/>
  <c r="E13321" i="31"/>
  <c r="I13317" i="31"/>
  <c r="G13317" i="31"/>
  <c r="F13316" i="31"/>
  <c r="I13316" i="31" s="1"/>
  <c r="I13318" i="31" s="1"/>
  <c r="I13333" i="31" s="1"/>
  <c r="C13313" i="31"/>
  <c r="E13311" i="31"/>
  <c r="F13303" i="31"/>
  <c r="I13303" i="31" s="1"/>
  <c r="I13304" i="31" s="1"/>
  <c r="I13309" i="31" s="1"/>
  <c r="E13303" i="31"/>
  <c r="F13299" i="31"/>
  <c r="I13299" i="31" s="1"/>
  <c r="I13300" i="31" s="1"/>
  <c r="I13308" i="31" s="1"/>
  <c r="E13299" i="31"/>
  <c r="F13295" i="31"/>
  <c r="I13295" i="31" s="1"/>
  <c r="I13296" i="31" s="1"/>
  <c r="I13307" i="31" s="1"/>
  <c r="E13295" i="31"/>
  <c r="F13291" i="31"/>
  <c r="I13291" i="31" s="1"/>
  <c r="E13291" i="31"/>
  <c r="F13290" i="31"/>
  <c r="I13290" i="31" s="1"/>
  <c r="E13290" i="31"/>
  <c r="C13287" i="31"/>
  <c r="E13285" i="31"/>
  <c r="F13277" i="31"/>
  <c r="I13277" i="31" s="1"/>
  <c r="I13278" i="31" s="1"/>
  <c r="I13283" i="31" s="1"/>
  <c r="E13277" i="31"/>
  <c r="F13273" i="31"/>
  <c r="I13273" i="31" s="1"/>
  <c r="I13274" i="31" s="1"/>
  <c r="I13282" i="31" s="1"/>
  <c r="E13273" i="31"/>
  <c r="F13269" i="31"/>
  <c r="I13269" i="31" s="1"/>
  <c r="I13270" i="31" s="1"/>
  <c r="I13281" i="31" s="1"/>
  <c r="E13269" i="31"/>
  <c r="I13265" i="31"/>
  <c r="F13265" i="31"/>
  <c r="G13265" i="31" s="1"/>
  <c r="E13265" i="31"/>
  <c r="F13264" i="31"/>
  <c r="G13264" i="31" s="1"/>
  <c r="E13264" i="31"/>
  <c r="F13263" i="31"/>
  <c r="G13263" i="31" s="1"/>
  <c r="E13263" i="31"/>
  <c r="C13260" i="31"/>
  <c r="E13258" i="31"/>
  <c r="F13250" i="31"/>
  <c r="I13250" i="31" s="1"/>
  <c r="I13251" i="31" s="1"/>
  <c r="I13256" i="31" s="1"/>
  <c r="E13250" i="31"/>
  <c r="F13246" i="31"/>
  <c r="I13246" i="31" s="1"/>
  <c r="I13247" i="31" s="1"/>
  <c r="I13255" i="31" s="1"/>
  <c r="E13246" i="31"/>
  <c r="F13242" i="31"/>
  <c r="I13242" i="31" s="1"/>
  <c r="I13243" i="31" s="1"/>
  <c r="I13254" i="31" s="1"/>
  <c r="E13242" i="31"/>
  <c r="F13238" i="31"/>
  <c r="I13238" i="31" s="1"/>
  <c r="E13238" i="31"/>
  <c r="F13237" i="31"/>
  <c r="I13237" i="31" s="1"/>
  <c r="E13237" i="31"/>
  <c r="F13236" i="31"/>
  <c r="I13236" i="31" s="1"/>
  <c r="E13236" i="31"/>
  <c r="C13233" i="31"/>
  <c r="E13231" i="31"/>
  <c r="F13223" i="31"/>
  <c r="I13223" i="31" s="1"/>
  <c r="I13224" i="31" s="1"/>
  <c r="I13229" i="31" s="1"/>
  <c r="E13223" i="31"/>
  <c r="F13219" i="31"/>
  <c r="G13219" i="31" s="1"/>
  <c r="E13219" i="31"/>
  <c r="F13215" i="31"/>
  <c r="I13215" i="31" s="1"/>
  <c r="I13216" i="31" s="1"/>
  <c r="I13227" i="31" s="1"/>
  <c r="E13215" i="31"/>
  <c r="F13211" i="31"/>
  <c r="G13211" i="31" s="1"/>
  <c r="E13211" i="31"/>
  <c r="F13210" i="31"/>
  <c r="E13210" i="31"/>
  <c r="C13207" i="31"/>
  <c r="E13205" i="31"/>
  <c r="F13196" i="31"/>
  <c r="I13196" i="31" s="1"/>
  <c r="I13197" i="31" s="1"/>
  <c r="I13202" i="31" s="1"/>
  <c r="E13196" i="31"/>
  <c r="F13192" i="31"/>
  <c r="I13192" i="31" s="1"/>
  <c r="I13193" i="31" s="1"/>
  <c r="I13201" i="31" s="1"/>
  <c r="E13192" i="31"/>
  <c r="F13188" i="31"/>
  <c r="I13188" i="31" s="1"/>
  <c r="E13188" i="31"/>
  <c r="F13187" i="31"/>
  <c r="I13187" i="31" s="1"/>
  <c r="E13187" i="31"/>
  <c r="F13186" i="31"/>
  <c r="I13186" i="31" s="1"/>
  <c r="E13186" i="31"/>
  <c r="F13182" i="31"/>
  <c r="E13182" i="31"/>
  <c r="F13181" i="31"/>
  <c r="G13181" i="31" s="1"/>
  <c r="E13181" i="31"/>
  <c r="F13180" i="31"/>
  <c r="G13180" i="31" s="1"/>
  <c r="E13180" i="31"/>
  <c r="F13179" i="31"/>
  <c r="E13179" i="31"/>
  <c r="F13178" i="31"/>
  <c r="E13178" i="31"/>
  <c r="F13177" i="31"/>
  <c r="G13177" i="31" s="1"/>
  <c r="E13177" i="31"/>
  <c r="C13174" i="31"/>
  <c r="E13172" i="31"/>
  <c r="F13163" i="31"/>
  <c r="I13163" i="31" s="1"/>
  <c r="I13164" i="31" s="1"/>
  <c r="I13169" i="31" s="1"/>
  <c r="E13163" i="31"/>
  <c r="F13159" i="31"/>
  <c r="I13159" i="31" s="1"/>
  <c r="I13160" i="31" s="1"/>
  <c r="I13168" i="31" s="1"/>
  <c r="E13159" i="31"/>
  <c r="F13155" i="31"/>
  <c r="I13155" i="31" s="1"/>
  <c r="E13155" i="31"/>
  <c r="F13154" i="31"/>
  <c r="I13154" i="31" s="1"/>
  <c r="E13154" i="31"/>
  <c r="F13153" i="31"/>
  <c r="I13153" i="31" s="1"/>
  <c r="E13153" i="31"/>
  <c r="I13149" i="31"/>
  <c r="F13149" i="31"/>
  <c r="G13149" i="31" s="1"/>
  <c r="E13149" i="31"/>
  <c r="I13148" i="31"/>
  <c r="F13148" i="31"/>
  <c r="G13148" i="31" s="1"/>
  <c r="E13148" i="31"/>
  <c r="F13147" i="31"/>
  <c r="G13147" i="31" s="1"/>
  <c r="E13147" i="31"/>
  <c r="F13146" i="31"/>
  <c r="E13146" i="31"/>
  <c r="F13145" i="31"/>
  <c r="G13145" i="31" s="1"/>
  <c r="E13145" i="31"/>
  <c r="F13144" i="31"/>
  <c r="G13144" i="31" s="1"/>
  <c r="E13144" i="31"/>
  <c r="C13141" i="31"/>
  <c r="E13138" i="31"/>
  <c r="D13138" i="31"/>
  <c r="F13130" i="31"/>
  <c r="E13130" i="31"/>
  <c r="F13126" i="31"/>
  <c r="I13126" i="31" s="1"/>
  <c r="I13127" i="31" s="1"/>
  <c r="I13135" i="31" s="1"/>
  <c r="E13126" i="31"/>
  <c r="I13122" i="31"/>
  <c r="I13123" i="31" s="1"/>
  <c r="F13122" i="31"/>
  <c r="E13122" i="31"/>
  <c r="F13121" i="31"/>
  <c r="I13121" i="31" s="1"/>
  <c r="E13121" i="31"/>
  <c r="I13117" i="31"/>
  <c r="F13117" i="31"/>
  <c r="G13117" i="31" s="1"/>
  <c r="E13117" i="31"/>
  <c r="I13116" i="31"/>
  <c r="F13116" i="31"/>
  <c r="G13116" i="31" s="1"/>
  <c r="E13116" i="31"/>
  <c r="E13115" i="31"/>
  <c r="F13114" i="31"/>
  <c r="G13114" i="31" s="1"/>
  <c r="E13114" i="31"/>
  <c r="C13111" i="31"/>
  <c r="E13109" i="31"/>
  <c r="F13100" i="31"/>
  <c r="I13100" i="31" s="1"/>
  <c r="I13101" i="31" s="1"/>
  <c r="I13106" i="31" s="1"/>
  <c r="E13100" i="31"/>
  <c r="F13096" i="31"/>
  <c r="G13096" i="31" s="1"/>
  <c r="E13096" i="31"/>
  <c r="F13092" i="31"/>
  <c r="I13092" i="31" s="1"/>
  <c r="I13093" i="31" s="1"/>
  <c r="I13104" i="31" s="1"/>
  <c r="E13092" i="31"/>
  <c r="F13088" i="31"/>
  <c r="E13088" i="31"/>
  <c r="F13087" i="31"/>
  <c r="E13087" i="31"/>
  <c r="F13086" i="31"/>
  <c r="E13086" i="31"/>
  <c r="F13085" i="31"/>
  <c r="E13085" i="31"/>
  <c r="C13082" i="31"/>
  <c r="E13080" i="31"/>
  <c r="F13071" i="31"/>
  <c r="I13071" i="31" s="1"/>
  <c r="I13072" i="31" s="1"/>
  <c r="I13077" i="31" s="1"/>
  <c r="E13071" i="31"/>
  <c r="F13067" i="31"/>
  <c r="E13067" i="31"/>
  <c r="I13063" i="31"/>
  <c r="I13064" i="31" s="1"/>
  <c r="I13075" i="31" s="1"/>
  <c r="F13063" i="31"/>
  <c r="E13063" i="31"/>
  <c r="G13059" i="31"/>
  <c r="F13059" i="31"/>
  <c r="I13059" i="31" s="1"/>
  <c r="E13059" i="31"/>
  <c r="F13058" i="31"/>
  <c r="G13058" i="31" s="1"/>
  <c r="E13058" i="31"/>
  <c r="D13058" i="31"/>
  <c r="I13058" i="31" s="1"/>
  <c r="F13057" i="31"/>
  <c r="G13057" i="31" s="1"/>
  <c r="E13057" i="31"/>
  <c r="I13056" i="31"/>
  <c r="F13056" i="31"/>
  <c r="G13056" i="31" s="1"/>
  <c r="E13056" i="31"/>
  <c r="C13053" i="31"/>
  <c r="E13051" i="31"/>
  <c r="F13042" i="31"/>
  <c r="I13042" i="31" s="1"/>
  <c r="I13043" i="31" s="1"/>
  <c r="I13048" i="31" s="1"/>
  <c r="E13042" i="31"/>
  <c r="F13038" i="31"/>
  <c r="E13038" i="31"/>
  <c r="F13034" i="31"/>
  <c r="I13034" i="31" s="1"/>
  <c r="E13034" i="31"/>
  <c r="F13033" i="31"/>
  <c r="I13033" i="31" s="1"/>
  <c r="E13033" i="31"/>
  <c r="F13032" i="31"/>
  <c r="E13032" i="31"/>
  <c r="F13031" i="31"/>
  <c r="I13031" i="31" s="1"/>
  <c r="E13031" i="31"/>
  <c r="G13027" i="31"/>
  <c r="F13027" i="31"/>
  <c r="I13027" i="31" s="1"/>
  <c r="E13027" i="31"/>
  <c r="F13026" i="31"/>
  <c r="E13026" i="31"/>
  <c r="F13025" i="31"/>
  <c r="E13025" i="31"/>
  <c r="E13024" i="31"/>
  <c r="D13024" i="31"/>
  <c r="F13023" i="31"/>
  <c r="I13023" i="31" s="1"/>
  <c r="E13023" i="31"/>
  <c r="F13022" i="31"/>
  <c r="E13022" i="31"/>
  <c r="C13019" i="31"/>
  <c r="E13017" i="31"/>
  <c r="F13008" i="31"/>
  <c r="I13008" i="31" s="1"/>
  <c r="I13009" i="31" s="1"/>
  <c r="I13014" i="31" s="1"/>
  <c r="E13008" i="31"/>
  <c r="F13004" i="31"/>
  <c r="G13004" i="31" s="1"/>
  <c r="E13004" i="31"/>
  <c r="F13000" i="31"/>
  <c r="I13000" i="31" s="1"/>
  <c r="I13001" i="31" s="1"/>
  <c r="I13012" i="31" s="1"/>
  <c r="E13000" i="31"/>
  <c r="F12996" i="31"/>
  <c r="E12996" i="31"/>
  <c r="F12995" i="31"/>
  <c r="G12995" i="31" s="1"/>
  <c r="E12995" i="31"/>
  <c r="D12995" i="31"/>
  <c r="F12994" i="31"/>
  <c r="E12994" i="31"/>
  <c r="F12993" i="31"/>
  <c r="I12993" i="31" s="1"/>
  <c r="E12993" i="31"/>
  <c r="C12990" i="31"/>
  <c r="E12988" i="31"/>
  <c r="F12979" i="31"/>
  <c r="I12979" i="31" s="1"/>
  <c r="I12980" i="31" s="1"/>
  <c r="I12985" i="31" s="1"/>
  <c r="E12979" i="31"/>
  <c r="F12975" i="31"/>
  <c r="I12975" i="31" s="1"/>
  <c r="I12976" i="31" s="1"/>
  <c r="I12984" i="31" s="1"/>
  <c r="E12975" i="31"/>
  <c r="I12971" i="31"/>
  <c r="I12972" i="31" s="1"/>
  <c r="I12983" i="31" s="1"/>
  <c r="F12971" i="31"/>
  <c r="E12971" i="31"/>
  <c r="F12967" i="31"/>
  <c r="G12967" i="31" s="1"/>
  <c r="E12967" i="31"/>
  <c r="D12967" i="31"/>
  <c r="F12966" i="31"/>
  <c r="E12966" i="31"/>
  <c r="F12965" i="31"/>
  <c r="E12965" i="31"/>
  <c r="C12962" i="31"/>
  <c r="E12960" i="31"/>
  <c r="F12951" i="31"/>
  <c r="E12951" i="31"/>
  <c r="I12947" i="31"/>
  <c r="F12947" i="31"/>
  <c r="G12947" i="31" s="1"/>
  <c r="E12947" i="31"/>
  <c r="F12946" i="31"/>
  <c r="G12946" i="31" s="1"/>
  <c r="E12946" i="31"/>
  <c r="I12945" i="31"/>
  <c r="F12945" i="31"/>
  <c r="G12945" i="31" s="1"/>
  <c r="E12945" i="31"/>
  <c r="F12941" i="31"/>
  <c r="I12941" i="31" s="1"/>
  <c r="I12942" i="31" s="1"/>
  <c r="I12955" i="31" s="1"/>
  <c r="E12941" i="31"/>
  <c r="F12937" i="31"/>
  <c r="G12937" i="31" s="1"/>
  <c r="E12937" i="31"/>
  <c r="C12934" i="31"/>
  <c r="E12932" i="31"/>
  <c r="F12923" i="31"/>
  <c r="I12923" i="31" s="1"/>
  <c r="I12924" i="31" s="1"/>
  <c r="I12929" i="31" s="1"/>
  <c r="E12923" i="31"/>
  <c r="F12919" i="31"/>
  <c r="E12919" i="31"/>
  <c r="F12918" i="31"/>
  <c r="E12918" i="31"/>
  <c r="F12917" i="31"/>
  <c r="E12917" i="31"/>
  <c r="F12913" i="31"/>
  <c r="I12913" i="31" s="1"/>
  <c r="I12914" i="31" s="1"/>
  <c r="I12927" i="31" s="1"/>
  <c r="E12913" i="31"/>
  <c r="F12909" i="31"/>
  <c r="I12909" i="31" s="1"/>
  <c r="I12910" i="31" s="1"/>
  <c r="I12926" i="31" s="1"/>
  <c r="E12909" i="31"/>
  <c r="C12906" i="31"/>
  <c r="E12904" i="31"/>
  <c r="F12895" i="31"/>
  <c r="E12895" i="31"/>
  <c r="F12891" i="31"/>
  <c r="E12891" i="31"/>
  <c r="I12890" i="31"/>
  <c r="F12890" i="31"/>
  <c r="G12890" i="31" s="1"/>
  <c r="E12890" i="31"/>
  <c r="F12886" i="31"/>
  <c r="I12886" i="31" s="1"/>
  <c r="I12887" i="31" s="1"/>
  <c r="I12899" i="31" s="1"/>
  <c r="E12886" i="31"/>
  <c r="F12882" i="31"/>
  <c r="E12882" i="31"/>
  <c r="C12879" i="31"/>
  <c r="E12877" i="31"/>
  <c r="F12868" i="31"/>
  <c r="G12868" i="31" s="1"/>
  <c r="E12868" i="31"/>
  <c r="F12864" i="31"/>
  <c r="I12864" i="31" s="1"/>
  <c r="I12865" i="31" s="1"/>
  <c r="I12873" i="31" s="1"/>
  <c r="E12864" i="31"/>
  <c r="F12860" i="31"/>
  <c r="I12860" i="31" s="1"/>
  <c r="E12860" i="31"/>
  <c r="F12859" i="31"/>
  <c r="I12859" i="31" s="1"/>
  <c r="E12859" i="31"/>
  <c r="F12858" i="31"/>
  <c r="I12858" i="31" s="1"/>
  <c r="E12858" i="31"/>
  <c r="F12854" i="31"/>
  <c r="G12854" i="31" s="1"/>
  <c r="E12854" i="31"/>
  <c r="D12854" i="31"/>
  <c r="I12854" i="31" s="1"/>
  <c r="F12853" i="31"/>
  <c r="G12853" i="31" s="1"/>
  <c r="E12853" i="31"/>
  <c r="D12853" i="31"/>
  <c r="F12852" i="31"/>
  <c r="G12852" i="31" s="1"/>
  <c r="E12852" i="31"/>
  <c r="D12852" i="31"/>
  <c r="I12852" i="31" s="1"/>
  <c r="E12851" i="31"/>
  <c r="D12851" i="31"/>
  <c r="C12848" i="31"/>
  <c r="E12844" i="31"/>
  <c r="F12836" i="31"/>
  <c r="I12836" i="31" s="1"/>
  <c r="I12837" i="31" s="1"/>
  <c r="I12842" i="31" s="1"/>
  <c r="E12836" i="31"/>
  <c r="F12832" i="31"/>
  <c r="I12832" i="31" s="1"/>
  <c r="I12833" i="31" s="1"/>
  <c r="I12841" i="31" s="1"/>
  <c r="E12832" i="31"/>
  <c r="F12828" i="31"/>
  <c r="I12828" i="31" s="1"/>
  <c r="I12829" i="31" s="1"/>
  <c r="I12840" i="31" s="1"/>
  <c r="E12828" i="31"/>
  <c r="F12824" i="31"/>
  <c r="I12824" i="31" s="1"/>
  <c r="I12825" i="31" s="1"/>
  <c r="I12839" i="31" s="1"/>
  <c r="E12824" i="31"/>
  <c r="C12821" i="31"/>
  <c r="E12819" i="31"/>
  <c r="F12811" i="31"/>
  <c r="I12811" i="31" s="1"/>
  <c r="I12812" i="31" s="1"/>
  <c r="I12817" i="31" s="1"/>
  <c r="E12811" i="31"/>
  <c r="F12807" i="31"/>
  <c r="G12807" i="31" s="1"/>
  <c r="E12807" i="31"/>
  <c r="F12803" i="31"/>
  <c r="I12803" i="31" s="1"/>
  <c r="I12804" i="31" s="1"/>
  <c r="I12815" i="31" s="1"/>
  <c r="E12803" i="31"/>
  <c r="F12799" i="31"/>
  <c r="E12799" i="31"/>
  <c r="C12796" i="31"/>
  <c r="E12794" i="31"/>
  <c r="F12786" i="31"/>
  <c r="I12786" i="31" s="1"/>
  <c r="I12787" i="31" s="1"/>
  <c r="I12792" i="31" s="1"/>
  <c r="E12786" i="31"/>
  <c r="F12782" i="31"/>
  <c r="I12782" i="31" s="1"/>
  <c r="I12783" i="31" s="1"/>
  <c r="I12791" i="31" s="1"/>
  <c r="E12782" i="31"/>
  <c r="F12778" i="31"/>
  <c r="I12778" i="31" s="1"/>
  <c r="I12779" i="31" s="1"/>
  <c r="I12790" i="31" s="1"/>
  <c r="E12778" i="31"/>
  <c r="F12774" i="31"/>
  <c r="E12774" i="31"/>
  <c r="C12771" i="31"/>
  <c r="E12769" i="31"/>
  <c r="F12761" i="31"/>
  <c r="I12761" i="31" s="1"/>
  <c r="I12762" i="31" s="1"/>
  <c r="I12767" i="31" s="1"/>
  <c r="E12761" i="31"/>
  <c r="F12757" i="31"/>
  <c r="E12757" i="31"/>
  <c r="F12753" i="31"/>
  <c r="I12753" i="31" s="1"/>
  <c r="I12754" i="31" s="1"/>
  <c r="I12765" i="31" s="1"/>
  <c r="E12753" i="31"/>
  <c r="F12749" i="31"/>
  <c r="I12749" i="31" s="1"/>
  <c r="I12750" i="31" s="1"/>
  <c r="I12764" i="31" s="1"/>
  <c r="E12749" i="31"/>
  <c r="C12746" i="31"/>
  <c r="E12743" i="31"/>
  <c r="F12735" i="31"/>
  <c r="I12735" i="31" s="1"/>
  <c r="I12736" i="31" s="1"/>
  <c r="I12741" i="31" s="1"/>
  <c r="E12735" i="31"/>
  <c r="F12731" i="31"/>
  <c r="G12731" i="31" s="1"/>
  <c r="E12731" i="31"/>
  <c r="F12727" i="31"/>
  <c r="I12727" i="31" s="1"/>
  <c r="I12728" i="31" s="1"/>
  <c r="I12739" i="31" s="1"/>
  <c r="E12727" i="31"/>
  <c r="F12723" i="31"/>
  <c r="I12723" i="31" s="1"/>
  <c r="I12724" i="31" s="1"/>
  <c r="I12738" i="31" s="1"/>
  <c r="E12723" i="31"/>
  <c r="C12720" i="31"/>
  <c r="E12718" i="31"/>
  <c r="F12710" i="31"/>
  <c r="I12710" i="31" s="1"/>
  <c r="I12711" i="31" s="1"/>
  <c r="I12716" i="31" s="1"/>
  <c r="E12710" i="31"/>
  <c r="F12706" i="31"/>
  <c r="G12706" i="31" s="1"/>
  <c r="E12706" i="31"/>
  <c r="F12702" i="31"/>
  <c r="I12702" i="31" s="1"/>
  <c r="I12703" i="31" s="1"/>
  <c r="I12714" i="31" s="1"/>
  <c r="E12702" i="31"/>
  <c r="F12698" i="31"/>
  <c r="E12698" i="31"/>
  <c r="C12695" i="31"/>
  <c r="E12693" i="31"/>
  <c r="F12685" i="31"/>
  <c r="I12685" i="31" s="1"/>
  <c r="I12686" i="31" s="1"/>
  <c r="I12691" i="31" s="1"/>
  <c r="E12685" i="31"/>
  <c r="F12681" i="31"/>
  <c r="G12681" i="31" s="1"/>
  <c r="E12681" i="31"/>
  <c r="F12677" i="31"/>
  <c r="I12677" i="31" s="1"/>
  <c r="I12678" i="31" s="1"/>
  <c r="I12689" i="31" s="1"/>
  <c r="E12677" i="31"/>
  <c r="I12673" i="31"/>
  <c r="I12674" i="31" s="1"/>
  <c r="I12688" i="31" s="1"/>
  <c r="F12673" i="31"/>
  <c r="G12673" i="31" s="1"/>
  <c r="E12673" i="31"/>
  <c r="C12670" i="31"/>
  <c r="E12668" i="31"/>
  <c r="F12660" i="31"/>
  <c r="I12660" i="31" s="1"/>
  <c r="I12661" i="31" s="1"/>
  <c r="I12666" i="31" s="1"/>
  <c r="E12660" i="31"/>
  <c r="F12656" i="31"/>
  <c r="I12656" i="31" s="1"/>
  <c r="I12657" i="31" s="1"/>
  <c r="I12665" i="31" s="1"/>
  <c r="E12656" i="31"/>
  <c r="F12652" i="31"/>
  <c r="I12652" i="31" s="1"/>
  <c r="I12653" i="31" s="1"/>
  <c r="I12664" i="31" s="1"/>
  <c r="E12652" i="31"/>
  <c r="F12648" i="31"/>
  <c r="G12648" i="31" s="1"/>
  <c r="E12648" i="31"/>
  <c r="C12645" i="31"/>
  <c r="E12643" i="31"/>
  <c r="F12635" i="31"/>
  <c r="I12635" i="31" s="1"/>
  <c r="I12636" i="31" s="1"/>
  <c r="I12641" i="31" s="1"/>
  <c r="E12635" i="31"/>
  <c r="F12631" i="31"/>
  <c r="I12631" i="31" s="1"/>
  <c r="I12632" i="31" s="1"/>
  <c r="I12640" i="31" s="1"/>
  <c r="E12631" i="31"/>
  <c r="F12627" i="31"/>
  <c r="I12627" i="31" s="1"/>
  <c r="I12628" i="31" s="1"/>
  <c r="I12639" i="31" s="1"/>
  <c r="E12627" i="31"/>
  <c r="F12623" i="31"/>
  <c r="E12623" i="31"/>
  <c r="C12620" i="31"/>
  <c r="E12618" i="31"/>
  <c r="F12610" i="31"/>
  <c r="I12610" i="31" s="1"/>
  <c r="I12611" i="31" s="1"/>
  <c r="I12616" i="31" s="1"/>
  <c r="E12610" i="31"/>
  <c r="F12606" i="31"/>
  <c r="I12606" i="31" s="1"/>
  <c r="I12607" i="31" s="1"/>
  <c r="I12615" i="31" s="1"/>
  <c r="E12606" i="31"/>
  <c r="F12602" i="31"/>
  <c r="I12602" i="31" s="1"/>
  <c r="I12603" i="31" s="1"/>
  <c r="I12614" i="31" s="1"/>
  <c r="E12602" i="31"/>
  <c r="F12598" i="31"/>
  <c r="G12598" i="31" s="1"/>
  <c r="E12598" i="31"/>
  <c r="C12595" i="31"/>
  <c r="E12593" i="31"/>
  <c r="F12585" i="31"/>
  <c r="I12585" i="31" s="1"/>
  <c r="I12586" i="31" s="1"/>
  <c r="I12591" i="31" s="1"/>
  <c r="E12585" i="31"/>
  <c r="F12581" i="31"/>
  <c r="I12581" i="31" s="1"/>
  <c r="I12582" i="31" s="1"/>
  <c r="I12590" i="31" s="1"/>
  <c r="E12581" i="31"/>
  <c r="F12577" i="31"/>
  <c r="I12577" i="31" s="1"/>
  <c r="I12578" i="31" s="1"/>
  <c r="I12589" i="31" s="1"/>
  <c r="E12577" i="31"/>
  <c r="I12573" i="31"/>
  <c r="I12574" i="31" s="1"/>
  <c r="I12588" i="31" s="1"/>
  <c r="F12573" i="31"/>
  <c r="G12573" i="31" s="1"/>
  <c r="E12573" i="31"/>
  <c r="C12570" i="31"/>
  <c r="E12568" i="31"/>
  <c r="F12560" i="31"/>
  <c r="I12560" i="31" s="1"/>
  <c r="I12561" i="31" s="1"/>
  <c r="I12566" i="31" s="1"/>
  <c r="E12560" i="31"/>
  <c r="F12556" i="31"/>
  <c r="I12556" i="31" s="1"/>
  <c r="I12557" i="31" s="1"/>
  <c r="I12565" i="31" s="1"/>
  <c r="E12556" i="31"/>
  <c r="F12552" i="31"/>
  <c r="I12552" i="31" s="1"/>
  <c r="I12553" i="31" s="1"/>
  <c r="I12564" i="31" s="1"/>
  <c r="E12552" i="31"/>
  <c r="F12548" i="31"/>
  <c r="G12548" i="31" s="1"/>
  <c r="E12548" i="31"/>
  <c r="C12545" i="31"/>
  <c r="E12543" i="31"/>
  <c r="F12535" i="31"/>
  <c r="I12535" i="31" s="1"/>
  <c r="I12536" i="31" s="1"/>
  <c r="I12541" i="31" s="1"/>
  <c r="E12535" i="31"/>
  <c r="F12531" i="31"/>
  <c r="I12531" i="31" s="1"/>
  <c r="I12532" i="31" s="1"/>
  <c r="I12540" i="31" s="1"/>
  <c r="E12531" i="31"/>
  <c r="F12527" i="31"/>
  <c r="I12527" i="31" s="1"/>
  <c r="I12528" i="31" s="1"/>
  <c r="I12539" i="31" s="1"/>
  <c r="E12527" i="31"/>
  <c r="F12523" i="31"/>
  <c r="I12523" i="31" s="1"/>
  <c r="E12523" i="31"/>
  <c r="F12522" i="31"/>
  <c r="I12522" i="31" s="1"/>
  <c r="E12522" i="31"/>
  <c r="C12519" i="31"/>
  <c r="E12517" i="31"/>
  <c r="F12509" i="31"/>
  <c r="I12509" i="31" s="1"/>
  <c r="I12510" i="31" s="1"/>
  <c r="I12515" i="31" s="1"/>
  <c r="E12509" i="31"/>
  <c r="F12505" i="31"/>
  <c r="I12505" i="31" s="1"/>
  <c r="I12506" i="31" s="1"/>
  <c r="I12514" i="31" s="1"/>
  <c r="E12505" i="31"/>
  <c r="F12501" i="31"/>
  <c r="I12501" i="31" s="1"/>
  <c r="I12502" i="31" s="1"/>
  <c r="I12513" i="31" s="1"/>
  <c r="E12501" i="31"/>
  <c r="F12497" i="31"/>
  <c r="I12497" i="31" s="1"/>
  <c r="I12498" i="31" s="1"/>
  <c r="I12512" i="31" s="1"/>
  <c r="E12497" i="31"/>
  <c r="C12494" i="31"/>
  <c r="E12492" i="31"/>
  <c r="F12484" i="31"/>
  <c r="I12484" i="31" s="1"/>
  <c r="I12485" i="31" s="1"/>
  <c r="I12490" i="31" s="1"/>
  <c r="E12484" i="31"/>
  <c r="F12480" i="31"/>
  <c r="I12480" i="31" s="1"/>
  <c r="I12481" i="31" s="1"/>
  <c r="I12489" i="31" s="1"/>
  <c r="E12480" i="31"/>
  <c r="F12476" i="31"/>
  <c r="I12476" i="31" s="1"/>
  <c r="I12477" i="31" s="1"/>
  <c r="I12488" i="31" s="1"/>
  <c r="E12476" i="31"/>
  <c r="F12472" i="31"/>
  <c r="I12472" i="31" s="1"/>
  <c r="I12473" i="31" s="1"/>
  <c r="I12487" i="31" s="1"/>
  <c r="E12472" i="31"/>
  <c r="C12469" i="31"/>
  <c r="E12467" i="31"/>
  <c r="F12459" i="31"/>
  <c r="I12459" i="31" s="1"/>
  <c r="I12460" i="31" s="1"/>
  <c r="I12465" i="31" s="1"/>
  <c r="E12459" i="31"/>
  <c r="F12455" i="31"/>
  <c r="G12455" i="31" s="1"/>
  <c r="E12455" i="31"/>
  <c r="F12451" i="31"/>
  <c r="I12451" i="31" s="1"/>
  <c r="I12452" i="31" s="1"/>
  <c r="I12463" i="31" s="1"/>
  <c r="E12451" i="31"/>
  <c r="F12447" i="31"/>
  <c r="I12447" i="31" s="1"/>
  <c r="I12448" i="31" s="1"/>
  <c r="I12462" i="31" s="1"/>
  <c r="E12447" i="31"/>
  <c r="C12444" i="31"/>
  <c r="E12442" i="31"/>
  <c r="F12434" i="31"/>
  <c r="I12434" i="31" s="1"/>
  <c r="I12435" i="31" s="1"/>
  <c r="I12440" i="31" s="1"/>
  <c r="E12434" i="31"/>
  <c r="F12430" i="31"/>
  <c r="I12430" i="31" s="1"/>
  <c r="I12431" i="31" s="1"/>
  <c r="I12439" i="31" s="1"/>
  <c r="E12430" i="31"/>
  <c r="F12426" i="31"/>
  <c r="I12426" i="31" s="1"/>
  <c r="I12427" i="31" s="1"/>
  <c r="I12438" i="31" s="1"/>
  <c r="E12426" i="31"/>
  <c r="F12422" i="31"/>
  <c r="E12422" i="31"/>
  <c r="C12419" i="31"/>
  <c r="E12417" i="31"/>
  <c r="F12409" i="31"/>
  <c r="I12409" i="31" s="1"/>
  <c r="I12410" i="31" s="1"/>
  <c r="I12415" i="31" s="1"/>
  <c r="E12409" i="31"/>
  <c r="F12405" i="31"/>
  <c r="G12405" i="31" s="1"/>
  <c r="E12405" i="31"/>
  <c r="F12401" i="31"/>
  <c r="I12401" i="31" s="1"/>
  <c r="I12402" i="31" s="1"/>
  <c r="I12413" i="31" s="1"/>
  <c r="E12401" i="31"/>
  <c r="F12397" i="31"/>
  <c r="I12397" i="31" s="1"/>
  <c r="I12398" i="31" s="1"/>
  <c r="I12412" i="31" s="1"/>
  <c r="E12397" i="31"/>
  <c r="C12394" i="31"/>
  <c r="E12392" i="31"/>
  <c r="F12384" i="31"/>
  <c r="I12384" i="31" s="1"/>
  <c r="I12385" i="31" s="1"/>
  <c r="I12390" i="31" s="1"/>
  <c r="E12384" i="31"/>
  <c r="F12380" i="31"/>
  <c r="I12380" i="31" s="1"/>
  <c r="I12381" i="31" s="1"/>
  <c r="I12389" i="31" s="1"/>
  <c r="E12380" i="31"/>
  <c r="F12376" i="31"/>
  <c r="I12376" i="31" s="1"/>
  <c r="I12377" i="31" s="1"/>
  <c r="I12388" i="31" s="1"/>
  <c r="E12376" i="31"/>
  <c r="G12372" i="31"/>
  <c r="F12372" i="31"/>
  <c r="I12372" i="31" s="1"/>
  <c r="I12373" i="31" s="1"/>
  <c r="I12387" i="31" s="1"/>
  <c r="E12372" i="31"/>
  <c r="C12369" i="31"/>
  <c r="E12367" i="31"/>
  <c r="F12359" i="31"/>
  <c r="I12359" i="31" s="1"/>
  <c r="I12360" i="31" s="1"/>
  <c r="I12365" i="31" s="1"/>
  <c r="E12359" i="31"/>
  <c r="F12355" i="31"/>
  <c r="G12355" i="31" s="1"/>
  <c r="E12355" i="31"/>
  <c r="F12351" i="31"/>
  <c r="I12351" i="31" s="1"/>
  <c r="I12352" i="31" s="1"/>
  <c r="I12363" i="31" s="1"/>
  <c r="E12351" i="31"/>
  <c r="F12347" i="31"/>
  <c r="E12347" i="31"/>
  <c r="C12344" i="31"/>
  <c r="E12342" i="31"/>
  <c r="F12334" i="31"/>
  <c r="I12334" i="31" s="1"/>
  <c r="I12335" i="31" s="1"/>
  <c r="I12340" i="31" s="1"/>
  <c r="E12334" i="31"/>
  <c r="F12330" i="31"/>
  <c r="G12330" i="31" s="1"/>
  <c r="E12330" i="31"/>
  <c r="F12326" i="31"/>
  <c r="I12326" i="31" s="1"/>
  <c r="I12327" i="31" s="1"/>
  <c r="I12338" i="31" s="1"/>
  <c r="E12326" i="31"/>
  <c r="F12322" i="31"/>
  <c r="I12322" i="31" s="1"/>
  <c r="I12323" i="31" s="1"/>
  <c r="I12337" i="31" s="1"/>
  <c r="E12322" i="31"/>
  <c r="C12319" i="31"/>
  <c r="E12317" i="31"/>
  <c r="F12309" i="31"/>
  <c r="I12309" i="31" s="1"/>
  <c r="I12310" i="31" s="1"/>
  <c r="I12315" i="31" s="1"/>
  <c r="E12309" i="31"/>
  <c r="F12305" i="31"/>
  <c r="I12305" i="31" s="1"/>
  <c r="I12306" i="31" s="1"/>
  <c r="I12314" i="31" s="1"/>
  <c r="E12305" i="31"/>
  <c r="F12301" i="31"/>
  <c r="I12301" i="31" s="1"/>
  <c r="I12302" i="31" s="1"/>
  <c r="I12313" i="31" s="1"/>
  <c r="E12301" i="31"/>
  <c r="F12297" i="31"/>
  <c r="E12297" i="31"/>
  <c r="C12294" i="31"/>
  <c r="E12290" i="31"/>
  <c r="F12281" i="31"/>
  <c r="I12281" i="31" s="1"/>
  <c r="I12282" i="31" s="1"/>
  <c r="I12287" i="31" s="1"/>
  <c r="E12281" i="31"/>
  <c r="F12277" i="31"/>
  <c r="I12277" i="31" s="1"/>
  <c r="I12278" i="31" s="1"/>
  <c r="I12286" i="31" s="1"/>
  <c r="E12277" i="31"/>
  <c r="F12273" i="31"/>
  <c r="I12273" i="31" s="1"/>
  <c r="I12274" i="31" s="1"/>
  <c r="I12285" i="31" s="1"/>
  <c r="E12273" i="31"/>
  <c r="F12269" i="31"/>
  <c r="I12269" i="31" s="1"/>
  <c r="E12269" i="31"/>
  <c r="F12268" i="31"/>
  <c r="I12268" i="31" s="1"/>
  <c r="E12268" i="31"/>
  <c r="F12267" i="31"/>
  <c r="I12267" i="31" s="1"/>
  <c r="E12267" i="31"/>
  <c r="F12266" i="31"/>
  <c r="I12266" i="31" s="1"/>
  <c r="E12266" i="31"/>
  <c r="C12263" i="31"/>
  <c r="E12261" i="31"/>
  <c r="F12253" i="31"/>
  <c r="E12253" i="31"/>
  <c r="F12249" i="31"/>
  <c r="G12249" i="31" s="1"/>
  <c r="E12249" i="31"/>
  <c r="F12245" i="31"/>
  <c r="I12245" i="31" s="1"/>
  <c r="E12245" i="31"/>
  <c r="F12244" i="31"/>
  <c r="I12244" i="31" s="1"/>
  <c r="E12244" i="31"/>
  <c r="F12243" i="31"/>
  <c r="I12243" i="31" s="1"/>
  <c r="E12243" i="31"/>
  <c r="F12239" i="31"/>
  <c r="I12239" i="31" s="1"/>
  <c r="E12239" i="31"/>
  <c r="F12238" i="31"/>
  <c r="I12238" i="31" s="1"/>
  <c r="E12238" i="31"/>
  <c r="F12237" i="31"/>
  <c r="I12237" i="31" s="1"/>
  <c r="E12237" i="31"/>
  <c r="E12236" i="31"/>
  <c r="C12233" i="31"/>
  <c r="E12231" i="31"/>
  <c r="F12223" i="31"/>
  <c r="I12223" i="31" s="1"/>
  <c r="I12224" i="31" s="1"/>
  <c r="I12229" i="31" s="1"/>
  <c r="E12223" i="31"/>
  <c r="F12219" i="31"/>
  <c r="I12219" i="31" s="1"/>
  <c r="I12220" i="31" s="1"/>
  <c r="I12228" i="31" s="1"/>
  <c r="E12219" i="31"/>
  <c r="F12215" i="31"/>
  <c r="I12215" i="31" s="1"/>
  <c r="I12216" i="31" s="1"/>
  <c r="I12227" i="31" s="1"/>
  <c r="E12215" i="31"/>
  <c r="F12211" i="31"/>
  <c r="E12211" i="31"/>
  <c r="C12208" i="31"/>
  <c r="E12206" i="31"/>
  <c r="F12198" i="31"/>
  <c r="I12198" i="31" s="1"/>
  <c r="I12199" i="31" s="1"/>
  <c r="I12204" i="31" s="1"/>
  <c r="E12198" i="31"/>
  <c r="I12194" i="31"/>
  <c r="I12195" i="31" s="1"/>
  <c r="I12203" i="31" s="1"/>
  <c r="F12194" i="31"/>
  <c r="G12194" i="31" s="1"/>
  <c r="E12194" i="31"/>
  <c r="F12190" i="31"/>
  <c r="I12190" i="31" s="1"/>
  <c r="I12191" i="31" s="1"/>
  <c r="I12202" i="31" s="1"/>
  <c r="E12190" i="31"/>
  <c r="F12186" i="31"/>
  <c r="I12186" i="31" s="1"/>
  <c r="I12187" i="31" s="1"/>
  <c r="I12201" i="31" s="1"/>
  <c r="E12186" i="31"/>
  <c r="C12183" i="31"/>
  <c r="E12181" i="31"/>
  <c r="F12173" i="31"/>
  <c r="I12173" i="31" s="1"/>
  <c r="I12174" i="31" s="1"/>
  <c r="I12179" i="31" s="1"/>
  <c r="E12173" i="31"/>
  <c r="F12169" i="31"/>
  <c r="I12169" i="31" s="1"/>
  <c r="I12170" i="31" s="1"/>
  <c r="I12178" i="31" s="1"/>
  <c r="E12169" i="31"/>
  <c r="F12165" i="31"/>
  <c r="I12165" i="31" s="1"/>
  <c r="I12166" i="31" s="1"/>
  <c r="I12177" i="31" s="1"/>
  <c r="E12165" i="31"/>
  <c r="F12161" i="31"/>
  <c r="G12161" i="31" s="1"/>
  <c r="E12161" i="31"/>
  <c r="C12158" i="31"/>
  <c r="E12156" i="31"/>
  <c r="F12148" i="31"/>
  <c r="I12148" i="31" s="1"/>
  <c r="I12149" i="31" s="1"/>
  <c r="I12154" i="31" s="1"/>
  <c r="E12148" i="31"/>
  <c r="F12144" i="31"/>
  <c r="G12144" i="31" s="1"/>
  <c r="E12144" i="31"/>
  <c r="F12140" i="31"/>
  <c r="I12140" i="31" s="1"/>
  <c r="E12140" i="31"/>
  <c r="F12139" i="31"/>
  <c r="I12139" i="31" s="1"/>
  <c r="E12139" i="31"/>
  <c r="I12135" i="31"/>
  <c r="G12135" i="31"/>
  <c r="F12134" i="31"/>
  <c r="I12134" i="31" s="1"/>
  <c r="I12136" i="31" s="1"/>
  <c r="I12151" i="31" s="1"/>
  <c r="C12131" i="31"/>
  <c r="E12129" i="31"/>
  <c r="F12121" i="31"/>
  <c r="I12121" i="31" s="1"/>
  <c r="I12122" i="31" s="1"/>
  <c r="I12127" i="31" s="1"/>
  <c r="E12121" i="31"/>
  <c r="F12117" i="31"/>
  <c r="I12117" i="31" s="1"/>
  <c r="I12118" i="31" s="1"/>
  <c r="I12126" i="31" s="1"/>
  <c r="E12117" i="31"/>
  <c r="F12113" i="31"/>
  <c r="I12113" i="31" s="1"/>
  <c r="E12113" i="31"/>
  <c r="F12112" i="31"/>
  <c r="I12112" i="31" s="1"/>
  <c r="E12112" i="31"/>
  <c r="I12108" i="31"/>
  <c r="G12108" i="31"/>
  <c r="I12107" i="31"/>
  <c r="I12109" i="31" s="1"/>
  <c r="I12124" i="31" s="1"/>
  <c r="F12107" i="31"/>
  <c r="G12107" i="31" s="1"/>
  <c r="C12104" i="31"/>
  <c r="F12093" i="31"/>
  <c r="I12093" i="31" s="1"/>
  <c r="I12094" i="31" s="1"/>
  <c r="I12099" i="31" s="1"/>
  <c r="E12093" i="31"/>
  <c r="F12089" i="31"/>
  <c r="E12089" i="31"/>
  <c r="F12085" i="31"/>
  <c r="I12085" i="31" s="1"/>
  <c r="E12085" i="31"/>
  <c r="F12084" i="31"/>
  <c r="I12084" i="31" s="1"/>
  <c r="E12084" i="31"/>
  <c r="F12083" i="31"/>
  <c r="I12083" i="31" s="1"/>
  <c r="E12083" i="31"/>
  <c r="F12079" i="31"/>
  <c r="I12079" i="31" s="1"/>
  <c r="E12079" i="31"/>
  <c r="F12078" i="31"/>
  <c r="I12078" i="31" s="1"/>
  <c r="E12078" i="31"/>
  <c r="F12077" i="31"/>
  <c r="I12077" i="31" s="1"/>
  <c r="E12077" i="31"/>
  <c r="F12076" i="31"/>
  <c r="I12076" i="31" s="1"/>
  <c r="E12076" i="31"/>
  <c r="C12073" i="31"/>
  <c r="F12061" i="31"/>
  <c r="I12061" i="31" s="1"/>
  <c r="I12062" i="31" s="1"/>
  <c r="I12067" i="31" s="1"/>
  <c r="E12061" i="31"/>
  <c r="F12057" i="31"/>
  <c r="I12057" i="31" s="1"/>
  <c r="I12058" i="31" s="1"/>
  <c r="I12066" i="31" s="1"/>
  <c r="E12057" i="31"/>
  <c r="F12053" i="31"/>
  <c r="I12053" i="31" s="1"/>
  <c r="E12053" i="31"/>
  <c r="F12052" i="31"/>
  <c r="I12052" i="31" s="1"/>
  <c r="E12052" i="31"/>
  <c r="F12051" i="31"/>
  <c r="I12051" i="31" s="1"/>
  <c r="E12051" i="31"/>
  <c r="F12047" i="31"/>
  <c r="I12047" i="31" s="1"/>
  <c r="E12047" i="31"/>
  <c r="F12046" i="31"/>
  <c r="I12046" i="31" s="1"/>
  <c r="E12046" i="31"/>
  <c r="F12045" i="31"/>
  <c r="I12045" i="31" s="1"/>
  <c r="E12045" i="31"/>
  <c r="F12044" i="31"/>
  <c r="I12044" i="31" s="1"/>
  <c r="E12044" i="31"/>
  <c r="F12043" i="31"/>
  <c r="I12043" i="31" s="1"/>
  <c r="E12043" i="31"/>
  <c r="F12042" i="31"/>
  <c r="I12042" i="31" s="1"/>
  <c r="E12042" i="31"/>
  <c r="C12039" i="31"/>
  <c r="E12037" i="31"/>
  <c r="F12029" i="31"/>
  <c r="I12029" i="31" s="1"/>
  <c r="I12030" i="31" s="1"/>
  <c r="I12035" i="31" s="1"/>
  <c r="E12029" i="31"/>
  <c r="F12025" i="31"/>
  <c r="E12025" i="31"/>
  <c r="F12021" i="31"/>
  <c r="I12021" i="31" s="1"/>
  <c r="I12022" i="31" s="1"/>
  <c r="I12033" i="31" s="1"/>
  <c r="E12021" i="31"/>
  <c r="F12017" i="31"/>
  <c r="E12017" i="31"/>
  <c r="G12016" i="31"/>
  <c r="F12016" i="31"/>
  <c r="I12016" i="31" s="1"/>
  <c r="E12016" i="31"/>
  <c r="C12013" i="31"/>
  <c r="E12011" i="31"/>
  <c r="F12003" i="31"/>
  <c r="I12003" i="31" s="1"/>
  <c r="I12004" i="31" s="1"/>
  <c r="I12009" i="31" s="1"/>
  <c r="E12003" i="31"/>
  <c r="F11999" i="31"/>
  <c r="G11999" i="31" s="1"/>
  <c r="E11999" i="31"/>
  <c r="F11995" i="31"/>
  <c r="I11995" i="31" s="1"/>
  <c r="I11996" i="31" s="1"/>
  <c r="I12007" i="31" s="1"/>
  <c r="E11995" i="31"/>
  <c r="F11991" i="31"/>
  <c r="I11991" i="31" s="1"/>
  <c r="E11991" i="31"/>
  <c r="F11990" i="31"/>
  <c r="I11990" i="31" s="1"/>
  <c r="E11990" i="31"/>
  <c r="F11989" i="31"/>
  <c r="I11989" i="31" s="1"/>
  <c r="E11989" i="31"/>
  <c r="C11986" i="31"/>
  <c r="E11984" i="31"/>
  <c r="F11976" i="31"/>
  <c r="I11976" i="31" s="1"/>
  <c r="I11977" i="31" s="1"/>
  <c r="I11982" i="31" s="1"/>
  <c r="E11976" i="31"/>
  <c r="F11972" i="31"/>
  <c r="I11972" i="31" s="1"/>
  <c r="I11973" i="31" s="1"/>
  <c r="I11981" i="31" s="1"/>
  <c r="E11972" i="31"/>
  <c r="F11968" i="31"/>
  <c r="I11968" i="31" s="1"/>
  <c r="I11969" i="31" s="1"/>
  <c r="I11980" i="31" s="1"/>
  <c r="E11968" i="31"/>
  <c r="F11964" i="31"/>
  <c r="I11964" i="31" s="1"/>
  <c r="E11964" i="31"/>
  <c r="G11963" i="31"/>
  <c r="F11963" i="31"/>
  <c r="I11963" i="31" s="1"/>
  <c r="E11963" i="31"/>
  <c r="F11962" i="31"/>
  <c r="I11962" i="31" s="1"/>
  <c r="E11962" i="31"/>
  <c r="C11959" i="31"/>
  <c r="E11957" i="31"/>
  <c r="F11949" i="31"/>
  <c r="I11949" i="31" s="1"/>
  <c r="I11950" i="31" s="1"/>
  <c r="I11955" i="31" s="1"/>
  <c r="E11949" i="31"/>
  <c r="F11945" i="31"/>
  <c r="G11945" i="31" s="1"/>
  <c r="E11945" i="31"/>
  <c r="F11941" i="31"/>
  <c r="I11941" i="31" s="1"/>
  <c r="E11941" i="31"/>
  <c r="F11940" i="31"/>
  <c r="I11940" i="31" s="1"/>
  <c r="E11940" i="31"/>
  <c r="I11936" i="31"/>
  <c r="F11936" i="31"/>
  <c r="G11936" i="31" s="1"/>
  <c r="E11936" i="31"/>
  <c r="F11935" i="31"/>
  <c r="E11935" i="31"/>
  <c r="I11934" i="31"/>
  <c r="F11934" i="31"/>
  <c r="G11934" i="31" s="1"/>
  <c r="E11934" i="31"/>
  <c r="C11931" i="31"/>
  <c r="E11929" i="31"/>
  <c r="F11920" i="31"/>
  <c r="I11920" i="31" s="1"/>
  <c r="I11921" i="31" s="1"/>
  <c r="I11926" i="31" s="1"/>
  <c r="E11920" i="31"/>
  <c r="F11916" i="31"/>
  <c r="E11916" i="31"/>
  <c r="F11912" i="31"/>
  <c r="I11912" i="31" s="1"/>
  <c r="E11912" i="31"/>
  <c r="F11911" i="31"/>
  <c r="I11911" i="31" s="1"/>
  <c r="E11911" i="31"/>
  <c r="F11910" i="31"/>
  <c r="I11910" i="31" s="1"/>
  <c r="E11910" i="31"/>
  <c r="F11906" i="31"/>
  <c r="G11906" i="31" s="1"/>
  <c r="E11906" i="31"/>
  <c r="F11905" i="31"/>
  <c r="G11905" i="31" s="1"/>
  <c r="E11905" i="31"/>
  <c r="I11904" i="31"/>
  <c r="F11904" i="31"/>
  <c r="G11904" i="31" s="1"/>
  <c r="E11904" i="31"/>
  <c r="F11903" i="31"/>
  <c r="E11903" i="31"/>
  <c r="F11902" i="31"/>
  <c r="E11902" i="31"/>
  <c r="F11901" i="31"/>
  <c r="G11901" i="31" s="1"/>
  <c r="E11901" i="31"/>
  <c r="C11898" i="31"/>
  <c r="E11896" i="31"/>
  <c r="F11887" i="31"/>
  <c r="I11887" i="31" s="1"/>
  <c r="I11888" i="31" s="1"/>
  <c r="I11893" i="31" s="1"/>
  <c r="E11887" i="31"/>
  <c r="F11883" i="31"/>
  <c r="E11883" i="31"/>
  <c r="F11879" i="31"/>
  <c r="I11879" i="31" s="1"/>
  <c r="E11879" i="31"/>
  <c r="F11878" i="31"/>
  <c r="I11878" i="31" s="1"/>
  <c r="E11878" i="31"/>
  <c r="I11877" i="31"/>
  <c r="F11877" i="31"/>
  <c r="E11877" i="31"/>
  <c r="F11873" i="31"/>
  <c r="G11873" i="31" s="1"/>
  <c r="E11873" i="31"/>
  <c r="F11872" i="31"/>
  <c r="G11872" i="31" s="1"/>
  <c r="E11872" i="31"/>
  <c r="F11871" i="31"/>
  <c r="E11871" i="31"/>
  <c r="I11870" i="31"/>
  <c r="F11870" i="31"/>
  <c r="G11870" i="31" s="1"/>
  <c r="E11870" i="31"/>
  <c r="F11869" i="31"/>
  <c r="G11869" i="31" s="1"/>
  <c r="E11869" i="31"/>
  <c r="F11868" i="31"/>
  <c r="G11868" i="31" s="1"/>
  <c r="E11868" i="31"/>
  <c r="C11865" i="31"/>
  <c r="E11863" i="31"/>
  <c r="F11854" i="31"/>
  <c r="I11854" i="31" s="1"/>
  <c r="I11855" i="31" s="1"/>
  <c r="I11860" i="31" s="1"/>
  <c r="E11854" i="31"/>
  <c r="F11850" i="31"/>
  <c r="E11850" i="31"/>
  <c r="F11846" i="31"/>
  <c r="I11846" i="31" s="1"/>
  <c r="E11846" i="31"/>
  <c r="F11845" i="31"/>
  <c r="I11845" i="31" s="1"/>
  <c r="E11845" i="31"/>
  <c r="F11844" i="31"/>
  <c r="I11844" i="31" s="1"/>
  <c r="E11844" i="31"/>
  <c r="F11840" i="31"/>
  <c r="G11840" i="31" s="1"/>
  <c r="E11840" i="31"/>
  <c r="F11839" i="31"/>
  <c r="E11839" i="31"/>
  <c r="I11838" i="31"/>
  <c r="F11838" i="31"/>
  <c r="G11838" i="31" s="1"/>
  <c r="E11838" i="31"/>
  <c r="F11837" i="31"/>
  <c r="G11837" i="31" s="1"/>
  <c r="E11837" i="31"/>
  <c r="I11836" i="31"/>
  <c r="F11836" i="31"/>
  <c r="G11836" i="31" s="1"/>
  <c r="E11836" i="31"/>
  <c r="F11835" i="31"/>
  <c r="E11835" i="31"/>
  <c r="C11832" i="31"/>
  <c r="B11832" i="31"/>
  <c r="E11829" i="31"/>
  <c r="D11829" i="31"/>
  <c r="F11821" i="31"/>
  <c r="E11821" i="31"/>
  <c r="F11817" i="31"/>
  <c r="E11817" i="31"/>
  <c r="F11813" i="31"/>
  <c r="I11813" i="31" s="1"/>
  <c r="I11814" i="31" s="1"/>
  <c r="I11825" i="31" s="1"/>
  <c r="E11813" i="31"/>
  <c r="F11812" i="31"/>
  <c r="I11812" i="31" s="1"/>
  <c r="E11812" i="31"/>
  <c r="F11808" i="31"/>
  <c r="E11808" i="31"/>
  <c r="G11807" i="31"/>
  <c r="F11807" i="31"/>
  <c r="I11807" i="31" s="1"/>
  <c r="E11807" i="31"/>
  <c r="E11806" i="31"/>
  <c r="F11805" i="31"/>
  <c r="I11805" i="31" s="1"/>
  <c r="E11805" i="31"/>
  <c r="C11802" i="31"/>
  <c r="E11800" i="31"/>
  <c r="F11791" i="31"/>
  <c r="I11791" i="31" s="1"/>
  <c r="I11792" i="31" s="1"/>
  <c r="I11797" i="31" s="1"/>
  <c r="E11791" i="31"/>
  <c r="F11787" i="31"/>
  <c r="I11787" i="31" s="1"/>
  <c r="I11788" i="31" s="1"/>
  <c r="I11796" i="31" s="1"/>
  <c r="E11787" i="31"/>
  <c r="F11783" i="31"/>
  <c r="I11783" i="31" s="1"/>
  <c r="I11784" i="31" s="1"/>
  <c r="I11795" i="31" s="1"/>
  <c r="E11783" i="31"/>
  <c r="F11779" i="31"/>
  <c r="E11779" i="31"/>
  <c r="G11778" i="31"/>
  <c r="F11778" i="31"/>
  <c r="I11778" i="31" s="1"/>
  <c r="E11778" i="31"/>
  <c r="F11777" i="31"/>
  <c r="I11777" i="31" s="1"/>
  <c r="E11777" i="31"/>
  <c r="G11776" i="31"/>
  <c r="F11776" i="31"/>
  <c r="I11776" i="31" s="1"/>
  <c r="E11776" i="31"/>
  <c r="C11773" i="31"/>
  <c r="E11771" i="31"/>
  <c r="F11762" i="31"/>
  <c r="I11762" i="31" s="1"/>
  <c r="I11763" i="31" s="1"/>
  <c r="I11768" i="31" s="1"/>
  <c r="E11762" i="31"/>
  <c r="F11758" i="31"/>
  <c r="G11758" i="31" s="1"/>
  <c r="E11758" i="31"/>
  <c r="F11754" i="31"/>
  <c r="I11754" i="31" s="1"/>
  <c r="E11754" i="31"/>
  <c r="F11753" i="31"/>
  <c r="I11753" i="31" s="1"/>
  <c r="E11753" i="31"/>
  <c r="F11752" i="31"/>
  <c r="I11752" i="31" s="1"/>
  <c r="E11752" i="31"/>
  <c r="F11751" i="31"/>
  <c r="I11751" i="31" s="1"/>
  <c r="E11751" i="31"/>
  <c r="F11747" i="31"/>
  <c r="E11747" i="31"/>
  <c r="F11746" i="31"/>
  <c r="I11746" i="31" s="1"/>
  <c r="E11746" i="31"/>
  <c r="G11745" i="31"/>
  <c r="F11745" i="31"/>
  <c r="I11745" i="31" s="1"/>
  <c r="E11745" i="31"/>
  <c r="E11744" i="31"/>
  <c r="D11744" i="31"/>
  <c r="F11743" i="31"/>
  <c r="E11743" i="31"/>
  <c r="F11742" i="31"/>
  <c r="E11742" i="31"/>
  <c r="C11739" i="31"/>
  <c r="E11737" i="31"/>
  <c r="F11728" i="31"/>
  <c r="I11728" i="31" s="1"/>
  <c r="I11729" i="31" s="1"/>
  <c r="I11734" i="31" s="1"/>
  <c r="E11728" i="31"/>
  <c r="F11724" i="31"/>
  <c r="G11724" i="31" s="1"/>
  <c r="E11724" i="31"/>
  <c r="I11720" i="31"/>
  <c r="F11720" i="31"/>
  <c r="G11720" i="31" s="1"/>
  <c r="E11720" i="31"/>
  <c r="F11719" i="31"/>
  <c r="G11719" i="31" s="1"/>
  <c r="E11719" i="31"/>
  <c r="F11718" i="31"/>
  <c r="G11718" i="31" s="1"/>
  <c r="E11718" i="31"/>
  <c r="F11717" i="31"/>
  <c r="I11717" i="31" s="1"/>
  <c r="E11717" i="31"/>
  <c r="F11713" i="31"/>
  <c r="G11713" i="31" s="1"/>
  <c r="E11713" i="31"/>
  <c r="F11712" i="31"/>
  <c r="G11712" i="31" s="1"/>
  <c r="E11712" i="31"/>
  <c r="F11711" i="31"/>
  <c r="G11711" i="31" s="1"/>
  <c r="E11711" i="31"/>
  <c r="E11710" i="31"/>
  <c r="D11710" i="31"/>
  <c r="G11709" i="31"/>
  <c r="F11709" i="31"/>
  <c r="I11709" i="31" s="1"/>
  <c r="E11709" i="31"/>
  <c r="F11708" i="31"/>
  <c r="I11708" i="31" s="1"/>
  <c r="E11708" i="31"/>
  <c r="C11705" i="31"/>
  <c r="E11703" i="31"/>
  <c r="F11694" i="31"/>
  <c r="I11694" i="31" s="1"/>
  <c r="I11695" i="31" s="1"/>
  <c r="I11700" i="31" s="1"/>
  <c r="E11694" i="31"/>
  <c r="F11690" i="31"/>
  <c r="G11690" i="31" s="1"/>
  <c r="E11690" i="31"/>
  <c r="F11686" i="31"/>
  <c r="E11686" i="31"/>
  <c r="D11686" i="31"/>
  <c r="I11686" i="31" s="1"/>
  <c r="I11687" i="31" s="1"/>
  <c r="I11698" i="31" s="1"/>
  <c r="F11682" i="31"/>
  <c r="E11682" i="31"/>
  <c r="F11681" i="31"/>
  <c r="G11681" i="31" s="1"/>
  <c r="E11681" i="31"/>
  <c r="D11681" i="31"/>
  <c r="F11680" i="31"/>
  <c r="I11680" i="31" s="1"/>
  <c r="E11680" i="31"/>
  <c r="F11679" i="31"/>
  <c r="I11679" i="31" s="1"/>
  <c r="E11679" i="31"/>
  <c r="C11676" i="31"/>
  <c r="E11674" i="31"/>
  <c r="F11665" i="31"/>
  <c r="I11665" i="31" s="1"/>
  <c r="I11666" i="31" s="1"/>
  <c r="I11671" i="31" s="1"/>
  <c r="E11665" i="31"/>
  <c r="F11661" i="31"/>
  <c r="E11661" i="31"/>
  <c r="F11657" i="31"/>
  <c r="I11657" i="31" s="1"/>
  <c r="I11658" i="31" s="1"/>
  <c r="I11669" i="31" s="1"/>
  <c r="E11657" i="31"/>
  <c r="F11653" i="31"/>
  <c r="G11653" i="31" s="1"/>
  <c r="E11653" i="31"/>
  <c r="F11652" i="31"/>
  <c r="G11652" i="31" s="1"/>
  <c r="E11652" i="31"/>
  <c r="D11652" i="31"/>
  <c r="G11651" i="31"/>
  <c r="F11651" i="31"/>
  <c r="I11651" i="31" s="1"/>
  <c r="E11651" i="31"/>
  <c r="F11650" i="31"/>
  <c r="I11650" i="31" s="1"/>
  <c r="E11650" i="31"/>
  <c r="C11647" i="31"/>
  <c r="E11645" i="31"/>
  <c r="F11636" i="31"/>
  <c r="I11636" i="31" s="1"/>
  <c r="I11637" i="31" s="1"/>
  <c r="I11642" i="31" s="1"/>
  <c r="E11636" i="31"/>
  <c r="F11632" i="31"/>
  <c r="I11632" i="31" s="1"/>
  <c r="I11633" i="31" s="1"/>
  <c r="I11641" i="31" s="1"/>
  <c r="E11632" i="31"/>
  <c r="F11628" i="31"/>
  <c r="I11628" i="31" s="1"/>
  <c r="I11629" i="31" s="1"/>
  <c r="I11640" i="31" s="1"/>
  <c r="E11628" i="31"/>
  <c r="F11624" i="31"/>
  <c r="G11624" i="31" s="1"/>
  <c r="E11624" i="31"/>
  <c r="D11624" i="31"/>
  <c r="F11623" i="31"/>
  <c r="G11623" i="31" s="1"/>
  <c r="E11623" i="31"/>
  <c r="F11622" i="31"/>
  <c r="E11622" i="31"/>
  <c r="C11619" i="31"/>
  <c r="E11617" i="31"/>
  <c r="F11608" i="31"/>
  <c r="E11608" i="31"/>
  <c r="F11604" i="31"/>
  <c r="I11604" i="31" s="1"/>
  <c r="E11604" i="31"/>
  <c r="F11603" i="31"/>
  <c r="I11603" i="31" s="1"/>
  <c r="E11603" i="31"/>
  <c r="F11602" i="31"/>
  <c r="I11602" i="31" s="1"/>
  <c r="E11602" i="31"/>
  <c r="F11598" i="31"/>
  <c r="I11598" i="31" s="1"/>
  <c r="I11599" i="31" s="1"/>
  <c r="I11612" i="31" s="1"/>
  <c r="E11598" i="31"/>
  <c r="F11594" i="31"/>
  <c r="I11594" i="31" s="1"/>
  <c r="I11595" i="31" s="1"/>
  <c r="I11611" i="31" s="1"/>
  <c r="E11594" i="31"/>
  <c r="C11591" i="31"/>
  <c r="E11589" i="31"/>
  <c r="F11580" i="31"/>
  <c r="I11580" i="31" s="1"/>
  <c r="I11581" i="31" s="1"/>
  <c r="I11586" i="31" s="1"/>
  <c r="E11580" i="31"/>
  <c r="F11576" i="31"/>
  <c r="G11576" i="31" s="1"/>
  <c r="E11576" i="31"/>
  <c r="F11575" i="31"/>
  <c r="G11575" i="31" s="1"/>
  <c r="E11575" i="31"/>
  <c r="I11574" i="31"/>
  <c r="F11574" i="31"/>
  <c r="G11574" i="31" s="1"/>
  <c r="E11574" i="31"/>
  <c r="F11570" i="31"/>
  <c r="I11570" i="31" s="1"/>
  <c r="I11571" i="31" s="1"/>
  <c r="I11584" i="31" s="1"/>
  <c r="E11570" i="31"/>
  <c r="F11566" i="31"/>
  <c r="E11566" i="31"/>
  <c r="C11563" i="31"/>
  <c r="E11561" i="31"/>
  <c r="F11552" i="31"/>
  <c r="E11552" i="31"/>
  <c r="F11548" i="31"/>
  <c r="I11548" i="31" s="1"/>
  <c r="E11548" i="31"/>
  <c r="I11547" i="31"/>
  <c r="I11549" i="31" s="1"/>
  <c r="D11552" i="31" s="1"/>
  <c r="G11547" i="31"/>
  <c r="F11547" i="31"/>
  <c r="E11547" i="31"/>
  <c r="F11543" i="31"/>
  <c r="I11543" i="31" s="1"/>
  <c r="I11544" i="31" s="1"/>
  <c r="I11556" i="31" s="1"/>
  <c r="E11543" i="31"/>
  <c r="F11539" i="31"/>
  <c r="I11539" i="31" s="1"/>
  <c r="I11540" i="31" s="1"/>
  <c r="I11555" i="31" s="1"/>
  <c r="E11539" i="31"/>
  <c r="C11536" i="31"/>
  <c r="E11534" i="31"/>
  <c r="F11525" i="31"/>
  <c r="G11525" i="31" s="1"/>
  <c r="E11525" i="31"/>
  <c r="F11521" i="31"/>
  <c r="I11521" i="31" s="1"/>
  <c r="I11522" i="31" s="1"/>
  <c r="I11530" i="31" s="1"/>
  <c r="F11517" i="31"/>
  <c r="I11517" i="31" s="1"/>
  <c r="E11517" i="31"/>
  <c r="F11516" i="31"/>
  <c r="I11516" i="31" s="1"/>
  <c r="E11516" i="31"/>
  <c r="F11515" i="31"/>
  <c r="I11515" i="31" s="1"/>
  <c r="E11515" i="31"/>
  <c r="F11511" i="31"/>
  <c r="G11511" i="31" s="1"/>
  <c r="E11511" i="31"/>
  <c r="D11511" i="31"/>
  <c r="I11511" i="31" s="1"/>
  <c r="F11510" i="31"/>
  <c r="G11510" i="31" s="1"/>
  <c r="E11510" i="31"/>
  <c r="D11510" i="31"/>
  <c r="I11510" i="31" s="1"/>
  <c r="G11509" i="31"/>
  <c r="F11509" i="31"/>
  <c r="E11509" i="31"/>
  <c r="D11509" i="31"/>
  <c r="E11508" i="31"/>
  <c r="D11508" i="31"/>
  <c r="C11505" i="31"/>
  <c r="E11501" i="31"/>
  <c r="F11493" i="31"/>
  <c r="I11493" i="31" s="1"/>
  <c r="I11494" i="31" s="1"/>
  <c r="I11499" i="31" s="1"/>
  <c r="E11493" i="31"/>
  <c r="F11489" i="31"/>
  <c r="I11489" i="31" s="1"/>
  <c r="I11490" i="31" s="1"/>
  <c r="I11498" i="31" s="1"/>
  <c r="E11489" i="31"/>
  <c r="F11485" i="31"/>
  <c r="I11485" i="31" s="1"/>
  <c r="I11486" i="31" s="1"/>
  <c r="I11497" i="31" s="1"/>
  <c r="E11485" i="31"/>
  <c r="G11481" i="31"/>
  <c r="F11481" i="31"/>
  <c r="I11481" i="31" s="1"/>
  <c r="I11482" i="31" s="1"/>
  <c r="I11496" i="31" s="1"/>
  <c r="E11481" i="31"/>
  <c r="C11478" i="31"/>
  <c r="E11474" i="31"/>
  <c r="F11465" i="31"/>
  <c r="I11465" i="31" s="1"/>
  <c r="I11466" i="31" s="1"/>
  <c r="I11471" i="31" s="1"/>
  <c r="E11465" i="31"/>
  <c r="F11461" i="31"/>
  <c r="I11461" i="31" s="1"/>
  <c r="I11462" i="31" s="1"/>
  <c r="I11470" i="31" s="1"/>
  <c r="E11461" i="31"/>
  <c r="F11457" i="31"/>
  <c r="I11457" i="31" s="1"/>
  <c r="I11458" i="31" s="1"/>
  <c r="I11469" i="31" s="1"/>
  <c r="E11457" i="31"/>
  <c r="F11453" i="31"/>
  <c r="E11453" i="31"/>
  <c r="F11452" i="31"/>
  <c r="E11452" i="31"/>
  <c r="F11451" i="31"/>
  <c r="E11451" i="31"/>
  <c r="F11450" i="31"/>
  <c r="E11450" i="31"/>
  <c r="C11447" i="31"/>
  <c r="E11445" i="31"/>
  <c r="F11437" i="31"/>
  <c r="E11437" i="31"/>
  <c r="F11433" i="31"/>
  <c r="G11433" i="31" s="1"/>
  <c r="E11433" i="31"/>
  <c r="F11429" i="31"/>
  <c r="I11429" i="31" s="1"/>
  <c r="E11429" i="31"/>
  <c r="F11428" i="31"/>
  <c r="I11428" i="31" s="1"/>
  <c r="E11428" i="31"/>
  <c r="F11427" i="31"/>
  <c r="I11427" i="31" s="1"/>
  <c r="E11427" i="31"/>
  <c r="F11423" i="31"/>
  <c r="I11423" i="31" s="1"/>
  <c r="E11423" i="31"/>
  <c r="F11422" i="31"/>
  <c r="I11422" i="31" s="1"/>
  <c r="E11422" i="31"/>
  <c r="F11421" i="31"/>
  <c r="I11421" i="31" s="1"/>
  <c r="E11421" i="31"/>
  <c r="E11420" i="31"/>
  <c r="C11417" i="31"/>
  <c r="E11415" i="31"/>
  <c r="F11407" i="31"/>
  <c r="I11407" i="31" s="1"/>
  <c r="I11408" i="31" s="1"/>
  <c r="I11413" i="31" s="1"/>
  <c r="E11407" i="31"/>
  <c r="F11403" i="31"/>
  <c r="E11403" i="31"/>
  <c r="F11399" i="31"/>
  <c r="I11399" i="31" s="1"/>
  <c r="I11400" i="31" s="1"/>
  <c r="I11411" i="31" s="1"/>
  <c r="E11399" i="31"/>
  <c r="G11395" i="31"/>
  <c r="F11395" i="31"/>
  <c r="I11395" i="31" s="1"/>
  <c r="I11396" i="31" s="1"/>
  <c r="I11410" i="31" s="1"/>
  <c r="E11395" i="31"/>
  <c r="C11392" i="31"/>
  <c r="E11390" i="31"/>
  <c r="F11382" i="31"/>
  <c r="I11382" i="31" s="1"/>
  <c r="I11383" i="31" s="1"/>
  <c r="I11388" i="31" s="1"/>
  <c r="E11382" i="31"/>
  <c r="F11378" i="31"/>
  <c r="E11378" i="31"/>
  <c r="F11374" i="31"/>
  <c r="I11374" i="31" s="1"/>
  <c r="I11375" i="31" s="1"/>
  <c r="I11386" i="31" s="1"/>
  <c r="E11374" i="31"/>
  <c r="F11370" i="31"/>
  <c r="I11370" i="31" s="1"/>
  <c r="I11371" i="31" s="1"/>
  <c r="I11385" i="31" s="1"/>
  <c r="E11370" i="31"/>
  <c r="C11367" i="31"/>
  <c r="E11365" i="31"/>
  <c r="F11357" i="31"/>
  <c r="I11357" i="31" s="1"/>
  <c r="I11358" i="31" s="1"/>
  <c r="I11363" i="31" s="1"/>
  <c r="E11357" i="31"/>
  <c r="F11353" i="31"/>
  <c r="E11353" i="31"/>
  <c r="F11349" i="31"/>
  <c r="I11349" i="31" s="1"/>
  <c r="I11350" i="31" s="1"/>
  <c r="I11361" i="31" s="1"/>
  <c r="E11349" i="31"/>
  <c r="G11345" i="31"/>
  <c r="F11345" i="31"/>
  <c r="I11345" i="31" s="1"/>
  <c r="I11346" i="31" s="1"/>
  <c r="I11360" i="31" s="1"/>
  <c r="E11345" i="31"/>
  <c r="C11342" i="31"/>
  <c r="E11340" i="31"/>
  <c r="F11332" i="31"/>
  <c r="I11332" i="31" s="1"/>
  <c r="I11333" i="31" s="1"/>
  <c r="I11338" i="31" s="1"/>
  <c r="E11332" i="31"/>
  <c r="F11328" i="31"/>
  <c r="E11328" i="31"/>
  <c r="F11324" i="31"/>
  <c r="I11324" i="31" s="1"/>
  <c r="I11325" i="31" s="1"/>
  <c r="I11336" i="31" s="1"/>
  <c r="E11324" i="31"/>
  <c r="F11320" i="31"/>
  <c r="I11320" i="31" s="1"/>
  <c r="I11321" i="31" s="1"/>
  <c r="I11335" i="31" s="1"/>
  <c r="E11320" i="31"/>
  <c r="C11317" i="31"/>
  <c r="E11315" i="31"/>
  <c r="F11307" i="31"/>
  <c r="I11307" i="31" s="1"/>
  <c r="I11308" i="31" s="1"/>
  <c r="I11313" i="31" s="1"/>
  <c r="E11307" i="31"/>
  <c r="F11303" i="31"/>
  <c r="E11303" i="31"/>
  <c r="F11299" i="31"/>
  <c r="I11299" i="31" s="1"/>
  <c r="I11300" i="31" s="1"/>
  <c r="I11311" i="31" s="1"/>
  <c r="E11299" i="31"/>
  <c r="I11295" i="31"/>
  <c r="I11296" i="31" s="1"/>
  <c r="I11310" i="31" s="1"/>
  <c r="F11295" i="31"/>
  <c r="G11295" i="31" s="1"/>
  <c r="E11295" i="31"/>
  <c r="C11292" i="31"/>
  <c r="E11290" i="31"/>
  <c r="F11282" i="31"/>
  <c r="I11282" i="31" s="1"/>
  <c r="I11283" i="31" s="1"/>
  <c r="I11288" i="31" s="1"/>
  <c r="E11282" i="31"/>
  <c r="F11278" i="31"/>
  <c r="E11278" i="31"/>
  <c r="F11274" i="31"/>
  <c r="I11274" i="31" s="1"/>
  <c r="I11275" i="31" s="1"/>
  <c r="I11286" i="31" s="1"/>
  <c r="E11274" i="31"/>
  <c r="I11271" i="31"/>
  <c r="I11285" i="31" s="1"/>
  <c r="F11270" i="31"/>
  <c r="I11270" i="31" s="1"/>
  <c r="E11270" i="31"/>
  <c r="C11267" i="31"/>
  <c r="E11265" i="31"/>
  <c r="F11257" i="31"/>
  <c r="I11257" i="31" s="1"/>
  <c r="I11258" i="31" s="1"/>
  <c r="I11263" i="31" s="1"/>
  <c r="E11257" i="31"/>
  <c r="F11253" i="31"/>
  <c r="E11253" i="31"/>
  <c r="F11249" i="31"/>
  <c r="I11249" i="31" s="1"/>
  <c r="E11249" i="31"/>
  <c r="F11248" i="31"/>
  <c r="I11248" i="31" s="1"/>
  <c r="E11248" i="31"/>
  <c r="I11244" i="31"/>
  <c r="G11244" i="31"/>
  <c r="I11243" i="31"/>
  <c r="I11245" i="31" s="1"/>
  <c r="I11260" i="31" s="1"/>
  <c r="F11243" i="31"/>
  <c r="G11243" i="31" s="1"/>
  <c r="C11240" i="31"/>
  <c r="E11238" i="31"/>
  <c r="F11230" i="31"/>
  <c r="I11230" i="31" s="1"/>
  <c r="I11231" i="31" s="1"/>
  <c r="I11236" i="31" s="1"/>
  <c r="E11230" i="31"/>
  <c r="F11226" i="31"/>
  <c r="E11226" i="31"/>
  <c r="F11222" i="31"/>
  <c r="I11222" i="31" s="1"/>
  <c r="E11222" i="31"/>
  <c r="F11221" i="31"/>
  <c r="I11221" i="31" s="1"/>
  <c r="E11221" i="31"/>
  <c r="I11217" i="31"/>
  <c r="G11217" i="31"/>
  <c r="G11216" i="31"/>
  <c r="F11216" i="31"/>
  <c r="I11216" i="31" s="1"/>
  <c r="C11213" i="31"/>
  <c r="E11211" i="31"/>
  <c r="F11203" i="31"/>
  <c r="I11203" i="31" s="1"/>
  <c r="I11204" i="31" s="1"/>
  <c r="I11209" i="31" s="1"/>
  <c r="E11203" i="31"/>
  <c r="F11199" i="31"/>
  <c r="G11199" i="31" s="1"/>
  <c r="E11199" i="31"/>
  <c r="F11195" i="31"/>
  <c r="I11195" i="31" s="1"/>
  <c r="E11195" i="31"/>
  <c r="F11194" i="31"/>
  <c r="I11194" i="31" s="1"/>
  <c r="E11194" i="31"/>
  <c r="I11190" i="31"/>
  <c r="G11190" i="31"/>
  <c r="F11189" i="31"/>
  <c r="C11186" i="31"/>
  <c r="E11184" i="31"/>
  <c r="I11177" i="31"/>
  <c r="I11182" i="31" s="1"/>
  <c r="F11176" i="31"/>
  <c r="I11176" i="31" s="1"/>
  <c r="E11176" i="31"/>
  <c r="F11172" i="31"/>
  <c r="E11172" i="31"/>
  <c r="F11168" i="31"/>
  <c r="I11168" i="31" s="1"/>
  <c r="I11169" i="31" s="1"/>
  <c r="I11180" i="31" s="1"/>
  <c r="E11168" i="31"/>
  <c r="F11164" i="31"/>
  <c r="I11164" i="31" s="1"/>
  <c r="I11165" i="31" s="1"/>
  <c r="I11179" i="31" s="1"/>
  <c r="E11164" i="31"/>
  <c r="C11161" i="31"/>
  <c r="E11159" i="31"/>
  <c r="F11151" i="31"/>
  <c r="I11151" i="31" s="1"/>
  <c r="I11152" i="31" s="1"/>
  <c r="I11157" i="31" s="1"/>
  <c r="E11151" i="31"/>
  <c r="F11147" i="31"/>
  <c r="G11147" i="31" s="1"/>
  <c r="E11147" i="31"/>
  <c r="F11143" i="31"/>
  <c r="I11143" i="31" s="1"/>
  <c r="I11144" i="31" s="1"/>
  <c r="I11155" i="31" s="1"/>
  <c r="E11143" i="31"/>
  <c r="I11139" i="31"/>
  <c r="I11140" i="31" s="1"/>
  <c r="I11154" i="31" s="1"/>
  <c r="F11139" i="31"/>
  <c r="G11139" i="31" s="1"/>
  <c r="E11139" i="31"/>
  <c r="C11136" i="31"/>
  <c r="E11134" i="31"/>
  <c r="F11126" i="31"/>
  <c r="I11126" i="31" s="1"/>
  <c r="I11127" i="31" s="1"/>
  <c r="I11132" i="31" s="1"/>
  <c r="E11126" i="31"/>
  <c r="F11122" i="31"/>
  <c r="E11122" i="31"/>
  <c r="F11118" i="31"/>
  <c r="I11118" i="31" s="1"/>
  <c r="I11119" i="31" s="1"/>
  <c r="I11130" i="31" s="1"/>
  <c r="E11118" i="31"/>
  <c r="F11114" i="31"/>
  <c r="I11114" i="31" s="1"/>
  <c r="I11115" i="31" s="1"/>
  <c r="I11129" i="31" s="1"/>
  <c r="E11114" i="31"/>
  <c r="C11111" i="31"/>
  <c r="E11109" i="31"/>
  <c r="F11101" i="31"/>
  <c r="I11101" i="31" s="1"/>
  <c r="I11102" i="31" s="1"/>
  <c r="I11107" i="31" s="1"/>
  <c r="E11101" i="31"/>
  <c r="F11097" i="31"/>
  <c r="I11097" i="31" s="1"/>
  <c r="I11098" i="31" s="1"/>
  <c r="I11106" i="31" s="1"/>
  <c r="E11097" i="31"/>
  <c r="F11093" i="31"/>
  <c r="I11093" i="31" s="1"/>
  <c r="I11094" i="31" s="1"/>
  <c r="I11105" i="31" s="1"/>
  <c r="E11093" i="31"/>
  <c r="I11089" i="31"/>
  <c r="I11090" i="31" s="1"/>
  <c r="I11104" i="31" s="1"/>
  <c r="G11089" i="31"/>
  <c r="F11089" i="31"/>
  <c r="E11089" i="31"/>
  <c r="C11086" i="31"/>
  <c r="E11084" i="31"/>
  <c r="F11076" i="31"/>
  <c r="I11076" i="31" s="1"/>
  <c r="I11077" i="31" s="1"/>
  <c r="I11082" i="31" s="1"/>
  <c r="E11076" i="31"/>
  <c r="F11072" i="31"/>
  <c r="E11072" i="31"/>
  <c r="F11068" i="31"/>
  <c r="I11068" i="31" s="1"/>
  <c r="I11069" i="31" s="1"/>
  <c r="I11080" i="31" s="1"/>
  <c r="E11068" i="31"/>
  <c r="F11064" i="31"/>
  <c r="I11064" i="31" s="1"/>
  <c r="I11065" i="31" s="1"/>
  <c r="I11079" i="31" s="1"/>
  <c r="E11064" i="31"/>
  <c r="C11061" i="31"/>
  <c r="E11059" i="31"/>
  <c r="F11051" i="31"/>
  <c r="I11051" i="31" s="1"/>
  <c r="I11052" i="31" s="1"/>
  <c r="I11057" i="31" s="1"/>
  <c r="E11051" i="31"/>
  <c r="G11047" i="31"/>
  <c r="F11047" i="31"/>
  <c r="I11047" i="31" s="1"/>
  <c r="I11048" i="31" s="1"/>
  <c r="I11056" i="31" s="1"/>
  <c r="E11047" i="31"/>
  <c r="F11043" i="31"/>
  <c r="I11043" i="31" s="1"/>
  <c r="I11044" i="31" s="1"/>
  <c r="I11055" i="31" s="1"/>
  <c r="E11043" i="31"/>
  <c r="G11039" i="31"/>
  <c r="F11039" i="31"/>
  <c r="I11039" i="31" s="1"/>
  <c r="I11040" i="31" s="1"/>
  <c r="I11054" i="31" s="1"/>
  <c r="E11039" i="31"/>
  <c r="C11036" i="31"/>
  <c r="E11033" i="31"/>
  <c r="F11025" i="31"/>
  <c r="I11025" i="31" s="1"/>
  <c r="I11026" i="31" s="1"/>
  <c r="I11031" i="31" s="1"/>
  <c r="E11025" i="31"/>
  <c r="F11021" i="31"/>
  <c r="E11021" i="31"/>
  <c r="F11017" i="31"/>
  <c r="I11017" i="31" s="1"/>
  <c r="I11018" i="31" s="1"/>
  <c r="I11029" i="31" s="1"/>
  <c r="E11017" i="31"/>
  <c r="F11013" i="31"/>
  <c r="I11013" i="31" s="1"/>
  <c r="I11014" i="31" s="1"/>
  <c r="I11028" i="31" s="1"/>
  <c r="E11013" i="31"/>
  <c r="C11010" i="31"/>
  <c r="E11008" i="31"/>
  <c r="F11000" i="31"/>
  <c r="I11000" i="31" s="1"/>
  <c r="I11001" i="31" s="1"/>
  <c r="I11006" i="31" s="1"/>
  <c r="E11000" i="31"/>
  <c r="F10996" i="31"/>
  <c r="G10996" i="31" s="1"/>
  <c r="E10996" i="31"/>
  <c r="F10992" i="31"/>
  <c r="I10992" i="31" s="1"/>
  <c r="I10993" i="31" s="1"/>
  <c r="I11004" i="31" s="1"/>
  <c r="E10992" i="31"/>
  <c r="F10988" i="31"/>
  <c r="E10988" i="31"/>
  <c r="C10985" i="31"/>
  <c r="E10983" i="31"/>
  <c r="F10975" i="31"/>
  <c r="I10975" i="31" s="1"/>
  <c r="I10976" i="31" s="1"/>
  <c r="I10981" i="31" s="1"/>
  <c r="E10975" i="31"/>
  <c r="F10971" i="31"/>
  <c r="E10971" i="31"/>
  <c r="F10967" i="31"/>
  <c r="I10967" i="31" s="1"/>
  <c r="I10968" i="31" s="1"/>
  <c r="I10979" i="31" s="1"/>
  <c r="E10967" i="31"/>
  <c r="F10963" i="31"/>
  <c r="I10963" i="31" s="1"/>
  <c r="I10964" i="31" s="1"/>
  <c r="I10978" i="31" s="1"/>
  <c r="E10963" i="31"/>
  <c r="C10960" i="31"/>
  <c r="F10950" i="31"/>
  <c r="I10950" i="31" s="1"/>
  <c r="I10951" i="31" s="1"/>
  <c r="I10956" i="31" s="1"/>
  <c r="E10950" i="31"/>
  <c r="F10946" i="31"/>
  <c r="I10946" i="31" s="1"/>
  <c r="I10947" i="31" s="1"/>
  <c r="I10955" i="31" s="1"/>
  <c r="E10946" i="31"/>
  <c r="F10942" i="31"/>
  <c r="I10942" i="31" s="1"/>
  <c r="I10943" i="31" s="1"/>
  <c r="I10954" i="31" s="1"/>
  <c r="E10942" i="31"/>
  <c r="F10938" i="31"/>
  <c r="I10938" i="31" s="1"/>
  <c r="I10939" i="31" s="1"/>
  <c r="I10953" i="31" s="1"/>
  <c r="E10938" i="31"/>
  <c r="E10935" i="31"/>
  <c r="E10958" i="31" s="1"/>
  <c r="C10935" i="31"/>
  <c r="E10933" i="31"/>
  <c r="F10925" i="31"/>
  <c r="I10925" i="31" s="1"/>
  <c r="I10926" i="31" s="1"/>
  <c r="I10931" i="31" s="1"/>
  <c r="E10925" i="31"/>
  <c r="F10921" i="31"/>
  <c r="I10921" i="31" s="1"/>
  <c r="I10922" i="31" s="1"/>
  <c r="I10930" i="31" s="1"/>
  <c r="E10921" i="31"/>
  <c r="F10917" i="31"/>
  <c r="I10917" i="31" s="1"/>
  <c r="I10918" i="31" s="1"/>
  <c r="I10929" i="31" s="1"/>
  <c r="E10917" i="31"/>
  <c r="F10913" i="31"/>
  <c r="E10913" i="31"/>
  <c r="C10910" i="31"/>
  <c r="E10908" i="31"/>
  <c r="F10900" i="31"/>
  <c r="I10900" i="31" s="1"/>
  <c r="I10901" i="31" s="1"/>
  <c r="I10906" i="31" s="1"/>
  <c r="E10900" i="31"/>
  <c r="F10896" i="31"/>
  <c r="I10896" i="31" s="1"/>
  <c r="I10897" i="31" s="1"/>
  <c r="I10905" i="31" s="1"/>
  <c r="E10896" i="31"/>
  <c r="F10892" i="31"/>
  <c r="I10892" i="31" s="1"/>
  <c r="I10893" i="31" s="1"/>
  <c r="I10904" i="31" s="1"/>
  <c r="E10892" i="31"/>
  <c r="F10888" i="31"/>
  <c r="E10888" i="31"/>
  <c r="C10885" i="31"/>
  <c r="E10883" i="31"/>
  <c r="F10875" i="31"/>
  <c r="I10875" i="31" s="1"/>
  <c r="I10876" i="31" s="1"/>
  <c r="I10881" i="31" s="1"/>
  <c r="E10875" i="31"/>
  <c r="F10871" i="31"/>
  <c r="I10871" i="31" s="1"/>
  <c r="I10872" i="31" s="1"/>
  <c r="I10880" i="31" s="1"/>
  <c r="E10871" i="31"/>
  <c r="F10867" i="31"/>
  <c r="I10867" i="31" s="1"/>
  <c r="I10868" i="31" s="1"/>
  <c r="I10879" i="31" s="1"/>
  <c r="E10867" i="31"/>
  <c r="G10863" i="31"/>
  <c r="F10863" i="31"/>
  <c r="I10863" i="31" s="1"/>
  <c r="I10864" i="31" s="1"/>
  <c r="I10878" i="31" s="1"/>
  <c r="E10863" i="31"/>
  <c r="C10860" i="31"/>
  <c r="E10858" i="31"/>
  <c r="F10850" i="31"/>
  <c r="I10850" i="31" s="1"/>
  <c r="I10851" i="31" s="1"/>
  <c r="I10856" i="31" s="1"/>
  <c r="E10850" i="31"/>
  <c r="F10846" i="31"/>
  <c r="I10846" i="31" s="1"/>
  <c r="I10847" i="31" s="1"/>
  <c r="I10855" i="31" s="1"/>
  <c r="E10846" i="31"/>
  <c r="F10842" i="31"/>
  <c r="I10842" i="31" s="1"/>
  <c r="I10843" i="31" s="1"/>
  <c r="I10854" i="31" s="1"/>
  <c r="E10842" i="31"/>
  <c r="F10838" i="31"/>
  <c r="E10838" i="31"/>
  <c r="C10835" i="31"/>
  <c r="E10833" i="31"/>
  <c r="F10825" i="31"/>
  <c r="I10825" i="31" s="1"/>
  <c r="I10826" i="31" s="1"/>
  <c r="I10831" i="31" s="1"/>
  <c r="E10825" i="31"/>
  <c r="F10821" i="31"/>
  <c r="I10821" i="31" s="1"/>
  <c r="I10822" i="31" s="1"/>
  <c r="I10830" i="31" s="1"/>
  <c r="E10821" i="31"/>
  <c r="F10817" i="31"/>
  <c r="I10817" i="31" s="1"/>
  <c r="I10818" i="31" s="1"/>
  <c r="I10829" i="31" s="1"/>
  <c r="E10817" i="31"/>
  <c r="I10813" i="31"/>
  <c r="I10814" i="31" s="1"/>
  <c r="I10828" i="31" s="1"/>
  <c r="G10813" i="31"/>
  <c r="F10813" i="31"/>
  <c r="E10813" i="31"/>
  <c r="C10810" i="31"/>
  <c r="E10808" i="31"/>
  <c r="F10800" i="31"/>
  <c r="I10800" i="31" s="1"/>
  <c r="I10801" i="31" s="1"/>
  <c r="I10806" i="31" s="1"/>
  <c r="E10800" i="31"/>
  <c r="F10796" i="31"/>
  <c r="I10796" i="31" s="1"/>
  <c r="I10797" i="31" s="1"/>
  <c r="I10805" i="31" s="1"/>
  <c r="E10796" i="31"/>
  <c r="F10792" i="31"/>
  <c r="I10792" i="31" s="1"/>
  <c r="I10793" i="31" s="1"/>
  <c r="I10804" i="31" s="1"/>
  <c r="E10792" i="31"/>
  <c r="F10788" i="31"/>
  <c r="E10788" i="31"/>
  <c r="C10785" i="31"/>
  <c r="E10783" i="31"/>
  <c r="F10775" i="31"/>
  <c r="I10775" i="31" s="1"/>
  <c r="I10776" i="31" s="1"/>
  <c r="I10781" i="31" s="1"/>
  <c r="E10775" i="31"/>
  <c r="F10771" i="31"/>
  <c r="E10771" i="31"/>
  <c r="F10767" i="31"/>
  <c r="I10767" i="31" s="1"/>
  <c r="I10768" i="31" s="1"/>
  <c r="I10779" i="31" s="1"/>
  <c r="E10767" i="31"/>
  <c r="F10763" i="31"/>
  <c r="G10763" i="31" s="1"/>
  <c r="E10763" i="31"/>
  <c r="C10760" i="31"/>
  <c r="E10758" i="31"/>
  <c r="F10750" i="31"/>
  <c r="I10750" i="31" s="1"/>
  <c r="I10751" i="31" s="1"/>
  <c r="I10756" i="31" s="1"/>
  <c r="E10750" i="31"/>
  <c r="F10746" i="31"/>
  <c r="G10746" i="31" s="1"/>
  <c r="E10746" i="31"/>
  <c r="F10742" i="31"/>
  <c r="I10742" i="31" s="1"/>
  <c r="I10743" i="31" s="1"/>
  <c r="I10754" i="31" s="1"/>
  <c r="E10742" i="31"/>
  <c r="F10738" i="31"/>
  <c r="I10738" i="31" s="1"/>
  <c r="I10739" i="31" s="1"/>
  <c r="I10753" i="31" s="1"/>
  <c r="E10738" i="31"/>
  <c r="C10735" i="31"/>
  <c r="E10733" i="31"/>
  <c r="F10725" i="31"/>
  <c r="I10725" i="31" s="1"/>
  <c r="I10726" i="31" s="1"/>
  <c r="I10731" i="31" s="1"/>
  <c r="E10725" i="31"/>
  <c r="F10721" i="31"/>
  <c r="I10721" i="31" s="1"/>
  <c r="I10722" i="31" s="1"/>
  <c r="I10730" i="31" s="1"/>
  <c r="E10721" i="31"/>
  <c r="F10717" i="31"/>
  <c r="I10717" i="31" s="1"/>
  <c r="I10718" i="31" s="1"/>
  <c r="I10729" i="31" s="1"/>
  <c r="E10717" i="31"/>
  <c r="F10713" i="31"/>
  <c r="E10713" i="31"/>
  <c r="C10710" i="31"/>
  <c r="E10708" i="31"/>
  <c r="F10700" i="31"/>
  <c r="I10700" i="31" s="1"/>
  <c r="I10701" i="31" s="1"/>
  <c r="I10706" i="31" s="1"/>
  <c r="E10700" i="31"/>
  <c r="F10696" i="31"/>
  <c r="E10696" i="31"/>
  <c r="F10692" i="31"/>
  <c r="I10692" i="31" s="1"/>
  <c r="I10693" i="31" s="1"/>
  <c r="I10704" i="31" s="1"/>
  <c r="E10692" i="31"/>
  <c r="F10688" i="31"/>
  <c r="I10688" i="31" s="1"/>
  <c r="I10689" i="31" s="1"/>
  <c r="I10703" i="31" s="1"/>
  <c r="E10688" i="31"/>
  <c r="C10685" i="31"/>
  <c r="E10683" i="31"/>
  <c r="F10675" i="31"/>
  <c r="I10675" i="31" s="1"/>
  <c r="I10676" i="31" s="1"/>
  <c r="I10681" i="31" s="1"/>
  <c r="E10675" i="31"/>
  <c r="F10671" i="31"/>
  <c r="E10671" i="31"/>
  <c r="F10667" i="31"/>
  <c r="I10667" i="31" s="1"/>
  <c r="I10668" i="31" s="1"/>
  <c r="I10679" i="31" s="1"/>
  <c r="E10667" i="31"/>
  <c r="F10663" i="31"/>
  <c r="E10663" i="31"/>
  <c r="C10660" i="31"/>
  <c r="E10658" i="31"/>
  <c r="F10650" i="31"/>
  <c r="I10650" i="31" s="1"/>
  <c r="I10651" i="31" s="1"/>
  <c r="I10656" i="31" s="1"/>
  <c r="E10650" i="31"/>
  <c r="F10646" i="31"/>
  <c r="I10646" i="31" s="1"/>
  <c r="I10647" i="31" s="1"/>
  <c r="I10655" i="31" s="1"/>
  <c r="E10646" i="31"/>
  <c r="F10642" i="31"/>
  <c r="I10642" i="31" s="1"/>
  <c r="I10643" i="31" s="1"/>
  <c r="I10654" i="31" s="1"/>
  <c r="E10642" i="31"/>
  <c r="F10638" i="31"/>
  <c r="I10638" i="31" s="1"/>
  <c r="I10639" i="31" s="1"/>
  <c r="I10653" i="31" s="1"/>
  <c r="E10638" i="31"/>
  <c r="C10635" i="31"/>
  <c r="E10633" i="31"/>
  <c r="F10625" i="31"/>
  <c r="I10625" i="31" s="1"/>
  <c r="I10626" i="31" s="1"/>
  <c r="I10631" i="31" s="1"/>
  <c r="E10625" i="31"/>
  <c r="F10621" i="31"/>
  <c r="E10621" i="31"/>
  <c r="F10617" i="31"/>
  <c r="I10617" i="31" s="1"/>
  <c r="I10618" i="31" s="1"/>
  <c r="I10629" i="31" s="1"/>
  <c r="E10617" i="31"/>
  <c r="I10613" i="31"/>
  <c r="I10614" i="31" s="1"/>
  <c r="I10628" i="31" s="1"/>
  <c r="F10613" i="31"/>
  <c r="G10613" i="31" s="1"/>
  <c r="E10613" i="31"/>
  <c r="C10610" i="31"/>
  <c r="E10608" i="31"/>
  <c r="F10600" i="31"/>
  <c r="I10600" i="31" s="1"/>
  <c r="I10601" i="31" s="1"/>
  <c r="I10606" i="31" s="1"/>
  <c r="E10600" i="31"/>
  <c r="I10596" i="31"/>
  <c r="I10597" i="31" s="1"/>
  <c r="I10605" i="31" s="1"/>
  <c r="F10596" i="31"/>
  <c r="G10596" i="31" s="1"/>
  <c r="E10596" i="31"/>
  <c r="F10592" i="31"/>
  <c r="I10592" i="31" s="1"/>
  <c r="I10593" i="31" s="1"/>
  <c r="I10604" i="31" s="1"/>
  <c r="E10592" i="31"/>
  <c r="F10588" i="31"/>
  <c r="I10588" i="31" s="1"/>
  <c r="I10589" i="31" s="1"/>
  <c r="I10603" i="31" s="1"/>
  <c r="E10588" i="31"/>
  <c r="C10585" i="31"/>
  <c r="E10583" i="31"/>
  <c r="F10575" i="31"/>
  <c r="I10575" i="31" s="1"/>
  <c r="I10576" i="31" s="1"/>
  <c r="I10581" i="31" s="1"/>
  <c r="E10575" i="31"/>
  <c r="F10571" i="31"/>
  <c r="E10571" i="31"/>
  <c r="F10567" i="31"/>
  <c r="I10567" i="31" s="1"/>
  <c r="I10568" i="31" s="1"/>
  <c r="I10579" i="31" s="1"/>
  <c r="E10567" i="31"/>
  <c r="I10563" i="31"/>
  <c r="I10564" i="31" s="1"/>
  <c r="I10578" i="31" s="1"/>
  <c r="G10563" i="31"/>
  <c r="F10563" i="31"/>
  <c r="E10563" i="31"/>
  <c r="C10560" i="31"/>
  <c r="E10558" i="31"/>
  <c r="F10550" i="31"/>
  <c r="I10550" i="31" s="1"/>
  <c r="I10551" i="31" s="1"/>
  <c r="I10556" i="31" s="1"/>
  <c r="E10550" i="31"/>
  <c r="F10546" i="31"/>
  <c r="G10546" i="31" s="1"/>
  <c r="E10546" i="31"/>
  <c r="F10542" i="31"/>
  <c r="I10542" i="31" s="1"/>
  <c r="I10543" i="31" s="1"/>
  <c r="I10554" i="31" s="1"/>
  <c r="E10542" i="31"/>
  <c r="F10538" i="31"/>
  <c r="I10538" i="31" s="1"/>
  <c r="I10539" i="31" s="1"/>
  <c r="I10553" i="31" s="1"/>
  <c r="E10538" i="31"/>
  <c r="C10535" i="31"/>
  <c r="E10533" i="31"/>
  <c r="F10525" i="31"/>
  <c r="I10525" i="31" s="1"/>
  <c r="I10526" i="31" s="1"/>
  <c r="I10531" i="31" s="1"/>
  <c r="E10525" i="31"/>
  <c r="F10521" i="31"/>
  <c r="E10521" i="31"/>
  <c r="F10517" i="31"/>
  <c r="I10517" i="31" s="1"/>
  <c r="I10518" i="31" s="1"/>
  <c r="I10529" i="31" s="1"/>
  <c r="E10517" i="31"/>
  <c r="F10513" i="31"/>
  <c r="E10513" i="31"/>
  <c r="C10510" i="31"/>
  <c r="E10508" i="31"/>
  <c r="F10500" i="31"/>
  <c r="I10500" i="31" s="1"/>
  <c r="I10501" i="31" s="1"/>
  <c r="I10506" i="31" s="1"/>
  <c r="E10500" i="31"/>
  <c r="F10496" i="31"/>
  <c r="G10496" i="31" s="1"/>
  <c r="E10496" i="31"/>
  <c r="F10492" i="31"/>
  <c r="I10492" i="31" s="1"/>
  <c r="I10493" i="31" s="1"/>
  <c r="I10504" i="31" s="1"/>
  <c r="E10492" i="31"/>
  <c r="F10488" i="31"/>
  <c r="I10488" i="31" s="1"/>
  <c r="I10489" i="31" s="1"/>
  <c r="I10503" i="31" s="1"/>
  <c r="E10488" i="31"/>
  <c r="C10485" i="31"/>
  <c r="E10483" i="31"/>
  <c r="F10475" i="31"/>
  <c r="I10475" i="31" s="1"/>
  <c r="I10476" i="31" s="1"/>
  <c r="I10481" i="31" s="1"/>
  <c r="E10475" i="31"/>
  <c r="F10471" i="31"/>
  <c r="E10471" i="31"/>
  <c r="I10467" i="31"/>
  <c r="I10468" i="31" s="1"/>
  <c r="I10479" i="31" s="1"/>
  <c r="F10467" i="31"/>
  <c r="E10467" i="31"/>
  <c r="I10463" i="31"/>
  <c r="I10464" i="31" s="1"/>
  <c r="I10478" i="31" s="1"/>
  <c r="G10463" i="31"/>
  <c r="F10463" i="31"/>
  <c r="E10463" i="31"/>
  <c r="C10460" i="31"/>
  <c r="E10458" i="31"/>
  <c r="F10450" i="31"/>
  <c r="I10450" i="31" s="1"/>
  <c r="I10451" i="31" s="1"/>
  <c r="I10456" i="31" s="1"/>
  <c r="E10450" i="31"/>
  <c r="F10446" i="31"/>
  <c r="G10446" i="31" s="1"/>
  <c r="E10446" i="31"/>
  <c r="F10442" i="31"/>
  <c r="I10442" i="31" s="1"/>
  <c r="I10443" i="31" s="1"/>
  <c r="I10454" i="31" s="1"/>
  <c r="E10442" i="31"/>
  <c r="F10438" i="31"/>
  <c r="I10438" i="31" s="1"/>
  <c r="I10439" i="31" s="1"/>
  <c r="I10453" i="31" s="1"/>
  <c r="E10438" i="31"/>
  <c r="C10435" i="31"/>
  <c r="E10433" i="31"/>
  <c r="F10425" i="31"/>
  <c r="I10425" i="31" s="1"/>
  <c r="I10426" i="31" s="1"/>
  <c r="I10431" i="31" s="1"/>
  <c r="E10425" i="31"/>
  <c r="F10421" i="31"/>
  <c r="E10421" i="31"/>
  <c r="F10417" i="31"/>
  <c r="I10417" i="31" s="1"/>
  <c r="I10418" i="31" s="1"/>
  <c r="I10429" i="31" s="1"/>
  <c r="E10417" i="31"/>
  <c r="F10413" i="31"/>
  <c r="I10413" i="31" s="1"/>
  <c r="I10414" i="31" s="1"/>
  <c r="I10428" i="31" s="1"/>
  <c r="E10413" i="31"/>
  <c r="C10410" i="31"/>
  <c r="E10408" i="31"/>
  <c r="F10400" i="31"/>
  <c r="I10400" i="31" s="1"/>
  <c r="I10401" i="31" s="1"/>
  <c r="I10406" i="31" s="1"/>
  <c r="E10400" i="31"/>
  <c r="F10396" i="31"/>
  <c r="G10396" i="31" s="1"/>
  <c r="E10396" i="31"/>
  <c r="F10392" i="31"/>
  <c r="I10392" i="31" s="1"/>
  <c r="I10393" i="31" s="1"/>
  <c r="I10404" i="31" s="1"/>
  <c r="E10392" i="31"/>
  <c r="F10388" i="31"/>
  <c r="I10388" i="31" s="1"/>
  <c r="I10389" i="31" s="1"/>
  <c r="I10403" i="31" s="1"/>
  <c r="E10388" i="31"/>
  <c r="C10385" i="31"/>
  <c r="E10383" i="31"/>
  <c r="F10375" i="31"/>
  <c r="I10375" i="31" s="1"/>
  <c r="I10376" i="31" s="1"/>
  <c r="I10381" i="31" s="1"/>
  <c r="E10375" i="31"/>
  <c r="F10371" i="31"/>
  <c r="E10371" i="31"/>
  <c r="F10367" i="31"/>
  <c r="I10367" i="31" s="1"/>
  <c r="I10368" i="31" s="1"/>
  <c r="I10379" i="31" s="1"/>
  <c r="E10367" i="31"/>
  <c r="F10363" i="31"/>
  <c r="I10363" i="31" s="1"/>
  <c r="I10364" i="31" s="1"/>
  <c r="I10378" i="31" s="1"/>
  <c r="E10363" i="31"/>
  <c r="C10360" i="31"/>
  <c r="E10358" i="31"/>
  <c r="F10350" i="31"/>
  <c r="I10350" i="31" s="1"/>
  <c r="I10351" i="31" s="1"/>
  <c r="I10356" i="31" s="1"/>
  <c r="E10350" i="31"/>
  <c r="F10346" i="31"/>
  <c r="G10346" i="31" s="1"/>
  <c r="E10346" i="31"/>
  <c r="F10342" i="31"/>
  <c r="I10342" i="31" s="1"/>
  <c r="I10343" i="31" s="1"/>
  <c r="I10354" i="31" s="1"/>
  <c r="E10342" i="31"/>
  <c r="F10338" i="31"/>
  <c r="I10338" i="31" s="1"/>
  <c r="I10339" i="31" s="1"/>
  <c r="I10353" i="31" s="1"/>
  <c r="E10338" i="31"/>
  <c r="C10335" i="31"/>
  <c r="E10333" i="31"/>
  <c r="F10325" i="31"/>
  <c r="I10325" i="31" s="1"/>
  <c r="I10326" i="31" s="1"/>
  <c r="I10331" i="31" s="1"/>
  <c r="E10325" i="31"/>
  <c r="F10321" i="31"/>
  <c r="I10321" i="31" s="1"/>
  <c r="I10322" i="31" s="1"/>
  <c r="I10330" i="31" s="1"/>
  <c r="E10321" i="31"/>
  <c r="F10317" i="31"/>
  <c r="I10317" i="31" s="1"/>
  <c r="I10318" i="31" s="1"/>
  <c r="I10329" i="31" s="1"/>
  <c r="E10317" i="31"/>
  <c r="F10313" i="31"/>
  <c r="I10313" i="31" s="1"/>
  <c r="I10314" i="31" s="1"/>
  <c r="I10328" i="31" s="1"/>
  <c r="C10313" i="31"/>
  <c r="E10313" i="31" s="1"/>
  <c r="C10310" i="31"/>
  <c r="E10308" i="31"/>
  <c r="F10300" i="31"/>
  <c r="I10300" i="31" s="1"/>
  <c r="I10301" i="31" s="1"/>
  <c r="I10306" i="31" s="1"/>
  <c r="E10300" i="31"/>
  <c r="F10296" i="31"/>
  <c r="I10296" i="31" s="1"/>
  <c r="I10297" i="31" s="1"/>
  <c r="I10305" i="31" s="1"/>
  <c r="E10296" i="31"/>
  <c r="F10292" i="31"/>
  <c r="I10292" i="31" s="1"/>
  <c r="I10293" i="31" s="1"/>
  <c r="I10304" i="31" s="1"/>
  <c r="E10292" i="31"/>
  <c r="F10288" i="31"/>
  <c r="I10288" i="31" s="1"/>
  <c r="I10289" i="31" s="1"/>
  <c r="I10303" i="31" s="1"/>
  <c r="E10288" i="31"/>
  <c r="C10285" i="31"/>
  <c r="E10283" i="31"/>
  <c r="F10275" i="31"/>
  <c r="I10275" i="31" s="1"/>
  <c r="I10276" i="31" s="1"/>
  <c r="I10281" i="31" s="1"/>
  <c r="E10275" i="31"/>
  <c r="F10271" i="31"/>
  <c r="E10271" i="31"/>
  <c r="F10267" i="31"/>
  <c r="I10267" i="31" s="1"/>
  <c r="I10268" i="31" s="1"/>
  <c r="I10279" i="31" s="1"/>
  <c r="E10267" i="31"/>
  <c r="I10263" i="31"/>
  <c r="I10264" i="31" s="1"/>
  <c r="I10278" i="31" s="1"/>
  <c r="F10263" i="31"/>
  <c r="G10263" i="31" s="1"/>
  <c r="E10263" i="31"/>
  <c r="C10260" i="31"/>
  <c r="E10258" i="31"/>
  <c r="F10250" i="31"/>
  <c r="I10250" i="31" s="1"/>
  <c r="I10251" i="31" s="1"/>
  <c r="I10256" i="31" s="1"/>
  <c r="E10250" i="31"/>
  <c r="F10246" i="31"/>
  <c r="I10246" i="31" s="1"/>
  <c r="I10247" i="31" s="1"/>
  <c r="I10255" i="31" s="1"/>
  <c r="E10246" i="31"/>
  <c r="F10242" i="31"/>
  <c r="I10242" i="31" s="1"/>
  <c r="E10242" i="31"/>
  <c r="F10241" i="31"/>
  <c r="I10241" i="31" s="1"/>
  <c r="E10241" i="31"/>
  <c r="F10237" i="31"/>
  <c r="I10237" i="31" s="1"/>
  <c r="E10237" i="31"/>
  <c r="F10236" i="31"/>
  <c r="I10236" i="31" s="1"/>
  <c r="E10236" i="31"/>
  <c r="F10235" i="31"/>
  <c r="I10235" i="31" s="1"/>
  <c r="E10235" i="31"/>
  <c r="C10232" i="31"/>
  <c r="E10230" i="31"/>
  <c r="F10222" i="31"/>
  <c r="I10222" i="31" s="1"/>
  <c r="I10223" i="31" s="1"/>
  <c r="I10228" i="31" s="1"/>
  <c r="E10222" i="31"/>
  <c r="F10218" i="31"/>
  <c r="I10218" i="31" s="1"/>
  <c r="I10219" i="31" s="1"/>
  <c r="I10227" i="31" s="1"/>
  <c r="E10218" i="31"/>
  <c r="F10214" i="31"/>
  <c r="I10214" i="31" s="1"/>
  <c r="I10215" i="31" s="1"/>
  <c r="I10226" i="31" s="1"/>
  <c r="E10214" i="31"/>
  <c r="I10210" i="31"/>
  <c r="G10210" i="31"/>
  <c r="F10210" i="31"/>
  <c r="E10210" i="31"/>
  <c r="I10209" i="31"/>
  <c r="G10209" i="31"/>
  <c r="F10209" i="31"/>
  <c r="E10209" i="31"/>
  <c r="I10208" i="31"/>
  <c r="G10208" i="31"/>
  <c r="F10208" i="31"/>
  <c r="E10208" i="31"/>
  <c r="C10205" i="31"/>
  <c r="E10203" i="31"/>
  <c r="F10195" i="31"/>
  <c r="I10195" i="31" s="1"/>
  <c r="I10196" i="31" s="1"/>
  <c r="I10201" i="31" s="1"/>
  <c r="E10195" i="31"/>
  <c r="F10191" i="31"/>
  <c r="G10191" i="31" s="1"/>
  <c r="E10191" i="31"/>
  <c r="F10187" i="31"/>
  <c r="I10187" i="31" s="1"/>
  <c r="I10188" i="31" s="1"/>
  <c r="I10199" i="31" s="1"/>
  <c r="E10187" i="31"/>
  <c r="F10183" i="31"/>
  <c r="I10183" i="31" s="1"/>
  <c r="E10183" i="31"/>
  <c r="F10182" i="31"/>
  <c r="I10182" i="31" s="1"/>
  <c r="E10182" i="31"/>
  <c r="F10181" i="31"/>
  <c r="I10181" i="31" s="1"/>
  <c r="E10181" i="31"/>
  <c r="C10178" i="31"/>
  <c r="E10176" i="31"/>
  <c r="F10168" i="31"/>
  <c r="I10168" i="31" s="1"/>
  <c r="I10169" i="31" s="1"/>
  <c r="I10174" i="31" s="1"/>
  <c r="E10168" i="31"/>
  <c r="F10164" i="31"/>
  <c r="I10164" i="31" s="1"/>
  <c r="I10165" i="31" s="1"/>
  <c r="I10173" i="31" s="1"/>
  <c r="E10164" i="31"/>
  <c r="F10160" i="31"/>
  <c r="I10160" i="31" s="1"/>
  <c r="I10161" i="31" s="1"/>
  <c r="I10172" i="31" s="1"/>
  <c r="E10160" i="31"/>
  <c r="F10156" i="31"/>
  <c r="I10156" i="31" s="1"/>
  <c r="E10156" i="31"/>
  <c r="F10155" i="31"/>
  <c r="I10155" i="31" s="1"/>
  <c r="E10155" i="31"/>
  <c r="C10152" i="31"/>
  <c r="E10150" i="31"/>
  <c r="F10141" i="31"/>
  <c r="I10141" i="31" s="1"/>
  <c r="I10142" i="31" s="1"/>
  <c r="I10147" i="31" s="1"/>
  <c r="E10141" i="31"/>
  <c r="F10137" i="31"/>
  <c r="G10137" i="31" s="1"/>
  <c r="E10137" i="31"/>
  <c r="F10133" i="31"/>
  <c r="I10133" i="31" s="1"/>
  <c r="E10133" i="31"/>
  <c r="F10132" i="31"/>
  <c r="I10132" i="31" s="1"/>
  <c r="E10132" i="31"/>
  <c r="F10131" i="31"/>
  <c r="I10131" i="31" s="1"/>
  <c r="E10131" i="31"/>
  <c r="F10127" i="31"/>
  <c r="E10127" i="31"/>
  <c r="F10126" i="31"/>
  <c r="I10126" i="31" s="1"/>
  <c r="E10126" i="31"/>
  <c r="F10125" i="31"/>
  <c r="I10125" i="31" s="1"/>
  <c r="E10125" i="31"/>
  <c r="F10124" i="31"/>
  <c r="I10124" i="31" s="1"/>
  <c r="E10124" i="31"/>
  <c r="F10123" i="31"/>
  <c r="E10123" i="31"/>
  <c r="F10122" i="31"/>
  <c r="I10122" i="31" s="1"/>
  <c r="E10122" i="31"/>
  <c r="C10119" i="31"/>
  <c r="E10117" i="31"/>
  <c r="F10108" i="31"/>
  <c r="I10108" i="31" s="1"/>
  <c r="I10109" i="31" s="1"/>
  <c r="I10114" i="31" s="1"/>
  <c r="E10108" i="31"/>
  <c r="F10104" i="31"/>
  <c r="G10104" i="31" s="1"/>
  <c r="E10104" i="31"/>
  <c r="F10100" i="31"/>
  <c r="I10100" i="31" s="1"/>
  <c r="E10100" i="31"/>
  <c r="F10099" i="31"/>
  <c r="I10099" i="31" s="1"/>
  <c r="E10099" i="31"/>
  <c r="F10098" i="31"/>
  <c r="I10098" i="31" s="1"/>
  <c r="E10098" i="31"/>
  <c r="I10094" i="31"/>
  <c r="F10094" i="31"/>
  <c r="G10094" i="31" s="1"/>
  <c r="E10094" i="31"/>
  <c r="F10093" i="31"/>
  <c r="E10093" i="31"/>
  <c r="F10092" i="31"/>
  <c r="G10092" i="31" s="1"/>
  <c r="E10092" i="31"/>
  <c r="F10091" i="31"/>
  <c r="G10091" i="31" s="1"/>
  <c r="E10091" i="31"/>
  <c r="F10090" i="31"/>
  <c r="G10090" i="31" s="1"/>
  <c r="E10090" i="31"/>
  <c r="F10089" i="31"/>
  <c r="E10089" i="31"/>
  <c r="C10086" i="31"/>
  <c r="E10084" i="31"/>
  <c r="F10075" i="31"/>
  <c r="I10075" i="31" s="1"/>
  <c r="I10076" i="31" s="1"/>
  <c r="I10081" i="31" s="1"/>
  <c r="E10075" i="31"/>
  <c r="F10071" i="31"/>
  <c r="G10071" i="31" s="1"/>
  <c r="E10071" i="31"/>
  <c r="F10067" i="31"/>
  <c r="I10067" i="31" s="1"/>
  <c r="I10068" i="31" s="1"/>
  <c r="I10079" i="31" s="1"/>
  <c r="E10067" i="31"/>
  <c r="F10063" i="31"/>
  <c r="E10063" i="31"/>
  <c r="F10062" i="31"/>
  <c r="G10062" i="31" s="1"/>
  <c r="E10062" i="31"/>
  <c r="D10062" i="31"/>
  <c r="I10062" i="31" s="1"/>
  <c r="F10061" i="31"/>
  <c r="G10061" i="31" s="1"/>
  <c r="E10061" i="31"/>
  <c r="F10060" i="31"/>
  <c r="G10060" i="31" s="1"/>
  <c r="E10060" i="31"/>
  <c r="C10057" i="31"/>
  <c r="E10055" i="31"/>
  <c r="F10046" i="31"/>
  <c r="I10046" i="31" s="1"/>
  <c r="I10047" i="31" s="1"/>
  <c r="I10052" i="31" s="1"/>
  <c r="E10046" i="31"/>
  <c r="F10042" i="31"/>
  <c r="I10042" i="31" s="1"/>
  <c r="I10043" i="31" s="1"/>
  <c r="I10051" i="31" s="1"/>
  <c r="E10042" i="31"/>
  <c r="I10038" i="31"/>
  <c r="I10039" i="31" s="1"/>
  <c r="I10050" i="31" s="1"/>
  <c r="F10038" i="31"/>
  <c r="E10038" i="31"/>
  <c r="F10034" i="31"/>
  <c r="G10034" i="31" s="1"/>
  <c r="E10034" i="31"/>
  <c r="F10033" i="31"/>
  <c r="G10033" i="31" s="1"/>
  <c r="E10033" i="31"/>
  <c r="D10033" i="31"/>
  <c r="I10033" i="31" s="1"/>
  <c r="G10032" i="31"/>
  <c r="F10032" i="31"/>
  <c r="I10032" i="31" s="1"/>
  <c r="E10032" i="31"/>
  <c r="G10031" i="31"/>
  <c r="F10031" i="31"/>
  <c r="I10031" i="31" s="1"/>
  <c r="E10031" i="31"/>
  <c r="C10028" i="31"/>
  <c r="E10026" i="31"/>
  <c r="F10017" i="31"/>
  <c r="I10017" i="31" s="1"/>
  <c r="I10018" i="31" s="1"/>
  <c r="I10023" i="31" s="1"/>
  <c r="E10017" i="31"/>
  <c r="F10013" i="31"/>
  <c r="G10013" i="31" s="1"/>
  <c r="E10013" i="31"/>
  <c r="I10009" i="31"/>
  <c r="F10009" i="31"/>
  <c r="G10009" i="31" s="1"/>
  <c r="E10009" i="31"/>
  <c r="F10008" i="31"/>
  <c r="E10008" i="31"/>
  <c r="I10007" i="31"/>
  <c r="F10007" i="31"/>
  <c r="G10007" i="31" s="1"/>
  <c r="E10007" i="31"/>
  <c r="F10006" i="31"/>
  <c r="I10006" i="31" s="1"/>
  <c r="E10006" i="31"/>
  <c r="F10002" i="31"/>
  <c r="I10002" i="31" s="1"/>
  <c r="E10002" i="31"/>
  <c r="F10001" i="31"/>
  <c r="I10001" i="31" s="1"/>
  <c r="E10001" i="31"/>
  <c r="F10000" i="31"/>
  <c r="I10000" i="31" s="1"/>
  <c r="E10000" i="31"/>
  <c r="G9999" i="31"/>
  <c r="F9999" i="31"/>
  <c r="E9999" i="31"/>
  <c r="D9999" i="31"/>
  <c r="I9999" i="31" s="1"/>
  <c r="F9998" i="31"/>
  <c r="G9998" i="31" s="1"/>
  <c r="E9998" i="31"/>
  <c r="F9997" i="31"/>
  <c r="G9997" i="31" s="1"/>
  <c r="E9997" i="31"/>
  <c r="C9994" i="31"/>
  <c r="E9992" i="31"/>
  <c r="F9983" i="31"/>
  <c r="I9983" i="31" s="1"/>
  <c r="I9984" i="31" s="1"/>
  <c r="I9989" i="31" s="1"/>
  <c r="E9983" i="31"/>
  <c r="F9979" i="31"/>
  <c r="I9979" i="31" s="1"/>
  <c r="I9980" i="31" s="1"/>
  <c r="I9988" i="31" s="1"/>
  <c r="E9979" i="31"/>
  <c r="F9975" i="31"/>
  <c r="G9975" i="31" s="1"/>
  <c r="E9975" i="31"/>
  <c r="F9974" i="31"/>
  <c r="E9974" i="31"/>
  <c r="F9973" i="31"/>
  <c r="G9973" i="31" s="1"/>
  <c r="E9973" i="31"/>
  <c r="F9972" i="31"/>
  <c r="I9972" i="31" s="1"/>
  <c r="E9972" i="31"/>
  <c r="I9968" i="31"/>
  <c r="F9968" i="31"/>
  <c r="G9968" i="31" s="1"/>
  <c r="E9968" i="31"/>
  <c r="F9967" i="31"/>
  <c r="E9967" i="31"/>
  <c r="F9966" i="31"/>
  <c r="G9966" i="31" s="1"/>
  <c r="E9966" i="31"/>
  <c r="F9965" i="31"/>
  <c r="G9965" i="31" s="1"/>
  <c r="E9965" i="31"/>
  <c r="D9965" i="31"/>
  <c r="F9964" i="31"/>
  <c r="I9964" i="31" s="1"/>
  <c r="E9964" i="31"/>
  <c r="F9963" i="31"/>
  <c r="E9963" i="31"/>
  <c r="C9960" i="31"/>
  <c r="E9958" i="31"/>
  <c r="F9949" i="31"/>
  <c r="I9949" i="31" s="1"/>
  <c r="I9950" i="31" s="1"/>
  <c r="I9955" i="31" s="1"/>
  <c r="E9949" i="31"/>
  <c r="F9945" i="31"/>
  <c r="G9945" i="31" s="1"/>
  <c r="E9945" i="31"/>
  <c r="F9941" i="31"/>
  <c r="I9941" i="31" s="1"/>
  <c r="I9942" i="31" s="1"/>
  <c r="I9953" i="31" s="1"/>
  <c r="E9941" i="31"/>
  <c r="F9937" i="31"/>
  <c r="G9937" i="31" s="1"/>
  <c r="E9937" i="31"/>
  <c r="D9937" i="31"/>
  <c r="F9936" i="31"/>
  <c r="E9936" i="31"/>
  <c r="F9935" i="31"/>
  <c r="G9935" i="31" s="1"/>
  <c r="E9935" i="31"/>
  <c r="C9932" i="31"/>
  <c r="E9930" i="31"/>
  <c r="F9921" i="31"/>
  <c r="I9921" i="31" s="1"/>
  <c r="I9922" i="31" s="1"/>
  <c r="I9927" i="31" s="1"/>
  <c r="E9921" i="31"/>
  <c r="F9917" i="31"/>
  <c r="I9917" i="31" s="1"/>
  <c r="I9918" i="31" s="1"/>
  <c r="I9926" i="31" s="1"/>
  <c r="E9917" i="31"/>
  <c r="F9913" i="31"/>
  <c r="I9913" i="31" s="1"/>
  <c r="I9914" i="31" s="1"/>
  <c r="I9925" i="31" s="1"/>
  <c r="E9913" i="31"/>
  <c r="F9909" i="31"/>
  <c r="G9909" i="31" s="1"/>
  <c r="E9909" i="31"/>
  <c r="D9909" i="31"/>
  <c r="I9909" i="31" s="1"/>
  <c r="G9908" i="31"/>
  <c r="F9908" i="31"/>
  <c r="I9908" i="31" s="1"/>
  <c r="E9908" i="31"/>
  <c r="F9907" i="31"/>
  <c r="I9907" i="31" s="1"/>
  <c r="I9910" i="31" s="1"/>
  <c r="I9924" i="31" s="1"/>
  <c r="E9907" i="31"/>
  <c r="C9904" i="31"/>
  <c r="E9902" i="31"/>
  <c r="F9893" i="31"/>
  <c r="E9893" i="31"/>
  <c r="F9889" i="31"/>
  <c r="I9889" i="31" s="1"/>
  <c r="E9889" i="31"/>
  <c r="F9888" i="31"/>
  <c r="I9888" i="31" s="1"/>
  <c r="I9890" i="31" s="1"/>
  <c r="D9893" i="31" s="1"/>
  <c r="E9888" i="31"/>
  <c r="F9887" i="31"/>
  <c r="I9887" i="31" s="1"/>
  <c r="E9887" i="31"/>
  <c r="I9883" i="31"/>
  <c r="I9884" i="31" s="1"/>
  <c r="I9897" i="31" s="1"/>
  <c r="F9883" i="31"/>
  <c r="E9883" i="31"/>
  <c r="F9879" i="31"/>
  <c r="G9879" i="31" s="1"/>
  <c r="E9879" i="31"/>
  <c r="C9876" i="31"/>
  <c r="E9874" i="31"/>
  <c r="F9865" i="31"/>
  <c r="I9865" i="31" s="1"/>
  <c r="I9866" i="31" s="1"/>
  <c r="I9871" i="31" s="1"/>
  <c r="E9865" i="31"/>
  <c r="F9861" i="31"/>
  <c r="I9861" i="31" s="1"/>
  <c r="E9861" i="31"/>
  <c r="F9860" i="31"/>
  <c r="I9860" i="31" s="1"/>
  <c r="E9860" i="31"/>
  <c r="F9859" i="31"/>
  <c r="E9859" i="31"/>
  <c r="F9855" i="31"/>
  <c r="I9855" i="31" s="1"/>
  <c r="I9856" i="31" s="1"/>
  <c r="I9869" i="31" s="1"/>
  <c r="E9855" i="31"/>
  <c r="F9851" i="31"/>
  <c r="G9851" i="31" s="1"/>
  <c r="E9851" i="31"/>
  <c r="C9848" i="31"/>
  <c r="E9846" i="31"/>
  <c r="F9837" i="31"/>
  <c r="E9837" i="31"/>
  <c r="F9833" i="31"/>
  <c r="G9833" i="31" s="1"/>
  <c r="E9833" i="31"/>
  <c r="F9832" i="31"/>
  <c r="G9832" i="31" s="1"/>
  <c r="E9832" i="31"/>
  <c r="F9828" i="31"/>
  <c r="I9828" i="31" s="1"/>
  <c r="I9829" i="31" s="1"/>
  <c r="I9841" i="31" s="1"/>
  <c r="E9828" i="31"/>
  <c r="F9824" i="31"/>
  <c r="E9824" i="31"/>
  <c r="C9821" i="31"/>
  <c r="E9818" i="31"/>
  <c r="F9809" i="31"/>
  <c r="G9809" i="31" s="1"/>
  <c r="E9809" i="31"/>
  <c r="F9805" i="31"/>
  <c r="E9805" i="31"/>
  <c r="F9801" i="31"/>
  <c r="I9801" i="31" s="1"/>
  <c r="E9801" i="31"/>
  <c r="F9800" i="31"/>
  <c r="I9800" i="31" s="1"/>
  <c r="E9800" i="31"/>
  <c r="F9799" i="31"/>
  <c r="I9799" i="31" s="1"/>
  <c r="E9799" i="31"/>
  <c r="F9795" i="31"/>
  <c r="G9795" i="31" s="1"/>
  <c r="E9795" i="31"/>
  <c r="D9795" i="31"/>
  <c r="I9795" i="31" s="1"/>
  <c r="G9794" i="31"/>
  <c r="F9794" i="31"/>
  <c r="E9794" i="31"/>
  <c r="D9794" i="31"/>
  <c r="F9793" i="31"/>
  <c r="G9793" i="31" s="1"/>
  <c r="E9793" i="31"/>
  <c r="D9793" i="31"/>
  <c r="G9792" i="31"/>
  <c r="F9792" i="31"/>
  <c r="E9792" i="31"/>
  <c r="D9792" i="31"/>
  <c r="C9789" i="31"/>
  <c r="E9785" i="31"/>
  <c r="F9777" i="31"/>
  <c r="I9777" i="31" s="1"/>
  <c r="I9778" i="31" s="1"/>
  <c r="I9783" i="31" s="1"/>
  <c r="E9777" i="31"/>
  <c r="F9773" i="31"/>
  <c r="I9773" i="31" s="1"/>
  <c r="I9774" i="31" s="1"/>
  <c r="I9782" i="31" s="1"/>
  <c r="E9773" i="31"/>
  <c r="F9769" i="31"/>
  <c r="I9769" i="31" s="1"/>
  <c r="I9770" i="31" s="1"/>
  <c r="I9781" i="31" s="1"/>
  <c r="E9769" i="31"/>
  <c r="F9765" i="31"/>
  <c r="G9765" i="31" s="1"/>
  <c r="E9765" i="31"/>
  <c r="C9762" i="31"/>
  <c r="B9762" i="31"/>
  <c r="E9760" i="31"/>
  <c r="I9752" i="31"/>
  <c r="I9753" i="31" s="1"/>
  <c r="I9758" i="31" s="1"/>
  <c r="F9752" i="31"/>
  <c r="E9752" i="31"/>
  <c r="F9748" i="31"/>
  <c r="G9748" i="31" s="1"/>
  <c r="E9748" i="31"/>
  <c r="F9744" i="31"/>
  <c r="I9744" i="31" s="1"/>
  <c r="I9745" i="31" s="1"/>
  <c r="I9756" i="31" s="1"/>
  <c r="E9744" i="31"/>
  <c r="F9740" i="31"/>
  <c r="E9740" i="31"/>
  <c r="C9737" i="31"/>
  <c r="E9735" i="31"/>
  <c r="F9727" i="31"/>
  <c r="I9727" i="31" s="1"/>
  <c r="I9728" i="31" s="1"/>
  <c r="I9733" i="31" s="1"/>
  <c r="E9727" i="31"/>
  <c r="F9723" i="31"/>
  <c r="E9723" i="31"/>
  <c r="F9719" i="31"/>
  <c r="I9719" i="31" s="1"/>
  <c r="I9720" i="31" s="1"/>
  <c r="I9731" i="31" s="1"/>
  <c r="E9719" i="31"/>
  <c r="F9715" i="31"/>
  <c r="G9715" i="31" s="1"/>
  <c r="E9715" i="31"/>
  <c r="C9712" i="31"/>
  <c r="E9710" i="31"/>
  <c r="F9702" i="31"/>
  <c r="I9702" i="31" s="1"/>
  <c r="I9703" i="31" s="1"/>
  <c r="I9708" i="31" s="1"/>
  <c r="E9702" i="31"/>
  <c r="F9698" i="31"/>
  <c r="G9698" i="31" s="1"/>
  <c r="E9698" i="31"/>
  <c r="F9694" i="31"/>
  <c r="I9694" i="31" s="1"/>
  <c r="I9695" i="31" s="1"/>
  <c r="I9706" i="31" s="1"/>
  <c r="E9694" i="31"/>
  <c r="F9690" i="31"/>
  <c r="I9690" i="31" s="1"/>
  <c r="I9691" i="31" s="1"/>
  <c r="I9705" i="31" s="1"/>
  <c r="E9690" i="31"/>
  <c r="C9687" i="31"/>
  <c r="E9685" i="31"/>
  <c r="F9677" i="31"/>
  <c r="I9677" i="31" s="1"/>
  <c r="I9678" i="31" s="1"/>
  <c r="I9683" i="31" s="1"/>
  <c r="E9677" i="31"/>
  <c r="F9673" i="31"/>
  <c r="G9673" i="31" s="1"/>
  <c r="E9673" i="31"/>
  <c r="F9669" i="31"/>
  <c r="I9669" i="31" s="1"/>
  <c r="I9670" i="31" s="1"/>
  <c r="I9681" i="31" s="1"/>
  <c r="E9669" i="31"/>
  <c r="I9665" i="31"/>
  <c r="I9666" i="31" s="1"/>
  <c r="I9680" i="31" s="1"/>
  <c r="F9665" i="31"/>
  <c r="G9665" i="31" s="1"/>
  <c r="E9665" i="31"/>
  <c r="C9662" i="31"/>
  <c r="E9660" i="31"/>
  <c r="F9652" i="31"/>
  <c r="I9652" i="31" s="1"/>
  <c r="I9653" i="31" s="1"/>
  <c r="I9658" i="31" s="1"/>
  <c r="E9652" i="31"/>
  <c r="F9648" i="31"/>
  <c r="E9648" i="31"/>
  <c r="F9644" i="31"/>
  <c r="I9644" i="31" s="1"/>
  <c r="I9645" i="31" s="1"/>
  <c r="I9656" i="31" s="1"/>
  <c r="E9644" i="31"/>
  <c r="F9640" i="31"/>
  <c r="I9640" i="31" s="1"/>
  <c r="I9641" i="31" s="1"/>
  <c r="I9655" i="31" s="1"/>
  <c r="E9640" i="31"/>
  <c r="C9637" i="31"/>
  <c r="E9635" i="31"/>
  <c r="F9627" i="31"/>
  <c r="I9627" i="31" s="1"/>
  <c r="I9628" i="31" s="1"/>
  <c r="I9633" i="31" s="1"/>
  <c r="E9627" i="31"/>
  <c r="F9623" i="31"/>
  <c r="G9623" i="31" s="1"/>
  <c r="E9623" i="31"/>
  <c r="F9619" i="31"/>
  <c r="I9619" i="31" s="1"/>
  <c r="I9620" i="31" s="1"/>
  <c r="I9631" i="31" s="1"/>
  <c r="E9619" i="31"/>
  <c r="I9615" i="31"/>
  <c r="I9616" i="31" s="1"/>
  <c r="I9630" i="31" s="1"/>
  <c r="F9615" i="31"/>
  <c r="G9615" i="31" s="1"/>
  <c r="E9615" i="31"/>
  <c r="C9612" i="31"/>
  <c r="E9610" i="31"/>
  <c r="F9602" i="31"/>
  <c r="I9602" i="31" s="1"/>
  <c r="I9603" i="31" s="1"/>
  <c r="I9608" i="31" s="1"/>
  <c r="E9602" i="31"/>
  <c r="F9598" i="31"/>
  <c r="E9598" i="31"/>
  <c r="F9594" i="31"/>
  <c r="I9594" i="31" s="1"/>
  <c r="I9595" i="31" s="1"/>
  <c r="I9606" i="31" s="1"/>
  <c r="E9594" i="31"/>
  <c r="G9590" i="31"/>
  <c r="F9590" i="31"/>
  <c r="I9590" i="31" s="1"/>
  <c r="I9591" i="31" s="1"/>
  <c r="I9605" i="31" s="1"/>
  <c r="E9590" i="31"/>
  <c r="C9587" i="31"/>
  <c r="E9585" i="31"/>
  <c r="F9577" i="31"/>
  <c r="I9577" i="31" s="1"/>
  <c r="I9578" i="31" s="1"/>
  <c r="I9583" i="31" s="1"/>
  <c r="E9577" i="31"/>
  <c r="F9573" i="31"/>
  <c r="G9573" i="31" s="1"/>
  <c r="E9573" i="31"/>
  <c r="F9569" i="31"/>
  <c r="I9569" i="31" s="1"/>
  <c r="I9570" i="31" s="1"/>
  <c r="I9581" i="31" s="1"/>
  <c r="E9569" i="31"/>
  <c r="I9565" i="31"/>
  <c r="I9566" i="31" s="1"/>
  <c r="I9580" i="31" s="1"/>
  <c r="G9565" i="31"/>
  <c r="F9565" i="31"/>
  <c r="E9565" i="31"/>
  <c r="C9562" i="31"/>
  <c r="E9560" i="31"/>
  <c r="F9552" i="31"/>
  <c r="I9552" i="31" s="1"/>
  <c r="I9553" i="31" s="1"/>
  <c r="I9558" i="31" s="1"/>
  <c r="E9552" i="31"/>
  <c r="F9548" i="31"/>
  <c r="G9548" i="31" s="1"/>
  <c r="E9548" i="31"/>
  <c r="F9544" i="31"/>
  <c r="I9544" i="31" s="1"/>
  <c r="I9545" i="31" s="1"/>
  <c r="I9556" i="31" s="1"/>
  <c r="E9544" i="31"/>
  <c r="G9540" i="31"/>
  <c r="F9540" i="31"/>
  <c r="I9540" i="31" s="1"/>
  <c r="I9541" i="31" s="1"/>
  <c r="I9555" i="31" s="1"/>
  <c r="E9540" i="31"/>
  <c r="C9537" i="31"/>
  <c r="E9535" i="31"/>
  <c r="F9527" i="31"/>
  <c r="I9527" i="31" s="1"/>
  <c r="I9528" i="31" s="1"/>
  <c r="I9533" i="31" s="1"/>
  <c r="E9527" i="31"/>
  <c r="F9523" i="31"/>
  <c r="G9523" i="31" s="1"/>
  <c r="E9523" i="31"/>
  <c r="F9519" i="31"/>
  <c r="I9519" i="31" s="1"/>
  <c r="I9520" i="31" s="1"/>
  <c r="I9531" i="31" s="1"/>
  <c r="E9519" i="31"/>
  <c r="F9515" i="31"/>
  <c r="E9515" i="31"/>
  <c r="C9512" i="31"/>
  <c r="E9510" i="31"/>
  <c r="F9502" i="31"/>
  <c r="I9502" i="31" s="1"/>
  <c r="I9503" i="31" s="1"/>
  <c r="I9508" i="31" s="1"/>
  <c r="E9502" i="31"/>
  <c r="F9498" i="31"/>
  <c r="G9498" i="31" s="1"/>
  <c r="E9498" i="31"/>
  <c r="F9494" i="31"/>
  <c r="I9494" i="31" s="1"/>
  <c r="I9495" i="31" s="1"/>
  <c r="I9506" i="31" s="1"/>
  <c r="E9494" i="31"/>
  <c r="I9491" i="31"/>
  <c r="I9505" i="31" s="1"/>
  <c r="G9490" i="31"/>
  <c r="F9490" i="31"/>
  <c r="I9490" i="31" s="1"/>
  <c r="E9490" i="31"/>
  <c r="C9487" i="31"/>
  <c r="E9484" i="31"/>
  <c r="I9476" i="31"/>
  <c r="I9477" i="31" s="1"/>
  <c r="I9482" i="31" s="1"/>
  <c r="F9476" i="31"/>
  <c r="E9476" i="31"/>
  <c r="F9472" i="31"/>
  <c r="G9472" i="31" s="1"/>
  <c r="E9472" i="31"/>
  <c r="F9468" i="31"/>
  <c r="I9468" i="31" s="1"/>
  <c r="I9469" i="31" s="1"/>
  <c r="I9480" i="31" s="1"/>
  <c r="E9468" i="31"/>
  <c r="I9464" i="31"/>
  <c r="I9465" i="31" s="1"/>
  <c r="I9479" i="31" s="1"/>
  <c r="G9464" i="31"/>
  <c r="F9464" i="31"/>
  <c r="E9464" i="31"/>
  <c r="C9461" i="31"/>
  <c r="E9459" i="31"/>
  <c r="F9451" i="31"/>
  <c r="I9451" i="31" s="1"/>
  <c r="I9452" i="31" s="1"/>
  <c r="I9457" i="31" s="1"/>
  <c r="E9451" i="31"/>
  <c r="F9447" i="31"/>
  <c r="G9447" i="31" s="1"/>
  <c r="E9447" i="31"/>
  <c r="F9443" i="31"/>
  <c r="I9443" i="31" s="1"/>
  <c r="I9444" i="31" s="1"/>
  <c r="I9455" i="31" s="1"/>
  <c r="E9443" i="31"/>
  <c r="F9439" i="31"/>
  <c r="E9439" i="31"/>
  <c r="C9436" i="31"/>
  <c r="E9434" i="31"/>
  <c r="F9426" i="31"/>
  <c r="I9426" i="31" s="1"/>
  <c r="I9427" i="31" s="1"/>
  <c r="I9432" i="31" s="1"/>
  <c r="E9426" i="31"/>
  <c r="F9422" i="31"/>
  <c r="G9422" i="31" s="1"/>
  <c r="E9422" i="31"/>
  <c r="F9418" i="31"/>
  <c r="I9418" i="31" s="1"/>
  <c r="I9419" i="31" s="1"/>
  <c r="I9430" i="31" s="1"/>
  <c r="E9418" i="31"/>
  <c r="F9414" i="31"/>
  <c r="I9414" i="31" s="1"/>
  <c r="I9415" i="31" s="1"/>
  <c r="I9429" i="31" s="1"/>
  <c r="E9414" i="31"/>
  <c r="C9411" i="31"/>
  <c r="E9409" i="31"/>
  <c r="F9401" i="31"/>
  <c r="I9401" i="31" s="1"/>
  <c r="I9402" i="31" s="1"/>
  <c r="I9407" i="31" s="1"/>
  <c r="E9401" i="31"/>
  <c r="F9397" i="31"/>
  <c r="G9397" i="31" s="1"/>
  <c r="E9397" i="31"/>
  <c r="F9393" i="31"/>
  <c r="I9393" i="31" s="1"/>
  <c r="I9394" i="31" s="1"/>
  <c r="I9405" i="31" s="1"/>
  <c r="E9393" i="31"/>
  <c r="F9389" i="31"/>
  <c r="I9389" i="31" s="1"/>
  <c r="I9390" i="31" s="1"/>
  <c r="I9404" i="31" s="1"/>
  <c r="E9389" i="31"/>
  <c r="C9386" i="31"/>
  <c r="E9384" i="31"/>
  <c r="F9376" i="31"/>
  <c r="I9376" i="31" s="1"/>
  <c r="I9377" i="31" s="1"/>
  <c r="I9382" i="31" s="1"/>
  <c r="E9376" i="31"/>
  <c r="F9372" i="31"/>
  <c r="I9372" i="31" s="1"/>
  <c r="I9373" i="31" s="1"/>
  <c r="I9381" i="31" s="1"/>
  <c r="E9372" i="31"/>
  <c r="F9368" i="31"/>
  <c r="I9368" i="31" s="1"/>
  <c r="I9369" i="31" s="1"/>
  <c r="I9380" i="31" s="1"/>
  <c r="E9368" i="31"/>
  <c r="F9364" i="31"/>
  <c r="E9364" i="31"/>
  <c r="C9361" i="31"/>
  <c r="E9359" i="31"/>
  <c r="F9351" i="31"/>
  <c r="I9351" i="31" s="1"/>
  <c r="I9352" i="31" s="1"/>
  <c r="I9357" i="31" s="1"/>
  <c r="E9351" i="31"/>
  <c r="F9347" i="31"/>
  <c r="I9347" i="31" s="1"/>
  <c r="I9348" i="31" s="1"/>
  <c r="I9356" i="31" s="1"/>
  <c r="E9347" i="31"/>
  <c r="F9343" i="31"/>
  <c r="I9343" i="31" s="1"/>
  <c r="I9344" i="31" s="1"/>
  <c r="I9355" i="31" s="1"/>
  <c r="E9343" i="31"/>
  <c r="F9339" i="31"/>
  <c r="I9339" i="31" s="1"/>
  <c r="I9340" i="31" s="1"/>
  <c r="I9354" i="31" s="1"/>
  <c r="E9339" i="31"/>
  <c r="C9336" i="31"/>
  <c r="E9334" i="31"/>
  <c r="F9326" i="31"/>
  <c r="I9326" i="31" s="1"/>
  <c r="I9327" i="31" s="1"/>
  <c r="I9332" i="31" s="1"/>
  <c r="E9326" i="31"/>
  <c r="G9322" i="31"/>
  <c r="F9322" i="31"/>
  <c r="I9322" i="31" s="1"/>
  <c r="I9323" i="31" s="1"/>
  <c r="I9331" i="31" s="1"/>
  <c r="E9322" i="31"/>
  <c r="F9318" i="31"/>
  <c r="I9318" i="31" s="1"/>
  <c r="I9319" i="31" s="1"/>
  <c r="I9330" i="31" s="1"/>
  <c r="E9318" i="31"/>
  <c r="F9314" i="31"/>
  <c r="E9314" i="31"/>
  <c r="C9311" i="31"/>
  <c r="E9308" i="31"/>
  <c r="F9300" i="31"/>
  <c r="I9300" i="31" s="1"/>
  <c r="I9301" i="31" s="1"/>
  <c r="I9306" i="31" s="1"/>
  <c r="E9300" i="31"/>
  <c r="F9296" i="31"/>
  <c r="E9296" i="31"/>
  <c r="F9292" i="31"/>
  <c r="I9292" i="31" s="1"/>
  <c r="I9293" i="31" s="1"/>
  <c r="I9304" i="31" s="1"/>
  <c r="E9292" i="31"/>
  <c r="F9288" i="31"/>
  <c r="I9288" i="31" s="1"/>
  <c r="I9289" i="31" s="1"/>
  <c r="I9303" i="31" s="1"/>
  <c r="E9288" i="31"/>
  <c r="C9285" i="31"/>
  <c r="E9282" i="31"/>
  <c r="F9274" i="31"/>
  <c r="I9274" i="31" s="1"/>
  <c r="I9275" i="31" s="1"/>
  <c r="I9280" i="31" s="1"/>
  <c r="E9274" i="31"/>
  <c r="F9270" i="31"/>
  <c r="E9270" i="31"/>
  <c r="F9266" i="31"/>
  <c r="I9266" i="31" s="1"/>
  <c r="I9267" i="31" s="1"/>
  <c r="I9278" i="31" s="1"/>
  <c r="E9266" i="31"/>
  <c r="F9262" i="31"/>
  <c r="G9262" i="31" s="1"/>
  <c r="E9262" i="31"/>
  <c r="C9259" i="31"/>
  <c r="E9257" i="31"/>
  <c r="F9249" i="31"/>
  <c r="I9249" i="31" s="1"/>
  <c r="I9250" i="31" s="1"/>
  <c r="I9255" i="31" s="1"/>
  <c r="E9249" i="31"/>
  <c r="F9245" i="31"/>
  <c r="I9245" i="31" s="1"/>
  <c r="I9246" i="31" s="1"/>
  <c r="I9254" i="31" s="1"/>
  <c r="E9245" i="31"/>
  <c r="F9241" i="31"/>
  <c r="I9241" i="31" s="1"/>
  <c r="I9242" i="31" s="1"/>
  <c r="I9253" i="31" s="1"/>
  <c r="E9241" i="31"/>
  <c r="F9237" i="31"/>
  <c r="I9237" i="31" s="1"/>
  <c r="I9238" i="31" s="1"/>
  <c r="I9252" i="31" s="1"/>
  <c r="E9237" i="31"/>
  <c r="C9234" i="31"/>
  <c r="E9232" i="31"/>
  <c r="F9224" i="31"/>
  <c r="I9224" i="31" s="1"/>
  <c r="I9225" i="31" s="1"/>
  <c r="I9230" i="31" s="1"/>
  <c r="E9224" i="31"/>
  <c r="F9220" i="31"/>
  <c r="I9220" i="31" s="1"/>
  <c r="I9221" i="31" s="1"/>
  <c r="I9229" i="31" s="1"/>
  <c r="E9220" i="31"/>
  <c r="F9216" i="31"/>
  <c r="I9216" i="31" s="1"/>
  <c r="I9217" i="31" s="1"/>
  <c r="I9228" i="31" s="1"/>
  <c r="E9216" i="31"/>
  <c r="F9212" i="31"/>
  <c r="G9212" i="31" s="1"/>
  <c r="E9212" i="31"/>
  <c r="C9209" i="31"/>
  <c r="E9207" i="31"/>
  <c r="F9199" i="31"/>
  <c r="E9199" i="31"/>
  <c r="F9195" i="31"/>
  <c r="I9195" i="31" s="1"/>
  <c r="I9196" i="31" s="1"/>
  <c r="I9204" i="31" s="1"/>
  <c r="E9195" i="31"/>
  <c r="F9191" i="31"/>
  <c r="E9191" i="31"/>
  <c r="F9190" i="31"/>
  <c r="I9190" i="31" s="1"/>
  <c r="E9190" i="31"/>
  <c r="F9186" i="31"/>
  <c r="I9186" i="31" s="1"/>
  <c r="E9186" i="31"/>
  <c r="F9185" i="31"/>
  <c r="I9185" i="31" s="1"/>
  <c r="E9185" i="31"/>
  <c r="F9184" i="31"/>
  <c r="I9184" i="31" s="1"/>
  <c r="E9184" i="31"/>
  <c r="F9183" i="31"/>
  <c r="I9183" i="31" s="1"/>
  <c r="E9183" i="31"/>
  <c r="C9180" i="31"/>
  <c r="D9177" i="31"/>
  <c r="E9176" i="31"/>
  <c r="F9167" i="31"/>
  <c r="G9167" i="31" s="1"/>
  <c r="E9167" i="31"/>
  <c r="F9163" i="31"/>
  <c r="I9163" i="31" s="1"/>
  <c r="E9163" i="31"/>
  <c r="F9162" i="31"/>
  <c r="I9162" i="31" s="1"/>
  <c r="E9162" i="31"/>
  <c r="F9158" i="31"/>
  <c r="I9158" i="31" s="1"/>
  <c r="I9159" i="31" s="1"/>
  <c r="I9171" i="31" s="1"/>
  <c r="E9158" i="31"/>
  <c r="F9154" i="31"/>
  <c r="G9154" i="31" s="1"/>
  <c r="E9154" i="31"/>
  <c r="F9153" i="31"/>
  <c r="G9153" i="31" s="1"/>
  <c r="E9153" i="31"/>
  <c r="F9152" i="31"/>
  <c r="G9152" i="31" s="1"/>
  <c r="E9152" i="31"/>
  <c r="F9151" i="31"/>
  <c r="G9151" i="31" s="1"/>
  <c r="E9151" i="31"/>
  <c r="C9148" i="31"/>
  <c r="E9146" i="31"/>
  <c r="F9138" i="31"/>
  <c r="I9138" i="31" s="1"/>
  <c r="I9139" i="31" s="1"/>
  <c r="I9144" i="31" s="1"/>
  <c r="E9138" i="31"/>
  <c r="F9134" i="31"/>
  <c r="I9134" i="31" s="1"/>
  <c r="I9135" i="31" s="1"/>
  <c r="I9143" i="31" s="1"/>
  <c r="E9134" i="31"/>
  <c r="F9130" i="31"/>
  <c r="I9130" i="31" s="1"/>
  <c r="E9130" i="31"/>
  <c r="F9129" i="31"/>
  <c r="I9129" i="31" s="1"/>
  <c r="E9129" i="31"/>
  <c r="I9125" i="31"/>
  <c r="G9125" i="31"/>
  <c r="F9124" i="31"/>
  <c r="C9121" i="31"/>
  <c r="E9119" i="31"/>
  <c r="F9111" i="31"/>
  <c r="I9111" i="31" s="1"/>
  <c r="I9112" i="31" s="1"/>
  <c r="I9117" i="31" s="1"/>
  <c r="E9111" i="31"/>
  <c r="F9107" i="31"/>
  <c r="G9107" i="31" s="1"/>
  <c r="E9107" i="31"/>
  <c r="F9103" i="31"/>
  <c r="I9103" i="31" s="1"/>
  <c r="I9104" i="31" s="1"/>
  <c r="I9115" i="31" s="1"/>
  <c r="E9103" i="31"/>
  <c r="F9099" i="31"/>
  <c r="G9099" i="31" s="1"/>
  <c r="E9099" i="31"/>
  <c r="C9096" i="31"/>
  <c r="E9094" i="31"/>
  <c r="F9086" i="31"/>
  <c r="I9086" i="31" s="1"/>
  <c r="I9087" i="31" s="1"/>
  <c r="I9092" i="31" s="1"/>
  <c r="E9086" i="31"/>
  <c r="F9082" i="31"/>
  <c r="I9082" i="31" s="1"/>
  <c r="I9083" i="31" s="1"/>
  <c r="I9091" i="31" s="1"/>
  <c r="E9082" i="31"/>
  <c r="F9078" i="31"/>
  <c r="I9078" i="31" s="1"/>
  <c r="I9079" i="31" s="1"/>
  <c r="I9090" i="31" s="1"/>
  <c r="E9078" i="31"/>
  <c r="I9074" i="31"/>
  <c r="G9074" i="31"/>
  <c r="F9073" i="31"/>
  <c r="G9073" i="31" s="1"/>
  <c r="C9070" i="31"/>
  <c r="E9068" i="31"/>
  <c r="F9060" i="31"/>
  <c r="I9060" i="31" s="1"/>
  <c r="I9061" i="31" s="1"/>
  <c r="I9066" i="31" s="1"/>
  <c r="E9060" i="31"/>
  <c r="F9056" i="31"/>
  <c r="G9056" i="31" s="1"/>
  <c r="E9056" i="31"/>
  <c r="F9052" i="31"/>
  <c r="I9052" i="31" s="1"/>
  <c r="I9053" i="31" s="1"/>
  <c r="I9064" i="31" s="1"/>
  <c r="E9052" i="31"/>
  <c r="F9048" i="31"/>
  <c r="I9048" i="31" s="1"/>
  <c r="E9048" i="31"/>
  <c r="F9047" i="31"/>
  <c r="I9047" i="31" s="1"/>
  <c r="I9049" i="31" s="1"/>
  <c r="I9063" i="31" s="1"/>
  <c r="E9047" i="31"/>
  <c r="C9044" i="31"/>
  <c r="E9042" i="31"/>
  <c r="F9033" i="31"/>
  <c r="I9033" i="31" s="1"/>
  <c r="I9034" i="31" s="1"/>
  <c r="I9039" i="31" s="1"/>
  <c r="E9033" i="31"/>
  <c r="F9029" i="31"/>
  <c r="E9029" i="31"/>
  <c r="F9025" i="31"/>
  <c r="I9025" i="31" s="1"/>
  <c r="E9025" i="31"/>
  <c r="F9024" i="31"/>
  <c r="I9024" i="31" s="1"/>
  <c r="E9024" i="31"/>
  <c r="F9023" i="31"/>
  <c r="I9023" i="31" s="1"/>
  <c r="E9023" i="31"/>
  <c r="F9019" i="31"/>
  <c r="I9019" i="31" s="1"/>
  <c r="E9019" i="31"/>
  <c r="F9018" i="31"/>
  <c r="I9018" i="31" s="1"/>
  <c r="E9018" i="31"/>
  <c r="F9017" i="31"/>
  <c r="I9017" i="31" s="1"/>
  <c r="E9017" i="31"/>
  <c r="C9014" i="31"/>
  <c r="F9002" i="31"/>
  <c r="I9002" i="31" s="1"/>
  <c r="I9003" i="31" s="1"/>
  <c r="I9008" i="31" s="1"/>
  <c r="E9002" i="31"/>
  <c r="F8998" i="31"/>
  <c r="I8998" i="31" s="1"/>
  <c r="I8999" i="31" s="1"/>
  <c r="I9007" i="31" s="1"/>
  <c r="E8998" i="31"/>
  <c r="F8994" i="31"/>
  <c r="I8994" i="31" s="1"/>
  <c r="E8994" i="31"/>
  <c r="F8993" i="31"/>
  <c r="I8993" i="31" s="1"/>
  <c r="E8993" i="31"/>
  <c r="F8992" i="31"/>
  <c r="I8992" i="31" s="1"/>
  <c r="E8992" i="31"/>
  <c r="F8988" i="31"/>
  <c r="I8988" i="31" s="1"/>
  <c r="E8988" i="31"/>
  <c r="F8987" i="31"/>
  <c r="I8987" i="31" s="1"/>
  <c r="E8987" i="31"/>
  <c r="F8986" i="31"/>
  <c r="I8986" i="31" s="1"/>
  <c r="E8986" i="31"/>
  <c r="F8985" i="31"/>
  <c r="I8985" i="31" s="1"/>
  <c r="E8985" i="31"/>
  <c r="F8984" i="31"/>
  <c r="I8984" i="31" s="1"/>
  <c r="E8984" i="31"/>
  <c r="F8983" i="31"/>
  <c r="I8983" i="31" s="1"/>
  <c r="E8983" i="31"/>
  <c r="C8980" i="31"/>
  <c r="E8978" i="31"/>
  <c r="F8970" i="31"/>
  <c r="I8970" i="31" s="1"/>
  <c r="I8971" i="31" s="1"/>
  <c r="I8976" i="31" s="1"/>
  <c r="E8970" i="31"/>
  <c r="F8966" i="31"/>
  <c r="I8966" i="31" s="1"/>
  <c r="I8967" i="31" s="1"/>
  <c r="I8975" i="31" s="1"/>
  <c r="E8966" i="31"/>
  <c r="F8962" i="31"/>
  <c r="I8962" i="31" s="1"/>
  <c r="I8963" i="31" s="1"/>
  <c r="I8974" i="31" s="1"/>
  <c r="E8962" i="31"/>
  <c r="F8958" i="31"/>
  <c r="E8958" i="31"/>
  <c r="F8957" i="31"/>
  <c r="E8957" i="31"/>
  <c r="C8954" i="31"/>
  <c r="E8952" i="31"/>
  <c r="F8943" i="31"/>
  <c r="I8943" i="31" s="1"/>
  <c r="I8944" i="31" s="1"/>
  <c r="I8949" i="31" s="1"/>
  <c r="E8943" i="31"/>
  <c r="F8939" i="31"/>
  <c r="G8939" i="31" s="1"/>
  <c r="E8939" i="31"/>
  <c r="F8935" i="31"/>
  <c r="I8935" i="31" s="1"/>
  <c r="E8935" i="31"/>
  <c r="F8934" i="31"/>
  <c r="I8934" i="31" s="1"/>
  <c r="E8934" i="31"/>
  <c r="I8933" i="31"/>
  <c r="F8933" i="31"/>
  <c r="E8933" i="31"/>
  <c r="F8929" i="31"/>
  <c r="I8929" i="31" s="1"/>
  <c r="E8929" i="31"/>
  <c r="G8928" i="31"/>
  <c r="F8928" i="31"/>
  <c r="I8928" i="31" s="1"/>
  <c r="E8928" i="31"/>
  <c r="F8927" i="31"/>
  <c r="I8927" i="31" s="1"/>
  <c r="E8927" i="31"/>
  <c r="G8926" i="31"/>
  <c r="F8926" i="31"/>
  <c r="I8926" i="31" s="1"/>
  <c r="E8926" i="31"/>
  <c r="C8923" i="31"/>
  <c r="E8921" i="31"/>
  <c r="F8913" i="31"/>
  <c r="I8913" i="31" s="1"/>
  <c r="I8914" i="31" s="1"/>
  <c r="I8919" i="31" s="1"/>
  <c r="E8913" i="31"/>
  <c r="F8909" i="31"/>
  <c r="E8909" i="31"/>
  <c r="F8905" i="31"/>
  <c r="I8905" i="31" s="1"/>
  <c r="I8906" i="31" s="1"/>
  <c r="I8917" i="31" s="1"/>
  <c r="E8905" i="31"/>
  <c r="F8901" i="31"/>
  <c r="I8901" i="31" s="1"/>
  <c r="E8901" i="31"/>
  <c r="F8900" i="31"/>
  <c r="I8900" i="31" s="1"/>
  <c r="E8900" i="31"/>
  <c r="F8899" i="31"/>
  <c r="I8899" i="31" s="1"/>
  <c r="E8899" i="31"/>
  <c r="C8896" i="31"/>
  <c r="E8894" i="31"/>
  <c r="F8886" i="31"/>
  <c r="I8886" i="31" s="1"/>
  <c r="I8887" i="31" s="1"/>
  <c r="I8892" i="31" s="1"/>
  <c r="E8886" i="31"/>
  <c r="F8882" i="31"/>
  <c r="I8882" i="31" s="1"/>
  <c r="I8883" i="31" s="1"/>
  <c r="I8891" i="31" s="1"/>
  <c r="E8882" i="31"/>
  <c r="F8878" i="31"/>
  <c r="I8878" i="31" s="1"/>
  <c r="I8879" i="31" s="1"/>
  <c r="I8890" i="31" s="1"/>
  <c r="E8878" i="31"/>
  <c r="I8874" i="31"/>
  <c r="F8874" i="31"/>
  <c r="G8874" i="31" s="1"/>
  <c r="E8874" i="31"/>
  <c r="F8873" i="31"/>
  <c r="G8873" i="31" s="1"/>
  <c r="E8873" i="31"/>
  <c r="I8872" i="31"/>
  <c r="F8872" i="31"/>
  <c r="G8872" i="31" s="1"/>
  <c r="E8872" i="31"/>
  <c r="C8869" i="31"/>
  <c r="E8867" i="31"/>
  <c r="F8859" i="31"/>
  <c r="I8859" i="31" s="1"/>
  <c r="I8860" i="31" s="1"/>
  <c r="I8865" i="31" s="1"/>
  <c r="E8859" i="31"/>
  <c r="F8855" i="31"/>
  <c r="E8855" i="31"/>
  <c r="F8851" i="31"/>
  <c r="I8851" i="31" s="1"/>
  <c r="I8852" i="31" s="1"/>
  <c r="I8863" i="31" s="1"/>
  <c r="E8851" i="31"/>
  <c r="F8847" i="31"/>
  <c r="I8847" i="31" s="1"/>
  <c r="E8847" i="31"/>
  <c r="F8846" i="31"/>
  <c r="I8846" i="31" s="1"/>
  <c r="E8846" i="31"/>
  <c r="C8843" i="31"/>
  <c r="E8841" i="31"/>
  <c r="F8832" i="31"/>
  <c r="I8832" i="31" s="1"/>
  <c r="I8833" i="31" s="1"/>
  <c r="I8838" i="31" s="1"/>
  <c r="E8832" i="31"/>
  <c r="G8828" i="31"/>
  <c r="F8828" i="31"/>
  <c r="I8828" i="31" s="1"/>
  <c r="I8829" i="31" s="1"/>
  <c r="I8837" i="31" s="1"/>
  <c r="E8828" i="31"/>
  <c r="F8824" i="31"/>
  <c r="I8824" i="31" s="1"/>
  <c r="E8824" i="31"/>
  <c r="F8823" i="31"/>
  <c r="I8823" i="31" s="1"/>
  <c r="E8823" i="31"/>
  <c r="F8822" i="31"/>
  <c r="I8822" i="31" s="1"/>
  <c r="E8822" i="31"/>
  <c r="F8818" i="31"/>
  <c r="I8818" i="31" s="1"/>
  <c r="E8818" i="31"/>
  <c r="F8817" i="31"/>
  <c r="I8817" i="31" s="1"/>
  <c r="E8817" i="31"/>
  <c r="F8816" i="31"/>
  <c r="I8816" i="31" s="1"/>
  <c r="E8816" i="31"/>
  <c r="F8815" i="31"/>
  <c r="I8815" i="31" s="1"/>
  <c r="E8815" i="31"/>
  <c r="F8814" i="31"/>
  <c r="I8814" i="31" s="1"/>
  <c r="E8814" i="31"/>
  <c r="F8813" i="31"/>
  <c r="I8813" i="31" s="1"/>
  <c r="I8819" i="31" s="1"/>
  <c r="I8835" i="31" s="1"/>
  <c r="E8813" i="31"/>
  <c r="C8810" i="31"/>
  <c r="E8808" i="31"/>
  <c r="F8799" i="31"/>
  <c r="I8799" i="31" s="1"/>
  <c r="I8800" i="31" s="1"/>
  <c r="I8805" i="31" s="1"/>
  <c r="E8799" i="31"/>
  <c r="F8795" i="31"/>
  <c r="I8795" i="31" s="1"/>
  <c r="I8796" i="31" s="1"/>
  <c r="I8804" i="31" s="1"/>
  <c r="E8795" i="31"/>
  <c r="F8791" i="31"/>
  <c r="I8791" i="31" s="1"/>
  <c r="E8791" i="31"/>
  <c r="F8790" i="31"/>
  <c r="I8790" i="31" s="1"/>
  <c r="E8790" i="31"/>
  <c r="F8789" i="31"/>
  <c r="I8789" i="31" s="1"/>
  <c r="E8789" i="31"/>
  <c r="F8785" i="31"/>
  <c r="I8785" i="31" s="1"/>
  <c r="E8785" i="31"/>
  <c r="F8784" i="31"/>
  <c r="I8784" i="31" s="1"/>
  <c r="E8784" i="31"/>
  <c r="F8783" i="31"/>
  <c r="I8783" i="31" s="1"/>
  <c r="E8783" i="31"/>
  <c r="F8782" i="31"/>
  <c r="I8782" i="31" s="1"/>
  <c r="E8782" i="31"/>
  <c r="F8781" i="31"/>
  <c r="I8781" i="31" s="1"/>
  <c r="E8781" i="31"/>
  <c r="F8780" i="31"/>
  <c r="I8780" i="31" s="1"/>
  <c r="I8786" i="31" s="1"/>
  <c r="I8802" i="31" s="1"/>
  <c r="E8780" i="31"/>
  <c r="C8777" i="31"/>
  <c r="E8775" i="31"/>
  <c r="F8766" i="31"/>
  <c r="I8766" i="31" s="1"/>
  <c r="I8767" i="31" s="1"/>
  <c r="I8772" i="31" s="1"/>
  <c r="E8766" i="31"/>
  <c r="F8762" i="31"/>
  <c r="I8762" i="31" s="1"/>
  <c r="I8763" i="31" s="1"/>
  <c r="I8771" i="31" s="1"/>
  <c r="E8762" i="31"/>
  <c r="I8758" i="31"/>
  <c r="G8758" i="31"/>
  <c r="F8758" i="31"/>
  <c r="E8758" i="31"/>
  <c r="I8757" i="31"/>
  <c r="G8757" i="31"/>
  <c r="F8757" i="31"/>
  <c r="E8757" i="31"/>
  <c r="I8756" i="31"/>
  <c r="G8756" i="31"/>
  <c r="F8756" i="31"/>
  <c r="E8756" i="31"/>
  <c r="I8755" i="31"/>
  <c r="G8755" i="31"/>
  <c r="F8755" i="31"/>
  <c r="E8755" i="31"/>
  <c r="I8751" i="31"/>
  <c r="F8751" i="31"/>
  <c r="G8751" i="31" s="1"/>
  <c r="E8751" i="31"/>
  <c r="F8750" i="31"/>
  <c r="E8750" i="31"/>
  <c r="F8749" i="31"/>
  <c r="E8749" i="31"/>
  <c r="F8748" i="31"/>
  <c r="G8748" i="31" s="1"/>
  <c r="E8748" i="31"/>
  <c r="D8748" i="31"/>
  <c r="F8747" i="31"/>
  <c r="I8747" i="31" s="1"/>
  <c r="E8747" i="31"/>
  <c r="F8746" i="31"/>
  <c r="I8746" i="31" s="1"/>
  <c r="E8746" i="31"/>
  <c r="C8743" i="31"/>
  <c r="E8741" i="31"/>
  <c r="F8732" i="31"/>
  <c r="I8732" i="31" s="1"/>
  <c r="I8733" i="31" s="1"/>
  <c r="I8738" i="31" s="1"/>
  <c r="E8732" i="31"/>
  <c r="F8728" i="31"/>
  <c r="I8728" i="31" s="1"/>
  <c r="I8729" i="31" s="1"/>
  <c r="I8737" i="31" s="1"/>
  <c r="E8728" i="31"/>
  <c r="F8724" i="31"/>
  <c r="E8724" i="31"/>
  <c r="G8723" i="31"/>
  <c r="F8723" i="31"/>
  <c r="I8723" i="31" s="1"/>
  <c r="E8723" i="31"/>
  <c r="F8722" i="31"/>
  <c r="E8722" i="31"/>
  <c r="F8721" i="31"/>
  <c r="I8721" i="31" s="1"/>
  <c r="E8721" i="31"/>
  <c r="G8717" i="31"/>
  <c r="F8717" i="31"/>
  <c r="I8717" i="31" s="1"/>
  <c r="E8717" i="31"/>
  <c r="F8716" i="31"/>
  <c r="I8716" i="31" s="1"/>
  <c r="E8716" i="31"/>
  <c r="F8715" i="31"/>
  <c r="I8715" i="31" s="1"/>
  <c r="E8715" i="31"/>
  <c r="F8714" i="31"/>
  <c r="G8714" i="31" s="1"/>
  <c r="E8714" i="31"/>
  <c r="D8714" i="31"/>
  <c r="I8714" i="31" s="1"/>
  <c r="F8713" i="31"/>
  <c r="E8713" i="31"/>
  <c r="F8712" i="31"/>
  <c r="E8712" i="31"/>
  <c r="C8709" i="31"/>
  <c r="E8707" i="31"/>
  <c r="F8698" i="31"/>
  <c r="I8698" i="31" s="1"/>
  <c r="I8699" i="31" s="1"/>
  <c r="I8704" i="31" s="1"/>
  <c r="E8698" i="31"/>
  <c r="F8694" i="31"/>
  <c r="I8694" i="31" s="1"/>
  <c r="I8695" i="31" s="1"/>
  <c r="I8703" i="31" s="1"/>
  <c r="E8694" i="31"/>
  <c r="F8690" i="31"/>
  <c r="I8690" i="31" s="1"/>
  <c r="I8691" i="31" s="1"/>
  <c r="I8702" i="31" s="1"/>
  <c r="E8690" i="31"/>
  <c r="F8686" i="31"/>
  <c r="I8686" i="31" s="1"/>
  <c r="E8686" i="31"/>
  <c r="F8685" i="31"/>
  <c r="G8685" i="31" s="1"/>
  <c r="E8685" i="31"/>
  <c r="D8685" i="31"/>
  <c r="I8684" i="31"/>
  <c r="G8684" i="31"/>
  <c r="F8684" i="31"/>
  <c r="E8684" i="31"/>
  <c r="I8683" i="31"/>
  <c r="G8683" i="31"/>
  <c r="F8683" i="31"/>
  <c r="E8683" i="31"/>
  <c r="C8680" i="31"/>
  <c r="E8677" i="31"/>
  <c r="F8668" i="31"/>
  <c r="I8668" i="31" s="1"/>
  <c r="I8669" i="31" s="1"/>
  <c r="I8674" i="31" s="1"/>
  <c r="E8668" i="31"/>
  <c r="F8664" i="31"/>
  <c r="G8664" i="31" s="1"/>
  <c r="E8664" i="31"/>
  <c r="F8660" i="31"/>
  <c r="I8660" i="31" s="1"/>
  <c r="I8661" i="31" s="1"/>
  <c r="I8672" i="31" s="1"/>
  <c r="E8660" i="31"/>
  <c r="F8656" i="31"/>
  <c r="I8656" i="31" s="1"/>
  <c r="E8656" i="31"/>
  <c r="F8655" i="31"/>
  <c r="G8655" i="31" s="1"/>
  <c r="E8655" i="31"/>
  <c r="D8655" i="31"/>
  <c r="F8654" i="31"/>
  <c r="I8654" i="31" s="1"/>
  <c r="E8654" i="31"/>
  <c r="F8653" i="31"/>
  <c r="I8653" i="31" s="1"/>
  <c r="E8653" i="31"/>
  <c r="C8650" i="31"/>
  <c r="E8648" i="31"/>
  <c r="F8639" i="31"/>
  <c r="I8639" i="31" s="1"/>
  <c r="I8640" i="31" s="1"/>
  <c r="I8645" i="31" s="1"/>
  <c r="E8639" i="31"/>
  <c r="F8635" i="31"/>
  <c r="I8635" i="31" s="1"/>
  <c r="I8636" i="31" s="1"/>
  <c r="I8644" i="31" s="1"/>
  <c r="E8635" i="31"/>
  <c r="F8631" i="31"/>
  <c r="I8631" i="31" s="1"/>
  <c r="I8632" i="31" s="1"/>
  <c r="I8643" i="31" s="1"/>
  <c r="E8631" i="31"/>
  <c r="I8627" i="31"/>
  <c r="F8627" i="31"/>
  <c r="G8627" i="31" s="1"/>
  <c r="E8627" i="31"/>
  <c r="F8626" i="31"/>
  <c r="G8626" i="31" s="1"/>
  <c r="E8626" i="31"/>
  <c r="F8625" i="31"/>
  <c r="E8625" i="31"/>
  <c r="F8624" i="31"/>
  <c r="E8624" i="31"/>
  <c r="C8621" i="31"/>
  <c r="E8619" i="31"/>
  <c r="F8610" i="31"/>
  <c r="I8610" i="31" s="1"/>
  <c r="I8611" i="31" s="1"/>
  <c r="I8616" i="31" s="1"/>
  <c r="E8610" i="31"/>
  <c r="F8606" i="31"/>
  <c r="I8606" i="31" s="1"/>
  <c r="I8607" i="31" s="1"/>
  <c r="I8615" i="31" s="1"/>
  <c r="E8606" i="31"/>
  <c r="F8602" i="31"/>
  <c r="I8602" i="31" s="1"/>
  <c r="I8603" i="31" s="1"/>
  <c r="I8614" i="31" s="1"/>
  <c r="E8602" i="31"/>
  <c r="F8598" i="31"/>
  <c r="I8598" i="31" s="1"/>
  <c r="E8598" i="31"/>
  <c r="F8597" i="31"/>
  <c r="I8597" i="31" s="1"/>
  <c r="E8597" i="31"/>
  <c r="F8596" i="31"/>
  <c r="I8596" i="31" s="1"/>
  <c r="E8596" i="31"/>
  <c r="F8595" i="31"/>
  <c r="I8595" i="31" s="1"/>
  <c r="E8595" i="31"/>
  <c r="C8592" i="31"/>
  <c r="E8590" i="31"/>
  <c r="F8581" i="31"/>
  <c r="I8581" i="31" s="1"/>
  <c r="I8582" i="31" s="1"/>
  <c r="I8587" i="31" s="1"/>
  <c r="E8581" i="31"/>
  <c r="F8577" i="31"/>
  <c r="G8577" i="31" s="1"/>
  <c r="E8577" i="31"/>
  <c r="I8573" i="31"/>
  <c r="I8574" i="31" s="1"/>
  <c r="I8585" i="31" s="1"/>
  <c r="F8573" i="31"/>
  <c r="E8573" i="31"/>
  <c r="F8569" i="31"/>
  <c r="E8569" i="31"/>
  <c r="F8568" i="31"/>
  <c r="E8568" i="31"/>
  <c r="F8567" i="31"/>
  <c r="E8567" i="31"/>
  <c r="C8564" i="31"/>
  <c r="E8562" i="31"/>
  <c r="F8554" i="31"/>
  <c r="I8554" i="31" s="1"/>
  <c r="I8555" i="31" s="1"/>
  <c r="I8560" i="31" s="1"/>
  <c r="E8554" i="31"/>
  <c r="F8550" i="31"/>
  <c r="I8550" i="31" s="1"/>
  <c r="I8551" i="31" s="1"/>
  <c r="I8559" i="31" s="1"/>
  <c r="E8550" i="31"/>
  <c r="F8546" i="31"/>
  <c r="I8546" i="31" s="1"/>
  <c r="I8547" i="31" s="1"/>
  <c r="I8558" i="31" s="1"/>
  <c r="E8546" i="31"/>
  <c r="F8542" i="31"/>
  <c r="I8542" i="31" s="1"/>
  <c r="I8543" i="31" s="1"/>
  <c r="I8557" i="31" s="1"/>
  <c r="E8542" i="31"/>
  <c r="C8539" i="31"/>
  <c r="E8537" i="31"/>
  <c r="F8528" i="31"/>
  <c r="G8528" i="31" s="1"/>
  <c r="E8528" i="31"/>
  <c r="F8524" i="31"/>
  <c r="I8524" i="31" s="1"/>
  <c r="I8525" i="31" s="1"/>
  <c r="I8533" i="31" s="1"/>
  <c r="E8524" i="31"/>
  <c r="F8520" i="31"/>
  <c r="I8520" i="31" s="1"/>
  <c r="E8520" i="31"/>
  <c r="F8519" i="31"/>
  <c r="I8519" i="31" s="1"/>
  <c r="E8519" i="31"/>
  <c r="F8518" i="31"/>
  <c r="I8518" i="31" s="1"/>
  <c r="I8521" i="31" s="1"/>
  <c r="I8532" i="31" s="1"/>
  <c r="E8518" i="31"/>
  <c r="F8514" i="31"/>
  <c r="G8514" i="31" s="1"/>
  <c r="E8514" i="31"/>
  <c r="D8514" i="31"/>
  <c r="F8513" i="31"/>
  <c r="G8513" i="31" s="1"/>
  <c r="E8513" i="31"/>
  <c r="D8513" i="31"/>
  <c r="G8512" i="31"/>
  <c r="F8512" i="31"/>
  <c r="E8512" i="31"/>
  <c r="D8512" i="31"/>
  <c r="F8511" i="31"/>
  <c r="G8511" i="31" s="1"/>
  <c r="E8511" i="31"/>
  <c r="D8511" i="31"/>
  <c r="C8508" i="31"/>
  <c r="E8504" i="31"/>
  <c r="F8496" i="31"/>
  <c r="I8496" i="31" s="1"/>
  <c r="I8497" i="31" s="1"/>
  <c r="I8502" i="31" s="1"/>
  <c r="E8496" i="31"/>
  <c r="F8492" i="31"/>
  <c r="I8492" i="31" s="1"/>
  <c r="I8493" i="31" s="1"/>
  <c r="I8501" i="31" s="1"/>
  <c r="E8492" i="31"/>
  <c r="F8488" i="31"/>
  <c r="I8488" i="31" s="1"/>
  <c r="I8489" i="31" s="1"/>
  <c r="I8500" i="31" s="1"/>
  <c r="E8488" i="31"/>
  <c r="G8484" i="31"/>
  <c r="F8484" i="31"/>
  <c r="I8484" i="31" s="1"/>
  <c r="I8485" i="31" s="1"/>
  <c r="I8499" i="31" s="1"/>
  <c r="E8484" i="31"/>
  <c r="C8481" i="31"/>
  <c r="E8479" i="31"/>
  <c r="F8471" i="31"/>
  <c r="I8471" i="31" s="1"/>
  <c r="I8472" i="31" s="1"/>
  <c r="I8477" i="31" s="1"/>
  <c r="E8471" i="31"/>
  <c r="F8467" i="31"/>
  <c r="G8467" i="31" s="1"/>
  <c r="E8467" i="31"/>
  <c r="F8463" i="31"/>
  <c r="I8463" i="31" s="1"/>
  <c r="I8464" i="31" s="1"/>
  <c r="I8475" i="31" s="1"/>
  <c r="E8463" i="31"/>
  <c r="F8459" i="31"/>
  <c r="I8459" i="31" s="1"/>
  <c r="I8460" i="31" s="1"/>
  <c r="I8474" i="31" s="1"/>
  <c r="E8459" i="31"/>
  <c r="C8456" i="31"/>
  <c r="E8454" i="31"/>
  <c r="F8446" i="31"/>
  <c r="I8446" i="31" s="1"/>
  <c r="I8447" i="31" s="1"/>
  <c r="I8452" i="31" s="1"/>
  <c r="E8446" i="31"/>
  <c r="F8442" i="31"/>
  <c r="I8442" i="31" s="1"/>
  <c r="I8443" i="31" s="1"/>
  <c r="I8451" i="31" s="1"/>
  <c r="E8442" i="31"/>
  <c r="F8438" i="31"/>
  <c r="I8438" i="31" s="1"/>
  <c r="I8439" i="31" s="1"/>
  <c r="I8450" i="31" s="1"/>
  <c r="E8438" i="31"/>
  <c r="F8434" i="31"/>
  <c r="E8434" i="31"/>
  <c r="C8431" i="31"/>
  <c r="E8429" i="31"/>
  <c r="F8421" i="31"/>
  <c r="I8421" i="31" s="1"/>
  <c r="I8422" i="31" s="1"/>
  <c r="I8427" i="31" s="1"/>
  <c r="E8421" i="31"/>
  <c r="F8417" i="31"/>
  <c r="E8417" i="31"/>
  <c r="F8413" i="31"/>
  <c r="I8413" i="31" s="1"/>
  <c r="I8414" i="31" s="1"/>
  <c r="I8425" i="31" s="1"/>
  <c r="E8413" i="31"/>
  <c r="F8409" i="31"/>
  <c r="I8409" i="31" s="1"/>
  <c r="I8410" i="31" s="1"/>
  <c r="I8424" i="31" s="1"/>
  <c r="E8409" i="31"/>
  <c r="C8406" i="31"/>
  <c r="E8404" i="31"/>
  <c r="F8396" i="31"/>
  <c r="I8396" i="31" s="1"/>
  <c r="I8397" i="31" s="1"/>
  <c r="I8402" i="31" s="1"/>
  <c r="E8396" i="31"/>
  <c r="F8392" i="31"/>
  <c r="I8392" i="31" s="1"/>
  <c r="I8393" i="31" s="1"/>
  <c r="I8401" i="31" s="1"/>
  <c r="E8392" i="31"/>
  <c r="F8388" i="31"/>
  <c r="I8388" i="31" s="1"/>
  <c r="I8389" i="31" s="1"/>
  <c r="I8400" i="31" s="1"/>
  <c r="E8388" i="31"/>
  <c r="F8384" i="31"/>
  <c r="E8384" i="31"/>
  <c r="C8381" i="31"/>
  <c r="E8379" i="31"/>
  <c r="F8371" i="31"/>
  <c r="I8371" i="31" s="1"/>
  <c r="I8372" i="31" s="1"/>
  <c r="I8377" i="31" s="1"/>
  <c r="E8371" i="31"/>
  <c r="F8367" i="31"/>
  <c r="E8367" i="31"/>
  <c r="F8363" i="31"/>
  <c r="I8363" i="31" s="1"/>
  <c r="I8364" i="31" s="1"/>
  <c r="I8375" i="31" s="1"/>
  <c r="E8363" i="31"/>
  <c r="F8359" i="31"/>
  <c r="I8359" i="31" s="1"/>
  <c r="I8360" i="31" s="1"/>
  <c r="I8374" i="31" s="1"/>
  <c r="E8359" i="31"/>
  <c r="C8356" i="31"/>
  <c r="E8354" i="31"/>
  <c r="F8346" i="31"/>
  <c r="I8346" i="31" s="1"/>
  <c r="I8347" i="31" s="1"/>
  <c r="I8352" i="31" s="1"/>
  <c r="E8346" i="31"/>
  <c r="F8342" i="31"/>
  <c r="I8342" i="31" s="1"/>
  <c r="I8343" i="31" s="1"/>
  <c r="I8351" i="31" s="1"/>
  <c r="E8342" i="31"/>
  <c r="F8338" i="31"/>
  <c r="I8338" i="31" s="1"/>
  <c r="I8339" i="31" s="1"/>
  <c r="I8350" i="31" s="1"/>
  <c r="E8338" i="31"/>
  <c r="F8334" i="31"/>
  <c r="E8334" i="31"/>
  <c r="C8331" i="31"/>
  <c r="E8329" i="31"/>
  <c r="F8321" i="31"/>
  <c r="I8321" i="31" s="1"/>
  <c r="I8322" i="31" s="1"/>
  <c r="I8327" i="31" s="1"/>
  <c r="E8321" i="31"/>
  <c r="F8317" i="31"/>
  <c r="E8317" i="31"/>
  <c r="F8313" i="31"/>
  <c r="I8313" i="31" s="1"/>
  <c r="I8314" i="31" s="1"/>
  <c r="I8325" i="31" s="1"/>
  <c r="E8313" i="31"/>
  <c r="F8309" i="31"/>
  <c r="I8309" i="31" s="1"/>
  <c r="I8310" i="31" s="1"/>
  <c r="I8324" i="31" s="1"/>
  <c r="E8309" i="31"/>
  <c r="C8306" i="31"/>
  <c r="E8304" i="31"/>
  <c r="F8296" i="31"/>
  <c r="I8296" i="31" s="1"/>
  <c r="I8297" i="31" s="1"/>
  <c r="I8302" i="31" s="1"/>
  <c r="E8296" i="31"/>
  <c r="F8292" i="31"/>
  <c r="I8292" i="31" s="1"/>
  <c r="I8293" i="31" s="1"/>
  <c r="I8301" i="31" s="1"/>
  <c r="E8292" i="31"/>
  <c r="F8288" i="31"/>
  <c r="I8288" i="31" s="1"/>
  <c r="I8289" i="31" s="1"/>
  <c r="I8300" i="31" s="1"/>
  <c r="E8288" i="31"/>
  <c r="F8284" i="31"/>
  <c r="C8281" i="31"/>
  <c r="E8279" i="31"/>
  <c r="F8271" i="31"/>
  <c r="I8271" i="31" s="1"/>
  <c r="I8272" i="31" s="1"/>
  <c r="I8277" i="31" s="1"/>
  <c r="E8271" i="31"/>
  <c r="F8267" i="31"/>
  <c r="I8267" i="31" s="1"/>
  <c r="I8268" i="31" s="1"/>
  <c r="I8276" i="31" s="1"/>
  <c r="E8267" i="31"/>
  <c r="I8263" i="31"/>
  <c r="F8263" i="31"/>
  <c r="E8263" i="31"/>
  <c r="F8262" i="31"/>
  <c r="I8262" i="31" s="1"/>
  <c r="E8262" i="31"/>
  <c r="I8258" i="31"/>
  <c r="G8258" i="31"/>
  <c r="F8257" i="31"/>
  <c r="I8257" i="31" s="1"/>
  <c r="I8259" i="31" s="1"/>
  <c r="I8274" i="31" s="1"/>
  <c r="C8254" i="31"/>
  <c r="E8252" i="31"/>
  <c r="F8244" i="31"/>
  <c r="I8244" i="31" s="1"/>
  <c r="I8245" i="31" s="1"/>
  <c r="I8250" i="31" s="1"/>
  <c r="E8244" i="31"/>
  <c r="F8240" i="31"/>
  <c r="I8240" i="31" s="1"/>
  <c r="I8241" i="31" s="1"/>
  <c r="I8249" i="31" s="1"/>
  <c r="E8240" i="31"/>
  <c r="F8236" i="31"/>
  <c r="I8236" i="31" s="1"/>
  <c r="E8236" i="31"/>
  <c r="F8235" i="31"/>
  <c r="I8235" i="31" s="1"/>
  <c r="E8235" i="31"/>
  <c r="I8231" i="31"/>
  <c r="G8231" i="31"/>
  <c r="F8230" i="31"/>
  <c r="C8227" i="31"/>
  <c r="E8225" i="31"/>
  <c r="F8217" i="31"/>
  <c r="I8217" i="31" s="1"/>
  <c r="I8218" i="31" s="1"/>
  <c r="I8223" i="31" s="1"/>
  <c r="E8217" i="31"/>
  <c r="F8213" i="31"/>
  <c r="I8213" i="31" s="1"/>
  <c r="I8214" i="31" s="1"/>
  <c r="I8222" i="31" s="1"/>
  <c r="E8213" i="31"/>
  <c r="F8209" i="31"/>
  <c r="I8209" i="31" s="1"/>
  <c r="E8209" i="31"/>
  <c r="F8208" i="31"/>
  <c r="I8208" i="31" s="1"/>
  <c r="E8208" i="31"/>
  <c r="I8204" i="31"/>
  <c r="G8204" i="31"/>
  <c r="F8203" i="31"/>
  <c r="I8203" i="31" s="1"/>
  <c r="C8200" i="31"/>
  <c r="F8190" i="31"/>
  <c r="I8190" i="31" s="1"/>
  <c r="I8191" i="31" s="1"/>
  <c r="I8196" i="31" s="1"/>
  <c r="E8190" i="31"/>
  <c r="F8186" i="31"/>
  <c r="I8186" i="31" s="1"/>
  <c r="I8187" i="31" s="1"/>
  <c r="I8195" i="31" s="1"/>
  <c r="E8186" i="31"/>
  <c r="F8182" i="31"/>
  <c r="I8182" i="31" s="1"/>
  <c r="I8183" i="31" s="1"/>
  <c r="I8194" i="31" s="1"/>
  <c r="E8182" i="31"/>
  <c r="F8178" i="31"/>
  <c r="I8178" i="31" s="1"/>
  <c r="I8179" i="31" s="1"/>
  <c r="I8193" i="31" s="1"/>
  <c r="E8178" i="31"/>
  <c r="E8175" i="31"/>
  <c r="E8198" i="31" s="1"/>
  <c r="C8175" i="31"/>
  <c r="E8173" i="31"/>
  <c r="F8165" i="31"/>
  <c r="I8165" i="31" s="1"/>
  <c r="I8166" i="31" s="1"/>
  <c r="I8171" i="31" s="1"/>
  <c r="E8165" i="31"/>
  <c r="F8161" i="31"/>
  <c r="E8161" i="31"/>
  <c r="F8157" i="31"/>
  <c r="I8157" i="31" s="1"/>
  <c r="I8158" i="31" s="1"/>
  <c r="I8169" i="31" s="1"/>
  <c r="E8157" i="31"/>
  <c r="F8153" i="31"/>
  <c r="I8153" i="31" s="1"/>
  <c r="I8154" i="31" s="1"/>
  <c r="I8168" i="31" s="1"/>
  <c r="E8153" i="31"/>
  <c r="C8150" i="31"/>
  <c r="E8148" i="31"/>
  <c r="F8140" i="31"/>
  <c r="I8140" i="31" s="1"/>
  <c r="I8141" i="31" s="1"/>
  <c r="I8146" i="31" s="1"/>
  <c r="E8140" i="31"/>
  <c r="F8136" i="31"/>
  <c r="I8136" i="31" s="1"/>
  <c r="I8137" i="31" s="1"/>
  <c r="I8145" i="31" s="1"/>
  <c r="E8136" i="31"/>
  <c r="F8132" i="31"/>
  <c r="I8132" i="31" s="1"/>
  <c r="I8133" i="31" s="1"/>
  <c r="I8144" i="31" s="1"/>
  <c r="E8132" i="31"/>
  <c r="I8128" i="31"/>
  <c r="I8129" i="31" s="1"/>
  <c r="I8143" i="31" s="1"/>
  <c r="G8128" i="31"/>
  <c r="F8128" i="31"/>
  <c r="E8128" i="31"/>
  <c r="C8125" i="31"/>
  <c r="E8123" i="31"/>
  <c r="F8115" i="31"/>
  <c r="I8115" i="31" s="1"/>
  <c r="I8116" i="31" s="1"/>
  <c r="I8121" i="31" s="1"/>
  <c r="E8115" i="31"/>
  <c r="F8111" i="31"/>
  <c r="E8111" i="31"/>
  <c r="F8107" i="31"/>
  <c r="I8107" i="31" s="1"/>
  <c r="I8108" i="31" s="1"/>
  <c r="I8119" i="31" s="1"/>
  <c r="E8107" i="31"/>
  <c r="F8103" i="31"/>
  <c r="I8103" i="31" s="1"/>
  <c r="I8104" i="31" s="1"/>
  <c r="I8118" i="31" s="1"/>
  <c r="E8103" i="31"/>
  <c r="C8100" i="31"/>
  <c r="E8098" i="31"/>
  <c r="F8090" i="31"/>
  <c r="I8090" i="31" s="1"/>
  <c r="I8091" i="31" s="1"/>
  <c r="I8096" i="31" s="1"/>
  <c r="E8090" i="31"/>
  <c r="F8086" i="31"/>
  <c r="I8086" i="31" s="1"/>
  <c r="I8087" i="31" s="1"/>
  <c r="I8095" i="31" s="1"/>
  <c r="E8086" i="31"/>
  <c r="F8082" i="31"/>
  <c r="I8082" i="31" s="1"/>
  <c r="I8083" i="31" s="1"/>
  <c r="I8094" i="31" s="1"/>
  <c r="E8082" i="31"/>
  <c r="I8078" i="31"/>
  <c r="F8078" i="31"/>
  <c r="G8078" i="31" s="1"/>
  <c r="E8078" i="31"/>
  <c r="I8077" i="31"/>
  <c r="F8077" i="31"/>
  <c r="G8077" i="31" s="1"/>
  <c r="E8077" i="31"/>
  <c r="C8074" i="31"/>
  <c r="E8072" i="31"/>
  <c r="I8064" i="31"/>
  <c r="I8065" i="31" s="1"/>
  <c r="I8070" i="31" s="1"/>
  <c r="F8064" i="31"/>
  <c r="E8064" i="31"/>
  <c r="F8060" i="31"/>
  <c r="E8060" i="31"/>
  <c r="F8056" i="31"/>
  <c r="I8056" i="31" s="1"/>
  <c r="I8057" i="31" s="1"/>
  <c r="I8068" i="31" s="1"/>
  <c r="E8056" i="31"/>
  <c r="I8052" i="31"/>
  <c r="G8052" i="31"/>
  <c r="I8051" i="31"/>
  <c r="I8053" i="31" s="1"/>
  <c r="I8067" i="31" s="1"/>
  <c r="G8051" i="31"/>
  <c r="F8051" i="31"/>
  <c r="C8051" i="31"/>
  <c r="C8048" i="31"/>
  <c r="E8046" i="31"/>
  <c r="F8037" i="31"/>
  <c r="I8037" i="31" s="1"/>
  <c r="I8038" i="31" s="1"/>
  <c r="I8043" i="31" s="1"/>
  <c r="E8037" i="31"/>
  <c r="F8033" i="31"/>
  <c r="G8033" i="31" s="1"/>
  <c r="E8033" i="31"/>
  <c r="F8029" i="31"/>
  <c r="I8029" i="31" s="1"/>
  <c r="E8029" i="31"/>
  <c r="F8028" i="31"/>
  <c r="I8028" i="31" s="1"/>
  <c r="E8028" i="31"/>
  <c r="F8027" i="31"/>
  <c r="I8027" i="31" s="1"/>
  <c r="E8027" i="31"/>
  <c r="I8023" i="31"/>
  <c r="G8023" i="31"/>
  <c r="F8023" i="31"/>
  <c r="E8023" i="31"/>
  <c r="I8022" i="31"/>
  <c r="G8022" i="31"/>
  <c r="F8022" i="31"/>
  <c r="E8022" i="31"/>
  <c r="I8021" i="31"/>
  <c r="I8024" i="31" s="1"/>
  <c r="I8040" i="31" s="1"/>
  <c r="G8021" i="31"/>
  <c r="F8021" i="31"/>
  <c r="E8021" i="31"/>
  <c r="C8018" i="31"/>
  <c r="E8016" i="31"/>
  <c r="F8007" i="31"/>
  <c r="I8007" i="31" s="1"/>
  <c r="I8008" i="31" s="1"/>
  <c r="I8013" i="31" s="1"/>
  <c r="E8007" i="31"/>
  <c r="F8003" i="31"/>
  <c r="G8003" i="31" s="1"/>
  <c r="E8003" i="31"/>
  <c r="F7999" i="31"/>
  <c r="I7999" i="31" s="1"/>
  <c r="E7999" i="31"/>
  <c r="F7998" i="31"/>
  <c r="I7998" i="31" s="1"/>
  <c r="E7998" i="31"/>
  <c r="F7997" i="31"/>
  <c r="I7997" i="31" s="1"/>
  <c r="E7997" i="31"/>
  <c r="F7993" i="31"/>
  <c r="E7993" i="31"/>
  <c r="F7992" i="31"/>
  <c r="E7992" i="31"/>
  <c r="F7991" i="31"/>
  <c r="E7991" i="31"/>
  <c r="F7990" i="31"/>
  <c r="E7990" i="31"/>
  <c r="C7987" i="31"/>
  <c r="E7985" i="31"/>
  <c r="F7977" i="31"/>
  <c r="I7977" i="31" s="1"/>
  <c r="I7978" i="31" s="1"/>
  <c r="I7983" i="31" s="1"/>
  <c r="E7977" i="31"/>
  <c r="F7973" i="31"/>
  <c r="E7973" i="31"/>
  <c r="F7969" i="31"/>
  <c r="I7969" i="31" s="1"/>
  <c r="I7970" i="31" s="1"/>
  <c r="I7981" i="31" s="1"/>
  <c r="E7969" i="31"/>
  <c r="G7965" i="31"/>
  <c r="F7965" i="31"/>
  <c r="I7965" i="31" s="1"/>
  <c r="I7966" i="31" s="1"/>
  <c r="I7980" i="31" s="1"/>
  <c r="E7965" i="31"/>
  <c r="C7962" i="31"/>
  <c r="E7960" i="31"/>
  <c r="F7952" i="31"/>
  <c r="I7952" i="31" s="1"/>
  <c r="I7953" i="31" s="1"/>
  <c r="I7958" i="31" s="1"/>
  <c r="E7952" i="31"/>
  <c r="F7948" i="31"/>
  <c r="E7948" i="31"/>
  <c r="F7944" i="31"/>
  <c r="I7944" i="31" s="1"/>
  <c r="I7945" i="31" s="1"/>
  <c r="I7956" i="31" s="1"/>
  <c r="E7944" i="31"/>
  <c r="I7940" i="31"/>
  <c r="I7941" i="31" s="1"/>
  <c r="I7955" i="31" s="1"/>
  <c r="G7940" i="31"/>
  <c r="F7940" i="31"/>
  <c r="E7940" i="31"/>
  <c r="C7937" i="31"/>
  <c r="E7934" i="31"/>
  <c r="F7926" i="31"/>
  <c r="I7926" i="31" s="1"/>
  <c r="I7927" i="31" s="1"/>
  <c r="I7932" i="31" s="1"/>
  <c r="E7926" i="31"/>
  <c r="F7922" i="31"/>
  <c r="E7922" i="31"/>
  <c r="F7918" i="31"/>
  <c r="I7918" i="31" s="1"/>
  <c r="I7919" i="31" s="1"/>
  <c r="I7930" i="31" s="1"/>
  <c r="E7918" i="31"/>
  <c r="G7914" i="31"/>
  <c r="F7914" i="31"/>
  <c r="I7914" i="31" s="1"/>
  <c r="I7915" i="31" s="1"/>
  <c r="I7929" i="31" s="1"/>
  <c r="E7914" i="31"/>
  <c r="C7911" i="31"/>
  <c r="E7909" i="31"/>
  <c r="F7901" i="31"/>
  <c r="I7901" i="31" s="1"/>
  <c r="I7902" i="31" s="1"/>
  <c r="I7907" i="31" s="1"/>
  <c r="E7901" i="31"/>
  <c r="F7897" i="31"/>
  <c r="G7897" i="31" s="1"/>
  <c r="E7897" i="31"/>
  <c r="F7893" i="31"/>
  <c r="I7893" i="31" s="1"/>
  <c r="I7894" i="31" s="1"/>
  <c r="I7905" i="31" s="1"/>
  <c r="E7893" i="31"/>
  <c r="F7889" i="31"/>
  <c r="E7889" i="31"/>
  <c r="C7886" i="31"/>
  <c r="E7884" i="31"/>
  <c r="F7876" i="31"/>
  <c r="I7876" i="31" s="1"/>
  <c r="I7877" i="31" s="1"/>
  <c r="I7882" i="31" s="1"/>
  <c r="E7876" i="31"/>
  <c r="F7872" i="31"/>
  <c r="E7872" i="31"/>
  <c r="F7868" i="31"/>
  <c r="I7868" i="31" s="1"/>
  <c r="I7869" i="31" s="1"/>
  <c r="I7880" i="31" s="1"/>
  <c r="E7868" i="31"/>
  <c r="I7865" i="31"/>
  <c r="I7879" i="31" s="1"/>
  <c r="F7864" i="31"/>
  <c r="I7864" i="31" s="1"/>
  <c r="E7864" i="31"/>
  <c r="C7861" i="31"/>
  <c r="E7859" i="31"/>
  <c r="F7851" i="31"/>
  <c r="I7851" i="31" s="1"/>
  <c r="I7852" i="31" s="1"/>
  <c r="I7857" i="31" s="1"/>
  <c r="E7851" i="31"/>
  <c r="F7847" i="31"/>
  <c r="E7847" i="31"/>
  <c r="F7843" i="31"/>
  <c r="I7843" i="31" s="1"/>
  <c r="I7844" i="31" s="1"/>
  <c r="I7855" i="31" s="1"/>
  <c r="E7843" i="31"/>
  <c r="F7839" i="31"/>
  <c r="E7839" i="31"/>
  <c r="C7836" i="31"/>
  <c r="E7834" i="31"/>
  <c r="F7826" i="31"/>
  <c r="I7826" i="31" s="1"/>
  <c r="I7827" i="31" s="1"/>
  <c r="I7832" i="31" s="1"/>
  <c r="E7826" i="31"/>
  <c r="F7822" i="31"/>
  <c r="G7822" i="31" s="1"/>
  <c r="E7822" i="31"/>
  <c r="F7818" i="31"/>
  <c r="I7818" i="31" s="1"/>
  <c r="I7819" i="31" s="1"/>
  <c r="I7830" i="31" s="1"/>
  <c r="E7818" i="31"/>
  <c r="F7814" i="31"/>
  <c r="I7814" i="31" s="1"/>
  <c r="I7815" i="31" s="1"/>
  <c r="I7829" i="31" s="1"/>
  <c r="E7814" i="31"/>
  <c r="C7811" i="31"/>
  <c r="E7809" i="31"/>
  <c r="F7801" i="31"/>
  <c r="I7801" i="31" s="1"/>
  <c r="I7802" i="31" s="1"/>
  <c r="I7807" i="31" s="1"/>
  <c r="E7801" i="31"/>
  <c r="F7797" i="31"/>
  <c r="G7797" i="31" s="1"/>
  <c r="E7797" i="31"/>
  <c r="F7793" i="31"/>
  <c r="I7793" i="31" s="1"/>
  <c r="I7794" i="31" s="1"/>
  <c r="I7805" i="31" s="1"/>
  <c r="E7793" i="31"/>
  <c r="F7789" i="31"/>
  <c r="E7789" i="31"/>
  <c r="C7786" i="31"/>
  <c r="E7784" i="31"/>
  <c r="F7776" i="31"/>
  <c r="I7776" i="31" s="1"/>
  <c r="I7777" i="31" s="1"/>
  <c r="I7782" i="31" s="1"/>
  <c r="E7776" i="31"/>
  <c r="F7772" i="31"/>
  <c r="E7772" i="31"/>
  <c r="F7768" i="31"/>
  <c r="I7768" i="31" s="1"/>
  <c r="I7769" i="31" s="1"/>
  <c r="I7780" i="31" s="1"/>
  <c r="E7768" i="31"/>
  <c r="F7764" i="31"/>
  <c r="I7764" i="31" s="1"/>
  <c r="I7765" i="31" s="1"/>
  <c r="I7779" i="31" s="1"/>
  <c r="E7764" i="31"/>
  <c r="C7761" i="31"/>
  <c r="E7759" i="31"/>
  <c r="F7751" i="31"/>
  <c r="I7751" i="31" s="1"/>
  <c r="I7752" i="31" s="1"/>
  <c r="I7757" i="31" s="1"/>
  <c r="E7751" i="31"/>
  <c r="F7747" i="31"/>
  <c r="I7747" i="31" s="1"/>
  <c r="I7748" i="31" s="1"/>
  <c r="I7756" i="31" s="1"/>
  <c r="E7747" i="31"/>
  <c r="F7743" i="31"/>
  <c r="I7743" i="31" s="1"/>
  <c r="I7744" i="31" s="1"/>
  <c r="I7755" i="31" s="1"/>
  <c r="E7743" i="31"/>
  <c r="F7739" i="31"/>
  <c r="I7739" i="31" s="1"/>
  <c r="I7740" i="31" s="1"/>
  <c r="I7754" i="31" s="1"/>
  <c r="E7739" i="31"/>
  <c r="C7736" i="31"/>
  <c r="E7734" i="31"/>
  <c r="F7726" i="31"/>
  <c r="I7726" i="31" s="1"/>
  <c r="I7727" i="31" s="1"/>
  <c r="I7732" i="31" s="1"/>
  <c r="E7726" i="31"/>
  <c r="F7722" i="31"/>
  <c r="G7722" i="31" s="1"/>
  <c r="E7722" i="31"/>
  <c r="F7718" i="31"/>
  <c r="I7718" i="31" s="1"/>
  <c r="I7719" i="31" s="1"/>
  <c r="I7730" i="31" s="1"/>
  <c r="E7718" i="31"/>
  <c r="F7714" i="31"/>
  <c r="I7714" i="31" s="1"/>
  <c r="I7715" i="31" s="1"/>
  <c r="I7729" i="31" s="1"/>
  <c r="E7714" i="31"/>
  <c r="C7711" i="31"/>
  <c r="E7709" i="31"/>
  <c r="F7701" i="31"/>
  <c r="I7701" i="31" s="1"/>
  <c r="I7702" i="31" s="1"/>
  <c r="I7707" i="31" s="1"/>
  <c r="E7701" i="31"/>
  <c r="F7697" i="31"/>
  <c r="E7697" i="31"/>
  <c r="F7693" i="31"/>
  <c r="I7693" i="31" s="1"/>
  <c r="I7694" i="31" s="1"/>
  <c r="I7705" i="31" s="1"/>
  <c r="E7693" i="31"/>
  <c r="I7689" i="31"/>
  <c r="I7690" i="31" s="1"/>
  <c r="I7704" i="31" s="1"/>
  <c r="F7689" i="31"/>
  <c r="G7689" i="31" s="1"/>
  <c r="E7689" i="31"/>
  <c r="C7686" i="31"/>
  <c r="E7684" i="31"/>
  <c r="F7676" i="31"/>
  <c r="I7676" i="31" s="1"/>
  <c r="I7677" i="31" s="1"/>
  <c r="I7682" i="31" s="1"/>
  <c r="E7676" i="31"/>
  <c r="F7672" i="31"/>
  <c r="E7672" i="31"/>
  <c r="F7668" i="31"/>
  <c r="I7668" i="31" s="1"/>
  <c r="I7669" i="31" s="1"/>
  <c r="I7680" i="31" s="1"/>
  <c r="E7668" i="31"/>
  <c r="F7664" i="31"/>
  <c r="I7664" i="31" s="1"/>
  <c r="I7665" i="31" s="1"/>
  <c r="I7679" i="31" s="1"/>
  <c r="E7664" i="31"/>
  <c r="C7661" i="31"/>
  <c r="E7659" i="31"/>
  <c r="I7651" i="31"/>
  <c r="I7652" i="31" s="1"/>
  <c r="I7657" i="31" s="1"/>
  <c r="F7651" i="31"/>
  <c r="E7651" i="31"/>
  <c r="F7647" i="31"/>
  <c r="E7647" i="31"/>
  <c r="F7643" i="31"/>
  <c r="I7643" i="31" s="1"/>
  <c r="I7644" i="31" s="1"/>
  <c r="I7655" i="31" s="1"/>
  <c r="E7643" i="31"/>
  <c r="F7639" i="31"/>
  <c r="E7639" i="31"/>
  <c r="E7636" i="31"/>
  <c r="C7636" i="31"/>
  <c r="E7634" i="31"/>
  <c r="F7626" i="31"/>
  <c r="I7626" i="31" s="1"/>
  <c r="I7627" i="31" s="1"/>
  <c r="I7632" i="31" s="1"/>
  <c r="E7626" i="31"/>
  <c r="F7622" i="31"/>
  <c r="I7622" i="31" s="1"/>
  <c r="I7623" i="31" s="1"/>
  <c r="I7631" i="31" s="1"/>
  <c r="E7622" i="31"/>
  <c r="F7618" i="31"/>
  <c r="I7618" i="31" s="1"/>
  <c r="I7619" i="31" s="1"/>
  <c r="I7630" i="31" s="1"/>
  <c r="E7618" i="31"/>
  <c r="I7614" i="31"/>
  <c r="I7615" i="31" s="1"/>
  <c r="I7629" i="31" s="1"/>
  <c r="G7614" i="31"/>
  <c r="C7611" i="31"/>
  <c r="E7609" i="31"/>
  <c r="F7601" i="31"/>
  <c r="I7601" i="31" s="1"/>
  <c r="I7602" i="31" s="1"/>
  <c r="I7607" i="31" s="1"/>
  <c r="E7601" i="31"/>
  <c r="F7597" i="31"/>
  <c r="I7597" i="31" s="1"/>
  <c r="I7598" i="31" s="1"/>
  <c r="I7606" i="31" s="1"/>
  <c r="E7597" i="31"/>
  <c r="F7593" i="31"/>
  <c r="I7593" i="31" s="1"/>
  <c r="I7594" i="31" s="1"/>
  <c r="I7605" i="31" s="1"/>
  <c r="E7593" i="31"/>
  <c r="F7589" i="31"/>
  <c r="E7589" i="31"/>
  <c r="C7586" i="31"/>
  <c r="E7583" i="31"/>
  <c r="F7575" i="31"/>
  <c r="I7575" i="31" s="1"/>
  <c r="I7576" i="31" s="1"/>
  <c r="I7581" i="31" s="1"/>
  <c r="E7575" i="31"/>
  <c r="F7571" i="31"/>
  <c r="E7571" i="31"/>
  <c r="F7567" i="31"/>
  <c r="I7567" i="31" s="1"/>
  <c r="I7568" i="31" s="1"/>
  <c r="I7579" i="31" s="1"/>
  <c r="E7567" i="31"/>
  <c r="G7563" i="31"/>
  <c r="F7563" i="31"/>
  <c r="I7563" i="31" s="1"/>
  <c r="I7564" i="31" s="1"/>
  <c r="I7578" i="31" s="1"/>
  <c r="E7563" i="31"/>
  <c r="C7560" i="31"/>
  <c r="E7558" i="31"/>
  <c r="F7550" i="31"/>
  <c r="I7550" i="31" s="1"/>
  <c r="I7551" i="31" s="1"/>
  <c r="I7556" i="31" s="1"/>
  <c r="E7550" i="31"/>
  <c r="F7546" i="31"/>
  <c r="I7546" i="31" s="1"/>
  <c r="I7547" i="31" s="1"/>
  <c r="I7555" i="31" s="1"/>
  <c r="E7546" i="31"/>
  <c r="F7542" i="31"/>
  <c r="I7542" i="31" s="1"/>
  <c r="I7543" i="31" s="1"/>
  <c r="I7554" i="31" s="1"/>
  <c r="E7542" i="31"/>
  <c r="F7538" i="31"/>
  <c r="E7538" i="31"/>
  <c r="C7535" i="31"/>
  <c r="E7533" i="31"/>
  <c r="F7525" i="31"/>
  <c r="I7525" i="31" s="1"/>
  <c r="I7526" i="31" s="1"/>
  <c r="I7531" i="31" s="1"/>
  <c r="E7525" i="31"/>
  <c r="F7521" i="31"/>
  <c r="E7521" i="31"/>
  <c r="F7517" i="31"/>
  <c r="I7517" i="31" s="1"/>
  <c r="I7518" i="31" s="1"/>
  <c r="I7529" i="31" s="1"/>
  <c r="E7517" i="31"/>
  <c r="G7513" i="31"/>
  <c r="F7513" i="31"/>
  <c r="I7513" i="31" s="1"/>
  <c r="I7514" i="31" s="1"/>
  <c r="I7528" i="31" s="1"/>
  <c r="E7513" i="31"/>
  <c r="C7510" i="31"/>
  <c r="E7508" i="31"/>
  <c r="F7500" i="31"/>
  <c r="I7500" i="31" s="1"/>
  <c r="I7501" i="31" s="1"/>
  <c r="I7506" i="31" s="1"/>
  <c r="E7500" i="31"/>
  <c r="F7496" i="31"/>
  <c r="I7496" i="31" s="1"/>
  <c r="I7497" i="31" s="1"/>
  <c r="I7505" i="31" s="1"/>
  <c r="E7496" i="31"/>
  <c r="F7492" i="31"/>
  <c r="I7492" i="31" s="1"/>
  <c r="I7493" i="31" s="1"/>
  <c r="I7504" i="31" s="1"/>
  <c r="E7492" i="31"/>
  <c r="F7488" i="31"/>
  <c r="E7488" i="31"/>
  <c r="C7485" i="31"/>
  <c r="E7483" i="31"/>
  <c r="F7475" i="31"/>
  <c r="I7475" i="31" s="1"/>
  <c r="I7476" i="31" s="1"/>
  <c r="I7481" i="31" s="1"/>
  <c r="E7475" i="31"/>
  <c r="F7471" i="31"/>
  <c r="E7471" i="31"/>
  <c r="F7467" i="31"/>
  <c r="I7467" i="31" s="1"/>
  <c r="I7468" i="31" s="1"/>
  <c r="I7479" i="31" s="1"/>
  <c r="E7467" i="31"/>
  <c r="F7463" i="31"/>
  <c r="I7463" i="31" s="1"/>
  <c r="I7464" i="31" s="1"/>
  <c r="I7478" i="31" s="1"/>
  <c r="E7463" i="31"/>
  <c r="C7460" i="31"/>
  <c r="E7458" i="31"/>
  <c r="F7450" i="31"/>
  <c r="I7450" i="31" s="1"/>
  <c r="I7451" i="31" s="1"/>
  <c r="I7456" i="31" s="1"/>
  <c r="E7450" i="31"/>
  <c r="F7446" i="31"/>
  <c r="I7446" i="31" s="1"/>
  <c r="I7447" i="31" s="1"/>
  <c r="I7455" i="31" s="1"/>
  <c r="E7446" i="31"/>
  <c r="F7442" i="31"/>
  <c r="I7442" i="31" s="1"/>
  <c r="I7443" i="31" s="1"/>
  <c r="I7454" i="31" s="1"/>
  <c r="E7442" i="31"/>
  <c r="F7438" i="31"/>
  <c r="E7438" i="31"/>
  <c r="C7435" i="31"/>
  <c r="E7433" i="31"/>
  <c r="F7425" i="31"/>
  <c r="I7425" i="31" s="1"/>
  <c r="I7426" i="31" s="1"/>
  <c r="I7431" i="31" s="1"/>
  <c r="E7425" i="31"/>
  <c r="F7421" i="31"/>
  <c r="E7421" i="31"/>
  <c r="F7417" i="31"/>
  <c r="I7417" i="31" s="1"/>
  <c r="I7418" i="31" s="1"/>
  <c r="I7429" i="31" s="1"/>
  <c r="E7417" i="31"/>
  <c r="G7413" i="31"/>
  <c r="F7413" i="31"/>
  <c r="I7413" i="31" s="1"/>
  <c r="I7414" i="31" s="1"/>
  <c r="I7428" i="31" s="1"/>
  <c r="E7413" i="31"/>
  <c r="C7410" i="31"/>
  <c r="E7408" i="31"/>
  <c r="F7400" i="31"/>
  <c r="I7400" i="31" s="1"/>
  <c r="I7401" i="31" s="1"/>
  <c r="I7406" i="31" s="1"/>
  <c r="E7400" i="31"/>
  <c r="F7396" i="31"/>
  <c r="I7396" i="31" s="1"/>
  <c r="I7397" i="31" s="1"/>
  <c r="I7405" i="31" s="1"/>
  <c r="E7396" i="31"/>
  <c r="F7392" i="31"/>
  <c r="I7392" i="31" s="1"/>
  <c r="I7393" i="31" s="1"/>
  <c r="I7404" i="31" s="1"/>
  <c r="E7392" i="31"/>
  <c r="F7388" i="31"/>
  <c r="E7388" i="31"/>
  <c r="C7385" i="31"/>
  <c r="E7383" i="31"/>
  <c r="F7375" i="31"/>
  <c r="I7375" i="31" s="1"/>
  <c r="I7376" i="31" s="1"/>
  <c r="I7381" i="31" s="1"/>
  <c r="E7375" i="31"/>
  <c r="F7371" i="31"/>
  <c r="E7371" i="31"/>
  <c r="F7367" i="31"/>
  <c r="I7367" i="31" s="1"/>
  <c r="I7368" i="31" s="1"/>
  <c r="I7379" i="31" s="1"/>
  <c r="E7367" i="31"/>
  <c r="F7363" i="31"/>
  <c r="E7363" i="31"/>
  <c r="C7360" i="31"/>
  <c r="E7358" i="31"/>
  <c r="F7350" i="31"/>
  <c r="I7350" i="31" s="1"/>
  <c r="I7351" i="31" s="1"/>
  <c r="I7356" i="31" s="1"/>
  <c r="E7350" i="31"/>
  <c r="F7346" i="31"/>
  <c r="I7346" i="31" s="1"/>
  <c r="I7347" i="31" s="1"/>
  <c r="I7355" i="31" s="1"/>
  <c r="E7346" i="31"/>
  <c r="F7342" i="31"/>
  <c r="I7342" i="31" s="1"/>
  <c r="I7343" i="31" s="1"/>
  <c r="I7354" i="31" s="1"/>
  <c r="E7342" i="31"/>
  <c r="F7338" i="31"/>
  <c r="E7338" i="31"/>
  <c r="C7335" i="31"/>
  <c r="E7333" i="31"/>
  <c r="F7325" i="31"/>
  <c r="I7325" i="31" s="1"/>
  <c r="I7326" i="31" s="1"/>
  <c r="I7331" i="31" s="1"/>
  <c r="E7325" i="31"/>
  <c r="F7321" i="31"/>
  <c r="E7321" i="31"/>
  <c r="F7317" i="31"/>
  <c r="I7317" i="31" s="1"/>
  <c r="I7318" i="31" s="1"/>
  <c r="I7329" i="31" s="1"/>
  <c r="E7317" i="31"/>
  <c r="G7313" i="31"/>
  <c r="F7313" i="31"/>
  <c r="I7313" i="31" s="1"/>
  <c r="I7314" i="31" s="1"/>
  <c r="I7328" i="31" s="1"/>
  <c r="E7313" i="31"/>
  <c r="C7310" i="31"/>
  <c r="E7308" i="31"/>
  <c r="F7300" i="31"/>
  <c r="I7300" i="31" s="1"/>
  <c r="I7301" i="31" s="1"/>
  <c r="I7306" i="31" s="1"/>
  <c r="E7300" i="31"/>
  <c r="F7296" i="31"/>
  <c r="I7296" i="31" s="1"/>
  <c r="I7297" i="31" s="1"/>
  <c r="I7305" i="31" s="1"/>
  <c r="E7296" i="31"/>
  <c r="F7292" i="31"/>
  <c r="I7292" i="31" s="1"/>
  <c r="I7293" i="31" s="1"/>
  <c r="I7304" i="31" s="1"/>
  <c r="E7292" i="31"/>
  <c r="F7288" i="31"/>
  <c r="E7288" i="31"/>
  <c r="C7285" i="31"/>
  <c r="E7283" i="31"/>
  <c r="F7275" i="31"/>
  <c r="I7275" i="31" s="1"/>
  <c r="I7276" i="31" s="1"/>
  <c r="I7281" i="31" s="1"/>
  <c r="E7275" i="31"/>
  <c r="F7271" i="31"/>
  <c r="E7271" i="31"/>
  <c r="F7267" i="31"/>
  <c r="I7267" i="31" s="1"/>
  <c r="I7268" i="31" s="1"/>
  <c r="I7279" i="31" s="1"/>
  <c r="E7267" i="31"/>
  <c r="F7263" i="31"/>
  <c r="E7263" i="31"/>
  <c r="C7260" i="31"/>
  <c r="E7258" i="31"/>
  <c r="F7250" i="31"/>
  <c r="I7250" i="31" s="1"/>
  <c r="I7251" i="31" s="1"/>
  <c r="I7256" i="31" s="1"/>
  <c r="E7250" i="31"/>
  <c r="F7246" i="31"/>
  <c r="I7246" i="31" s="1"/>
  <c r="I7247" i="31" s="1"/>
  <c r="I7255" i="31" s="1"/>
  <c r="E7246" i="31"/>
  <c r="F7242" i="31"/>
  <c r="I7242" i="31" s="1"/>
  <c r="I7243" i="31" s="1"/>
  <c r="I7254" i="31" s="1"/>
  <c r="E7242" i="31"/>
  <c r="F7238" i="31"/>
  <c r="E7238" i="31"/>
  <c r="C7235" i="31"/>
  <c r="E7233" i="31"/>
  <c r="I7225" i="31"/>
  <c r="I7226" i="31" s="1"/>
  <c r="I7231" i="31" s="1"/>
  <c r="F7225" i="31"/>
  <c r="E7225" i="31"/>
  <c r="F7221" i="31"/>
  <c r="E7221" i="31"/>
  <c r="F7217" i="31"/>
  <c r="I7217" i="31" s="1"/>
  <c r="I7218" i="31" s="1"/>
  <c r="I7229" i="31" s="1"/>
  <c r="E7217" i="31"/>
  <c r="F7213" i="31"/>
  <c r="E7213" i="31"/>
  <c r="C7210" i="31"/>
  <c r="E7208" i="31"/>
  <c r="F7200" i="31"/>
  <c r="I7200" i="31" s="1"/>
  <c r="I7201" i="31" s="1"/>
  <c r="I7206" i="31" s="1"/>
  <c r="E7200" i="31"/>
  <c r="F7196" i="31"/>
  <c r="I7196" i="31" s="1"/>
  <c r="I7197" i="31" s="1"/>
  <c r="I7205" i="31" s="1"/>
  <c r="E7196" i="31"/>
  <c r="F7192" i="31"/>
  <c r="I7192" i="31" s="1"/>
  <c r="I7193" i="31" s="1"/>
  <c r="I7204" i="31" s="1"/>
  <c r="E7192" i="31"/>
  <c r="F7188" i="31"/>
  <c r="E7188" i="31"/>
  <c r="C7185" i="31"/>
  <c r="E7183" i="31"/>
  <c r="F7175" i="31"/>
  <c r="I7175" i="31" s="1"/>
  <c r="I7176" i="31" s="1"/>
  <c r="I7181" i="31" s="1"/>
  <c r="E7175" i="31"/>
  <c r="F7171" i="31"/>
  <c r="E7171" i="31"/>
  <c r="F7167" i="31"/>
  <c r="I7167" i="31" s="1"/>
  <c r="I7168" i="31" s="1"/>
  <c r="I7179" i="31" s="1"/>
  <c r="E7167" i="31"/>
  <c r="G7163" i="31"/>
  <c r="F7163" i="31"/>
  <c r="I7163" i="31" s="1"/>
  <c r="I7164" i="31" s="1"/>
  <c r="I7178" i="31" s="1"/>
  <c r="E7163" i="31"/>
  <c r="C7160" i="31"/>
  <c r="E7157" i="31"/>
  <c r="F7149" i="31"/>
  <c r="I7149" i="31" s="1"/>
  <c r="I7150" i="31" s="1"/>
  <c r="I7155" i="31" s="1"/>
  <c r="E7149" i="31"/>
  <c r="F7145" i="31"/>
  <c r="I7145" i="31" s="1"/>
  <c r="I7146" i="31" s="1"/>
  <c r="I7154" i="31" s="1"/>
  <c r="E7145" i="31"/>
  <c r="F7141" i="31"/>
  <c r="I7141" i="31" s="1"/>
  <c r="I7142" i="31" s="1"/>
  <c r="I7153" i="31" s="1"/>
  <c r="E7141" i="31"/>
  <c r="F7137" i="31"/>
  <c r="E7137" i="31"/>
  <c r="C7134" i="31"/>
  <c r="E7132" i="31"/>
  <c r="F7124" i="31"/>
  <c r="I7124" i="31" s="1"/>
  <c r="I7125" i="31" s="1"/>
  <c r="I7130" i="31" s="1"/>
  <c r="E7124" i="31"/>
  <c r="F7120" i="31"/>
  <c r="E7120" i="31"/>
  <c r="F7116" i="31"/>
  <c r="I7116" i="31" s="1"/>
  <c r="I7117" i="31" s="1"/>
  <c r="I7128" i="31" s="1"/>
  <c r="E7116" i="31"/>
  <c r="F7112" i="31"/>
  <c r="E7112" i="31"/>
  <c r="C7109" i="31"/>
  <c r="E7107" i="31"/>
  <c r="F7099" i="31"/>
  <c r="I7099" i="31" s="1"/>
  <c r="I7100" i="31" s="1"/>
  <c r="I7105" i="31" s="1"/>
  <c r="E7099" i="31"/>
  <c r="F7095" i="31"/>
  <c r="I7095" i="31" s="1"/>
  <c r="I7096" i="31" s="1"/>
  <c r="I7104" i="31" s="1"/>
  <c r="E7095" i="31"/>
  <c r="F7091" i="31"/>
  <c r="I7091" i="31" s="1"/>
  <c r="I7092" i="31" s="1"/>
  <c r="I7103" i="31" s="1"/>
  <c r="E7091" i="31"/>
  <c r="F7087" i="31"/>
  <c r="E7087" i="31"/>
  <c r="C7084" i="31"/>
  <c r="E7082" i="31"/>
  <c r="F7074" i="31"/>
  <c r="I7074" i="31" s="1"/>
  <c r="I7075" i="31" s="1"/>
  <c r="I7080" i="31" s="1"/>
  <c r="E7074" i="31"/>
  <c r="F7070" i="31"/>
  <c r="E7070" i="31"/>
  <c r="F7066" i="31"/>
  <c r="I7066" i="31" s="1"/>
  <c r="I7067" i="31" s="1"/>
  <c r="I7078" i="31" s="1"/>
  <c r="E7066" i="31"/>
  <c r="F7062" i="31"/>
  <c r="I7062" i="31" s="1"/>
  <c r="I7063" i="31" s="1"/>
  <c r="I7077" i="31" s="1"/>
  <c r="E7062" i="31"/>
  <c r="C7059" i="31"/>
  <c r="E7057" i="31"/>
  <c r="F7049" i="31"/>
  <c r="I7049" i="31" s="1"/>
  <c r="I7050" i="31" s="1"/>
  <c r="I7055" i="31" s="1"/>
  <c r="E7049" i="31"/>
  <c r="F7045" i="31"/>
  <c r="I7045" i="31" s="1"/>
  <c r="I7046" i="31" s="1"/>
  <c r="I7054" i="31" s="1"/>
  <c r="E7045" i="31"/>
  <c r="F7041" i="31"/>
  <c r="I7041" i="31" s="1"/>
  <c r="I7042" i="31" s="1"/>
  <c r="I7053" i="31" s="1"/>
  <c r="E7041" i="31"/>
  <c r="F7037" i="31"/>
  <c r="E7037" i="31"/>
  <c r="C7034" i="31"/>
  <c r="E7031" i="31"/>
  <c r="F7023" i="31"/>
  <c r="I7023" i="31" s="1"/>
  <c r="I7024" i="31" s="1"/>
  <c r="I7029" i="31" s="1"/>
  <c r="E7023" i="31"/>
  <c r="F7019" i="31"/>
  <c r="E7019" i="31"/>
  <c r="F7015" i="31"/>
  <c r="I7015" i="31" s="1"/>
  <c r="I7016" i="31" s="1"/>
  <c r="I7027" i="31" s="1"/>
  <c r="E7015" i="31"/>
  <c r="G7011" i="31"/>
  <c r="F7011" i="31"/>
  <c r="I7011" i="31" s="1"/>
  <c r="I7012" i="31" s="1"/>
  <c r="I7026" i="31" s="1"/>
  <c r="E7011" i="31"/>
  <c r="C7008" i="31"/>
  <c r="E7006" i="31"/>
  <c r="F6998" i="31"/>
  <c r="I6998" i="31" s="1"/>
  <c r="I6999" i="31" s="1"/>
  <c r="I7004" i="31" s="1"/>
  <c r="E6998" i="31"/>
  <c r="F6994" i="31"/>
  <c r="I6994" i="31" s="1"/>
  <c r="I6995" i="31" s="1"/>
  <c r="I7003" i="31" s="1"/>
  <c r="E6994" i="31"/>
  <c r="F6990" i="31"/>
  <c r="I6990" i="31" s="1"/>
  <c r="I6991" i="31" s="1"/>
  <c r="I7002" i="31" s="1"/>
  <c r="E6990" i="31"/>
  <c r="F6986" i="31"/>
  <c r="E6986" i="31"/>
  <c r="C6983" i="31"/>
  <c r="E6979" i="31"/>
  <c r="D6979" i="31"/>
  <c r="F6971" i="31"/>
  <c r="E6971" i="31"/>
  <c r="F6967" i="31"/>
  <c r="E6967" i="31"/>
  <c r="I6963" i="31"/>
  <c r="F6963" i="31"/>
  <c r="E6963" i="31"/>
  <c r="F6962" i="31"/>
  <c r="I6962" i="31" s="1"/>
  <c r="E6962" i="31"/>
  <c r="G6958" i="31"/>
  <c r="F6958" i="31"/>
  <c r="I6958" i="31" s="1"/>
  <c r="E6958" i="31"/>
  <c r="G6957" i="31"/>
  <c r="F6957" i="31"/>
  <c r="I6957" i="31" s="1"/>
  <c r="E6957" i="31"/>
  <c r="G6956" i="31"/>
  <c r="F6956" i="31"/>
  <c r="I6956" i="31" s="1"/>
  <c r="E6956" i="31"/>
  <c r="F6955" i="31"/>
  <c r="I6955" i="31" s="1"/>
  <c r="E6955" i="31"/>
  <c r="C6952" i="31"/>
  <c r="E6949" i="31"/>
  <c r="D6949" i="31"/>
  <c r="F6941" i="31"/>
  <c r="E6941" i="31"/>
  <c r="F6937" i="31"/>
  <c r="G6937" i="31" s="1"/>
  <c r="E6937" i="31"/>
  <c r="I6933" i="31"/>
  <c r="I6934" i="31" s="1"/>
  <c r="F6933" i="31"/>
  <c r="E6933" i="31"/>
  <c r="F6929" i="31"/>
  <c r="G6929" i="31" s="1"/>
  <c r="E6929" i="31"/>
  <c r="F6928" i="31"/>
  <c r="G6928" i="31" s="1"/>
  <c r="E6928" i="31"/>
  <c r="F6927" i="31"/>
  <c r="G6927" i="31" s="1"/>
  <c r="E6927" i="31"/>
  <c r="F6926" i="31"/>
  <c r="G6926" i="31" s="1"/>
  <c r="E6926" i="31"/>
  <c r="C6923" i="31"/>
  <c r="E6921" i="31"/>
  <c r="F6913" i="31"/>
  <c r="E6913" i="31"/>
  <c r="F6909" i="31"/>
  <c r="E6909" i="31"/>
  <c r="F6905" i="31"/>
  <c r="E6905" i="31"/>
  <c r="G6904" i="31"/>
  <c r="F6904" i="31"/>
  <c r="I6904" i="31" s="1"/>
  <c r="E6904" i="31"/>
  <c r="F6903" i="31"/>
  <c r="I6903" i="31" s="1"/>
  <c r="E6903" i="31"/>
  <c r="F6899" i="31"/>
  <c r="E6899" i="31"/>
  <c r="F6898" i="31"/>
  <c r="E6898" i="31"/>
  <c r="F6897" i="31"/>
  <c r="E6897" i="31"/>
  <c r="F6896" i="31"/>
  <c r="E6896" i="31"/>
  <c r="C6893" i="31"/>
  <c r="E6891" i="31"/>
  <c r="F6884" i="31"/>
  <c r="I6884" i="31" s="1"/>
  <c r="I6885" i="31" s="1"/>
  <c r="E6884" i="31"/>
  <c r="F6880" i="31"/>
  <c r="I6880" i="31" s="1"/>
  <c r="I6881" i="31" s="1"/>
  <c r="I6889" i="31" s="1"/>
  <c r="E6880" i="31"/>
  <c r="F6876" i="31"/>
  <c r="I6876" i="31" s="1"/>
  <c r="I6877" i="31" s="1"/>
  <c r="I6888" i="31" s="1"/>
  <c r="E6876" i="31"/>
  <c r="F6872" i="31"/>
  <c r="G6872" i="31" s="1"/>
  <c r="E6872" i="31"/>
  <c r="C6869" i="31"/>
  <c r="E6866" i="31"/>
  <c r="F6858" i="31"/>
  <c r="I6858" i="31" s="1"/>
  <c r="I6859" i="31" s="1"/>
  <c r="I6864" i="31" s="1"/>
  <c r="E6858" i="31"/>
  <c r="F6854" i="31"/>
  <c r="I6854" i="31" s="1"/>
  <c r="I6855" i="31" s="1"/>
  <c r="I6863" i="31" s="1"/>
  <c r="E6854" i="31"/>
  <c r="F6850" i="31"/>
  <c r="I6850" i="31" s="1"/>
  <c r="I6851" i="31" s="1"/>
  <c r="I6862" i="31" s="1"/>
  <c r="E6850" i="31"/>
  <c r="F6846" i="31"/>
  <c r="G6846" i="31" s="1"/>
  <c r="E6846" i="31"/>
  <c r="C6843" i="31"/>
  <c r="E6841" i="31"/>
  <c r="F6833" i="31"/>
  <c r="I6833" i="31" s="1"/>
  <c r="I6834" i="31" s="1"/>
  <c r="I6839" i="31" s="1"/>
  <c r="E6833" i="31"/>
  <c r="F6829" i="31"/>
  <c r="E6829" i="31"/>
  <c r="F6825" i="31"/>
  <c r="I6825" i="31" s="1"/>
  <c r="I6826" i="31" s="1"/>
  <c r="I6837" i="31" s="1"/>
  <c r="E6825" i="31"/>
  <c r="F6821" i="31"/>
  <c r="G6821" i="31" s="1"/>
  <c r="E6821" i="31"/>
  <c r="C6818" i="31"/>
  <c r="E6816" i="31"/>
  <c r="F6808" i="31"/>
  <c r="I6808" i="31" s="1"/>
  <c r="I6809" i="31" s="1"/>
  <c r="I6814" i="31" s="1"/>
  <c r="E6808" i="31"/>
  <c r="F6804" i="31"/>
  <c r="E6804" i="31"/>
  <c r="F6800" i="31"/>
  <c r="I6800" i="31" s="1"/>
  <c r="I6801" i="31" s="1"/>
  <c r="I6812" i="31" s="1"/>
  <c r="E6800" i="31"/>
  <c r="F6796" i="31"/>
  <c r="E6796" i="31"/>
  <c r="C6793" i="31"/>
  <c r="E6790" i="31"/>
  <c r="F6782" i="31"/>
  <c r="I6782" i="31" s="1"/>
  <c r="I6783" i="31" s="1"/>
  <c r="I6788" i="31" s="1"/>
  <c r="E6782" i="31"/>
  <c r="F6778" i="31"/>
  <c r="G6778" i="31" s="1"/>
  <c r="E6778" i="31"/>
  <c r="I6774" i="31"/>
  <c r="I6775" i="31" s="1"/>
  <c r="I6786" i="31" s="1"/>
  <c r="F6774" i="31"/>
  <c r="E6774" i="31"/>
  <c r="F6770" i="31"/>
  <c r="G6770" i="31" s="1"/>
  <c r="E6770" i="31"/>
  <c r="C6767" i="31"/>
  <c r="E6764" i="31"/>
  <c r="F6756" i="31"/>
  <c r="I6756" i="31" s="1"/>
  <c r="I6757" i="31" s="1"/>
  <c r="I6762" i="31" s="1"/>
  <c r="E6756" i="31"/>
  <c r="F6752" i="31"/>
  <c r="I6752" i="31" s="1"/>
  <c r="I6753" i="31" s="1"/>
  <c r="I6761" i="31" s="1"/>
  <c r="E6752" i="31"/>
  <c r="F6748" i="31"/>
  <c r="I6748" i="31" s="1"/>
  <c r="I6749" i="31" s="1"/>
  <c r="I6760" i="31" s="1"/>
  <c r="E6748" i="31"/>
  <c r="I6744" i="31"/>
  <c r="I6745" i="31" s="1"/>
  <c r="I6759" i="31" s="1"/>
  <c r="F6744" i="31"/>
  <c r="G6744" i="31" s="1"/>
  <c r="E6744" i="31"/>
  <c r="C6741" i="31"/>
  <c r="E6738" i="31"/>
  <c r="F6730" i="31"/>
  <c r="I6730" i="31" s="1"/>
  <c r="I6731" i="31" s="1"/>
  <c r="I6736" i="31" s="1"/>
  <c r="E6730" i="31"/>
  <c r="F6726" i="31"/>
  <c r="E6726" i="31"/>
  <c r="F6722" i="31"/>
  <c r="I6722" i="31" s="1"/>
  <c r="I6723" i="31" s="1"/>
  <c r="I6734" i="31" s="1"/>
  <c r="E6722" i="31"/>
  <c r="F6718" i="31"/>
  <c r="G6718" i="31" s="1"/>
  <c r="E6718" i="31"/>
  <c r="C6715" i="31"/>
  <c r="E6712" i="31"/>
  <c r="F6704" i="31"/>
  <c r="I6704" i="31" s="1"/>
  <c r="I6705" i="31" s="1"/>
  <c r="I6710" i="31" s="1"/>
  <c r="E6704" i="31"/>
  <c r="F6700" i="31"/>
  <c r="E6700" i="31"/>
  <c r="F6696" i="31"/>
  <c r="I6696" i="31" s="1"/>
  <c r="I6697" i="31" s="1"/>
  <c r="I6708" i="31" s="1"/>
  <c r="E6696" i="31"/>
  <c r="F6692" i="31"/>
  <c r="E6692" i="31"/>
  <c r="C6689" i="31"/>
  <c r="E6686" i="31"/>
  <c r="F6678" i="31"/>
  <c r="I6678" i="31" s="1"/>
  <c r="I6679" i="31" s="1"/>
  <c r="I6684" i="31" s="1"/>
  <c r="E6678" i="31"/>
  <c r="F6674" i="31"/>
  <c r="I6674" i="31" s="1"/>
  <c r="I6675" i="31" s="1"/>
  <c r="I6683" i="31" s="1"/>
  <c r="E6674" i="31"/>
  <c r="F6670" i="31"/>
  <c r="I6670" i="31" s="1"/>
  <c r="I6671" i="31" s="1"/>
  <c r="I6682" i="31" s="1"/>
  <c r="E6670" i="31"/>
  <c r="F6666" i="31"/>
  <c r="G6666" i="31" s="1"/>
  <c r="E6666" i="31"/>
  <c r="C6663" i="31"/>
  <c r="E6660" i="31"/>
  <c r="F6652" i="31"/>
  <c r="I6652" i="31" s="1"/>
  <c r="I6653" i="31" s="1"/>
  <c r="I6658" i="31" s="1"/>
  <c r="E6652" i="31"/>
  <c r="F6648" i="31"/>
  <c r="I6648" i="31" s="1"/>
  <c r="I6649" i="31" s="1"/>
  <c r="I6657" i="31" s="1"/>
  <c r="E6648" i="31"/>
  <c r="F6644" i="31"/>
  <c r="I6644" i="31" s="1"/>
  <c r="I6645" i="31" s="1"/>
  <c r="I6656" i="31" s="1"/>
  <c r="E6644" i="31"/>
  <c r="F6640" i="31"/>
  <c r="G6640" i="31" s="1"/>
  <c r="E6640" i="31"/>
  <c r="C6637" i="31"/>
  <c r="E6634" i="31"/>
  <c r="F6626" i="31"/>
  <c r="I6626" i="31" s="1"/>
  <c r="I6627" i="31" s="1"/>
  <c r="I6632" i="31" s="1"/>
  <c r="E6626" i="31"/>
  <c r="F6622" i="31"/>
  <c r="E6622" i="31"/>
  <c r="F6618" i="31"/>
  <c r="I6618" i="31" s="1"/>
  <c r="I6619" i="31" s="1"/>
  <c r="I6630" i="31" s="1"/>
  <c r="E6618" i="31"/>
  <c r="F6614" i="31"/>
  <c r="G6614" i="31" s="1"/>
  <c r="E6614" i="31"/>
  <c r="C6611" i="31"/>
  <c r="E6608" i="31"/>
  <c r="F6600" i="31"/>
  <c r="I6600" i="31" s="1"/>
  <c r="I6601" i="31" s="1"/>
  <c r="I6606" i="31" s="1"/>
  <c r="E6600" i="31"/>
  <c r="F6596" i="31"/>
  <c r="I6596" i="31" s="1"/>
  <c r="I6597" i="31" s="1"/>
  <c r="I6605" i="31" s="1"/>
  <c r="E6596" i="31"/>
  <c r="F6592" i="31"/>
  <c r="I6592" i="31" s="1"/>
  <c r="I6593" i="31" s="1"/>
  <c r="I6604" i="31" s="1"/>
  <c r="E6592" i="31"/>
  <c r="I6588" i="31"/>
  <c r="I6589" i="31" s="1"/>
  <c r="I6603" i="31" s="1"/>
  <c r="F6588" i="31"/>
  <c r="G6588" i="31" s="1"/>
  <c r="C6588" i="31"/>
  <c r="E6588" i="31" s="1"/>
  <c r="C6585" i="31"/>
  <c r="E6583" i="31"/>
  <c r="F6575" i="31"/>
  <c r="I6575" i="31" s="1"/>
  <c r="I6576" i="31" s="1"/>
  <c r="I6581" i="31" s="1"/>
  <c r="E6575" i="31"/>
  <c r="F6571" i="31"/>
  <c r="G6571" i="31" s="1"/>
  <c r="E6571" i="31"/>
  <c r="F6567" i="31"/>
  <c r="I6567" i="31" s="1"/>
  <c r="I6568" i="31" s="1"/>
  <c r="I6579" i="31" s="1"/>
  <c r="E6567" i="31"/>
  <c r="F6563" i="31"/>
  <c r="I6563" i="31" s="1"/>
  <c r="I6564" i="31" s="1"/>
  <c r="I6578" i="31" s="1"/>
  <c r="E6563" i="31"/>
  <c r="C6560" i="31"/>
  <c r="E6558" i="31"/>
  <c r="F6550" i="31"/>
  <c r="I6550" i="31" s="1"/>
  <c r="I6551" i="31" s="1"/>
  <c r="I6556" i="31" s="1"/>
  <c r="E6550" i="31"/>
  <c r="F6546" i="31"/>
  <c r="G6546" i="31" s="1"/>
  <c r="E6546" i="31"/>
  <c r="F6542" i="31"/>
  <c r="I6542" i="31" s="1"/>
  <c r="I6543" i="31" s="1"/>
  <c r="I6554" i="31" s="1"/>
  <c r="E6542" i="31"/>
  <c r="F6538" i="31"/>
  <c r="E6538" i="31"/>
  <c r="F6537" i="31"/>
  <c r="E6537" i="31"/>
  <c r="C6534" i="31"/>
  <c r="E6532" i="31"/>
  <c r="F6524" i="31"/>
  <c r="I6524" i="31" s="1"/>
  <c r="I6525" i="31" s="1"/>
  <c r="I6530" i="31" s="1"/>
  <c r="E6524" i="31"/>
  <c r="F6520" i="31"/>
  <c r="G6520" i="31" s="1"/>
  <c r="E6520" i="31"/>
  <c r="F6516" i="31"/>
  <c r="I6516" i="31" s="1"/>
  <c r="I6517" i="31" s="1"/>
  <c r="I6528" i="31" s="1"/>
  <c r="E6516" i="31"/>
  <c r="F6512" i="31"/>
  <c r="E6512" i="31"/>
  <c r="F6511" i="31"/>
  <c r="E6511" i="31"/>
  <c r="C6508" i="31"/>
  <c r="E6506" i="31"/>
  <c r="F6498" i="31"/>
  <c r="I6498" i="31" s="1"/>
  <c r="I6499" i="31" s="1"/>
  <c r="I6504" i="31" s="1"/>
  <c r="E6498" i="31"/>
  <c r="F6494" i="31"/>
  <c r="G6494" i="31" s="1"/>
  <c r="E6494" i="31"/>
  <c r="F6490" i="31"/>
  <c r="I6490" i="31" s="1"/>
  <c r="I6491" i="31" s="1"/>
  <c r="I6502" i="31" s="1"/>
  <c r="E6490" i="31"/>
  <c r="I6486" i="31"/>
  <c r="I6487" i="31" s="1"/>
  <c r="I6501" i="31" s="1"/>
  <c r="F6486" i="31"/>
  <c r="G6486" i="31" s="1"/>
  <c r="E6486" i="31"/>
  <c r="C6483" i="31"/>
  <c r="E6480" i="31"/>
  <c r="F6472" i="31"/>
  <c r="I6472" i="31" s="1"/>
  <c r="I6473" i="31" s="1"/>
  <c r="I6478" i="31" s="1"/>
  <c r="E6472" i="31"/>
  <c r="F6468" i="31"/>
  <c r="G6468" i="31" s="1"/>
  <c r="E6468" i="31"/>
  <c r="F6464" i="31"/>
  <c r="I6464" i="31" s="1"/>
  <c r="I6465" i="31" s="1"/>
  <c r="I6476" i="31" s="1"/>
  <c r="E6464" i="31"/>
  <c r="F6460" i="31"/>
  <c r="E6460" i="31"/>
  <c r="C6457" i="31"/>
  <c r="E6455" i="31"/>
  <c r="F6447" i="31"/>
  <c r="I6447" i="31" s="1"/>
  <c r="I6448" i="31" s="1"/>
  <c r="I6453" i="31" s="1"/>
  <c r="E6447" i="31"/>
  <c r="F6443" i="31"/>
  <c r="E6443" i="31"/>
  <c r="F6439" i="31"/>
  <c r="I6439" i="31" s="1"/>
  <c r="I6440" i="31" s="1"/>
  <c r="I6451" i="31" s="1"/>
  <c r="E6439" i="31"/>
  <c r="I6435" i="31"/>
  <c r="F6435" i="31"/>
  <c r="G6435" i="31" s="1"/>
  <c r="E6435" i="31"/>
  <c r="I6434" i="31"/>
  <c r="I6436" i="31" s="1"/>
  <c r="I6450" i="31" s="1"/>
  <c r="F6434" i="31"/>
  <c r="G6434" i="31" s="1"/>
  <c r="E6434" i="31"/>
  <c r="C6431" i="31"/>
  <c r="E6429" i="31"/>
  <c r="F6421" i="31"/>
  <c r="I6421" i="31" s="1"/>
  <c r="I6422" i="31" s="1"/>
  <c r="I6427" i="31" s="1"/>
  <c r="E6421" i="31"/>
  <c r="F6417" i="31"/>
  <c r="G6417" i="31" s="1"/>
  <c r="E6417" i="31"/>
  <c r="F6413" i="31"/>
  <c r="I6413" i="31" s="1"/>
  <c r="E6413" i="31"/>
  <c r="F6412" i="31"/>
  <c r="I6412" i="31" s="1"/>
  <c r="E6412" i="31"/>
  <c r="F6408" i="31"/>
  <c r="G6408" i="31" s="1"/>
  <c r="E6408" i="31"/>
  <c r="F6407" i="31"/>
  <c r="G6407" i="31" s="1"/>
  <c r="E6407" i="31"/>
  <c r="F6406" i="31"/>
  <c r="G6406" i="31" s="1"/>
  <c r="E6406" i="31"/>
  <c r="C6403" i="31"/>
  <c r="E6401" i="31"/>
  <c r="F6393" i="31"/>
  <c r="I6393" i="31" s="1"/>
  <c r="I6394" i="31" s="1"/>
  <c r="I6399" i="31" s="1"/>
  <c r="E6393" i="31"/>
  <c r="F6389" i="31"/>
  <c r="I6389" i="31" s="1"/>
  <c r="I6390" i="31" s="1"/>
  <c r="I6398" i="31" s="1"/>
  <c r="E6389" i="31"/>
  <c r="F6385" i="31"/>
  <c r="I6385" i="31" s="1"/>
  <c r="I6386" i="31" s="1"/>
  <c r="I6397" i="31" s="1"/>
  <c r="E6385" i="31"/>
  <c r="F6381" i="31"/>
  <c r="G6381" i="31" s="1"/>
  <c r="E6381" i="31"/>
  <c r="F6380" i="31"/>
  <c r="E6380" i="31"/>
  <c r="I6379" i="31"/>
  <c r="F6379" i="31"/>
  <c r="G6379" i="31" s="1"/>
  <c r="E6379" i="31"/>
  <c r="C6376" i="31"/>
  <c r="E6374" i="31"/>
  <c r="F6366" i="31"/>
  <c r="I6366" i="31" s="1"/>
  <c r="I6367" i="31" s="1"/>
  <c r="I6372" i="31" s="1"/>
  <c r="E6366" i="31"/>
  <c r="F6362" i="31"/>
  <c r="E6362" i="31"/>
  <c r="I6358" i="31"/>
  <c r="I6359" i="31" s="1"/>
  <c r="I6370" i="31" s="1"/>
  <c r="F6358" i="31"/>
  <c r="E6358" i="31"/>
  <c r="F6354" i="31"/>
  <c r="G6354" i="31" s="1"/>
  <c r="E6354" i="31"/>
  <c r="F6353" i="31"/>
  <c r="G6353" i="31" s="1"/>
  <c r="E6353" i="31"/>
  <c r="F6352" i="31"/>
  <c r="G6352" i="31" s="1"/>
  <c r="E6352" i="31"/>
  <c r="C6349" i="31"/>
  <c r="E6347" i="31"/>
  <c r="F6338" i="31"/>
  <c r="I6338" i="31" s="1"/>
  <c r="I6339" i="31" s="1"/>
  <c r="I6344" i="31" s="1"/>
  <c r="E6338" i="31"/>
  <c r="F6334" i="31"/>
  <c r="E6334" i="31"/>
  <c r="I6330" i="31"/>
  <c r="F6330" i="31"/>
  <c r="E6330" i="31"/>
  <c r="F6329" i="31"/>
  <c r="I6329" i="31" s="1"/>
  <c r="E6329" i="31"/>
  <c r="F6328" i="31"/>
  <c r="I6328" i="31" s="1"/>
  <c r="E6328" i="31"/>
  <c r="F6324" i="31"/>
  <c r="G6324" i="31" s="1"/>
  <c r="E6324" i="31"/>
  <c r="F6323" i="31"/>
  <c r="G6323" i="31" s="1"/>
  <c r="E6323" i="31"/>
  <c r="F6322" i="31"/>
  <c r="G6322" i="31" s="1"/>
  <c r="E6322" i="31"/>
  <c r="F6321" i="31"/>
  <c r="G6321" i="31" s="1"/>
  <c r="E6321" i="31"/>
  <c r="F6320" i="31"/>
  <c r="G6320" i="31" s="1"/>
  <c r="E6320" i="31"/>
  <c r="F6319" i="31"/>
  <c r="G6319" i="31" s="1"/>
  <c r="E6319" i="31"/>
  <c r="C6316" i="31"/>
  <c r="E6314" i="31"/>
  <c r="F6305" i="31"/>
  <c r="I6305" i="31" s="1"/>
  <c r="I6306" i="31" s="1"/>
  <c r="I6311" i="31" s="1"/>
  <c r="E6305" i="31"/>
  <c r="F6301" i="31"/>
  <c r="E6301" i="31"/>
  <c r="F6297" i="31"/>
  <c r="I6297" i="31" s="1"/>
  <c r="E6297" i="31"/>
  <c r="F6296" i="31"/>
  <c r="I6296" i="31" s="1"/>
  <c r="E6296" i="31"/>
  <c r="I6295" i="31"/>
  <c r="F6295" i="31"/>
  <c r="E6295" i="31"/>
  <c r="F6291" i="31"/>
  <c r="G6291" i="31" s="1"/>
  <c r="E6291" i="31"/>
  <c r="F6290" i="31"/>
  <c r="G6290" i="31" s="1"/>
  <c r="E6290" i="31"/>
  <c r="F6289" i="31"/>
  <c r="G6289" i="31" s="1"/>
  <c r="E6289" i="31"/>
  <c r="F6288" i="31"/>
  <c r="G6288" i="31" s="1"/>
  <c r="E6288" i="31"/>
  <c r="F6287" i="31"/>
  <c r="G6287" i="31" s="1"/>
  <c r="E6287" i="31"/>
  <c r="F6286" i="31"/>
  <c r="G6286" i="31" s="1"/>
  <c r="E6286" i="31"/>
  <c r="C6283" i="31"/>
  <c r="E6281" i="31"/>
  <c r="F6272" i="31"/>
  <c r="I6272" i="31" s="1"/>
  <c r="I6273" i="31" s="1"/>
  <c r="I6278" i="31" s="1"/>
  <c r="E6272" i="31"/>
  <c r="F6268" i="31"/>
  <c r="I6268" i="31" s="1"/>
  <c r="I6269" i="31" s="1"/>
  <c r="I6277" i="31" s="1"/>
  <c r="E6268" i="31"/>
  <c r="I6264" i="31"/>
  <c r="F6264" i="31"/>
  <c r="E6264" i="31"/>
  <c r="F6263" i="31"/>
  <c r="I6263" i="31" s="1"/>
  <c r="E6263" i="31"/>
  <c r="F6262" i="31"/>
  <c r="I6262" i="31" s="1"/>
  <c r="E6262" i="31"/>
  <c r="F6258" i="31"/>
  <c r="G6258" i="31" s="1"/>
  <c r="E6258" i="31"/>
  <c r="F6257" i="31"/>
  <c r="G6257" i="31" s="1"/>
  <c r="E6257" i="31"/>
  <c r="F6256" i="31"/>
  <c r="G6256" i="31" s="1"/>
  <c r="E6256" i="31"/>
  <c r="F6255" i="31"/>
  <c r="G6255" i="31" s="1"/>
  <c r="E6255" i="31"/>
  <c r="F6254" i="31"/>
  <c r="G6254" i="31" s="1"/>
  <c r="E6254" i="31"/>
  <c r="F6253" i="31"/>
  <c r="G6253" i="31" s="1"/>
  <c r="E6253" i="31"/>
  <c r="C6250" i="31"/>
  <c r="E6248" i="31"/>
  <c r="F6239" i="31"/>
  <c r="I6239" i="31" s="1"/>
  <c r="I6240" i="31" s="1"/>
  <c r="I6245" i="31" s="1"/>
  <c r="E6239" i="31"/>
  <c r="F6235" i="31"/>
  <c r="I6235" i="31" s="1"/>
  <c r="I6236" i="31" s="1"/>
  <c r="I6244" i="31" s="1"/>
  <c r="E6235" i="31"/>
  <c r="F6231" i="31"/>
  <c r="I6231" i="31" s="1"/>
  <c r="E6231" i="31"/>
  <c r="F6230" i="31"/>
  <c r="I6230" i="31" s="1"/>
  <c r="E6230" i="31"/>
  <c r="F6229" i="31"/>
  <c r="I6229" i="31" s="1"/>
  <c r="E6229" i="31"/>
  <c r="F6225" i="31"/>
  <c r="G6225" i="31" s="1"/>
  <c r="E6225" i="31"/>
  <c r="F6224" i="31"/>
  <c r="G6224" i="31" s="1"/>
  <c r="E6224" i="31"/>
  <c r="F6223" i="31"/>
  <c r="G6223" i="31" s="1"/>
  <c r="E6223" i="31"/>
  <c r="F6222" i="31"/>
  <c r="G6222" i="31" s="1"/>
  <c r="E6222" i="31"/>
  <c r="F6221" i="31"/>
  <c r="G6221" i="31" s="1"/>
  <c r="E6221" i="31"/>
  <c r="F6220" i="31"/>
  <c r="G6220" i="31" s="1"/>
  <c r="E6220" i="31"/>
  <c r="C6217" i="31"/>
  <c r="E6215" i="31"/>
  <c r="F6206" i="31"/>
  <c r="I6206" i="31" s="1"/>
  <c r="I6207" i="31" s="1"/>
  <c r="I6212" i="31" s="1"/>
  <c r="E6206" i="31"/>
  <c r="F6202" i="31"/>
  <c r="I6202" i="31" s="1"/>
  <c r="I6203" i="31" s="1"/>
  <c r="I6211" i="31" s="1"/>
  <c r="E6202" i="31"/>
  <c r="F6198" i="31"/>
  <c r="I6198" i="31" s="1"/>
  <c r="I6199" i="31" s="1"/>
  <c r="I6210" i="31" s="1"/>
  <c r="E6198" i="31"/>
  <c r="F6194" i="31"/>
  <c r="I6194" i="31" s="1"/>
  <c r="E6194" i="31"/>
  <c r="I6193" i="31"/>
  <c r="F6193" i="31"/>
  <c r="G6193" i="31" s="1"/>
  <c r="E6193" i="31"/>
  <c r="G6192" i="31"/>
  <c r="F6192" i="31"/>
  <c r="I6192" i="31" s="1"/>
  <c r="E6192" i="31"/>
  <c r="I6191" i="31"/>
  <c r="F6191" i="31"/>
  <c r="G6191" i="31" s="1"/>
  <c r="E6191" i="31"/>
  <c r="C6188" i="31"/>
  <c r="E6186" i="31"/>
  <c r="F6177" i="31"/>
  <c r="I6177" i="31" s="1"/>
  <c r="I6178" i="31" s="1"/>
  <c r="I6183" i="31" s="1"/>
  <c r="E6177" i="31"/>
  <c r="F6173" i="31"/>
  <c r="E6173" i="31"/>
  <c r="F6169" i="31"/>
  <c r="I6169" i="31" s="1"/>
  <c r="I6170" i="31" s="1"/>
  <c r="I6181" i="31" s="1"/>
  <c r="E6169" i="31"/>
  <c r="F6165" i="31"/>
  <c r="G6165" i="31" s="1"/>
  <c r="E6165" i="31"/>
  <c r="F6164" i="31"/>
  <c r="G6164" i="31" s="1"/>
  <c r="E6164" i="31"/>
  <c r="F6163" i="31"/>
  <c r="G6163" i="31" s="1"/>
  <c r="E6163" i="31"/>
  <c r="F6162" i="31"/>
  <c r="G6162" i="31" s="1"/>
  <c r="E6162" i="31"/>
  <c r="C6159" i="31"/>
  <c r="E6157" i="31"/>
  <c r="F6148" i="31"/>
  <c r="I6148" i="31" s="1"/>
  <c r="I6149" i="31" s="1"/>
  <c r="I6154" i="31" s="1"/>
  <c r="E6148" i="31"/>
  <c r="F6144" i="31"/>
  <c r="I6144" i="31" s="1"/>
  <c r="I6145" i="31" s="1"/>
  <c r="I6153" i="31" s="1"/>
  <c r="E6144" i="31"/>
  <c r="F6140" i="31"/>
  <c r="I6140" i="31" s="1"/>
  <c r="I6141" i="31" s="1"/>
  <c r="I6152" i="31" s="1"/>
  <c r="E6140" i="31"/>
  <c r="F6136" i="31"/>
  <c r="E6136" i="31"/>
  <c r="F6135" i="31"/>
  <c r="E6135" i="31"/>
  <c r="F6134" i="31"/>
  <c r="E6134" i="31"/>
  <c r="F6133" i="31"/>
  <c r="E6133" i="31"/>
  <c r="C6130" i="31"/>
  <c r="E6128" i="31"/>
  <c r="I6119" i="31"/>
  <c r="I6120" i="31" s="1"/>
  <c r="I6125" i="31" s="1"/>
  <c r="F6119" i="31"/>
  <c r="E6119" i="31"/>
  <c r="F6115" i="31"/>
  <c r="I6115" i="31" s="1"/>
  <c r="I6116" i="31" s="1"/>
  <c r="I6124" i="31" s="1"/>
  <c r="E6115" i="31"/>
  <c r="I6111" i="31"/>
  <c r="I6112" i="31" s="1"/>
  <c r="I6123" i="31" s="1"/>
  <c r="F6111" i="31"/>
  <c r="E6111" i="31"/>
  <c r="F6107" i="31"/>
  <c r="G6107" i="31" s="1"/>
  <c r="E6107" i="31"/>
  <c r="F6106" i="31"/>
  <c r="G6106" i="31" s="1"/>
  <c r="E6106" i="31"/>
  <c r="F6105" i="31"/>
  <c r="G6105" i="31" s="1"/>
  <c r="E6105" i="31"/>
  <c r="F6104" i="31"/>
  <c r="G6104" i="31" s="1"/>
  <c r="E6104" i="31"/>
  <c r="C6101" i="31"/>
  <c r="E6099" i="31"/>
  <c r="F6090" i="31"/>
  <c r="I6090" i="31" s="1"/>
  <c r="I6091" i="31" s="1"/>
  <c r="I6096" i="31" s="1"/>
  <c r="E6090" i="31"/>
  <c r="F6086" i="31"/>
  <c r="I6086" i="31" s="1"/>
  <c r="I6087" i="31" s="1"/>
  <c r="I6095" i="31" s="1"/>
  <c r="E6086" i="31"/>
  <c r="F6082" i="31"/>
  <c r="I6082" i="31" s="1"/>
  <c r="I6083" i="31" s="1"/>
  <c r="I6094" i="31" s="1"/>
  <c r="E6082" i="31"/>
  <c r="G6078" i="31"/>
  <c r="F6078" i="31"/>
  <c r="I6078" i="31" s="1"/>
  <c r="I6079" i="31" s="1"/>
  <c r="I6093" i="31" s="1"/>
  <c r="E6078" i="31"/>
  <c r="C6075" i="31"/>
  <c r="E6073" i="31"/>
  <c r="F6064" i="31"/>
  <c r="I6064" i="31" s="1"/>
  <c r="I6065" i="31" s="1"/>
  <c r="I6070" i="31" s="1"/>
  <c r="E6064" i="31"/>
  <c r="F6060" i="31"/>
  <c r="G6060" i="31" s="1"/>
  <c r="E6060" i="31"/>
  <c r="F6056" i="31"/>
  <c r="I6056" i="31" s="1"/>
  <c r="I6057" i="31" s="1"/>
  <c r="I6068" i="31" s="1"/>
  <c r="E6056" i="31"/>
  <c r="F6052" i="31"/>
  <c r="G6052" i="31" s="1"/>
  <c r="E6052" i="31"/>
  <c r="F6051" i="31"/>
  <c r="G6051" i="31" s="1"/>
  <c r="E6051" i="31"/>
  <c r="F6050" i="31"/>
  <c r="G6050" i="31" s="1"/>
  <c r="E6050" i="31"/>
  <c r="F6049" i="31"/>
  <c r="G6049" i="31" s="1"/>
  <c r="E6049" i="31"/>
  <c r="C6046" i="31"/>
  <c r="E6044" i="31"/>
  <c r="F6035" i="31"/>
  <c r="I6035" i="31" s="1"/>
  <c r="I6036" i="31" s="1"/>
  <c r="I6041" i="31" s="1"/>
  <c r="E6035" i="31"/>
  <c r="F6031" i="31"/>
  <c r="I6031" i="31" s="1"/>
  <c r="I6032" i="31" s="1"/>
  <c r="I6040" i="31" s="1"/>
  <c r="E6031" i="31"/>
  <c r="F6027" i="31"/>
  <c r="I6027" i="31" s="1"/>
  <c r="I6028" i="31" s="1"/>
  <c r="I6039" i="31" s="1"/>
  <c r="E6027" i="31"/>
  <c r="F6023" i="31"/>
  <c r="E6023" i="31"/>
  <c r="F6022" i="31"/>
  <c r="G6022" i="31" s="1"/>
  <c r="E6022" i="31"/>
  <c r="I6021" i="31"/>
  <c r="F6021" i="31"/>
  <c r="G6021" i="31" s="1"/>
  <c r="E6021" i="31"/>
  <c r="I6020" i="31"/>
  <c r="F6020" i="31"/>
  <c r="G6020" i="31" s="1"/>
  <c r="E6020" i="31"/>
  <c r="C6017" i="31"/>
  <c r="E6015" i="31"/>
  <c r="F6006" i="31"/>
  <c r="I6006" i="31" s="1"/>
  <c r="I6007" i="31" s="1"/>
  <c r="I6012" i="31" s="1"/>
  <c r="E6006" i="31"/>
  <c r="F6002" i="31"/>
  <c r="I6002" i="31" s="1"/>
  <c r="I6003" i="31" s="1"/>
  <c r="I6011" i="31" s="1"/>
  <c r="E6002" i="31"/>
  <c r="F5998" i="31"/>
  <c r="I5998" i="31" s="1"/>
  <c r="I5999" i="31" s="1"/>
  <c r="I6010" i="31" s="1"/>
  <c r="E5998" i="31"/>
  <c r="F5994" i="31"/>
  <c r="G5994" i="31" s="1"/>
  <c r="E5994" i="31"/>
  <c r="F5993" i="31"/>
  <c r="G5993" i="31" s="1"/>
  <c r="E5993" i="31"/>
  <c r="F5992" i="31"/>
  <c r="G5992" i="31" s="1"/>
  <c r="E5992" i="31"/>
  <c r="F5991" i="31"/>
  <c r="G5991" i="31" s="1"/>
  <c r="E5991" i="31"/>
  <c r="C5988" i="31"/>
  <c r="E5986" i="31"/>
  <c r="F5977" i="31"/>
  <c r="I5977" i="31" s="1"/>
  <c r="I5978" i="31" s="1"/>
  <c r="I5983" i="31" s="1"/>
  <c r="E5977" i="31"/>
  <c r="F5973" i="31"/>
  <c r="I5973" i="31" s="1"/>
  <c r="I5974" i="31" s="1"/>
  <c r="I5982" i="31" s="1"/>
  <c r="E5973" i="31"/>
  <c r="G5969" i="31"/>
  <c r="F5969" i="31"/>
  <c r="I5969" i="31" s="1"/>
  <c r="E5969" i="31"/>
  <c r="G5968" i="31"/>
  <c r="F5968" i="31"/>
  <c r="I5968" i="31" s="1"/>
  <c r="E5968" i="31"/>
  <c r="G5967" i="31"/>
  <c r="F5967" i="31"/>
  <c r="I5967" i="31" s="1"/>
  <c r="E5967" i="31"/>
  <c r="F5966" i="31"/>
  <c r="I5966" i="31" s="1"/>
  <c r="E5966" i="31"/>
  <c r="I5962" i="31"/>
  <c r="F5962" i="31"/>
  <c r="G5962" i="31" s="1"/>
  <c r="E5962" i="31"/>
  <c r="F5961" i="31"/>
  <c r="I5961" i="31" s="1"/>
  <c r="E5961" i="31"/>
  <c r="I5960" i="31"/>
  <c r="F5960" i="31"/>
  <c r="G5960" i="31" s="1"/>
  <c r="E5960" i="31"/>
  <c r="G5959" i="31"/>
  <c r="F5959" i="31"/>
  <c r="I5959" i="31" s="1"/>
  <c r="E5959" i="31"/>
  <c r="I5958" i="31"/>
  <c r="F5958" i="31"/>
  <c r="G5958" i="31" s="1"/>
  <c r="E5958" i="31"/>
  <c r="F5957" i="31"/>
  <c r="I5957" i="31" s="1"/>
  <c r="I5963" i="31" s="1"/>
  <c r="I5980" i="31" s="1"/>
  <c r="E5957" i="31"/>
  <c r="C5954" i="31"/>
  <c r="E5951" i="31"/>
  <c r="F5942" i="31"/>
  <c r="I5942" i="31" s="1"/>
  <c r="I5943" i="31" s="1"/>
  <c r="I5948" i="31" s="1"/>
  <c r="E5942" i="31"/>
  <c r="F5938" i="31"/>
  <c r="E5938" i="31"/>
  <c r="F5934" i="31"/>
  <c r="G5934" i="31" s="1"/>
  <c r="E5934" i="31"/>
  <c r="F5933" i="31"/>
  <c r="G5933" i="31" s="1"/>
  <c r="E5933" i="31"/>
  <c r="F5932" i="31"/>
  <c r="G5932" i="31" s="1"/>
  <c r="E5932" i="31"/>
  <c r="F5931" i="31"/>
  <c r="I5931" i="31" s="1"/>
  <c r="E5931" i="31"/>
  <c r="F5927" i="31"/>
  <c r="G5927" i="31" s="1"/>
  <c r="E5927" i="31"/>
  <c r="F5926" i="31"/>
  <c r="G5926" i="31" s="1"/>
  <c r="E5926" i="31"/>
  <c r="F5925" i="31"/>
  <c r="G5925" i="31" s="1"/>
  <c r="E5925" i="31"/>
  <c r="F5924" i="31"/>
  <c r="G5924" i="31" s="1"/>
  <c r="E5924" i="31"/>
  <c r="F5923" i="31"/>
  <c r="G5923" i="31" s="1"/>
  <c r="E5923" i="31"/>
  <c r="F5922" i="31"/>
  <c r="G5922" i="31" s="1"/>
  <c r="E5922" i="31"/>
  <c r="C5919" i="31"/>
  <c r="E5917" i="31"/>
  <c r="F5908" i="31"/>
  <c r="I5908" i="31" s="1"/>
  <c r="I5909" i="31" s="1"/>
  <c r="I5914" i="31" s="1"/>
  <c r="E5908" i="31"/>
  <c r="F5904" i="31"/>
  <c r="I5904" i="31" s="1"/>
  <c r="I5905" i="31" s="1"/>
  <c r="I5913" i="31" s="1"/>
  <c r="E5904" i="31"/>
  <c r="F5900" i="31"/>
  <c r="I5900" i="31" s="1"/>
  <c r="I5901" i="31" s="1"/>
  <c r="I5912" i="31" s="1"/>
  <c r="E5900" i="31"/>
  <c r="G5896" i="31"/>
  <c r="F5896" i="31"/>
  <c r="I5896" i="31" s="1"/>
  <c r="E5896" i="31"/>
  <c r="F5895" i="31"/>
  <c r="I5895" i="31" s="1"/>
  <c r="E5895" i="31"/>
  <c r="F5894" i="31"/>
  <c r="I5894" i="31" s="1"/>
  <c r="E5894" i="31"/>
  <c r="C5891" i="31"/>
  <c r="E5889" i="31"/>
  <c r="F5880" i="31"/>
  <c r="I5880" i="31" s="1"/>
  <c r="I5881" i="31" s="1"/>
  <c r="I5886" i="31" s="1"/>
  <c r="E5880" i="31"/>
  <c r="F5876" i="31"/>
  <c r="E5876" i="31"/>
  <c r="F5872" i="31"/>
  <c r="I5872" i="31" s="1"/>
  <c r="I5873" i="31" s="1"/>
  <c r="I5884" i="31" s="1"/>
  <c r="E5872" i="31"/>
  <c r="F5868" i="31"/>
  <c r="G5868" i="31" s="1"/>
  <c r="E5868" i="31"/>
  <c r="F5867" i="31"/>
  <c r="G5867" i="31" s="1"/>
  <c r="E5867" i="31"/>
  <c r="F5866" i="31"/>
  <c r="G5866" i="31" s="1"/>
  <c r="E5866" i="31"/>
  <c r="C5863" i="31"/>
  <c r="E5860" i="31"/>
  <c r="F5851" i="31"/>
  <c r="I5851" i="31" s="1"/>
  <c r="I5852" i="31" s="1"/>
  <c r="I5857" i="31" s="1"/>
  <c r="E5851" i="31"/>
  <c r="F5847" i="31"/>
  <c r="I5847" i="31" s="1"/>
  <c r="I5848" i="31" s="1"/>
  <c r="I5856" i="31" s="1"/>
  <c r="E5847" i="31"/>
  <c r="F5843" i="31"/>
  <c r="I5843" i="31" s="1"/>
  <c r="I5844" i="31" s="1"/>
  <c r="I5855" i="31" s="1"/>
  <c r="E5843" i="31"/>
  <c r="F5839" i="31"/>
  <c r="E5839" i="31"/>
  <c r="F5838" i="31"/>
  <c r="E5838" i="31"/>
  <c r="F5837" i="31"/>
  <c r="E5837" i="31"/>
  <c r="C5834" i="31"/>
  <c r="E5832" i="31"/>
  <c r="F5823" i="31"/>
  <c r="E5823" i="31"/>
  <c r="F5819" i="31"/>
  <c r="G5819" i="31" s="1"/>
  <c r="E5819" i="31"/>
  <c r="F5818" i="31"/>
  <c r="G5818" i="31" s="1"/>
  <c r="E5818" i="31"/>
  <c r="F5817" i="31"/>
  <c r="G5817" i="31" s="1"/>
  <c r="E5817" i="31"/>
  <c r="F5813" i="31"/>
  <c r="I5813" i="31" s="1"/>
  <c r="I5814" i="31" s="1"/>
  <c r="I5827" i="31" s="1"/>
  <c r="E5813" i="31"/>
  <c r="F5809" i="31"/>
  <c r="I5809" i="31" s="1"/>
  <c r="I5810" i="31" s="1"/>
  <c r="I5826" i="31" s="1"/>
  <c r="E5809" i="31"/>
  <c r="C5806" i="31"/>
  <c r="E5804" i="31"/>
  <c r="F5795" i="31"/>
  <c r="I5795" i="31" s="1"/>
  <c r="I5796" i="31" s="1"/>
  <c r="I5801" i="31" s="1"/>
  <c r="E5795" i="31"/>
  <c r="I5791" i="31"/>
  <c r="I5792" i="31" s="1"/>
  <c r="I5800" i="31" s="1"/>
  <c r="F5791" i="31"/>
  <c r="G5791" i="31" s="1"/>
  <c r="E5791" i="31"/>
  <c r="I5787" i="31"/>
  <c r="I5788" i="31" s="1"/>
  <c r="I5799" i="31" s="1"/>
  <c r="F5787" i="31"/>
  <c r="E5787" i="31"/>
  <c r="F5783" i="31"/>
  <c r="E5783" i="31"/>
  <c r="C5780" i="31"/>
  <c r="E5777" i="31"/>
  <c r="F5768" i="31"/>
  <c r="I5768" i="31" s="1"/>
  <c r="I5769" i="31" s="1"/>
  <c r="I5774" i="31" s="1"/>
  <c r="E5768" i="31"/>
  <c r="F5764" i="31"/>
  <c r="G5764" i="31" s="1"/>
  <c r="E5764" i="31"/>
  <c r="F5760" i="31"/>
  <c r="I5760" i="31" s="1"/>
  <c r="I5761" i="31" s="1"/>
  <c r="I5772" i="31" s="1"/>
  <c r="E5760" i="31"/>
  <c r="F5756" i="31"/>
  <c r="I5756" i="31" s="1"/>
  <c r="I5757" i="31" s="1"/>
  <c r="I5771" i="31" s="1"/>
  <c r="E5756" i="31"/>
  <c r="C5753" i="31"/>
  <c r="E5751" i="31"/>
  <c r="F5742" i="31"/>
  <c r="E5742" i="31"/>
  <c r="F5738" i="31"/>
  <c r="G5738" i="31" s="1"/>
  <c r="E5738" i="31"/>
  <c r="I5734" i="31"/>
  <c r="F5734" i="31"/>
  <c r="E5734" i="31"/>
  <c r="F5733" i="31"/>
  <c r="I5733" i="31" s="1"/>
  <c r="I5735" i="31" s="1"/>
  <c r="I5746" i="31" s="1"/>
  <c r="E5733" i="31"/>
  <c r="F5729" i="31"/>
  <c r="G5729" i="31" s="1"/>
  <c r="E5729" i="31"/>
  <c r="C5726" i="31"/>
  <c r="E5724" i="31"/>
  <c r="F5715" i="31"/>
  <c r="G5715" i="31" s="1"/>
  <c r="E5715" i="31"/>
  <c r="F5711" i="31"/>
  <c r="I5711" i="31" s="1"/>
  <c r="I5712" i="31" s="1"/>
  <c r="I5720" i="31" s="1"/>
  <c r="F5707" i="31"/>
  <c r="I5707" i="31" s="1"/>
  <c r="I5708" i="31" s="1"/>
  <c r="I5719" i="31" s="1"/>
  <c r="E5707" i="31"/>
  <c r="F5703" i="31"/>
  <c r="I5703" i="31" s="1"/>
  <c r="I5704" i="31" s="1"/>
  <c r="I5718" i="31" s="1"/>
  <c r="E5703" i="31"/>
  <c r="C5700" i="31"/>
  <c r="E5698" i="31"/>
  <c r="F5689" i="31"/>
  <c r="E5689" i="31"/>
  <c r="F5685" i="31"/>
  <c r="G5685" i="31" s="1"/>
  <c r="F5681" i="31"/>
  <c r="I5681" i="31" s="1"/>
  <c r="I5682" i="31" s="1"/>
  <c r="I5693" i="31" s="1"/>
  <c r="E5681" i="31"/>
  <c r="G5677" i="31"/>
  <c r="E5677" i="31"/>
  <c r="F5676" i="31"/>
  <c r="I5677" i="31" s="1"/>
  <c r="I5678" i="31" s="1"/>
  <c r="I5692" i="31" s="1"/>
  <c r="C5674" i="31"/>
  <c r="E5671" i="31"/>
  <c r="F5662" i="31"/>
  <c r="G5662" i="31" s="1"/>
  <c r="E5662" i="31"/>
  <c r="F5658" i="31"/>
  <c r="E5658" i="31"/>
  <c r="F5654" i="31"/>
  <c r="I5654" i="31" s="1"/>
  <c r="E5654" i="31"/>
  <c r="F5653" i="31"/>
  <c r="I5653" i="31" s="1"/>
  <c r="I5655" i="31" s="1"/>
  <c r="I5666" i="31" s="1"/>
  <c r="E5653" i="31"/>
  <c r="F5649" i="31"/>
  <c r="G5649" i="31" s="1"/>
  <c r="E5649" i="31"/>
  <c r="D5649" i="31"/>
  <c r="F5648" i="31"/>
  <c r="G5648" i="31" s="1"/>
  <c r="E5648" i="31"/>
  <c r="D5648" i="31"/>
  <c r="F5647" i="31"/>
  <c r="G5647" i="31" s="1"/>
  <c r="E5647" i="31"/>
  <c r="D5647" i="31"/>
  <c r="F5646" i="31"/>
  <c r="G5646" i="31" s="1"/>
  <c r="E5646" i="31"/>
  <c r="D5646" i="31"/>
  <c r="C5643" i="31"/>
  <c r="E5641" i="31"/>
  <c r="F5633" i="31"/>
  <c r="I5633" i="31" s="1"/>
  <c r="I5634" i="31" s="1"/>
  <c r="I5639" i="31" s="1"/>
  <c r="E5633" i="31"/>
  <c r="F5629" i="31"/>
  <c r="E5629" i="31"/>
  <c r="F5628" i="31"/>
  <c r="I5628" i="31" s="1"/>
  <c r="E5628" i="31"/>
  <c r="F5627" i="31"/>
  <c r="I5627" i="31" s="1"/>
  <c r="E5627" i="31"/>
  <c r="F5623" i="31"/>
  <c r="I5623" i="31" s="1"/>
  <c r="I5624" i="31" s="1"/>
  <c r="I5637" i="31" s="1"/>
  <c r="E5623" i="31"/>
  <c r="F5619" i="31"/>
  <c r="E5619" i="31"/>
  <c r="C5616" i="31"/>
  <c r="E5614" i="31"/>
  <c r="F5606" i="31"/>
  <c r="I5606" i="31" s="1"/>
  <c r="I5607" i="31" s="1"/>
  <c r="I5612" i="31" s="1"/>
  <c r="E5606" i="31"/>
  <c r="F5602" i="31"/>
  <c r="E5602" i="31"/>
  <c r="I5598" i="31"/>
  <c r="F5598" i="31"/>
  <c r="E5598" i="31"/>
  <c r="F5597" i="31"/>
  <c r="I5597" i="31" s="1"/>
  <c r="E5597" i="31"/>
  <c r="F5593" i="31"/>
  <c r="G5593" i="31" s="1"/>
  <c r="E5593" i="31"/>
  <c r="C5590" i="31"/>
  <c r="E5585" i="31"/>
  <c r="F5576" i="31"/>
  <c r="E5576" i="31"/>
  <c r="F5572" i="31"/>
  <c r="I5572" i="31" s="1"/>
  <c r="I5573" i="31" s="1"/>
  <c r="I5581" i="31" s="1"/>
  <c r="E5572" i="31"/>
  <c r="I5568" i="31"/>
  <c r="F5568" i="31"/>
  <c r="G5568" i="31" s="1"/>
  <c r="E5568" i="31"/>
  <c r="F5567" i="31"/>
  <c r="E5567" i="31"/>
  <c r="F5563" i="31"/>
  <c r="G5563" i="31" s="1"/>
  <c r="E5563" i="31"/>
  <c r="C5560" i="31"/>
  <c r="E5558" i="31"/>
  <c r="F5549" i="31"/>
  <c r="E5549" i="31"/>
  <c r="F5545" i="31"/>
  <c r="I5545" i="31" s="1"/>
  <c r="I5546" i="31" s="1"/>
  <c r="I5554" i="31" s="1"/>
  <c r="E5545" i="31"/>
  <c r="I5541" i="31"/>
  <c r="F5541" i="31"/>
  <c r="G5541" i="31" s="1"/>
  <c r="E5541" i="31"/>
  <c r="F5540" i="31"/>
  <c r="E5540" i="31"/>
  <c r="F5539" i="31"/>
  <c r="E5539" i="31"/>
  <c r="F5535" i="31"/>
  <c r="E5535" i="31"/>
  <c r="F5534" i="31"/>
  <c r="E5534" i="31"/>
  <c r="F5533" i="31"/>
  <c r="G5533" i="31" s="1"/>
  <c r="E5533" i="31"/>
  <c r="D5533" i="31"/>
  <c r="F5532" i="31"/>
  <c r="I5532" i="31" s="1"/>
  <c r="E5532" i="31"/>
  <c r="C5529" i="31"/>
  <c r="F5519" i="31"/>
  <c r="I5519" i="31" s="1"/>
  <c r="I5520" i="31" s="1"/>
  <c r="I5525" i="31" s="1"/>
  <c r="E5519" i="31"/>
  <c r="F5515" i="31"/>
  <c r="I5515" i="31" s="1"/>
  <c r="I5516" i="31" s="1"/>
  <c r="I5524" i="31" s="1"/>
  <c r="E5515" i="31"/>
  <c r="F5511" i="31"/>
  <c r="I5511" i="31" s="1"/>
  <c r="I5512" i="31" s="1"/>
  <c r="I5523" i="31" s="1"/>
  <c r="E5511" i="31"/>
  <c r="F5507" i="31"/>
  <c r="E5507" i="31"/>
  <c r="C5504" i="31"/>
  <c r="F5494" i="31"/>
  <c r="I5494" i="31" s="1"/>
  <c r="I5495" i="31" s="1"/>
  <c r="I5500" i="31" s="1"/>
  <c r="E5494" i="31"/>
  <c r="F5490" i="31"/>
  <c r="I5490" i="31" s="1"/>
  <c r="I5491" i="31" s="1"/>
  <c r="I5499" i="31" s="1"/>
  <c r="E5490" i="31"/>
  <c r="F5486" i="31"/>
  <c r="I5486" i="31" s="1"/>
  <c r="I5487" i="31" s="1"/>
  <c r="I5498" i="31" s="1"/>
  <c r="E5486" i="31"/>
  <c r="I5482" i="31"/>
  <c r="I5483" i="31" s="1"/>
  <c r="I5497" i="31" s="1"/>
  <c r="F5482" i="31"/>
  <c r="G5482" i="31" s="1"/>
  <c r="E5482" i="31"/>
  <c r="C5479" i="31"/>
  <c r="E5477" i="31"/>
  <c r="F5469" i="31"/>
  <c r="I5469" i="31" s="1"/>
  <c r="I5470" i="31" s="1"/>
  <c r="I5475" i="31" s="1"/>
  <c r="E5469" i="31"/>
  <c r="F5465" i="31"/>
  <c r="E5465" i="31"/>
  <c r="F5461" i="31"/>
  <c r="I5461" i="31" s="1"/>
  <c r="I5462" i="31" s="1"/>
  <c r="I5473" i="31" s="1"/>
  <c r="E5461" i="31"/>
  <c r="F5457" i="31"/>
  <c r="E5457" i="31"/>
  <c r="C5454" i="31"/>
  <c r="E5452" i="31"/>
  <c r="F5444" i="31"/>
  <c r="I5444" i="31" s="1"/>
  <c r="I5445" i="31" s="1"/>
  <c r="I5450" i="31" s="1"/>
  <c r="E5444" i="31"/>
  <c r="F5440" i="31"/>
  <c r="E5440" i="31"/>
  <c r="F5436" i="31"/>
  <c r="I5436" i="31" s="1"/>
  <c r="I5437" i="31" s="1"/>
  <c r="I5448" i="31" s="1"/>
  <c r="E5436" i="31"/>
  <c r="F5432" i="31"/>
  <c r="E5432" i="31"/>
  <c r="C5429" i="31"/>
  <c r="I5420" i="31"/>
  <c r="I5425" i="31" s="1"/>
  <c r="F5419" i="31"/>
  <c r="I5419" i="31" s="1"/>
  <c r="E5419" i="31"/>
  <c r="F5415" i="31"/>
  <c r="G5415" i="31" s="1"/>
  <c r="E5415" i="31"/>
  <c r="F5411" i="31"/>
  <c r="I5411" i="31" s="1"/>
  <c r="I5412" i="31" s="1"/>
  <c r="I5423" i="31" s="1"/>
  <c r="E5411" i="31"/>
  <c r="I5407" i="31"/>
  <c r="F5406" i="31"/>
  <c r="I5406" i="31" s="1"/>
  <c r="E5406" i="31"/>
  <c r="C5403" i="31"/>
  <c r="E5401" i="31"/>
  <c r="F5393" i="31"/>
  <c r="I5393" i="31" s="1"/>
  <c r="I5394" i="31" s="1"/>
  <c r="I5399" i="31" s="1"/>
  <c r="E5393" i="31"/>
  <c r="F5389" i="31"/>
  <c r="G5389" i="31" s="1"/>
  <c r="E5389" i="31"/>
  <c r="F5385" i="31"/>
  <c r="I5385" i="31" s="1"/>
  <c r="I5386" i="31" s="1"/>
  <c r="I5397" i="31" s="1"/>
  <c r="E5385" i="31"/>
  <c r="I5381" i="31"/>
  <c r="G5381" i="31"/>
  <c r="F5380" i="31"/>
  <c r="I5380" i="31" s="1"/>
  <c r="I5382" i="31" s="1"/>
  <c r="I5396" i="31" s="1"/>
  <c r="C5377" i="31"/>
  <c r="E5375" i="31"/>
  <c r="F5367" i="31"/>
  <c r="I5367" i="31" s="1"/>
  <c r="I5368" i="31" s="1"/>
  <c r="I5373" i="31" s="1"/>
  <c r="E5367" i="31"/>
  <c r="G5363" i="31"/>
  <c r="F5363" i="31"/>
  <c r="I5363" i="31" s="1"/>
  <c r="I5364" i="31" s="1"/>
  <c r="I5372" i="31" s="1"/>
  <c r="E5363" i="31"/>
  <c r="F5359" i="31"/>
  <c r="I5359" i="31" s="1"/>
  <c r="I5360" i="31" s="1"/>
  <c r="I5371" i="31" s="1"/>
  <c r="E5359" i="31"/>
  <c r="F5355" i="31"/>
  <c r="E5355" i="31"/>
  <c r="F5354" i="31"/>
  <c r="E5354" i="31"/>
  <c r="F5353" i="31"/>
  <c r="E5353" i="31"/>
  <c r="F5352" i="31"/>
  <c r="E5352" i="31"/>
  <c r="C5349" i="31"/>
  <c r="E5347" i="31"/>
  <c r="F5339" i="31"/>
  <c r="I5339" i="31" s="1"/>
  <c r="I5340" i="31" s="1"/>
  <c r="I5345" i="31" s="1"/>
  <c r="E5339" i="31"/>
  <c r="F5335" i="31"/>
  <c r="G5335" i="31" s="1"/>
  <c r="E5335" i="31"/>
  <c r="F5331" i="31"/>
  <c r="I5331" i="31" s="1"/>
  <c r="I5332" i="31" s="1"/>
  <c r="I5343" i="31" s="1"/>
  <c r="E5331" i="31"/>
  <c r="F5327" i="31"/>
  <c r="I5327" i="31" s="1"/>
  <c r="E5327" i="31"/>
  <c r="G5326" i="31"/>
  <c r="F5326" i="31"/>
  <c r="I5326" i="31" s="1"/>
  <c r="E5326" i="31"/>
  <c r="C5323" i="31"/>
  <c r="E5320" i="31"/>
  <c r="F5312" i="31"/>
  <c r="I5312" i="31" s="1"/>
  <c r="I5313" i="31" s="1"/>
  <c r="I5318" i="31" s="1"/>
  <c r="E5312" i="31"/>
  <c r="F5308" i="31"/>
  <c r="G5308" i="31" s="1"/>
  <c r="E5308" i="31"/>
  <c r="F5304" i="31"/>
  <c r="I5304" i="31" s="1"/>
  <c r="I5305" i="31" s="1"/>
  <c r="I5316" i="31" s="1"/>
  <c r="E5304" i="31"/>
  <c r="F5300" i="31"/>
  <c r="I5300" i="31" s="1"/>
  <c r="E5300" i="31"/>
  <c r="G5299" i="31"/>
  <c r="F5299" i="31"/>
  <c r="I5299" i="31" s="1"/>
  <c r="E5299" i="31"/>
  <c r="C5296" i="31"/>
  <c r="E5294" i="31"/>
  <c r="F5286" i="31"/>
  <c r="I5286" i="31" s="1"/>
  <c r="I5287" i="31" s="1"/>
  <c r="I5292" i="31" s="1"/>
  <c r="E5286" i="31"/>
  <c r="F5282" i="31"/>
  <c r="I5282" i="31" s="1"/>
  <c r="I5283" i="31" s="1"/>
  <c r="I5291" i="31" s="1"/>
  <c r="E5282" i="31"/>
  <c r="F5278" i="31"/>
  <c r="I5278" i="31" s="1"/>
  <c r="I5279" i="31" s="1"/>
  <c r="I5290" i="31" s="1"/>
  <c r="E5278" i="31"/>
  <c r="F5274" i="31"/>
  <c r="I5274" i="31" s="1"/>
  <c r="I5275" i="31" s="1"/>
  <c r="I5289" i="31" s="1"/>
  <c r="C5274" i="31"/>
  <c r="E5274" i="31" s="1"/>
  <c r="C5271" i="31"/>
  <c r="E5268" i="31"/>
  <c r="F5260" i="31"/>
  <c r="I5260" i="31" s="1"/>
  <c r="I5261" i="31" s="1"/>
  <c r="I5266" i="31" s="1"/>
  <c r="E5260" i="31"/>
  <c r="F5256" i="31"/>
  <c r="G5256" i="31" s="1"/>
  <c r="E5256" i="31"/>
  <c r="F5252" i="31"/>
  <c r="I5252" i="31" s="1"/>
  <c r="I5253" i="31" s="1"/>
  <c r="I5264" i="31" s="1"/>
  <c r="E5252" i="31"/>
  <c r="F5248" i="31"/>
  <c r="I5248" i="31" s="1"/>
  <c r="I5249" i="31" s="1"/>
  <c r="I5263" i="31" s="1"/>
  <c r="E5248" i="31"/>
  <c r="C5245" i="31"/>
  <c r="E5243" i="31"/>
  <c r="F5235" i="31"/>
  <c r="I5235" i="31" s="1"/>
  <c r="I5236" i="31" s="1"/>
  <c r="I5241" i="31" s="1"/>
  <c r="E5235" i="31"/>
  <c r="F5231" i="31"/>
  <c r="I5231" i="31" s="1"/>
  <c r="I5232" i="31" s="1"/>
  <c r="I5240" i="31" s="1"/>
  <c r="E5231" i="31"/>
  <c r="F5227" i="31"/>
  <c r="I5227" i="31" s="1"/>
  <c r="E5227" i="31"/>
  <c r="F5226" i="31"/>
  <c r="I5226" i="31" s="1"/>
  <c r="E5226" i="31"/>
  <c r="I5222" i="31"/>
  <c r="G5222" i="31"/>
  <c r="F5221" i="31"/>
  <c r="G5221" i="31" s="1"/>
  <c r="C5218" i="31"/>
  <c r="E5216" i="31"/>
  <c r="F5208" i="31"/>
  <c r="I5208" i="31" s="1"/>
  <c r="I5209" i="31" s="1"/>
  <c r="I5214" i="31" s="1"/>
  <c r="E5208" i="31"/>
  <c r="F5204" i="31"/>
  <c r="G5204" i="31" s="1"/>
  <c r="E5204" i="31"/>
  <c r="F5200" i="31"/>
  <c r="I5200" i="31" s="1"/>
  <c r="I5201" i="31" s="1"/>
  <c r="I5212" i="31" s="1"/>
  <c r="E5200" i="31"/>
  <c r="F5196" i="31"/>
  <c r="I5196" i="31" s="1"/>
  <c r="E5196" i="31"/>
  <c r="F5195" i="31"/>
  <c r="I5195" i="31" s="1"/>
  <c r="E5195" i="31"/>
  <c r="C5192" i="31"/>
  <c r="E5190" i="31"/>
  <c r="F5182" i="31"/>
  <c r="I5182" i="31" s="1"/>
  <c r="I5183" i="31" s="1"/>
  <c r="I5188" i="31" s="1"/>
  <c r="E5182" i="31"/>
  <c r="F5178" i="31"/>
  <c r="I5178" i="31" s="1"/>
  <c r="I5179" i="31" s="1"/>
  <c r="I5187" i="31" s="1"/>
  <c r="E5178" i="31"/>
  <c r="F5174" i="31"/>
  <c r="I5174" i="31" s="1"/>
  <c r="I5175" i="31" s="1"/>
  <c r="I5186" i="31" s="1"/>
  <c r="E5174" i="31"/>
  <c r="I5170" i="31"/>
  <c r="F5170" i="31"/>
  <c r="G5170" i="31" s="1"/>
  <c r="E5170" i="31"/>
  <c r="G5169" i="31"/>
  <c r="F5169" i="31"/>
  <c r="I5169" i="31" s="1"/>
  <c r="E5169" i="31"/>
  <c r="I5168" i="31"/>
  <c r="I5171" i="31" s="1"/>
  <c r="I5185" i="31" s="1"/>
  <c r="F5168" i="31"/>
  <c r="G5168" i="31" s="1"/>
  <c r="E5168" i="31"/>
  <c r="C5165" i="31"/>
  <c r="E5163" i="31"/>
  <c r="F5155" i="31"/>
  <c r="I5155" i="31" s="1"/>
  <c r="I5156" i="31" s="1"/>
  <c r="I5161" i="31" s="1"/>
  <c r="E5155" i="31"/>
  <c r="I5151" i="31"/>
  <c r="I5152" i="31" s="1"/>
  <c r="I5160" i="31" s="1"/>
  <c r="F5151" i="31"/>
  <c r="G5151" i="31" s="1"/>
  <c r="E5151" i="31"/>
  <c r="F5147" i="31"/>
  <c r="E5147" i="31"/>
  <c r="D5147" i="31"/>
  <c r="F5146" i="31"/>
  <c r="E5146" i="31"/>
  <c r="D5146" i="31"/>
  <c r="F5142" i="31"/>
  <c r="I5142" i="31" s="1"/>
  <c r="E5142" i="31"/>
  <c r="F5141" i="31"/>
  <c r="I5141" i="31" s="1"/>
  <c r="E5141" i="31"/>
  <c r="F5140" i="31"/>
  <c r="I5140" i="31" s="1"/>
  <c r="E5140" i="31"/>
  <c r="C5137" i="31"/>
  <c r="E5135" i="31"/>
  <c r="F5126" i="31"/>
  <c r="I5126" i="31" s="1"/>
  <c r="I5127" i="31" s="1"/>
  <c r="I5132" i="31" s="1"/>
  <c r="E5126" i="31"/>
  <c r="F5122" i="31"/>
  <c r="I5122" i="31" s="1"/>
  <c r="I5123" i="31" s="1"/>
  <c r="I5131" i="31" s="1"/>
  <c r="E5122" i="31"/>
  <c r="F5118" i="31"/>
  <c r="I5118" i="31" s="1"/>
  <c r="I5119" i="31" s="1"/>
  <c r="I5130" i="31" s="1"/>
  <c r="E5118" i="31"/>
  <c r="F5114" i="31"/>
  <c r="G5114" i="31" s="1"/>
  <c r="E5114" i="31"/>
  <c r="F5113" i="31"/>
  <c r="E5113" i="31"/>
  <c r="F5112" i="31"/>
  <c r="E5112" i="31"/>
  <c r="F5111" i="31"/>
  <c r="G5111" i="31" s="1"/>
  <c r="E5111" i="31"/>
  <c r="C5108" i="31"/>
  <c r="E5106" i="31"/>
  <c r="F5097" i="31"/>
  <c r="I5097" i="31" s="1"/>
  <c r="I5098" i="31" s="1"/>
  <c r="I5103" i="31" s="1"/>
  <c r="E5097" i="31"/>
  <c r="F5093" i="31"/>
  <c r="I5093" i="31" s="1"/>
  <c r="I5094" i="31" s="1"/>
  <c r="I5102" i="31" s="1"/>
  <c r="E5093" i="31"/>
  <c r="F5089" i="31"/>
  <c r="I5089" i="31" s="1"/>
  <c r="E5089" i="31"/>
  <c r="F5088" i="31"/>
  <c r="I5088" i="31" s="1"/>
  <c r="E5088" i="31"/>
  <c r="F5087" i="31"/>
  <c r="I5087" i="31" s="1"/>
  <c r="E5087" i="31"/>
  <c r="F5086" i="31"/>
  <c r="I5086" i="31" s="1"/>
  <c r="E5086" i="31"/>
  <c r="F5082" i="31"/>
  <c r="I5082" i="31" s="1"/>
  <c r="E5082" i="31"/>
  <c r="F5081" i="31"/>
  <c r="I5081" i="31" s="1"/>
  <c r="E5081" i="31"/>
  <c r="F5080" i="31"/>
  <c r="I5080" i="31" s="1"/>
  <c r="E5080" i="31"/>
  <c r="F5079" i="31"/>
  <c r="I5079" i="31" s="1"/>
  <c r="E5079" i="31"/>
  <c r="F5078" i="31"/>
  <c r="I5078" i="31" s="1"/>
  <c r="E5078" i="31"/>
  <c r="F5077" i="31"/>
  <c r="I5077" i="31" s="1"/>
  <c r="E5077" i="31"/>
  <c r="C5074" i="31"/>
  <c r="E5071" i="31"/>
  <c r="F5062" i="31"/>
  <c r="I5062" i="31" s="1"/>
  <c r="I5063" i="31" s="1"/>
  <c r="I5068" i="31" s="1"/>
  <c r="E5062" i="31"/>
  <c r="F5058" i="31"/>
  <c r="I5058" i="31" s="1"/>
  <c r="I5059" i="31" s="1"/>
  <c r="I5067" i="31" s="1"/>
  <c r="E5058" i="31"/>
  <c r="F5054" i="31"/>
  <c r="I5054" i="31" s="1"/>
  <c r="I5055" i="31" s="1"/>
  <c r="I5066" i="31" s="1"/>
  <c r="E5054" i="31"/>
  <c r="I5050" i="31"/>
  <c r="F5050" i="31"/>
  <c r="G5050" i="31" s="1"/>
  <c r="E5050" i="31"/>
  <c r="I5049" i="31"/>
  <c r="F5049" i="31"/>
  <c r="G5049" i="31" s="1"/>
  <c r="E5049" i="31"/>
  <c r="F5048" i="31"/>
  <c r="E5048" i="31"/>
  <c r="C5045" i="31"/>
  <c r="E5043" i="31"/>
  <c r="F5034" i="31"/>
  <c r="E5034" i="31"/>
  <c r="F5030" i="31"/>
  <c r="I5030" i="31" s="1"/>
  <c r="E5030" i="31"/>
  <c r="F5029" i="31"/>
  <c r="I5029" i="31" s="1"/>
  <c r="E5029" i="31"/>
  <c r="F5028" i="31"/>
  <c r="I5028" i="31" s="1"/>
  <c r="E5028" i="31"/>
  <c r="F5024" i="31"/>
  <c r="I5024" i="31" s="1"/>
  <c r="I5025" i="31" s="1"/>
  <c r="I5038" i="31" s="1"/>
  <c r="E5024" i="31"/>
  <c r="F5020" i="31"/>
  <c r="I5020" i="31" s="1"/>
  <c r="I5021" i="31" s="1"/>
  <c r="I5037" i="31" s="1"/>
  <c r="E5020" i="31"/>
  <c r="C5017" i="31"/>
  <c r="E5015" i="31"/>
  <c r="F5006" i="31"/>
  <c r="I5006" i="31" s="1"/>
  <c r="I5007" i="31" s="1"/>
  <c r="I5012" i="31" s="1"/>
  <c r="E5006" i="31"/>
  <c r="F5002" i="31"/>
  <c r="G5002" i="31" s="1"/>
  <c r="E5002" i="31"/>
  <c r="F5001" i="31"/>
  <c r="E5001" i="31"/>
  <c r="F5000" i="31"/>
  <c r="E5000" i="31"/>
  <c r="I4997" i="31"/>
  <c r="I5010" i="31" s="1"/>
  <c r="F4996" i="31"/>
  <c r="I4996" i="31" s="1"/>
  <c r="E4996" i="31"/>
  <c r="F4992" i="31"/>
  <c r="G4992" i="31" s="1"/>
  <c r="E4992" i="31"/>
  <c r="C4989" i="31"/>
  <c r="E4987" i="31"/>
  <c r="F4978" i="31"/>
  <c r="E4978" i="31"/>
  <c r="G4974" i="31"/>
  <c r="F4974" i="31"/>
  <c r="I4974" i="31" s="1"/>
  <c r="E4974" i="31"/>
  <c r="F4973" i="31"/>
  <c r="E4973" i="31"/>
  <c r="I4969" i="31"/>
  <c r="I4970" i="31" s="1"/>
  <c r="I4982" i="31" s="1"/>
  <c r="F4969" i="31"/>
  <c r="E4969" i="31"/>
  <c r="F4965" i="31"/>
  <c r="G4965" i="31" s="1"/>
  <c r="E4965" i="31"/>
  <c r="C4962" i="31"/>
  <c r="E4960" i="31"/>
  <c r="F4951" i="31"/>
  <c r="G4951" i="31" s="1"/>
  <c r="E4951" i="31"/>
  <c r="F4947" i="31"/>
  <c r="I4947" i="31" s="1"/>
  <c r="I4948" i="31" s="1"/>
  <c r="I4956" i="31" s="1"/>
  <c r="F4943" i="31"/>
  <c r="I4943" i="31" s="1"/>
  <c r="E4943" i="31"/>
  <c r="F4942" i="31"/>
  <c r="I4942" i="31" s="1"/>
  <c r="E4942" i="31"/>
  <c r="F4941" i="31"/>
  <c r="I4941" i="31" s="1"/>
  <c r="E4941" i="31"/>
  <c r="F4937" i="31"/>
  <c r="G4937" i="31" s="1"/>
  <c r="E4937" i="31"/>
  <c r="D4937" i="31"/>
  <c r="F4936" i="31"/>
  <c r="G4936" i="31" s="1"/>
  <c r="E4936" i="31"/>
  <c r="D4936" i="31"/>
  <c r="F4935" i="31"/>
  <c r="G4935" i="31" s="1"/>
  <c r="E4935" i="31"/>
  <c r="D4935" i="31"/>
  <c r="F4934" i="31"/>
  <c r="G4934" i="31" s="1"/>
  <c r="E4934" i="31"/>
  <c r="D4934" i="31"/>
  <c r="C4931" i="31"/>
  <c r="E4925" i="31"/>
  <c r="F4916" i="31"/>
  <c r="I4916" i="31" s="1"/>
  <c r="I4917" i="31" s="1"/>
  <c r="I4922" i="31" s="1"/>
  <c r="E4916" i="31"/>
  <c r="F4912" i="31"/>
  <c r="E4912" i="31"/>
  <c r="F4908" i="31"/>
  <c r="I4908" i="31" s="1"/>
  <c r="I4909" i="31" s="1"/>
  <c r="I4920" i="31" s="1"/>
  <c r="E4908" i="31"/>
  <c r="F4904" i="31"/>
  <c r="E4904" i="31"/>
  <c r="F4903" i="31"/>
  <c r="E4903" i="31"/>
  <c r="F4902" i="31"/>
  <c r="E4902" i="31"/>
  <c r="F4901" i="31"/>
  <c r="E4901" i="31"/>
  <c r="C4898" i="31"/>
  <c r="E4896" i="31"/>
  <c r="F4887" i="31"/>
  <c r="I4887" i="31" s="1"/>
  <c r="I4888" i="31" s="1"/>
  <c r="I4893" i="31" s="1"/>
  <c r="E4887" i="31"/>
  <c r="F4883" i="31"/>
  <c r="G4883" i="31" s="1"/>
  <c r="F4879" i="31"/>
  <c r="F4875" i="31"/>
  <c r="C4872" i="31"/>
  <c r="E4870" i="31"/>
  <c r="F4862" i="31"/>
  <c r="I4862" i="31" s="1"/>
  <c r="I4863" i="31" s="1"/>
  <c r="I4868" i="31" s="1"/>
  <c r="E4862" i="31"/>
  <c r="F4858" i="31"/>
  <c r="E4858" i="31"/>
  <c r="F4854" i="31"/>
  <c r="I4854" i="31" s="1"/>
  <c r="E4854" i="31"/>
  <c r="F4853" i="31"/>
  <c r="I4853" i="31" s="1"/>
  <c r="E4853" i="31"/>
  <c r="I4849" i="31"/>
  <c r="G4849" i="31"/>
  <c r="G4848" i="31"/>
  <c r="F4848" i="31"/>
  <c r="I4848" i="31" s="1"/>
  <c r="C4845" i="31"/>
  <c r="E4842" i="31"/>
  <c r="F4834" i="31"/>
  <c r="I4834" i="31" s="1"/>
  <c r="I4835" i="31" s="1"/>
  <c r="I4840" i="31" s="1"/>
  <c r="E4834" i="31"/>
  <c r="F4830" i="31"/>
  <c r="I4830" i="31" s="1"/>
  <c r="I4831" i="31" s="1"/>
  <c r="I4839" i="31" s="1"/>
  <c r="E4830" i="31"/>
  <c r="F4826" i="31"/>
  <c r="I4826" i="31" s="1"/>
  <c r="E4826" i="31"/>
  <c r="F4825" i="31"/>
  <c r="I4825" i="31" s="1"/>
  <c r="E4825" i="31"/>
  <c r="I4821" i="31"/>
  <c r="G4821" i="31"/>
  <c r="F4820" i="31"/>
  <c r="G4820" i="31" s="1"/>
  <c r="C4817" i="31"/>
  <c r="E4815" i="31"/>
  <c r="F4807" i="31"/>
  <c r="I4807" i="31" s="1"/>
  <c r="I4808" i="31" s="1"/>
  <c r="I4813" i="31" s="1"/>
  <c r="E4807" i="31"/>
  <c r="F4803" i="31"/>
  <c r="E4803" i="31"/>
  <c r="F4799" i="31"/>
  <c r="I4799" i="31" s="1"/>
  <c r="I4800" i="31" s="1"/>
  <c r="I4811" i="31" s="1"/>
  <c r="E4799" i="31"/>
  <c r="F4795" i="31"/>
  <c r="I4795" i="31" s="1"/>
  <c r="E4795" i="31"/>
  <c r="F4794" i="31"/>
  <c r="I4794" i="31" s="1"/>
  <c r="E4794" i="31"/>
  <c r="C4791" i="31"/>
  <c r="E4788" i="31"/>
  <c r="F4780" i="31"/>
  <c r="I4780" i="31" s="1"/>
  <c r="I4781" i="31" s="1"/>
  <c r="I4786" i="31" s="1"/>
  <c r="E4780" i="31"/>
  <c r="F4776" i="31"/>
  <c r="I4776" i="31" s="1"/>
  <c r="I4777" i="31" s="1"/>
  <c r="I4785" i="31" s="1"/>
  <c r="E4776" i="31"/>
  <c r="F4772" i="31"/>
  <c r="I4772" i="31" s="1"/>
  <c r="I4773" i="31" s="1"/>
  <c r="I4784" i="31" s="1"/>
  <c r="E4772" i="31"/>
  <c r="F4768" i="31"/>
  <c r="E4768" i="31"/>
  <c r="F4767" i="31"/>
  <c r="E4767" i="31"/>
  <c r="C4764" i="31"/>
  <c r="E4762" i="31"/>
  <c r="F4754" i="31"/>
  <c r="I4754" i="31" s="1"/>
  <c r="I4755" i="31" s="1"/>
  <c r="I4760" i="31" s="1"/>
  <c r="E4754" i="31"/>
  <c r="F4750" i="31"/>
  <c r="G4750" i="31" s="1"/>
  <c r="E4750" i="31"/>
  <c r="F4746" i="31"/>
  <c r="I4746" i="31" s="1"/>
  <c r="E4746" i="31"/>
  <c r="F4745" i="31"/>
  <c r="I4745" i="31" s="1"/>
  <c r="E4745" i="31"/>
  <c r="I4741" i="31"/>
  <c r="F4741" i="31"/>
  <c r="G4741" i="31" s="1"/>
  <c r="E4741" i="31"/>
  <c r="F4740" i="31"/>
  <c r="G4740" i="31" s="1"/>
  <c r="E4740" i="31"/>
  <c r="F4739" i="31"/>
  <c r="E4739" i="31"/>
  <c r="C4736" i="31"/>
  <c r="E4734" i="31"/>
  <c r="F4726" i="31"/>
  <c r="I4726" i="31" s="1"/>
  <c r="I4727" i="31" s="1"/>
  <c r="I4732" i="31" s="1"/>
  <c r="E4726" i="31"/>
  <c r="F4722" i="31"/>
  <c r="I4722" i="31" s="1"/>
  <c r="I4723" i="31" s="1"/>
  <c r="I4731" i="31" s="1"/>
  <c r="E4722" i="31"/>
  <c r="F4718" i="31"/>
  <c r="I4718" i="31" s="1"/>
  <c r="I4719" i="31" s="1"/>
  <c r="I4730" i="31" s="1"/>
  <c r="E4718" i="31"/>
  <c r="F4714" i="31"/>
  <c r="E4714" i="31"/>
  <c r="F4713" i="31"/>
  <c r="I4713" i="31" s="1"/>
  <c r="E4713" i="31"/>
  <c r="F4712" i="31"/>
  <c r="I4712" i="31" s="1"/>
  <c r="E4712" i="31"/>
  <c r="C4709" i="31"/>
  <c r="E4707" i="31"/>
  <c r="I4699" i="31"/>
  <c r="I4700" i="31" s="1"/>
  <c r="I4705" i="31" s="1"/>
  <c r="F4699" i="31"/>
  <c r="E4699" i="31"/>
  <c r="F4695" i="31"/>
  <c r="I4695" i="31" s="1"/>
  <c r="I4696" i="31" s="1"/>
  <c r="I4704" i="31" s="1"/>
  <c r="E4695" i="31"/>
  <c r="I4691" i="31"/>
  <c r="I4692" i="31" s="1"/>
  <c r="I4703" i="31" s="1"/>
  <c r="F4691" i="31"/>
  <c r="E4691" i="31"/>
  <c r="I4687" i="31"/>
  <c r="F4687" i="31"/>
  <c r="G4687" i="31" s="1"/>
  <c r="E4687" i="31"/>
  <c r="F4686" i="31"/>
  <c r="G4686" i="31" s="1"/>
  <c r="E4686" i="31"/>
  <c r="I4685" i="31"/>
  <c r="F4685" i="31"/>
  <c r="G4685" i="31" s="1"/>
  <c r="E4685" i="31"/>
  <c r="C4682" i="31"/>
  <c r="E4680" i="31"/>
  <c r="F4671" i="31"/>
  <c r="I4671" i="31" s="1"/>
  <c r="I4672" i="31" s="1"/>
  <c r="I4677" i="31" s="1"/>
  <c r="E4671" i="31"/>
  <c r="F4667" i="31"/>
  <c r="I4667" i="31" s="1"/>
  <c r="I4668" i="31" s="1"/>
  <c r="I4676" i="31" s="1"/>
  <c r="E4667" i="31"/>
  <c r="F4663" i="31"/>
  <c r="I4663" i="31" s="1"/>
  <c r="E4663" i="31"/>
  <c r="F4662" i="31"/>
  <c r="I4662" i="31" s="1"/>
  <c r="E4662" i="31"/>
  <c r="F4661" i="31"/>
  <c r="I4661" i="31" s="1"/>
  <c r="E4661" i="31"/>
  <c r="F4657" i="31"/>
  <c r="G4657" i="31" s="1"/>
  <c r="E4657" i="31"/>
  <c r="I4656" i="31"/>
  <c r="F4656" i="31"/>
  <c r="G4656" i="31" s="1"/>
  <c r="E4656" i="31"/>
  <c r="F4655" i="31"/>
  <c r="E4655" i="31"/>
  <c r="I4654" i="31"/>
  <c r="F4654" i="31"/>
  <c r="G4654" i="31" s="1"/>
  <c r="E4654" i="31"/>
  <c r="F4653" i="31"/>
  <c r="G4653" i="31" s="1"/>
  <c r="E4653" i="31"/>
  <c r="I4652" i="31"/>
  <c r="F4652" i="31"/>
  <c r="G4652" i="31" s="1"/>
  <c r="E4652" i="31"/>
  <c r="C4649" i="31"/>
  <c r="E4647" i="31"/>
  <c r="F4638" i="31"/>
  <c r="I4638" i="31" s="1"/>
  <c r="I4639" i="31" s="1"/>
  <c r="I4644" i="31" s="1"/>
  <c r="E4638" i="31"/>
  <c r="F4634" i="31"/>
  <c r="I4634" i="31" s="1"/>
  <c r="I4635" i="31" s="1"/>
  <c r="I4643" i="31" s="1"/>
  <c r="E4634" i="31"/>
  <c r="F4630" i="31"/>
  <c r="I4630" i="31" s="1"/>
  <c r="E4630" i="31"/>
  <c r="F4629" i="31"/>
  <c r="I4629" i="31" s="1"/>
  <c r="E4629" i="31"/>
  <c r="F4628" i="31"/>
  <c r="I4628" i="31" s="1"/>
  <c r="E4628" i="31"/>
  <c r="F4624" i="31"/>
  <c r="G4624" i="31" s="1"/>
  <c r="E4624" i="31"/>
  <c r="F4623" i="31"/>
  <c r="G4623" i="31" s="1"/>
  <c r="E4623" i="31"/>
  <c r="F4622" i="31"/>
  <c r="E4622" i="31"/>
  <c r="I4621" i="31"/>
  <c r="F4621" i="31"/>
  <c r="G4621" i="31" s="1"/>
  <c r="E4621" i="31"/>
  <c r="F4620" i="31"/>
  <c r="G4620" i="31" s="1"/>
  <c r="E4620" i="31"/>
  <c r="I4619" i="31"/>
  <c r="F4619" i="31"/>
  <c r="G4619" i="31" s="1"/>
  <c r="E4619" i="31"/>
  <c r="C4616" i="31"/>
  <c r="E4614" i="31"/>
  <c r="F4605" i="31"/>
  <c r="I4605" i="31" s="1"/>
  <c r="I4606" i="31" s="1"/>
  <c r="I4611" i="31" s="1"/>
  <c r="E4605" i="31"/>
  <c r="F4601" i="31"/>
  <c r="I4601" i="31" s="1"/>
  <c r="I4602" i="31" s="1"/>
  <c r="I4610" i="31" s="1"/>
  <c r="E4601" i="31"/>
  <c r="F4597" i="31"/>
  <c r="I4597" i="31" s="1"/>
  <c r="E4597" i="31"/>
  <c r="F4596" i="31"/>
  <c r="I4596" i="31" s="1"/>
  <c r="E4596" i="31"/>
  <c r="F4592" i="31"/>
  <c r="I4592" i="31" s="1"/>
  <c r="E4592" i="31"/>
  <c r="F4591" i="31"/>
  <c r="I4591" i="31" s="1"/>
  <c r="E4591" i="31"/>
  <c r="F4590" i="31"/>
  <c r="I4590" i="31" s="1"/>
  <c r="E4590" i="31"/>
  <c r="C4587" i="31"/>
  <c r="E4585" i="31"/>
  <c r="F4576" i="31"/>
  <c r="I4576" i="31" s="1"/>
  <c r="I4577" i="31" s="1"/>
  <c r="I4582" i="31" s="1"/>
  <c r="E4576" i="31"/>
  <c r="F4572" i="31"/>
  <c r="E4572" i="31"/>
  <c r="I4568" i="31"/>
  <c r="I4569" i="31" s="1"/>
  <c r="I4580" i="31" s="1"/>
  <c r="F4568" i="31"/>
  <c r="E4568" i="31"/>
  <c r="G4564" i="31"/>
  <c r="F4564" i="31"/>
  <c r="I4564" i="31" s="1"/>
  <c r="E4564" i="31"/>
  <c r="G4563" i="31"/>
  <c r="F4563" i="31"/>
  <c r="I4563" i="31" s="1"/>
  <c r="E4563" i="31"/>
  <c r="F4562" i="31"/>
  <c r="I4562" i="31" s="1"/>
  <c r="E4562" i="31"/>
  <c r="F4561" i="31"/>
  <c r="G4561" i="31" s="1"/>
  <c r="E4561" i="31"/>
  <c r="C4558" i="31"/>
  <c r="E4556" i="31"/>
  <c r="F4547" i="31"/>
  <c r="I4547" i="31" s="1"/>
  <c r="I4548" i="31" s="1"/>
  <c r="I4553" i="31" s="1"/>
  <c r="E4547" i="31"/>
  <c r="F4543" i="31"/>
  <c r="E4543" i="31"/>
  <c r="F4539" i="31"/>
  <c r="I4539" i="31" s="1"/>
  <c r="I4540" i="31" s="1"/>
  <c r="I4551" i="31" s="1"/>
  <c r="E4539" i="31"/>
  <c r="F4535" i="31"/>
  <c r="I4535" i="31" s="1"/>
  <c r="E4535" i="31"/>
  <c r="F4534" i="31"/>
  <c r="I4534" i="31" s="1"/>
  <c r="E4534" i="31"/>
  <c r="F4533" i="31"/>
  <c r="I4533" i="31" s="1"/>
  <c r="E4533" i="31"/>
  <c r="C4530" i="31"/>
  <c r="E4528" i="31"/>
  <c r="F4519" i="31"/>
  <c r="E4519" i="31"/>
  <c r="G4515" i="31"/>
  <c r="F4515" i="31"/>
  <c r="I4515" i="31" s="1"/>
  <c r="E4515" i="31"/>
  <c r="F4514" i="31"/>
  <c r="I4514" i="31" s="1"/>
  <c r="E4514" i="31"/>
  <c r="F4513" i="31"/>
  <c r="E4513" i="31"/>
  <c r="I4509" i="31"/>
  <c r="I4510" i="31" s="1"/>
  <c r="I4523" i="31" s="1"/>
  <c r="F4509" i="31"/>
  <c r="E4509" i="31"/>
  <c r="F4505" i="31"/>
  <c r="G4505" i="31" s="1"/>
  <c r="E4505" i="31"/>
  <c r="C4502" i="31"/>
  <c r="E4500" i="31"/>
  <c r="F4491" i="31"/>
  <c r="I4491" i="31" s="1"/>
  <c r="I4492" i="31" s="1"/>
  <c r="I4497" i="31" s="1"/>
  <c r="E4491" i="31"/>
  <c r="F4487" i="31"/>
  <c r="I4487" i="31" s="1"/>
  <c r="E4487" i="31"/>
  <c r="F4486" i="31"/>
  <c r="I4486" i="31" s="1"/>
  <c r="E4486" i="31"/>
  <c r="F4485" i="31"/>
  <c r="I4485" i="31" s="1"/>
  <c r="E4485" i="31"/>
  <c r="F4481" i="31"/>
  <c r="I4481" i="31" s="1"/>
  <c r="I4482" i="31" s="1"/>
  <c r="I4495" i="31" s="1"/>
  <c r="E4481" i="31"/>
  <c r="F4477" i="31"/>
  <c r="E4477" i="31"/>
  <c r="C4474" i="31"/>
  <c r="E4472" i="31"/>
  <c r="E4463" i="31"/>
  <c r="F4459" i="31"/>
  <c r="I4459" i="31" s="1"/>
  <c r="E4459" i="31"/>
  <c r="F4458" i="31"/>
  <c r="G4458" i="31" s="1"/>
  <c r="E4458" i="31"/>
  <c r="I4454" i="31"/>
  <c r="I4455" i="31" s="1"/>
  <c r="I4467" i="31" s="1"/>
  <c r="F4454" i="31"/>
  <c r="E4454" i="31"/>
  <c r="F4450" i="31"/>
  <c r="G4450" i="31" s="1"/>
  <c r="E4450" i="31"/>
  <c r="C4447" i="31"/>
  <c r="E4445" i="31"/>
  <c r="F4436" i="31"/>
  <c r="I4436" i="31" s="1"/>
  <c r="I4437" i="31" s="1"/>
  <c r="I4442" i="31" s="1"/>
  <c r="E4436" i="31"/>
  <c r="F4432" i="31"/>
  <c r="I4432" i="31" s="1"/>
  <c r="I4433" i="31" s="1"/>
  <c r="I4441" i="31" s="1"/>
  <c r="F4428" i="31"/>
  <c r="I4428" i="31" s="1"/>
  <c r="E4428" i="31"/>
  <c r="F4427" i="31"/>
  <c r="I4427" i="31" s="1"/>
  <c r="E4427" i="31"/>
  <c r="F4426" i="31"/>
  <c r="I4426" i="31" s="1"/>
  <c r="I4429" i="31" s="1"/>
  <c r="I4440" i="31" s="1"/>
  <c r="E4426" i="31"/>
  <c r="F4422" i="31"/>
  <c r="G4422" i="31" s="1"/>
  <c r="E4422" i="31"/>
  <c r="D4422" i="31"/>
  <c r="I4422" i="31" s="1"/>
  <c r="F4421" i="31"/>
  <c r="G4421" i="31" s="1"/>
  <c r="E4421" i="31"/>
  <c r="D4421" i="31"/>
  <c r="G4420" i="31"/>
  <c r="F4420" i="31"/>
  <c r="E4420" i="31"/>
  <c r="D4420" i="31"/>
  <c r="G4419" i="31"/>
  <c r="F4419" i="31"/>
  <c r="E4419" i="31"/>
  <c r="D4419" i="31"/>
  <c r="C4416" i="31"/>
  <c r="E4412" i="31"/>
  <c r="F4404" i="31"/>
  <c r="I4404" i="31" s="1"/>
  <c r="I4405" i="31" s="1"/>
  <c r="I4410" i="31" s="1"/>
  <c r="E4404" i="31"/>
  <c r="F4400" i="31"/>
  <c r="I4400" i="31" s="1"/>
  <c r="I4401" i="31" s="1"/>
  <c r="I4409" i="31" s="1"/>
  <c r="E4400" i="31"/>
  <c r="F4396" i="31"/>
  <c r="I4396" i="31" s="1"/>
  <c r="I4397" i="31" s="1"/>
  <c r="I4408" i="31" s="1"/>
  <c r="E4396" i="31"/>
  <c r="I4392" i="31"/>
  <c r="G4392" i="31"/>
  <c r="I4391" i="31"/>
  <c r="F4391" i="31"/>
  <c r="G4391" i="31" s="1"/>
  <c r="C4388" i="31"/>
  <c r="E4385" i="31"/>
  <c r="F4377" i="31"/>
  <c r="I4377" i="31" s="1"/>
  <c r="I4378" i="31" s="1"/>
  <c r="I4383" i="31" s="1"/>
  <c r="E4377" i="31"/>
  <c r="F4373" i="31"/>
  <c r="E4373" i="31"/>
  <c r="F4369" i="31"/>
  <c r="I4369" i="31" s="1"/>
  <c r="I4370" i="31" s="1"/>
  <c r="I4381" i="31" s="1"/>
  <c r="E4369" i="31"/>
  <c r="G4365" i="31"/>
  <c r="I4364" i="31"/>
  <c r="D4365" i="31" s="1"/>
  <c r="I4365" i="31" s="1"/>
  <c r="F4364" i="31"/>
  <c r="G4364" i="31" s="1"/>
  <c r="C4361" i="31"/>
  <c r="E4359" i="31"/>
  <c r="F4351" i="31"/>
  <c r="I4351" i="31" s="1"/>
  <c r="I4352" i="31" s="1"/>
  <c r="I4357" i="31" s="1"/>
  <c r="E4351" i="31"/>
  <c r="F4347" i="31"/>
  <c r="E4347" i="31"/>
  <c r="F4343" i="31"/>
  <c r="I4343" i="31" s="1"/>
  <c r="I4344" i="31" s="1"/>
  <c r="I4355" i="31" s="1"/>
  <c r="E4343" i="31"/>
  <c r="G4339" i="31"/>
  <c r="I4338" i="31"/>
  <c r="F4338" i="31"/>
  <c r="G4338" i="31" s="1"/>
  <c r="C4335" i="31"/>
  <c r="E4333" i="31"/>
  <c r="F4325" i="31"/>
  <c r="I4325" i="31" s="1"/>
  <c r="I4326" i="31" s="1"/>
  <c r="I4331" i="31" s="1"/>
  <c r="E4325" i="31"/>
  <c r="F4321" i="31"/>
  <c r="E4321" i="31"/>
  <c r="F4317" i="31"/>
  <c r="I4317" i="31" s="1"/>
  <c r="I4318" i="31" s="1"/>
  <c r="I4329" i="31" s="1"/>
  <c r="E4317" i="31"/>
  <c r="F4313" i="31"/>
  <c r="I4313" i="31" s="1"/>
  <c r="I4314" i="31" s="1"/>
  <c r="I4328" i="31" s="1"/>
  <c r="E4313" i="31"/>
  <c r="C4310" i="31"/>
  <c r="E4308" i="31"/>
  <c r="F4300" i="31"/>
  <c r="I4300" i="31" s="1"/>
  <c r="I4301" i="31" s="1"/>
  <c r="I4306" i="31" s="1"/>
  <c r="E4300" i="31"/>
  <c r="F4296" i="31"/>
  <c r="I4296" i="31" s="1"/>
  <c r="I4297" i="31" s="1"/>
  <c r="I4305" i="31" s="1"/>
  <c r="E4296" i="31"/>
  <c r="F4292" i="31"/>
  <c r="I4292" i="31" s="1"/>
  <c r="I4293" i="31" s="1"/>
  <c r="I4304" i="31" s="1"/>
  <c r="E4292" i="31"/>
  <c r="I4288" i="31"/>
  <c r="I4289" i="31" s="1"/>
  <c r="I4303" i="31" s="1"/>
  <c r="F4288" i="31"/>
  <c r="G4288" i="31" s="1"/>
  <c r="E4288" i="31"/>
  <c r="C4285" i="31"/>
  <c r="F4272" i="31"/>
  <c r="I4272" i="31" s="1"/>
  <c r="I4273" i="31" s="1"/>
  <c r="I4278" i="31" s="1"/>
  <c r="E4272" i="31"/>
  <c r="F4268" i="31"/>
  <c r="G4268" i="31" s="1"/>
  <c r="E4268" i="31"/>
  <c r="F4264" i="31"/>
  <c r="I4264" i="31" s="1"/>
  <c r="E4264" i="31"/>
  <c r="F4263" i="31"/>
  <c r="I4263" i="31" s="1"/>
  <c r="E4263" i="31"/>
  <c r="F4259" i="31"/>
  <c r="E4259" i="31"/>
  <c r="I4258" i="31"/>
  <c r="F4258" i="31"/>
  <c r="G4258" i="31" s="1"/>
  <c r="E4258" i="31"/>
  <c r="F4257" i="31"/>
  <c r="G4257" i="31" s="1"/>
  <c r="E4257" i="31"/>
  <c r="C4254" i="31"/>
  <c r="E4251" i="31"/>
  <c r="F4243" i="31"/>
  <c r="I4243" i="31" s="1"/>
  <c r="I4244" i="31" s="1"/>
  <c r="I4249" i="31" s="1"/>
  <c r="E4243" i="31"/>
  <c r="F4239" i="31"/>
  <c r="I4239" i="31" s="1"/>
  <c r="I4240" i="31" s="1"/>
  <c r="I4248" i="31" s="1"/>
  <c r="E4239" i="31"/>
  <c r="F4235" i="31"/>
  <c r="I4235" i="31" s="1"/>
  <c r="I4236" i="31" s="1"/>
  <c r="I4247" i="31" s="1"/>
  <c r="E4235" i="31"/>
  <c r="F4231" i="31"/>
  <c r="I4231" i="31" s="1"/>
  <c r="E4231" i="31"/>
  <c r="F4230" i="31"/>
  <c r="E4230" i="31"/>
  <c r="C4227" i="31"/>
  <c r="E4224" i="31"/>
  <c r="F4216" i="31"/>
  <c r="I4216" i="31" s="1"/>
  <c r="I4217" i="31" s="1"/>
  <c r="I4222" i="31" s="1"/>
  <c r="E4216" i="31"/>
  <c r="F4212" i="31"/>
  <c r="I4212" i="31" s="1"/>
  <c r="I4213" i="31" s="1"/>
  <c r="I4221" i="31" s="1"/>
  <c r="E4212" i="31"/>
  <c r="F4208" i="31"/>
  <c r="I4208" i="31" s="1"/>
  <c r="I4209" i="31" s="1"/>
  <c r="I4220" i="31" s="1"/>
  <c r="E4208" i="31"/>
  <c r="I4204" i="31"/>
  <c r="F4204" i="31"/>
  <c r="G4204" i="31" s="1"/>
  <c r="E4204" i="31"/>
  <c r="F4203" i="31"/>
  <c r="E4203" i="31"/>
  <c r="C4200" i="31"/>
  <c r="E4198" i="31"/>
  <c r="F4190" i="31"/>
  <c r="I4190" i="31" s="1"/>
  <c r="I4191" i="31" s="1"/>
  <c r="I4196" i="31" s="1"/>
  <c r="E4190" i="31"/>
  <c r="F4186" i="31"/>
  <c r="I4186" i="31" s="1"/>
  <c r="I4187" i="31" s="1"/>
  <c r="I4195" i="31" s="1"/>
  <c r="E4186" i="31"/>
  <c r="F4182" i="31"/>
  <c r="I4182" i="31" s="1"/>
  <c r="I4183" i="31" s="1"/>
  <c r="I4194" i="31" s="1"/>
  <c r="E4182" i="31"/>
  <c r="G4178" i="31"/>
  <c r="F4178" i="31"/>
  <c r="I4178" i="31" s="1"/>
  <c r="E4178" i="31"/>
  <c r="F4177" i="31"/>
  <c r="I4177" i="31" s="1"/>
  <c r="E4177" i="31"/>
  <c r="F4176" i="31"/>
  <c r="I4176" i="31" s="1"/>
  <c r="E4176" i="31"/>
  <c r="C4173" i="31"/>
  <c r="E4171" i="31"/>
  <c r="F4163" i="31"/>
  <c r="I4163" i="31" s="1"/>
  <c r="I4164" i="31" s="1"/>
  <c r="I4169" i="31" s="1"/>
  <c r="E4163" i="31"/>
  <c r="F4159" i="31"/>
  <c r="G4159" i="31" s="1"/>
  <c r="E4159" i="31"/>
  <c r="F4155" i="31"/>
  <c r="I4155" i="31" s="1"/>
  <c r="I4156" i="31" s="1"/>
  <c r="I4167" i="31" s="1"/>
  <c r="E4155" i="31"/>
  <c r="F4151" i="31"/>
  <c r="G4151" i="31" s="1"/>
  <c r="E4151" i="31"/>
  <c r="I4150" i="31"/>
  <c r="F4150" i="31"/>
  <c r="G4150" i="31" s="1"/>
  <c r="E4150" i="31"/>
  <c r="F4149" i="31"/>
  <c r="E4149" i="31"/>
  <c r="C4146" i="31"/>
  <c r="E4144" i="31"/>
  <c r="F4135" i="31"/>
  <c r="I4135" i="31" s="1"/>
  <c r="I4136" i="31" s="1"/>
  <c r="I4141" i="31" s="1"/>
  <c r="E4135" i="31"/>
  <c r="F4131" i="31"/>
  <c r="I4131" i="31" s="1"/>
  <c r="I4132" i="31" s="1"/>
  <c r="I4140" i="31" s="1"/>
  <c r="E4131" i="31"/>
  <c r="F4127" i="31"/>
  <c r="I4127" i="31" s="1"/>
  <c r="I4128" i="31" s="1"/>
  <c r="I4139" i="31" s="1"/>
  <c r="E4127" i="31"/>
  <c r="F4124" i="31"/>
  <c r="E4124" i="31"/>
  <c r="F4123" i="31"/>
  <c r="I4123" i="31" s="1"/>
  <c r="E4123" i="31"/>
  <c r="G4122" i="31"/>
  <c r="F4122" i="31"/>
  <c r="I4122" i="31" s="1"/>
  <c r="E4122" i="31"/>
  <c r="F4121" i="31"/>
  <c r="E4121" i="31"/>
  <c r="C4118" i="31"/>
  <c r="E4115" i="31"/>
  <c r="F4106" i="31"/>
  <c r="I4106" i="31" s="1"/>
  <c r="I4107" i="31" s="1"/>
  <c r="I4112" i="31" s="1"/>
  <c r="E4106" i="31"/>
  <c r="F4102" i="31"/>
  <c r="I4102" i="31" s="1"/>
  <c r="I4103" i="31" s="1"/>
  <c r="I4111" i="31" s="1"/>
  <c r="E4102" i="31"/>
  <c r="F4098" i="31"/>
  <c r="I4098" i="31" s="1"/>
  <c r="I4099" i="31" s="1"/>
  <c r="I4110" i="31" s="1"/>
  <c r="E4098" i="31"/>
  <c r="F4094" i="31"/>
  <c r="G4094" i="31" s="1"/>
  <c r="E4094" i="31"/>
  <c r="F4093" i="31"/>
  <c r="E4093" i="31"/>
  <c r="F4092" i="31"/>
  <c r="E4092" i="31"/>
  <c r="C4089" i="31"/>
  <c r="E4086" i="31"/>
  <c r="F4077" i="31"/>
  <c r="E4077" i="31"/>
  <c r="F4073" i="31"/>
  <c r="I4073" i="31" s="1"/>
  <c r="E4073" i="31"/>
  <c r="F4072" i="31"/>
  <c r="I4072" i="31" s="1"/>
  <c r="E4072" i="31"/>
  <c r="F4071" i="31"/>
  <c r="E4071" i="31"/>
  <c r="I4067" i="31"/>
  <c r="I4068" i="31" s="1"/>
  <c r="I4081" i="31" s="1"/>
  <c r="F4067" i="31"/>
  <c r="E4067" i="31"/>
  <c r="F4063" i="31"/>
  <c r="I4063" i="31" s="1"/>
  <c r="I4064" i="31" s="1"/>
  <c r="I4080" i="31" s="1"/>
  <c r="E4063" i="31"/>
  <c r="C4060" i="31"/>
  <c r="E4058" i="31"/>
  <c r="F4049" i="31"/>
  <c r="I4049" i="31" s="1"/>
  <c r="I4050" i="31" s="1"/>
  <c r="I4055" i="31" s="1"/>
  <c r="E4049" i="31"/>
  <c r="F4045" i="31"/>
  <c r="G4045" i="31" s="1"/>
  <c r="E4045" i="31"/>
  <c r="F4044" i="31"/>
  <c r="G4044" i="31" s="1"/>
  <c r="E4044" i="31"/>
  <c r="F4043" i="31"/>
  <c r="E4043" i="31"/>
  <c r="F4039" i="31"/>
  <c r="I4039" i="31" s="1"/>
  <c r="I4040" i="31" s="1"/>
  <c r="I4053" i="31" s="1"/>
  <c r="E4039" i="31"/>
  <c r="F4035" i="31"/>
  <c r="E4035" i="31"/>
  <c r="C4032" i="31"/>
  <c r="E4029" i="31"/>
  <c r="F4020" i="31"/>
  <c r="I4020" i="31" s="1"/>
  <c r="I4021" i="31" s="1"/>
  <c r="I4026" i="31" s="1"/>
  <c r="E4020" i="31"/>
  <c r="G4016" i="31"/>
  <c r="F4016" i="31"/>
  <c r="I4016" i="31" s="1"/>
  <c r="I4017" i="31" s="1"/>
  <c r="I4025" i="31" s="1"/>
  <c r="E4016" i="31"/>
  <c r="F4012" i="31"/>
  <c r="I4012" i="31" s="1"/>
  <c r="I4013" i="31" s="1"/>
  <c r="I4024" i="31" s="1"/>
  <c r="E4012" i="31"/>
  <c r="I4008" i="31"/>
  <c r="I4009" i="31" s="1"/>
  <c r="I4023" i="31" s="1"/>
  <c r="F4008" i="31"/>
  <c r="G4008" i="31" s="1"/>
  <c r="E4008" i="31"/>
  <c r="C4005" i="31"/>
  <c r="E4002" i="31"/>
  <c r="F3993" i="31"/>
  <c r="E3993" i="31"/>
  <c r="F3989" i="31"/>
  <c r="E3989" i="31"/>
  <c r="F3988" i="31"/>
  <c r="E3988" i="31"/>
  <c r="F3984" i="31"/>
  <c r="I3984" i="31" s="1"/>
  <c r="I3985" i="31" s="1"/>
  <c r="I3997" i="31" s="1"/>
  <c r="E3984" i="31"/>
  <c r="F3980" i="31"/>
  <c r="I3980" i="31" s="1"/>
  <c r="I3981" i="31" s="1"/>
  <c r="I3996" i="31" s="1"/>
  <c r="E3980" i="31"/>
  <c r="C3977" i="31"/>
  <c r="E3975" i="31"/>
  <c r="F3966" i="31"/>
  <c r="I3966" i="31" s="1"/>
  <c r="I3967" i="31" s="1"/>
  <c r="I3972" i="31" s="1"/>
  <c r="E3966" i="31"/>
  <c r="F3962" i="31"/>
  <c r="G3962" i="31" s="1"/>
  <c r="I3958" i="31"/>
  <c r="F3958" i="31"/>
  <c r="E3958" i="31"/>
  <c r="F3957" i="31"/>
  <c r="I3957" i="31" s="1"/>
  <c r="E3957" i="31"/>
  <c r="F3956" i="31"/>
  <c r="I3956" i="31" s="1"/>
  <c r="E3956" i="31"/>
  <c r="G3952" i="31"/>
  <c r="F3952" i="31"/>
  <c r="E3952" i="31"/>
  <c r="D3952" i="31"/>
  <c r="G3951" i="31"/>
  <c r="F3951" i="31"/>
  <c r="E3951" i="31"/>
  <c r="D3951" i="31"/>
  <c r="F3950" i="31"/>
  <c r="G3950" i="31" s="1"/>
  <c r="E3950" i="31"/>
  <c r="D3950" i="31"/>
  <c r="F3949" i="31"/>
  <c r="G3949" i="31" s="1"/>
  <c r="E3949" i="31"/>
  <c r="D3949" i="31"/>
  <c r="C3946" i="31"/>
  <c r="E3939" i="31"/>
  <c r="F3930" i="31"/>
  <c r="I3930" i="31" s="1"/>
  <c r="I3931" i="31" s="1"/>
  <c r="I3936" i="31" s="1"/>
  <c r="E3930" i="31"/>
  <c r="F3926" i="31"/>
  <c r="E3926" i="31"/>
  <c r="F3922" i="31"/>
  <c r="I3922" i="31" s="1"/>
  <c r="I3923" i="31" s="1"/>
  <c r="I3934" i="31" s="1"/>
  <c r="E3922" i="31"/>
  <c r="F3918" i="31"/>
  <c r="E3918" i="31"/>
  <c r="F3917" i="31"/>
  <c r="E3917" i="31"/>
  <c r="F3916" i="31"/>
  <c r="E3916" i="31"/>
  <c r="F3915" i="31"/>
  <c r="E3915" i="31"/>
  <c r="C3912" i="31"/>
  <c r="F3901" i="31"/>
  <c r="I3901" i="31" s="1"/>
  <c r="I3902" i="31" s="1"/>
  <c r="I3907" i="31" s="1"/>
  <c r="E3901" i="31"/>
  <c r="F3897" i="31"/>
  <c r="I3897" i="31" s="1"/>
  <c r="I3898" i="31" s="1"/>
  <c r="I3906" i="31" s="1"/>
  <c r="F3893" i="31"/>
  <c r="I3893" i="31" s="1"/>
  <c r="I3894" i="31" s="1"/>
  <c r="I3905" i="31" s="1"/>
  <c r="F3889" i="31"/>
  <c r="E3886" i="31"/>
  <c r="E3910" i="31" s="1"/>
  <c r="C3886" i="31"/>
  <c r="E3884" i="31"/>
  <c r="F3876" i="31"/>
  <c r="I3876" i="31" s="1"/>
  <c r="I3877" i="31" s="1"/>
  <c r="I3882" i="31" s="1"/>
  <c r="E3876" i="31"/>
  <c r="F3872" i="31"/>
  <c r="E3872" i="31"/>
  <c r="F3868" i="31"/>
  <c r="I3868" i="31" s="1"/>
  <c r="E3868" i="31"/>
  <c r="F3867" i="31"/>
  <c r="I3867" i="31" s="1"/>
  <c r="E3867" i="31"/>
  <c r="I3863" i="31"/>
  <c r="G3863" i="31"/>
  <c r="F3862" i="31"/>
  <c r="C3859" i="31"/>
  <c r="E3856" i="31"/>
  <c r="F3848" i="31"/>
  <c r="I3848" i="31" s="1"/>
  <c r="I3849" i="31" s="1"/>
  <c r="I3854" i="31" s="1"/>
  <c r="E3848" i="31"/>
  <c r="F3844" i="31"/>
  <c r="E3844" i="31"/>
  <c r="F3840" i="31"/>
  <c r="I3840" i="31" s="1"/>
  <c r="E3840" i="31"/>
  <c r="F3839" i="31"/>
  <c r="I3839" i="31" s="1"/>
  <c r="E3839" i="31"/>
  <c r="I3835" i="31"/>
  <c r="G3835" i="31"/>
  <c r="I3834" i="31"/>
  <c r="I3836" i="31" s="1"/>
  <c r="I3851" i="31" s="1"/>
  <c r="F3834" i="31"/>
  <c r="G3834" i="31" s="1"/>
  <c r="C3831" i="31"/>
  <c r="E3829" i="31"/>
  <c r="F3821" i="31"/>
  <c r="I3821" i="31" s="1"/>
  <c r="I3822" i="31" s="1"/>
  <c r="I3827" i="31" s="1"/>
  <c r="E3821" i="31"/>
  <c r="F3817" i="31"/>
  <c r="G3817" i="31" s="1"/>
  <c r="E3817" i="31"/>
  <c r="I3813" i="31"/>
  <c r="I3814" i="31" s="1"/>
  <c r="I3825" i="31" s="1"/>
  <c r="F3813" i="31"/>
  <c r="E3813" i="31"/>
  <c r="F3809" i="31"/>
  <c r="E3809" i="31"/>
  <c r="I3808" i="31"/>
  <c r="F3808" i="31"/>
  <c r="G3808" i="31" s="1"/>
  <c r="E3808" i="31"/>
  <c r="C3805" i="31"/>
  <c r="E3802" i="31"/>
  <c r="F3794" i="31"/>
  <c r="I3794" i="31" s="1"/>
  <c r="I3795" i="31" s="1"/>
  <c r="I3800" i="31" s="1"/>
  <c r="E3794" i="31"/>
  <c r="F3790" i="31"/>
  <c r="E3790" i="31"/>
  <c r="F3786" i="31"/>
  <c r="I3786" i="31" s="1"/>
  <c r="I3787" i="31" s="1"/>
  <c r="I3798" i="31" s="1"/>
  <c r="E3786" i="31"/>
  <c r="F3782" i="31"/>
  <c r="I3782" i="31" s="1"/>
  <c r="E3782" i="31"/>
  <c r="F3781" i="31"/>
  <c r="I3781" i="31" s="1"/>
  <c r="E3781" i="31"/>
  <c r="C3778" i="31"/>
  <c r="E3776" i="31"/>
  <c r="F3768" i="31"/>
  <c r="I3768" i="31" s="1"/>
  <c r="I3769" i="31" s="1"/>
  <c r="I3774" i="31" s="1"/>
  <c r="E3768" i="31"/>
  <c r="F3764" i="31"/>
  <c r="I3764" i="31" s="1"/>
  <c r="I3765" i="31" s="1"/>
  <c r="I3773" i="31" s="1"/>
  <c r="E3764" i="31"/>
  <c r="F3760" i="31"/>
  <c r="I3760" i="31" s="1"/>
  <c r="E3760" i="31"/>
  <c r="I3759" i="31"/>
  <c r="I3761" i="31" s="1"/>
  <c r="I3772" i="31" s="1"/>
  <c r="F3759" i="31"/>
  <c r="E3759" i="31"/>
  <c r="F3755" i="31"/>
  <c r="I3755" i="31" s="1"/>
  <c r="E3755" i="31"/>
  <c r="F3754" i="31"/>
  <c r="E3754" i="31"/>
  <c r="G3753" i="31"/>
  <c r="F3753" i="31"/>
  <c r="I3753" i="31" s="1"/>
  <c r="E3753" i="31"/>
  <c r="C3750" i="31"/>
  <c r="E3748" i="31"/>
  <c r="F3740" i="31"/>
  <c r="I3740" i="31" s="1"/>
  <c r="I3741" i="31" s="1"/>
  <c r="I3746" i="31" s="1"/>
  <c r="E3740" i="31"/>
  <c r="F3736" i="31"/>
  <c r="G3736" i="31" s="1"/>
  <c r="E3736" i="31"/>
  <c r="F3732" i="31"/>
  <c r="I3732" i="31" s="1"/>
  <c r="I3733" i="31" s="1"/>
  <c r="I3744" i="31" s="1"/>
  <c r="E3732" i="31"/>
  <c r="F3728" i="31"/>
  <c r="I3728" i="31" s="1"/>
  <c r="E3728" i="31"/>
  <c r="F3727" i="31"/>
  <c r="E3727" i="31"/>
  <c r="F3726" i="31"/>
  <c r="E3726" i="31"/>
  <c r="C3723" i="31"/>
  <c r="E3721" i="31"/>
  <c r="F3713" i="31"/>
  <c r="I3713" i="31" s="1"/>
  <c r="I3714" i="31" s="1"/>
  <c r="I3719" i="31" s="1"/>
  <c r="E3713" i="31"/>
  <c r="F3709" i="31"/>
  <c r="I3709" i="31" s="1"/>
  <c r="I3710" i="31" s="1"/>
  <c r="I3718" i="31" s="1"/>
  <c r="E3709" i="31"/>
  <c r="F3705" i="31"/>
  <c r="I3705" i="31" s="1"/>
  <c r="I3706" i="31" s="1"/>
  <c r="I3717" i="31" s="1"/>
  <c r="E3705" i="31"/>
  <c r="F3701" i="31"/>
  <c r="G3701" i="31" s="1"/>
  <c r="E3701" i="31"/>
  <c r="F3700" i="31"/>
  <c r="E3700" i="31"/>
  <c r="F3699" i="31"/>
  <c r="G3699" i="31" s="1"/>
  <c r="E3699" i="31"/>
  <c r="C3696" i="31"/>
  <c r="E3694" i="31"/>
  <c r="F3685" i="31"/>
  <c r="I3685" i="31" s="1"/>
  <c r="I3686" i="31" s="1"/>
  <c r="I3691" i="31" s="1"/>
  <c r="E3685" i="31"/>
  <c r="F3681" i="31"/>
  <c r="E3681" i="31"/>
  <c r="F3677" i="31"/>
  <c r="I3677" i="31" s="1"/>
  <c r="E3677" i="31"/>
  <c r="I3676" i="31"/>
  <c r="F3676" i="31"/>
  <c r="E3676" i="31"/>
  <c r="F3675" i="31"/>
  <c r="I3675" i="31" s="1"/>
  <c r="E3675" i="31"/>
  <c r="F3671" i="31"/>
  <c r="I3671" i="31" s="1"/>
  <c r="E3671" i="31"/>
  <c r="G3670" i="31"/>
  <c r="F3670" i="31"/>
  <c r="I3670" i="31" s="1"/>
  <c r="E3670" i="31"/>
  <c r="G3669" i="31"/>
  <c r="F3669" i="31"/>
  <c r="I3669" i="31" s="1"/>
  <c r="E3669" i="31"/>
  <c r="F3668" i="31"/>
  <c r="I3668" i="31" s="1"/>
  <c r="E3668" i="31"/>
  <c r="G3667" i="31"/>
  <c r="F3667" i="31"/>
  <c r="I3667" i="31" s="1"/>
  <c r="E3667" i="31"/>
  <c r="G3666" i="31"/>
  <c r="F3666" i="31"/>
  <c r="I3666" i="31" s="1"/>
  <c r="E3666" i="31"/>
  <c r="C3663" i="31"/>
  <c r="E3661" i="31"/>
  <c r="F3652" i="31"/>
  <c r="I3652" i="31" s="1"/>
  <c r="I3653" i="31" s="1"/>
  <c r="I3658" i="31" s="1"/>
  <c r="E3652" i="31"/>
  <c r="I3648" i="31"/>
  <c r="I3649" i="31" s="1"/>
  <c r="I3657" i="31" s="1"/>
  <c r="F3648" i="31"/>
  <c r="G3648" i="31" s="1"/>
  <c r="E3648" i="31"/>
  <c r="F3644" i="31"/>
  <c r="I3644" i="31" s="1"/>
  <c r="E3644" i="31"/>
  <c r="F3643" i="31"/>
  <c r="I3643" i="31" s="1"/>
  <c r="E3643" i="31"/>
  <c r="F3642" i="31"/>
  <c r="I3642" i="31" s="1"/>
  <c r="E3642" i="31"/>
  <c r="F3638" i="31"/>
  <c r="G3638" i="31" s="1"/>
  <c r="E3638" i="31"/>
  <c r="F3637" i="31"/>
  <c r="G3637" i="31" s="1"/>
  <c r="E3637" i="31"/>
  <c r="F3636" i="31"/>
  <c r="E3636" i="31"/>
  <c r="F3635" i="31"/>
  <c r="G3635" i="31" s="1"/>
  <c r="E3635" i="31"/>
  <c r="F3634" i="31"/>
  <c r="G3634" i="31" s="1"/>
  <c r="E3634" i="31"/>
  <c r="I3633" i="31"/>
  <c r="F3633" i="31"/>
  <c r="G3633" i="31" s="1"/>
  <c r="E3633" i="31"/>
  <c r="C3630" i="31"/>
  <c r="E3628" i="31"/>
  <c r="F3619" i="31"/>
  <c r="I3619" i="31" s="1"/>
  <c r="I3620" i="31" s="1"/>
  <c r="I3625" i="31" s="1"/>
  <c r="E3619" i="31"/>
  <c r="F3615" i="31"/>
  <c r="E3615" i="31"/>
  <c r="F3611" i="31"/>
  <c r="I3611" i="31" s="1"/>
  <c r="E3611" i="31"/>
  <c r="F3610" i="31"/>
  <c r="I3610" i="31" s="1"/>
  <c r="E3610" i="31"/>
  <c r="F3606" i="31"/>
  <c r="E3606" i="31"/>
  <c r="I3605" i="31"/>
  <c r="F3605" i="31"/>
  <c r="G3605" i="31" s="1"/>
  <c r="E3605" i="31"/>
  <c r="F3604" i="31"/>
  <c r="E3604" i="31"/>
  <c r="C3601" i="31"/>
  <c r="E3599" i="31"/>
  <c r="F3590" i="31"/>
  <c r="I3590" i="31" s="1"/>
  <c r="I3591" i="31" s="1"/>
  <c r="I3596" i="31" s="1"/>
  <c r="E3590" i="31"/>
  <c r="F3586" i="31"/>
  <c r="E3586" i="31"/>
  <c r="F3582" i="31"/>
  <c r="I3582" i="31" s="1"/>
  <c r="I3583" i="31" s="1"/>
  <c r="I3594" i="31" s="1"/>
  <c r="E3582" i="31"/>
  <c r="F3578" i="31"/>
  <c r="I3578" i="31" s="1"/>
  <c r="E3578" i="31"/>
  <c r="G3577" i="31"/>
  <c r="F3577" i="31"/>
  <c r="I3577" i="31" s="1"/>
  <c r="E3577" i="31"/>
  <c r="F3576" i="31"/>
  <c r="I3576" i="31" s="1"/>
  <c r="E3576" i="31"/>
  <c r="F3575" i="31"/>
  <c r="I3575" i="31" s="1"/>
  <c r="E3575" i="31"/>
  <c r="C3572" i="31"/>
  <c r="E3570" i="31"/>
  <c r="I3561" i="31"/>
  <c r="I3562" i="31" s="1"/>
  <c r="I3567" i="31" s="1"/>
  <c r="F3561" i="31"/>
  <c r="E3561" i="31"/>
  <c r="F3557" i="31"/>
  <c r="I3557" i="31" s="1"/>
  <c r="I3558" i="31" s="1"/>
  <c r="I3566" i="31" s="1"/>
  <c r="E3557" i="31"/>
  <c r="F3553" i="31"/>
  <c r="I3553" i="31" s="1"/>
  <c r="I3554" i="31" s="1"/>
  <c r="I3565" i="31" s="1"/>
  <c r="E3553" i="31"/>
  <c r="I3549" i="31"/>
  <c r="G3549" i="31"/>
  <c r="F3549" i="31"/>
  <c r="E3549" i="31"/>
  <c r="F3548" i="31"/>
  <c r="G3548" i="31" s="1"/>
  <c r="E3548" i="31"/>
  <c r="F3547" i="31"/>
  <c r="E3547" i="31"/>
  <c r="C3544" i="31"/>
  <c r="E3542" i="31"/>
  <c r="F3533" i="31"/>
  <c r="E3533" i="31"/>
  <c r="F3529" i="31"/>
  <c r="I3529" i="31" s="1"/>
  <c r="E3529" i="31"/>
  <c r="G3528" i="31"/>
  <c r="F3528" i="31"/>
  <c r="I3528" i="31" s="1"/>
  <c r="E3528" i="31"/>
  <c r="F3527" i="31"/>
  <c r="I3527" i="31" s="1"/>
  <c r="I3530" i="31" s="1"/>
  <c r="D3533" i="31" s="1"/>
  <c r="I3533" i="31" s="1"/>
  <c r="I3534" i="31" s="1"/>
  <c r="I3539" i="31" s="1"/>
  <c r="E3527" i="31"/>
  <c r="F3523" i="31"/>
  <c r="I3523" i="31" s="1"/>
  <c r="I3524" i="31" s="1"/>
  <c r="I3537" i="31" s="1"/>
  <c r="E3523" i="31"/>
  <c r="F3519" i="31"/>
  <c r="G3519" i="31" s="1"/>
  <c r="E3519" i="31"/>
  <c r="C3516" i="31"/>
  <c r="E3514" i="31"/>
  <c r="F3505" i="31"/>
  <c r="I3505" i="31" s="1"/>
  <c r="I3506" i="31" s="1"/>
  <c r="I3511" i="31" s="1"/>
  <c r="E3505" i="31"/>
  <c r="F3501" i="31"/>
  <c r="I3501" i="31" s="1"/>
  <c r="E3501" i="31"/>
  <c r="G3500" i="31"/>
  <c r="F3500" i="31"/>
  <c r="I3500" i="31" s="1"/>
  <c r="E3500" i="31"/>
  <c r="F3499" i="31"/>
  <c r="I3499" i="31" s="1"/>
  <c r="E3499" i="31"/>
  <c r="F3495" i="31"/>
  <c r="I3495" i="31" s="1"/>
  <c r="I3496" i="31" s="1"/>
  <c r="I3509" i="31" s="1"/>
  <c r="E3495" i="31"/>
  <c r="I3491" i="31"/>
  <c r="I3492" i="31" s="1"/>
  <c r="I3508" i="31" s="1"/>
  <c r="F3491" i="31"/>
  <c r="G3491" i="31" s="1"/>
  <c r="E3491" i="31"/>
  <c r="C3488" i="31"/>
  <c r="E3486" i="31"/>
  <c r="F3477" i="31"/>
  <c r="E3477" i="31"/>
  <c r="F3473" i="31"/>
  <c r="G3473" i="31" s="1"/>
  <c r="E3473" i="31"/>
  <c r="F3472" i="31"/>
  <c r="G3472" i="31" s="1"/>
  <c r="E3472" i="31"/>
  <c r="F3468" i="31"/>
  <c r="I3468" i="31" s="1"/>
  <c r="I3469" i="31" s="1"/>
  <c r="I3481" i="31" s="1"/>
  <c r="E3468" i="31"/>
  <c r="F3464" i="31"/>
  <c r="I3464" i="31" s="1"/>
  <c r="I3465" i="31" s="1"/>
  <c r="I3480" i="31" s="1"/>
  <c r="E3464" i="31"/>
  <c r="C3461" i="31"/>
  <c r="E3459" i="31"/>
  <c r="F3450" i="31"/>
  <c r="G3450" i="31" s="1"/>
  <c r="E3450" i="31"/>
  <c r="F3446" i="31"/>
  <c r="I3446" i="31" s="1"/>
  <c r="I3447" i="31" s="1"/>
  <c r="I3455" i="31" s="1"/>
  <c r="F3442" i="31"/>
  <c r="I3442" i="31" s="1"/>
  <c r="E3442" i="31"/>
  <c r="F3441" i="31"/>
  <c r="I3441" i="31" s="1"/>
  <c r="E3441" i="31"/>
  <c r="F3440" i="31"/>
  <c r="I3440" i="31" s="1"/>
  <c r="E3440" i="31"/>
  <c r="F3436" i="31"/>
  <c r="G3436" i="31" s="1"/>
  <c r="E3436" i="31"/>
  <c r="D3436" i="31"/>
  <c r="F3435" i="31"/>
  <c r="G3435" i="31" s="1"/>
  <c r="E3435" i="31"/>
  <c r="D3435" i="31"/>
  <c r="F3434" i="31"/>
  <c r="G3434" i="31" s="1"/>
  <c r="E3434" i="31"/>
  <c r="D3434" i="31"/>
  <c r="F3433" i="31"/>
  <c r="G3433" i="31" s="1"/>
  <c r="E3433" i="31"/>
  <c r="D3433" i="31"/>
  <c r="C3430" i="31"/>
  <c r="E3426" i="31"/>
  <c r="I3418" i="31"/>
  <c r="I3419" i="31" s="1"/>
  <c r="I3424" i="31" s="1"/>
  <c r="F3418" i="31"/>
  <c r="E3418" i="31"/>
  <c r="F3414" i="31"/>
  <c r="I3414" i="31" s="1"/>
  <c r="I3415" i="31" s="1"/>
  <c r="I3423" i="31" s="1"/>
  <c r="E3414" i="31"/>
  <c r="I3410" i="31"/>
  <c r="I3411" i="31" s="1"/>
  <c r="I3422" i="31" s="1"/>
  <c r="F3410" i="31"/>
  <c r="E3410" i="31"/>
  <c r="I3406" i="31"/>
  <c r="G3406" i="31"/>
  <c r="F3405" i="31"/>
  <c r="I3405" i="31" s="1"/>
  <c r="C3402" i="31"/>
  <c r="E3399" i="31"/>
  <c r="F3391" i="31"/>
  <c r="I3391" i="31" s="1"/>
  <c r="I3392" i="31" s="1"/>
  <c r="I3397" i="31" s="1"/>
  <c r="E3391" i="31"/>
  <c r="F3387" i="31"/>
  <c r="I3387" i="31" s="1"/>
  <c r="I3388" i="31" s="1"/>
  <c r="I3396" i="31" s="1"/>
  <c r="E3387" i="31"/>
  <c r="F3383" i="31"/>
  <c r="I3383" i="31" s="1"/>
  <c r="I3384" i="31" s="1"/>
  <c r="I3395" i="31" s="1"/>
  <c r="E3383" i="31"/>
  <c r="G3379" i="31"/>
  <c r="F3378" i="31"/>
  <c r="I3378" i="31" s="1"/>
  <c r="C3375" i="31"/>
  <c r="E3372" i="31"/>
  <c r="F3364" i="31"/>
  <c r="I3364" i="31" s="1"/>
  <c r="I3365" i="31" s="1"/>
  <c r="I3370" i="31" s="1"/>
  <c r="E3364" i="31"/>
  <c r="F3360" i="31"/>
  <c r="I3360" i="31" s="1"/>
  <c r="I3361" i="31" s="1"/>
  <c r="I3369" i="31" s="1"/>
  <c r="E3360" i="31"/>
  <c r="F3356" i="31"/>
  <c r="I3356" i="31" s="1"/>
  <c r="I3357" i="31" s="1"/>
  <c r="I3368" i="31" s="1"/>
  <c r="E3356" i="31"/>
  <c r="G3352" i="31"/>
  <c r="F3351" i="31"/>
  <c r="I3351" i="31" s="1"/>
  <c r="C3348" i="31"/>
  <c r="E3346" i="31"/>
  <c r="F3338" i="31"/>
  <c r="I3338" i="31" s="1"/>
  <c r="I3339" i="31" s="1"/>
  <c r="I3344" i="31" s="1"/>
  <c r="E3338" i="31"/>
  <c r="F3334" i="31"/>
  <c r="I3334" i="31" s="1"/>
  <c r="I3335" i="31" s="1"/>
  <c r="I3343" i="31" s="1"/>
  <c r="E3334" i="31"/>
  <c r="F3330" i="31"/>
  <c r="I3330" i="31" s="1"/>
  <c r="I3331" i="31" s="1"/>
  <c r="I3342" i="31" s="1"/>
  <c r="E3330" i="31"/>
  <c r="G3326" i="31"/>
  <c r="F3325" i="31"/>
  <c r="I3325" i="31" s="1"/>
  <c r="C3322" i="31"/>
  <c r="E3320" i="31"/>
  <c r="F3312" i="31"/>
  <c r="I3312" i="31" s="1"/>
  <c r="I3313" i="31" s="1"/>
  <c r="I3318" i="31" s="1"/>
  <c r="E3312" i="31"/>
  <c r="F3308" i="31"/>
  <c r="I3308" i="31" s="1"/>
  <c r="I3309" i="31" s="1"/>
  <c r="I3317" i="31" s="1"/>
  <c r="E3308" i="31"/>
  <c r="F3304" i="31"/>
  <c r="I3304" i="31" s="1"/>
  <c r="E3304" i="31"/>
  <c r="F3303" i="31"/>
  <c r="I3303" i="31" s="1"/>
  <c r="E3303" i="31"/>
  <c r="I3299" i="31"/>
  <c r="G3299" i="31"/>
  <c r="I3298" i="31"/>
  <c r="I3300" i="31" s="1"/>
  <c r="I3315" i="31" s="1"/>
  <c r="F3298" i="31"/>
  <c r="G3298" i="31" s="1"/>
  <c r="C3295" i="31"/>
  <c r="E3292" i="31"/>
  <c r="F3284" i="31"/>
  <c r="I3284" i="31" s="1"/>
  <c r="I3285" i="31" s="1"/>
  <c r="I3290" i="31" s="1"/>
  <c r="E3284" i="31"/>
  <c r="I3280" i="31"/>
  <c r="I3281" i="31" s="1"/>
  <c r="I3289" i="31" s="1"/>
  <c r="F3280" i="31"/>
  <c r="G3280" i="31" s="1"/>
  <c r="E3280" i="31"/>
  <c r="F3276" i="31"/>
  <c r="I3276" i="31" s="1"/>
  <c r="I3277" i="31" s="1"/>
  <c r="I3288" i="31" s="1"/>
  <c r="E3276" i="31"/>
  <c r="F3272" i="31"/>
  <c r="G3272" i="31" s="1"/>
  <c r="E3272" i="31"/>
  <c r="C3269" i="31"/>
  <c r="E3267" i="31"/>
  <c r="F3259" i="31"/>
  <c r="I3259" i="31" s="1"/>
  <c r="I3260" i="31" s="1"/>
  <c r="I3265" i="31" s="1"/>
  <c r="E3259" i="31"/>
  <c r="F3255" i="31"/>
  <c r="E3255" i="31"/>
  <c r="F3251" i="31"/>
  <c r="I3251" i="31" s="1"/>
  <c r="I3252" i="31" s="1"/>
  <c r="I3263" i="31" s="1"/>
  <c r="E3251" i="31"/>
  <c r="G3247" i="31"/>
  <c r="F3247" i="31"/>
  <c r="I3247" i="31" s="1"/>
  <c r="I3248" i="31" s="1"/>
  <c r="I3262" i="31" s="1"/>
  <c r="E3247" i="31"/>
  <c r="C3244" i="31"/>
  <c r="E3241" i="31"/>
  <c r="F3233" i="31"/>
  <c r="I3233" i="31" s="1"/>
  <c r="I3234" i="31" s="1"/>
  <c r="I3239" i="31" s="1"/>
  <c r="E3233" i="31"/>
  <c r="F3229" i="31"/>
  <c r="I3229" i="31" s="1"/>
  <c r="I3230" i="31" s="1"/>
  <c r="I3238" i="31" s="1"/>
  <c r="E3229" i="31"/>
  <c r="F3225" i="31"/>
  <c r="I3225" i="31" s="1"/>
  <c r="I3226" i="31" s="1"/>
  <c r="I3237" i="31" s="1"/>
  <c r="E3225" i="31"/>
  <c r="F3221" i="31"/>
  <c r="G3221" i="31" s="1"/>
  <c r="E3221" i="31"/>
  <c r="C3218" i="31"/>
  <c r="F3205" i="31"/>
  <c r="I3205" i="31" s="1"/>
  <c r="I3206" i="31" s="1"/>
  <c r="I3211" i="31" s="1"/>
  <c r="E3205" i="31"/>
  <c r="F3201" i="31"/>
  <c r="E3201" i="31"/>
  <c r="F3197" i="31"/>
  <c r="I3197" i="31" s="1"/>
  <c r="E3197" i="31"/>
  <c r="F3196" i="31"/>
  <c r="I3201" i="31" s="1"/>
  <c r="I3202" i="31" s="1"/>
  <c r="I3210" i="31" s="1"/>
  <c r="E3196" i="31"/>
  <c r="F3192" i="31"/>
  <c r="G3192" i="31" s="1"/>
  <c r="E3192" i="31"/>
  <c r="F3191" i="31"/>
  <c r="G3191" i="31" s="1"/>
  <c r="E3191" i="31"/>
  <c r="F3190" i="31"/>
  <c r="G3190" i="31" s="1"/>
  <c r="E3190" i="31"/>
  <c r="C3187" i="31"/>
  <c r="E3184" i="31"/>
  <c r="F3176" i="31"/>
  <c r="I3176" i="31" s="1"/>
  <c r="I3177" i="31" s="1"/>
  <c r="I3182" i="31" s="1"/>
  <c r="E3176" i="31"/>
  <c r="F3172" i="31"/>
  <c r="I3172" i="31" s="1"/>
  <c r="I3173" i="31" s="1"/>
  <c r="I3181" i="31" s="1"/>
  <c r="E3172" i="31"/>
  <c r="F3168" i="31"/>
  <c r="I3168" i="31" s="1"/>
  <c r="I3169" i="31" s="1"/>
  <c r="I3180" i="31" s="1"/>
  <c r="E3168" i="31"/>
  <c r="F3164" i="31"/>
  <c r="I3164" i="31" s="1"/>
  <c r="E3164" i="31"/>
  <c r="F3163" i="31"/>
  <c r="I3163" i="31" s="1"/>
  <c r="E3163" i="31"/>
  <c r="C3160" i="31"/>
  <c r="E3157" i="31"/>
  <c r="F3149" i="31"/>
  <c r="I3149" i="31" s="1"/>
  <c r="I3150" i="31" s="1"/>
  <c r="I3155" i="31" s="1"/>
  <c r="E3149" i="31"/>
  <c r="F3145" i="31"/>
  <c r="I3145" i="31" s="1"/>
  <c r="I3146" i="31" s="1"/>
  <c r="I3154" i="31" s="1"/>
  <c r="E3145" i="31"/>
  <c r="F3141" i="31"/>
  <c r="I3141" i="31" s="1"/>
  <c r="I3142" i="31" s="1"/>
  <c r="I3153" i="31" s="1"/>
  <c r="E3141" i="31"/>
  <c r="F3137" i="31"/>
  <c r="G3137" i="31" s="1"/>
  <c r="E3137" i="31"/>
  <c r="F3136" i="31"/>
  <c r="G3136" i="31" s="1"/>
  <c r="E3136" i="31"/>
  <c r="C3133" i="31"/>
  <c r="E3131" i="31"/>
  <c r="F3123" i="31"/>
  <c r="I3123" i="31" s="1"/>
  <c r="I3124" i="31" s="1"/>
  <c r="I3129" i="31" s="1"/>
  <c r="E3123" i="31"/>
  <c r="F3119" i="31"/>
  <c r="I3119" i="31" s="1"/>
  <c r="I3120" i="31" s="1"/>
  <c r="I3128" i="31" s="1"/>
  <c r="E3119" i="31"/>
  <c r="F3115" i="31"/>
  <c r="I3115" i="31" s="1"/>
  <c r="I3116" i="31" s="1"/>
  <c r="I3127" i="31" s="1"/>
  <c r="E3115" i="31"/>
  <c r="I3111" i="31"/>
  <c r="F3111" i="31"/>
  <c r="G3111" i="31" s="1"/>
  <c r="E3111" i="31"/>
  <c r="I3110" i="31"/>
  <c r="F3110" i="31"/>
  <c r="G3110" i="31" s="1"/>
  <c r="E3110" i="31"/>
  <c r="I3109" i="31"/>
  <c r="I3112" i="31" s="1"/>
  <c r="I3126" i="31" s="1"/>
  <c r="F3109" i="31"/>
  <c r="G3109" i="31" s="1"/>
  <c r="E3109" i="31"/>
  <c r="C3106" i="31"/>
  <c r="F3096" i="31"/>
  <c r="I3096" i="31" s="1"/>
  <c r="I3097" i="31" s="1"/>
  <c r="I3102" i="31" s="1"/>
  <c r="E3096" i="31"/>
  <c r="F3092" i="31"/>
  <c r="I3092" i="31" s="1"/>
  <c r="I3093" i="31" s="1"/>
  <c r="I3101" i="31" s="1"/>
  <c r="E3092" i="31"/>
  <c r="F3088" i="31"/>
  <c r="I3088" i="31" s="1"/>
  <c r="I3089" i="31" s="1"/>
  <c r="I3100" i="31" s="1"/>
  <c r="E3088" i="31"/>
  <c r="F3084" i="31"/>
  <c r="G3084" i="31" s="1"/>
  <c r="E3084" i="31"/>
  <c r="F3083" i="31"/>
  <c r="G3083" i="31" s="1"/>
  <c r="E3083" i="31"/>
  <c r="F3082" i="31"/>
  <c r="G3082" i="31" s="1"/>
  <c r="E3082" i="31"/>
  <c r="E3079" i="31"/>
  <c r="E3104" i="31" s="1"/>
  <c r="C3079" i="31"/>
  <c r="F3067" i="31"/>
  <c r="I3067" i="31" s="1"/>
  <c r="I3068" i="31" s="1"/>
  <c r="I3073" i="31" s="1"/>
  <c r="E3067" i="31"/>
  <c r="F3063" i="31"/>
  <c r="I3063" i="31" s="1"/>
  <c r="I3064" i="31" s="1"/>
  <c r="I3072" i="31" s="1"/>
  <c r="E3063" i="31"/>
  <c r="F3059" i="31"/>
  <c r="I3059" i="31" s="1"/>
  <c r="E3059" i="31"/>
  <c r="F3058" i="31"/>
  <c r="I3058" i="31" s="1"/>
  <c r="E3058" i="31"/>
  <c r="F3053" i="31"/>
  <c r="I3053" i="31" s="1"/>
  <c r="E3053" i="31"/>
  <c r="F3052" i="31"/>
  <c r="I3052" i="31" s="1"/>
  <c r="E3052" i="31"/>
  <c r="F3051" i="31"/>
  <c r="I3051" i="31" s="1"/>
  <c r="E3051" i="31"/>
  <c r="F3050" i="31"/>
  <c r="I3050" i="31" s="1"/>
  <c r="E3050" i="31"/>
  <c r="C3047" i="31"/>
  <c r="E3044" i="31"/>
  <c r="F3035" i="31"/>
  <c r="I3035" i="31" s="1"/>
  <c r="I3036" i="31" s="1"/>
  <c r="I3041" i="31" s="1"/>
  <c r="E3035" i="31"/>
  <c r="F3031" i="31"/>
  <c r="G3031" i="31" s="1"/>
  <c r="E3031" i="31"/>
  <c r="F3027" i="31"/>
  <c r="G3027" i="31" s="1"/>
  <c r="E3027" i="31"/>
  <c r="F3026" i="31"/>
  <c r="G3026" i="31" s="1"/>
  <c r="E3026" i="31"/>
  <c r="F3025" i="31"/>
  <c r="G3025" i="31" s="1"/>
  <c r="E3025" i="31"/>
  <c r="F3024" i="31"/>
  <c r="I3024" i="31" s="1"/>
  <c r="E3024" i="31"/>
  <c r="F3020" i="31"/>
  <c r="G3020" i="31" s="1"/>
  <c r="E3020" i="31"/>
  <c r="F3019" i="31"/>
  <c r="G3019" i="31" s="1"/>
  <c r="E3019" i="31"/>
  <c r="F3018" i="31"/>
  <c r="G3018" i="31" s="1"/>
  <c r="E3018" i="31"/>
  <c r="F3017" i="31"/>
  <c r="G3017" i="31" s="1"/>
  <c r="E3017" i="31"/>
  <c r="F3016" i="31"/>
  <c r="G3016" i="31" s="1"/>
  <c r="E3016" i="31"/>
  <c r="F3015" i="31"/>
  <c r="G3015" i="31" s="1"/>
  <c r="E3015" i="31"/>
  <c r="C3012" i="31"/>
  <c r="E3009" i="31"/>
  <c r="F3000" i="31"/>
  <c r="I3000" i="31" s="1"/>
  <c r="I3001" i="31" s="1"/>
  <c r="I3006" i="31" s="1"/>
  <c r="E3000" i="31"/>
  <c r="F2996" i="31"/>
  <c r="I2996" i="31" s="1"/>
  <c r="I2997" i="31" s="1"/>
  <c r="I3005" i="31" s="1"/>
  <c r="E2996" i="31"/>
  <c r="F2992" i="31"/>
  <c r="I2992" i="31" s="1"/>
  <c r="I2993" i="31" s="1"/>
  <c r="I3004" i="31" s="1"/>
  <c r="E2992" i="31"/>
  <c r="F2988" i="31"/>
  <c r="I2988" i="31" s="1"/>
  <c r="E2988" i="31"/>
  <c r="F2987" i="31"/>
  <c r="G2987" i="31" s="1"/>
  <c r="E2987" i="31"/>
  <c r="F2986" i="31"/>
  <c r="I2986" i="31" s="1"/>
  <c r="E2986" i="31"/>
  <c r="C2983" i="31"/>
  <c r="F2971" i="31"/>
  <c r="I2971" i="31" s="1"/>
  <c r="I2972" i="31" s="1"/>
  <c r="I2977" i="31" s="1"/>
  <c r="E2971" i="31"/>
  <c r="F2967" i="31"/>
  <c r="G2967" i="31" s="1"/>
  <c r="E2967" i="31"/>
  <c r="F2963" i="31"/>
  <c r="I2963" i="31" s="1"/>
  <c r="I2964" i="31" s="1"/>
  <c r="I2975" i="31" s="1"/>
  <c r="E2963" i="31"/>
  <c r="F2959" i="31"/>
  <c r="G2959" i="31" s="1"/>
  <c r="E2959" i="31"/>
  <c r="F2958" i="31"/>
  <c r="G2958" i="31" s="1"/>
  <c r="E2958" i="31"/>
  <c r="F2957" i="31"/>
  <c r="G2957" i="31" s="1"/>
  <c r="E2957" i="31"/>
  <c r="E2954" i="31"/>
  <c r="E2980" i="31" s="1"/>
  <c r="C2954" i="31"/>
  <c r="F2942" i="31"/>
  <c r="E2942" i="31"/>
  <c r="F2938" i="31"/>
  <c r="G2938" i="31" s="1"/>
  <c r="E2938" i="31"/>
  <c r="I2937" i="31"/>
  <c r="F2937" i="31"/>
  <c r="G2937" i="31" s="1"/>
  <c r="E2937" i="31"/>
  <c r="I2936" i="31"/>
  <c r="F2936" i="31"/>
  <c r="G2936" i="31" s="1"/>
  <c r="E2936" i="31"/>
  <c r="F2932" i="31"/>
  <c r="I2932" i="31" s="1"/>
  <c r="I2933" i="31" s="1"/>
  <c r="I2946" i="31" s="1"/>
  <c r="E2932" i="31"/>
  <c r="F2928" i="31"/>
  <c r="G2928" i="31" s="1"/>
  <c r="E2928" i="31"/>
  <c r="E2925" i="31"/>
  <c r="E2951" i="31" s="1"/>
  <c r="C2925" i="31"/>
  <c r="F2914" i="31"/>
  <c r="I2914" i="31" s="1"/>
  <c r="I2915" i="31" s="1"/>
  <c r="I2920" i="31" s="1"/>
  <c r="E2914" i="31"/>
  <c r="G2910" i="31"/>
  <c r="F2910" i="31"/>
  <c r="I2910" i="31" s="1"/>
  <c r="E2910" i="31"/>
  <c r="G2909" i="31"/>
  <c r="F2909" i="31"/>
  <c r="I2909" i="31" s="1"/>
  <c r="E2909" i="31"/>
  <c r="G2908" i="31"/>
  <c r="F2908" i="31"/>
  <c r="I2908" i="31" s="1"/>
  <c r="E2908" i="31"/>
  <c r="F2904" i="31"/>
  <c r="I2904" i="31" s="1"/>
  <c r="I2905" i="31" s="1"/>
  <c r="I2918" i="31" s="1"/>
  <c r="E2904" i="31"/>
  <c r="F2900" i="31"/>
  <c r="G2900" i="31" s="1"/>
  <c r="E2900" i="31"/>
  <c r="E2897" i="31"/>
  <c r="E2923" i="31" s="1"/>
  <c r="C2897" i="31"/>
  <c r="F2885" i="31"/>
  <c r="I2885" i="31" s="1"/>
  <c r="I2886" i="31" s="1"/>
  <c r="I2891" i="31" s="1"/>
  <c r="E2885" i="31"/>
  <c r="F2881" i="31"/>
  <c r="I2881" i="31" s="1"/>
  <c r="I2882" i="31" s="1"/>
  <c r="I2890" i="31" s="1"/>
  <c r="E2881" i="31"/>
  <c r="F2877" i="31"/>
  <c r="I2877" i="31" s="1"/>
  <c r="I2878" i="31" s="1"/>
  <c r="I2889" i="31" s="1"/>
  <c r="E2877" i="31"/>
  <c r="F2873" i="31"/>
  <c r="I2873" i="31" s="1"/>
  <c r="I2874" i="31" s="1"/>
  <c r="I2888" i="31" s="1"/>
  <c r="E2873" i="31"/>
  <c r="E2870" i="31"/>
  <c r="E2894" i="31" s="1"/>
  <c r="C2870" i="31"/>
  <c r="F2858" i="31"/>
  <c r="E2858" i="31"/>
  <c r="F2854" i="31"/>
  <c r="I2854" i="31" s="1"/>
  <c r="E2854" i="31"/>
  <c r="F2853" i="31"/>
  <c r="I2853" i="31" s="1"/>
  <c r="E2853" i="31"/>
  <c r="F2849" i="31"/>
  <c r="I2849" i="31" s="1"/>
  <c r="I2850" i="31" s="1"/>
  <c r="I2862" i="31" s="1"/>
  <c r="E2849" i="31"/>
  <c r="F2845" i="31"/>
  <c r="G2845" i="31" s="1"/>
  <c r="E2845" i="31"/>
  <c r="E2842" i="31"/>
  <c r="E2867" i="31" s="1"/>
  <c r="C2842" i="31"/>
  <c r="E2840" i="31"/>
  <c r="F2831" i="31"/>
  <c r="G2831" i="31" s="1"/>
  <c r="E2831" i="31"/>
  <c r="F2827" i="31"/>
  <c r="I2827" i="31" s="1"/>
  <c r="I2828" i="31" s="1"/>
  <c r="I2836" i="31" s="1"/>
  <c r="F2823" i="31"/>
  <c r="I2823" i="31" s="1"/>
  <c r="E2823" i="31"/>
  <c r="F2822" i="31"/>
  <c r="I2822" i="31" s="1"/>
  <c r="E2822" i="31"/>
  <c r="F2821" i="31"/>
  <c r="I2821" i="31" s="1"/>
  <c r="E2821" i="31"/>
  <c r="F2817" i="31"/>
  <c r="G2817" i="31" s="1"/>
  <c r="E2817" i="31"/>
  <c r="D2817" i="31"/>
  <c r="F2816" i="31"/>
  <c r="G2816" i="31" s="1"/>
  <c r="E2816" i="31"/>
  <c r="D2816" i="31"/>
  <c r="F2815" i="31"/>
  <c r="G2815" i="31" s="1"/>
  <c r="E2815" i="31"/>
  <c r="D2815" i="31"/>
  <c r="F2814" i="31"/>
  <c r="G2814" i="31" s="1"/>
  <c r="E2814" i="31"/>
  <c r="D2814" i="31"/>
  <c r="C2811" i="31"/>
  <c r="E2807" i="31"/>
  <c r="F2798" i="31"/>
  <c r="G2798" i="31" s="1"/>
  <c r="E2798" i="31"/>
  <c r="F2794" i="31"/>
  <c r="I2794" i="31" s="1"/>
  <c r="I2795" i="31" s="1"/>
  <c r="I2803" i="31" s="1"/>
  <c r="E2794" i="31"/>
  <c r="F2790" i="31"/>
  <c r="I2790" i="31" s="1"/>
  <c r="I2791" i="31" s="1"/>
  <c r="I2802" i="31" s="1"/>
  <c r="E2790" i="31"/>
  <c r="F2786" i="31"/>
  <c r="I2786" i="31" s="1"/>
  <c r="I2787" i="31" s="1"/>
  <c r="I2801" i="31" s="1"/>
  <c r="E2786" i="31"/>
  <c r="C2783" i="31"/>
  <c r="E2780" i="31"/>
  <c r="F2771" i="31"/>
  <c r="G2771" i="31" s="1"/>
  <c r="E2771" i="31"/>
  <c r="F2767" i="31"/>
  <c r="G2767" i="31" s="1"/>
  <c r="E2767" i="31"/>
  <c r="F2763" i="31"/>
  <c r="I2763" i="31" s="1"/>
  <c r="I2764" i="31" s="1"/>
  <c r="I2775" i="31" s="1"/>
  <c r="E2763" i="31"/>
  <c r="F2759" i="31"/>
  <c r="I2759" i="31" s="1"/>
  <c r="I2760" i="31" s="1"/>
  <c r="I2774" i="31" s="1"/>
  <c r="E2759" i="31"/>
  <c r="C2756" i="31"/>
  <c r="E2753" i="31"/>
  <c r="F2744" i="31"/>
  <c r="I2744" i="31" s="1"/>
  <c r="I2745" i="31" s="1"/>
  <c r="I2750" i="31" s="1"/>
  <c r="E2744" i="31"/>
  <c r="F2740" i="31"/>
  <c r="G2740" i="31" s="1"/>
  <c r="E2740" i="31"/>
  <c r="F2736" i="31"/>
  <c r="I2736" i="31" s="1"/>
  <c r="I2737" i="31" s="1"/>
  <c r="I2748" i="31" s="1"/>
  <c r="E2736" i="31"/>
  <c r="F2732" i="31"/>
  <c r="G2732" i="31" s="1"/>
  <c r="E2732" i="31"/>
  <c r="C2729" i="31"/>
  <c r="E2726" i="31"/>
  <c r="F2717" i="31"/>
  <c r="I2717" i="31" s="1"/>
  <c r="I2718" i="31" s="1"/>
  <c r="I2723" i="31" s="1"/>
  <c r="E2717" i="31"/>
  <c r="F2713" i="31"/>
  <c r="I2713" i="31" s="1"/>
  <c r="I2714" i="31" s="1"/>
  <c r="I2722" i="31" s="1"/>
  <c r="E2713" i="31"/>
  <c r="F2709" i="31"/>
  <c r="I2709" i="31" s="1"/>
  <c r="I2710" i="31" s="1"/>
  <c r="I2721" i="31" s="1"/>
  <c r="E2709" i="31"/>
  <c r="I2705" i="31"/>
  <c r="I2706" i="31" s="1"/>
  <c r="I2720" i="31" s="1"/>
  <c r="F2705" i="31"/>
  <c r="G2705" i="31" s="1"/>
  <c r="E2705" i="31"/>
  <c r="C2702" i="31"/>
  <c r="E2700" i="31"/>
  <c r="F2691" i="31"/>
  <c r="G2691" i="31" s="1"/>
  <c r="E2691" i="31"/>
  <c r="F2687" i="31"/>
  <c r="I2687" i="31" s="1"/>
  <c r="I2688" i="31" s="1"/>
  <c r="I2696" i="31" s="1"/>
  <c r="E2687" i="31"/>
  <c r="F2683" i="31"/>
  <c r="I2683" i="31" s="1"/>
  <c r="I2684" i="31" s="1"/>
  <c r="I2695" i="31" s="1"/>
  <c r="E2683" i="31"/>
  <c r="I2679" i="31"/>
  <c r="I2680" i="31" s="1"/>
  <c r="I2694" i="31" s="1"/>
  <c r="G2679" i="31"/>
  <c r="F2679" i="31"/>
  <c r="E2679" i="31"/>
  <c r="C2676" i="31"/>
  <c r="E2673" i="31"/>
  <c r="F2664" i="31"/>
  <c r="G2664" i="31" s="1"/>
  <c r="E2664" i="31"/>
  <c r="F2660" i="31"/>
  <c r="G2660" i="31" s="1"/>
  <c r="E2660" i="31"/>
  <c r="F2656" i="31"/>
  <c r="I2656" i="31" s="1"/>
  <c r="I2657" i="31" s="1"/>
  <c r="I2668" i="31" s="1"/>
  <c r="E2656" i="31"/>
  <c r="F2652" i="31"/>
  <c r="I2652" i="31" s="1"/>
  <c r="I2653" i="31" s="1"/>
  <c r="I2667" i="31" s="1"/>
  <c r="E2652" i="31"/>
  <c r="C2649" i="31"/>
  <c r="E2646" i="31"/>
  <c r="F2637" i="31"/>
  <c r="I2637" i="31" s="1"/>
  <c r="I2638" i="31" s="1"/>
  <c r="I2643" i="31" s="1"/>
  <c r="E2637" i="31"/>
  <c r="F2633" i="31"/>
  <c r="E2633" i="31"/>
  <c r="F2629" i="31"/>
  <c r="I2629" i="31" s="1"/>
  <c r="I2630" i="31" s="1"/>
  <c r="I2641" i="31" s="1"/>
  <c r="E2629" i="31"/>
  <c r="F2625" i="31"/>
  <c r="G2625" i="31" s="1"/>
  <c r="E2625" i="31"/>
  <c r="C2622" i="31"/>
  <c r="E2619" i="31"/>
  <c r="F2610" i="31"/>
  <c r="I2610" i="31" s="1"/>
  <c r="I2611" i="31" s="1"/>
  <c r="I2616" i="31" s="1"/>
  <c r="E2610" i="31"/>
  <c r="F2606" i="31"/>
  <c r="I2606" i="31" s="1"/>
  <c r="I2607" i="31" s="1"/>
  <c r="I2615" i="31" s="1"/>
  <c r="E2606" i="31"/>
  <c r="F2602" i="31"/>
  <c r="I2602" i="31" s="1"/>
  <c r="I2603" i="31" s="1"/>
  <c r="I2614" i="31" s="1"/>
  <c r="E2602" i="31"/>
  <c r="F2598" i="31"/>
  <c r="G2598" i="31" s="1"/>
  <c r="E2598" i="31"/>
  <c r="C2595" i="31"/>
  <c r="E2592" i="31"/>
  <c r="F2583" i="31"/>
  <c r="G2583" i="31" s="1"/>
  <c r="E2583" i="31"/>
  <c r="F2579" i="31"/>
  <c r="I2579" i="31" s="1"/>
  <c r="I2580" i="31" s="1"/>
  <c r="I2588" i="31" s="1"/>
  <c r="E2579" i="31"/>
  <c r="F2575" i="31"/>
  <c r="I2575" i="31" s="1"/>
  <c r="I2576" i="31" s="1"/>
  <c r="I2587" i="31" s="1"/>
  <c r="E2575" i="31"/>
  <c r="F2571" i="31"/>
  <c r="I2571" i="31" s="1"/>
  <c r="I2572" i="31" s="1"/>
  <c r="I2586" i="31" s="1"/>
  <c r="E2571" i="31"/>
  <c r="C2568" i="31"/>
  <c r="E2565" i="31"/>
  <c r="F2556" i="31"/>
  <c r="G2556" i="31" s="1"/>
  <c r="E2556" i="31"/>
  <c r="F2552" i="31"/>
  <c r="G2552" i="31" s="1"/>
  <c r="E2552" i="31"/>
  <c r="F2548" i="31"/>
  <c r="I2548" i="31" s="1"/>
  <c r="I2549" i="31" s="1"/>
  <c r="I2560" i="31" s="1"/>
  <c r="E2548" i="31"/>
  <c r="F2544" i="31"/>
  <c r="I2544" i="31" s="1"/>
  <c r="I2545" i="31" s="1"/>
  <c r="I2559" i="31" s="1"/>
  <c r="E2544" i="31"/>
  <c r="C2541" i="31"/>
  <c r="E2538" i="31"/>
  <c r="F2529" i="31"/>
  <c r="I2529" i="31" s="1"/>
  <c r="I2530" i="31" s="1"/>
  <c r="I2535" i="31" s="1"/>
  <c r="E2529" i="31"/>
  <c r="F2525" i="31"/>
  <c r="G2525" i="31" s="1"/>
  <c r="E2525" i="31"/>
  <c r="F2521" i="31"/>
  <c r="I2521" i="31" s="1"/>
  <c r="I2522" i="31" s="1"/>
  <c r="I2533" i="31" s="1"/>
  <c r="E2521" i="31"/>
  <c r="F2517" i="31"/>
  <c r="G2517" i="31" s="1"/>
  <c r="E2517" i="31"/>
  <c r="C2514" i="31"/>
  <c r="E2511" i="31"/>
  <c r="F2502" i="31"/>
  <c r="I2502" i="31" s="1"/>
  <c r="I2503" i="31" s="1"/>
  <c r="I2508" i="31" s="1"/>
  <c r="E2502" i="31"/>
  <c r="F2498" i="31"/>
  <c r="I2498" i="31" s="1"/>
  <c r="I2499" i="31" s="1"/>
  <c r="I2507" i="31" s="1"/>
  <c r="E2498" i="31"/>
  <c r="F2494" i="31"/>
  <c r="I2494" i="31" s="1"/>
  <c r="I2495" i="31" s="1"/>
  <c r="I2506" i="31" s="1"/>
  <c r="E2494" i="31"/>
  <c r="I2490" i="31"/>
  <c r="I2491" i="31" s="1"/>
  <c r="I2505" i="31" s="1"/>
  <c r="F2490" i="31"/>
  <c r="G2490" i="31" s="1"/>
  <c r="E2490" i="31"/>
  <c r="C2487" i="31"/>
  <c r="E2485" i="31"/>
  <c r="F2476" i="31"/>
  <c r="G2476" i="31" s="1"/>
  <c r="E2476" i="31"/>
  <c r="F2472" i="31"/>
  <c r="I2472" i="31" s="1"/>
  <c r="I2473" i="31" s="1"/>
  <c r="I2481" i="31" s="1"/>
  <c r="E2472" i="31"/>
  <c r="F2468" i="31"/>
  <c r="I2468" i="31" s="1"/>
  <c r="I2469" i="31" s="1"/>
  <c r="I2480" i="31" s="1"/>
  <c r="E2468" i="31"/>
  <c r="G2464" i="31"/>
  <c r="F2464" i="31"/>
  <c r="I2464" i="31" s="1"/>
  <c r="I2465" i="31" s="1"/>
  <c r="I2479" i="31" s="1"/>
  <c r="E2464" i="31"/>
  <c r="C2461" i="31"/>
  <c r="E2458" i="31"/>
  <c r="F2449" i="31"/>
  <c r="G2449" i="31" s="1"/>
  <c r="E2449" i="31"/>
  <c r="F2445" i="31"/>
  <c r="G2445" i="31" s="1"/>
  <c r="E2445" i="31"/>
  <c r="F2441" i="31"/>
  <c r="I2441" i="31" s="1"/>
  <c r="I2442" i="31" s="1"/>
  <c r="I2453" i="31" s="1"/>
  <c r="E2441" i="31"/>
  <c r="F2437" i="31"/>
  <c r="I2437" i="31" s="1"/>
  <c r="I2438" i="31" s="1"/>
  <c r="I2452" i="31" s="1"/>
  <c r="E2437" i="31"/>
  <c r="C2434" i="31"/>
  <c r="E2431" i="31"/>
  <c r="F2422" i="31"/>
  <c r="I2422" i="31" s="1"/>
  <c r="I2423" i="31" s="1"/>
  <c r="I2428" i="31" s="1"/>
  <c r="E2422" i="31"/>
  <c r="F2418" i="31"/>
  <c r="G2418" i="31" s="1"/>
  <c r="E2418" i="31"/>
  <c r="F2414" i="31"/>
  <c r="I2414" i="31" s="1"/>
  <c r="I2415" i="31" s="1"/>
  <c r="I2426" i="31" s="1"/>
  <c r="E2414" i="31"/>
  <c r="F2410" i="31"/>
  <c r="G2410" i="31" s="1"/>
  <c r="E2410" i="31"/>
  <c r="C2407" i="31"/>
  <c r="E2404" i="31"/>
  <c r="F2395" i="31"/>
  <c r="I2395" i="31" s="1"/>
  <c r="I2396" i="31" s="1"/>
  <c r="I2401" i="31" s="1"/>
  <c r="E2395" i="31"/>
  <c r="F2391" i="31"/>
  <c r="G2391" i="31" s="1"/>
  <c r="E2391" i="31"/>
  <c r="F2387" i="31"/>
  <c r="I2387" i="31" s="1"/>
  <c r="I2388" i="31" s="1"/>
  <c r="I2399" i="31" s="1"/>
  <c r="E2387" i="31"/>
  <c r="F2383" i="31"/>
  <c r="G2383" i="31" s="1"/>
  <c r="E2383" i="31"/>
  <c r="C2380" i="31"/>
  <c r="E2377" i="31"/>
  <c r="F2368" i="31"/>
  <c r="G2368" i="31" s="1"/>
  <c r="E2368" i="31"/>
  <c r="F2364" i="31"/>
  <c r="I2364" i="31" s="1"/>
  <c r="I2365" i="31" s="1"/>
  <c r="I2373" i="31" s="1"/>
  <c r="E2364" i="31"/>
  <c r="F2360" i="31"/>
  <c r="I2360" i="31" s="1"/>
  <c r="I2361" i="31" s="1"/>
  <c r="I2372" i="31" s="1"/>
  <c r="E2360" i="31"/>
  <c r="F2356" i="31"/>
  <c r="I2356" i="31" s="1"/>
  <c r="I2357" i="31" s="1"/>
  <c r="I2371" i="31" s="1"/>
  <c r="E2356" i="31"/>
  <c r="C2353" i="31"/>
  <c r="E2351" i="31"/>
  <c r="F2342" i="31"/>
  <c r="G2342" i="31" s="1"/>
  <c r="E2342" i="31"/>
  <c r="F2338" i="31"/>
  <c r="G2338" i="31" s="1"/>
  <c r="E2338" i="31"/>
  <c r="F2334" i="31"/>
  <c r="I2334" i="31" s="1"/>
  <c r="I2335" i="31" s="1"/>
  <c r="I2346" i="31" s="1"/>
  <c r="E2334" i="31"/>
  <c r="F2330" i="31"/>
  <c r="I2330" i="31" s="1"/>
  <c r="I2331" i="31" s="1"/>
  <c r="I2345" i="31" s="1"/>
  <c r="E2330" i="31"/>
  <c r="C2327" i="31"/>
  <c r="E2325" i="31"/>
  <c r="F2316" i="31"/>
  <c r="I2316" i="31" s="1"/>
  <c r="I2317" i="31" s="1"/>
  <c r="I2322" i="31" s="1"/>
  <c r="E2316" i="31"/>
  <c r="F2312" i="31"/>
  <c r="G2312" i="31" s="1"/>
  <c r="E2312" i="31"/>
  <c r="F2308" i="31"/>
  <c r="I2308" i="31" s="1"/>
  <c r="I2309" i="31" s="1"/>
  <c r="I2320" i="31" s="1"/>
  <c r="E2308" i="31"/>
  <c r="F2304" i="31"/>
  <c r="G2304" i="31" s="1"/>
  <c r="E2304" i="31"/>
  <c r="C2301" i="31"/>
  <c r="E2299" i="31"/>
  <c r="F2290" i="31"/>
  <c r="I2290" i="31" s="1"/>
  <c r="I2291" i="31" s="1"/>
  <c r="I2296" i="31" s="1"/>
  <c r="E2290" i="31"/>
  <c r="F2286" i="31"/>
  <c r="I2286" i="31" s="1"/>
  <c r="I2287" i="31" s="1"/>
  <c r="I2295" i="31" s="1"/>
  <c r="E2286" i="31"/>
  <c r="F2282" i="31"/>
  <c r="I2282" i="31" s="1"/>
  <c r="I2283" i="31" s="1"/>
  <c r="I2294" i="31" s="1"/>
  <c r="E2282" i="31"/>
  <c r="F2278" i="31"/>
  <c r="G2278" i="31" s="1"/>
  <c r="E2278" i="31"/>
  <c r="C2275" i="31"/>
  <c r="E2272" i="31"/>
  <c r="F2263" i="31"/>
  <c r="G2263" i="31" s="1"/>
  <c r="E2263" i="31"/>
  <c r="F2259" i="31"/>
  <c r="I2259" i="31" s="1"/>
  <c r="I2260" i="31" s="1"/>
  <c r="I2268" i="31" s="1"/>
  <c r="E2259" i="31"/>
  <c r="F2255" i="31"/>
  <c r="I2255" i="31" s="1"/>
  <c r="I2256" i="31" s="1"/>
  <c r="I2267" i="31" s="1"/>
  <c r="E2255" i="31"/>
  <c r="F2251" i="31"/>
  <c r="G2251" i="31" s="1"/>
  <c r="E2251" i="31"/>
  <c r="C2248" i="31"/>
  <c r="E2245" i="31"/>
  <c r="F2236" i="31"/>
  <c r="G2236" i="31" s="1"/>
  <c r="E2236" i="31"/>
  <c r="F2232" i="31"/>
  <c r="G2232" i="31" s="1"/>
  <c r="E2232" i="31"/>
  <c r="F2228" i="31"/>
  <c r="I2228" i="31" s="1"/>
  <c r="I2229" i="31" s="1"/>
  <c r="I2240" i="31" s="1"/>
  <c r="E2228" i="31"/>
  <c r="F2224" i="31"/>
  <c r="I2224" i="31" s="1"/>
  <c r="I2225" i="31" s="1"/>
  <c r="I2239" i="31" s="1"/>
  <c r="E2224" i="31"/>
  <c r="C2221" i="31"/>
  <c r="E2218" i="31"/>
  <c r="F2209" i="31"/>
  <c r="I2209" i="31" s="1"/>
  <c r="I2210" i="31" s="1"/>
  <c r="I2215" i="31" s="1"/>
  <c r="E2209" i="31"/>
  <c r="F2205" i="31"/>
  <c r="G2205" i="31" s="1"/>
  <c r="E2205" i="31"/>
  <c r="F2201" i="31"/>
  <c r="I2201" i="31" s="1"/>
  <c r="I2202" i="31" s="1"/>
  <c r="I2213" i="31" s="1"/>
  <c r="E2201" i="31"/>
  <c r="F2197" i="31"/>
  <c r="G2197" i="31" s="1"/>
  <c r="E2197" i="31"/>
  <c r="C2194" i="31"/>
  <c r="E2191" i="31"/>
  <c r="F2182" i="31"/>
  <c r="I2182" i="31" s="1"/>
  <c r="I2183" i="31" s="1"/>
  <c r="I2188" i="31" s="1"/>
  <c r="E2182" i="31"/>
  <c r="G2178" i="31"/>
  <c r="F2178" i="31"/>
  <c r="I2178" i="31" s="1"/>
  <c r="I2179" i="31" s="1"/>
  <c r="I2187" i="31" s="1"/>
  <c r="E2178" i="31"/>
  <c r="F2174" i="31"/>
  <c r="I2174" i="31" s="1"/>
  <c r="I2175" i="31" s="1"/>
  <c r="I2186" i="31" s="1"/>
  <c r="E2174" i="31"/>
  <c r="F2170" i="31"/>
  <c r="G2170" i="31" s="1"/>
  <c r="E2170" i="31"/>
  <c r="C2167" i="31"/>
  <c r="E2164" i="31"/>
  <c r="F2155" i="31"/>
  <c r="G2155" i="31" s="1"/>
  <c r="E2155" i="31"/>
  <c r="F2151" i="31"/>
  <c r="I2151" i="31" s="1"/>
  <c r="I2152" i="31" s="1"/>
  <c r="I2160" i="31" s="1"/>
  <c r="E2151" i="31"/>
  <c r="F2147" i="31"/>
  <c r="I2147" i="31" s="1"/>
  <c r="I2148" i="31" s="1"/>
  <c r="I2159" i="31" s="1"/>
  <c r="E2147" i="31"/>
  <c r="F2143" i="31"/>
  <c r="I2143" i="31" s="1"/>
  <c r="I2144" i="31" s="1"/>
  <c r="I2158" i="31" s="1"/>
  <c r="E2143" i="31"/>
  <c r="C2140" i="31"/>
  <c r="E2137" i="31"/>
  <c r="F2128" i="31"/>
  <c r="G2128" i="31" s="1"/>
  <c r="E2128" i="31"/>
  <c r="F2124" i="31"/>
  <c r="G2124" i="31" s="1"/>
  <c r="E2124" i="31"/>
  <c r="F2120" i="31"/>
  <c r="I2120" i="31" s="1"/>
  <c r="I2121" i="31" s="1"/>
  <c r="I2132" i="31" s="1"/>
  <c r="E2120" i="31"/>
  <c r="F2116" i="31"/>
  <c r="I2116" i="31" s="1"/>
  <c r="I2117" i="31" s="1"/>
  <c r="I2131" i="31" s="1"/>
  <c r="E2116" i="31"/>
  <c r="C2113" i="31"/>
  <c r="E2110" i="31"/>
  <c r="F2101" i="31"/>
  <c r="I2101" i="31" s="1"/>
  <c r="I2102" i="31" s="1"/>
  <c r="I2107" i="31" s="1"/>
  <c r="E2101" i="31"/>
  <c r="F2097" i="31"/>
  <c r="G2097" i="31" s="1"/>
  <c r="E2097" i="31"/>
  <c r="F2093" i="31"/>
  <c r="I2093" i="31" s="1"/>
  <c r="I2094" i="31" s="1"/>
  <c r="I2105" i="31" s="1"/>
  <c r="E2093" i="31"/>
  <c r="F2089" i="31"/>
  <c r="G2089" i="31" s="1"/>
  <c r="E2089" i="31"/>
  <c r="C2086" i="31"/>
  <c r="E2083" i="31"/>
  <c r="F2074" i="31"/>
  <c r="I2074" i="31" s="1"/>
  <c r="I2075" i="31" s="1"/>
  <c r="I2080" i="31" s="1"/>
  <c r="E2074" i="31"/>
  <c r="F2070" i="31"/>
  <c r="I2070" i="31" s="1"/>
  <c r="I2071" i="31" s="1"/>
  <c r="I2079" i="31" s="1"/>
  <c r="E2070" i="31"/>
  <c r="F2066" i="31"/>
  <c r="I2066" i="31" s="1"/>
  <c r="I2067" i="31" s="1"/>
  <c r="I2078" i="31" s="1"/>
  <c r="E2066" i="31"/>
  <c r="F2062" i="31"/>
  <c r="G2062" i="31" s="1"/>
  <c r="E2062" i="31"/>
  <c r="C2059" i="31"/>
  <c r="E2056" i="31"/>
  <c r="F2047" i="31"/>
  <c r="G2047" i="31" s="1"/>
  <c r="E2047" i="31"/>
  <c r="F2043" i="31"/>
  <c r="I2043" i="31" s="1"/>
  <c r="I2044" i="31" s="1"/>
  <c r="I2052" i="31" s="1"/>
  <c r="E2043" i="31"/>
  <c r="F2039" i="31"/>
  <c r="I2039" i="31" s="1"/>
  <c r="I2040" i="31" s="1"/>
  <c r="I2051" i="31" s="1"/>
  <c r="E2039" i="31"/>
  <c r="F2035" i="31"/>
  <c r="I2035" i="31" s="1"/>
  <c r="I2036" i="31" s="1"/>
  <c r="I2050" i="31" s="1"/>
  <c r="E2035" i="31"/>
  <c r="C2032" i="31"/>
  <c r="E2029" i="31"/>
  <c r="F2020" i="31"/>
  <c r="G2020" i="31" s="1"/>
  <c r="E2020" i="31"/>
  <c r="F2016" i="31"/>
  <c r="G2016" i="31" s="1"/>
  <c r="E2016" i="31"/>
  <c r="F2012" i="31"/>
  <c r="I2012" i="31" s="1"/>
  <c r="I2013" i="31" s="1"/>
  <c r="I2024" i="31" s="1"/>
  <c r="E2012" i="31"/>
  <c r="F2008" i="31"/>
  <c r="I2008" i="31" s="1"/>
  <c r="I2009" i="31" s="1"/>
  <c r="I2023" i="31" s="1"/>
  <c r="E2008" i="31"/>
  <c r="E2002" i="31"/>
  <c r="F1993" i="31"/>
  <c r="I1993" i="31" s="1"/>
  <c r="I1994" i="31" s="1"/>
  <c r="I1999" i="31" s="1"/>
  <c r="E1993" i="31"/>
  <c r="F1989" i="31"/>
  <c r="I1989" i="31" s="1"/>
  <c r="I1990" i="31" s="1"/>
  <c r="I1998" i="31" s="1"/>
  <c r="E1989" i="31"/>
  <c r="F1985" i="31"/>
  <c r="I1985" i="31" s="1"/>
  <c r="I1986" i="31" s="1"/>
  <c r="I1997" i="31" s="1"/>
  <c r="E1985" i="31"/>
  <c r="G1981" i="31"/>
  <c r="F1981" i="31"/>
  <c r="I1981" i="31" s="1"/>
  <c r="I1982" i="31" s="1"/>
  <c r="I1996" i="31" s="1"/>
  <c r="E1981" i="31"/>
  <c r="C1978" i="31"/>
  <c r="E1975" i="31"/>
  <c r="F1966" i="31"/>
  <c r="G1966" i="31" s="1"/>
  <c r="E1966" i="31"/>
  <c r="F1962" i="31"/>
  <c r="I1962" i="31" s="1"/>
  <c r="I1963" i="31" s="1"/>
  <c r="I1971" i="31" s="1"/>
  <c r="E1962" i="31"/>
  <c r="F1958" i="31"/>
  <c r="I1958" i="31" s="1"/>
  <c r="I1959" i="31" s="1"/>
  <c r="I1970" i="31" s="1"/>
  <c r="E1958" i="31"/>
  <c r="G1954" i="31"/>
  <c r="F1954" i="31"/>
  <c r="I1954" i="31" s="1"/>
  <c r="I1955" i="31" s="1"/>
  <c r="I1969" i="31" s="1"/>
  <c r="E1954" i="31"/>
  <c r="C1951" i="31"/>
  <c r="E1948" i="31"/>
  <c r="F1939" i="31"/>
  <c r="I1939" i="31" s="1"/>
  <c r="I1940" i="31" s="1"/>
  <c r="I1945" i="31" s="1"/>
  <c r="E1939" i="31"/>
  <c r="F1935" i="31"/>
  <c r="G1935" i="31" s="1"/>
  <c r="E1935" i="31"/>
  <c r="F1931" i="31"/>
  <c r="I1931" i="31" s="1"/>
  <c r="I1932" i="31" s="1"/>
  <c r="I1943" i="31" s="1"/>
  <c r="E1931" i="31"/>
  <c r="F1927" i="31"/>
  <c r="I1927" i="31" s="1"/>
  <c r="I1928" i="31" s="1"/>
  <c r="I1942" i="31" s="1"/>
  <c r="E1927" i="31"/>
  <c r="E1921" i="31"/>
  <c r="F1912" i="31"/>
  <c r="I1912" i="31" s="1"/>
  <c r="I1913" i="31" s="1"/>
  <c r="I1918" i="31" s="1"/>
  <c r="E1912" i="31"/>
  <c r="F1908" i="31"/>
  <c r="G1908" i="31" s="1"/>
  <c r="E1908" i="31"/>
  <c r="F1904" i="31"/>
  <c r="I1904" i="31" s="1"/>
  <c r="I1905" i="31" s="1"/>
  <c r="I1916" i="31" s="1"/>
  <c r="E1904" i="31"/>
  <c r="F1900" i="31"/>
  <c r="I1900" i="31" s="1"/>
  <c r="I1901" i="31" s="1"/>
  <c r="I1915" i="31" s="1"/>
  <c r="E1900" i="31"/>
  <c r="C1897" i="31"/>
  <c r="E1894" i="31"/>
  <c r="F1885" i="31"/>
  <c r="G1885" i="31" s="1"/>
  <c r="E1885" i="31"/>
  <c r="F1881" i="31"/>
  <c r="I1881" i="31" s="1"/>
  <c r="I1882" i="31" s="1"/>
  <c r="I1890" i="31" s="1"/>
  <c r="E1881" i="31"/>
  <c r="F1877" i="31"/>
  <c r="I1877" i="31" s="1"/>
  <c r="I1878" i="31" s="1"/>
  <c r="I1889" i="31" s="1"/>
  <c r="E1877" i="31"/>
  <c r="F1873" i="31"/>
  <c r="I1873" i="31" s="1"/>
  <c r="I1874" i="31" s="1"/>
  <c r="I1888" i="31" s="1"/>
  <c r="E1873" i="31"/>
  <c r="C1870" i="31"/>
  <c r="E1867" i="31"/>
  <c r="F1858" i="31"/>
  <c r="G1858" i="31" s="1"/>
  <c r="E1858" i="31"/>
  <c r="F1854" i="31"/>
  <c r="G1854" i="31" s="1"/>
  <c r="E1854" i="31"/>
  <c r="F1850" i="31"/>
  <c r="I1850" i="31" s="1"/>
  <c r="I1851" i="31" s="1"/>
  <c r="I1862" i="31" s="1"/>
  <c r="E1850" i="31"/>
  <c r="F1846" i="31"/>
  <c r="I1846" i="31" s="1"/>
  <c r="I1847" i="31" s="1"/>
  <c r="I1861" i="31" s="1"/>
  <c r="E1846" i="31"/>
  <c r="C1843" i="31"/>
  <c r="E1840" i="31"/>
  <c r="I1831" i="31"/>
  <c r="I1832" i="31" s="1"/>
  <c r="I1837" i="31" s="1"/>
  <c r="F1831" i="31"/>
  <c r="G1831" i="31" s="1"/>
  <c r="E1831" i="31"/>
  <c r="G1827" i="31"/>
  <c r="F1827" i="31"/>
  <c r="I1827" i="31" s="1"/>
  <c r="I1828" i="31" s="1"/>
  <c r="I1836" i="31" s="1"/>
  <c r="E1827" i="31"/>
  <c r="F1823" i="31"/>
  <c r="I1823" i="31" s="1"/>
  <c r="I1824" i="31" s="1"/>
  <c r="I1835" i="31" s="1"/>
  <c r="E1823" i="31"/>
  <c r="F1819" i="31"/>
  <c r="G1819" i="31" s="1"/>
  <c r="E1819" i="31"/>
  <c r="D1819" i="31"/>
  <c r="C1816" i="31"/>
  <c r="E1813" i="31"/>
  <c r="F1804" i="31"/>
  <c r="I1804" i="31" s="1"/>
  <c r="I1805" i="31" s="1"/>
  <c r="I1810" i="31" s="1"/>
  <c r="E1804" i="31"/>
  <c r="F1800" i="31"/>
  <c r="I1800" i="31" s="1"/>
  <c r="I1801" i="31" s="1"/>
  <c r="I1809" i="31" s="1"/>
  <c r="E1800" i="31"/>
  <c r="F1796" i="31"/>
  <c r="I1796" i="31" s="1"/>
  <c r="I1797" i="31" s="1"/>
  <c r="I1808" i="31" s="1"/>
  <c r="E1796" i="31"/>
  <c r="F1792" i="31"/>
  <c r="G1792" i="31" s="1"/>
  <c r="E1792" i="31"/>
  <c r="C1789" i="31"/>
  <c r="E1787" i="31"/>
  <c r="F1778" i="31"/>
  <c r="I1778" i="31" s="1"/>
  <c r="I1779" i="31" s="1"/>
  <c r="I1784" i="31" s="1"/>
  <c r="E1778" i="31"/>
  <c r="F1774" i="31"/>
  <c r="I1774" i="31" s="1"/>
  <c r="I1775" i="31" s="1"/>
  <c r="I1783" i="31" s="1"/>
  <c r="E1774" i="31"/>
  <c r="I1770" i="31"/>
  <c r="G1770" i="31"/>
  <c r="F1770" i="31"/>
  <c r="E1770" i="31"/>
  <c r="F1769" i="31"/>
  <c r="I1769" i="31" s="1"/>
  <c r="I1771" i="31" s="1"/>
  <c r="I1782" i="31" s="1"/>
  <c r="E1769" i="31"/>
  <c r="F1765" i="31"/>
  <c r="I1765" i="31" s="1"/>
  <c r="E1765" i="31"/>
  <c r="F1764" i="31"/>
  <c r="G1764" i="31" s="1"/>
  <c r="E1764" i="31"/>
  <c r="D1764" i="31"/>
  <c r="F1763" i="31"/>
  <c r="G1763" i="31" s="1"/>
  <c r="E1763" i="31"/>
  <c r="D1763" i="31"/>
  <c r="I1763" i="31" s="1"/>
  <c r="C1760" i="31"/>
  <c r="E1757" i="31"/>
  <c r="F1748" i="31"/>
  <c r="I1748" i="31" s="1"/>
  <c r="I1749" i="31" s="1"/>
  <c r="I1754" i="31" s="1"/>
  <c r="E1748" i="31"/>
  <c r="F1744" i="31"/>
  <c r="G1744" i="31" s="1"/>
  <c r="E1744" i="31"/>
  <c r="F1740" i="31"/>
  <c r="I1740" i="31" s="1"/>
  <c r="I1741" i="31" s="1"/>
  <c r="I1752" i="31" s="1"/>
  <c r="E1740" i="31"/>
  <c r="F1736" i="31"/>
  <c r="G1736" i="31" s="1"/>
  <c r="E1736" i="31"/>
  <c r="C1733" i="31"/>
  <c r="E1730" i="31"/>
  <c r="F1721" i="31"/>
  <c r="I1721" i="31" s="1"/>
  <c r="I1722" i="31" s="1"/>
  <c r="I1727" i="31" s="1"/>
  <c r="E1721" i="31"/>
  <c r="F1717" i="31"/>
  <c r="I1717" i="31" s="1"/>
  <c r="I1718" i="31" s="1"/>
  <c r="I1726" i="31" s="1"/>
  <c r="E1717" i="31"/>
  <c r="F1713" i="31"/>
  <c r="I1713" i="31" s="1"/>
  <c r="I1714" i="31" s="1"/>
  <c r="I1725" i="31" s="1"/>
  <c r="E1713" i="31"/>
  <c r="I1709" i="31"/>
  <c r="I1710" i="31" s="1"/>
  <c r="I1724" i="31" s="1"/>
  <c r="F1709" i="31"/>
  <c r="G1709" i="31" s="1"/>
  <c r="E1709" i="31"/>
  <c r="C1706" i="31"/>
  <c r="E1703" i="31"/>
  <c r="F1694" i="31"/>
  <c r="G1694" i="31" s="1"/>
  <c r="E1694" i="31"/>
  <c r="F1690" i="31"/>
  <c r="I1690" i="31" s="1"/>
  <c r="I1691" i="31" s="1"/>
  <c r="I1699" i="31" s="1"/>
  <c r="E1690" i="31"/>
  <c r="F1686" i="31"/>
  <c r="I1686" i="31" s="1"/>
  <c r="I1687" i="31" s="1"/>
  <c r="I1698" i="31" s="1"/>
  <c r="E1686" i="31"/>
  <c r="G1682" i="31"/>
  <c r="F1682" i="31"/>
  <c r="I1682" i="31" s="1"/>
  <c r="I1683" i="31" s="1"/>
  <c r="I1697" i="31" s="1"/>
  <c r="E1682" i="31"/>
  <c r="C1679" i="31"/>
  <c r="E1676" i="31"/>
  <c r="F1667" i="31"/>
  <c r="G1667" i="31" s="1"/>
  <c r="E1667" i="31"/>
  <c r="F1663" i="31"/>
  <c r="G1663" i="31" s="1"/>
  <c r="E1663" i="31"/>
  <c r="F1659" i="31"/>
  <c r="I1659" i="31" s="1"/>
  <c r="I1660" i="31" s="1"/>
  <c r="I1671" i="31" s="1"/>
  <c r="E1659" i="31"/>
  <c r="F1655" i="31"/>
  <c r="I1655" i="31" s="1"/>
  <c r="I1656" i="31" s="1"/>
  <c r="I1670" i="31" s="1"/>
  <c r="E1655" i="31"/>
  <c r="C1652" i="31"/>
  <c r="E1649" i="31"/>
  <c r="F1640" i="31"/>
  <c r="I1640" i="31" s="1"/>
  <c r="I1641" i="31" s="1"/>
  <c r="I1646" i="31" s="1"/>
  <c r="E1640" i="31"/>
  <c r="F1636" i="31"/>
  <c r="I1636" i="31" s="1"/>
  <c r="I1637" i="31" s="1"/>
  <c r="I1645" i="31" s="1"/>
  <c r="E1636" i="31"/>
  <c r="F1632" i="31"/>
  <c r="I1632" i="31" s="1"/>
  <c r="I1633" i="31" s="1"/>
  <c r="I1644" i="31" s="1"/>
  <c r="E1632" i="31"/>
  <c r="F1628" i="31"/>
  <c r="G1628" i="31" s="1"/>
  <c r="E1628" i="31"/>
  <c r="C1625" i="31"/>
  <c r="E1622" i="31"/>
  <c r="F1613" i="31"/>
  <c r="I1613" i="31" s="1"/>
  <c r="I1614" i="31" s="1"/>
  <c r="I1619" i="31" s="1"/>
  <c r="E1613" i="31"/>
  <c r="F1609" i="31"/>
  <c r="I1609" i="31" s="1"/>
  <c r="I1610" i="31" s="1"/>
  <c r="I1618" i="31" s="1"/>
  <c r="E1609" i="31"/>
  <c r="F1605" i="31"/>
  <c r="I1605" i="31" s="1"/>
  <c r="I1606" i="31" s="1"/>
  <c r="I1617" i="31" s="1"/>
  <c r="E1605" i="31"/>
  <c r="F1601" i="31"/>
  <c r="G1601" i="31" s="1"/>
  <c r="E1601" i="31"/>
  <c r="C1598" i="31"/>
  <c r="E1595" i="31"/>
  <c r="F1586" i="31"/>
  <c r="G1586" i="31" s="1"/>
  <c r="E1586" i="31"/>
  <c r="F1582" i="31"/>
  <c r="I1582" i="31" s="1"/>
  <c r="I1583" i="31" s="1"/>
  <c r="I1591" i="31" s="1"/>
  <c r="E1582" i="31"/>
  <c r="F1578" i="31"/>
  <c r="I1578" i="31" s="1"/>
  <c r="I1579" i="31" s="1"/>
  <c r="I1590" i="31" s="1"/>
  <c r="E1578" i="31"/>
  <c r="F1574" i="31"/>
  <c r="I1574" i="31" s="1"/>
  <c r="I1575" i="31" s="1"/>
  <c r="I1589" i="31" s="1"/>
  <c r="E1574" i="31"/>
  <c r="C1571" i="31"/>
  <c r="E1569" i="31"/>
  <c r="F1560" i="31"/>
  <c r="G1560" i="31" s="1"/>
  <c r="E1560" i="31"/>
  <c r="F1556" i="31"/>
  <c r="G1556" i="31" s="1"/>
  <c r="E1556" i="31"/>
  <c r="F1555" i="31"/>
  <c r="G1555" i="31" s="1"/>
  <c r="E1555" i="31"/>
  <c r="F1551" i="31"/>
  <c r="I1551" i="31" s="1"/>
  <c r="I1552" i="31" s="1"/>
  <c r="I1564" i="31" s="1"/>
  <c r="E1551" i="31"/>
  <c r="F1547" i="31"/>
  <c r="I1547" i="31" s="1"/>
  <c r="E1547" i="31"/>
  <c r="F1546" i="31"/>
  <c r="I1546" i="31" s="1"/>
  <c r="E1546" i="31"/>
  <c r="F1545" i="31"/>
  <c r="I1545" i="31" s="1"/>
  <c r="E1545" i="31"/>
  <c r="F1544" i="31"/>
  <c r="I1544" i="31" s="1"/>
  <c r="E1544" i="31"/>
  <c r="C1541" i="31"/>
  <c r="E1539" i="31"/>
  <c r="F1530" i="31"/>
  <c r="I1530" i="31" s="1"/>
  <c r="I1531" i="31" s="1"/>
  <c r="I1536" i="31" s="1"/>
  <c r="E1530" i="31"/>
  <c r="G1526" i="31"/>
  <c r="F1526" i="31"/>
  <c r="I1526" i="31" s="1"/>
  <c r="E1526" i="31"/>
  <c r="G1525" i="31"/>
  <c r="F1525" i="31"/>
  <c r="I1525" i="31" s="1"/>
  <c r="E1525" i="31"/>
  <c r="F1524" i="31"/>
  <c r="I1524" i="31" s="1"/>
  <c r="E1524" i="31"/>
  <c r="F1523" i="31"/>
  <c r="I1523" i="31" s="1"/>
  <c r="E1523" i="31"/>
  <c r="F1519" i="31"/>
  <c r="I1519" i="31" s="1"/>
  <c r="I1520" i="31" s="1"/>
  <c r="I1534" i="31" s="1"/>
  <c r="E1519" i="31"/>
  <c r="F1515" i="31"/>
  <c r="G1515" i="31" s="1"/>
  <c r="E1515" i="31"/>
  <c r="C1512" i="31"/>
  <c r="E1510" i="31"/>
  <c r="F1501" i="31"/>
  <c r="G1501" i="31" s="1"/>
  <c r="E1501" i="31"/>
  <c r="G1497" i="31"/>
  <c r="F1497" i="31"/>
  <c r="I1497" i="31" s="1"/>
  <c r="I1498" i="31" s="1"/>
  <c r="I1506" i="31" s="1"/>
  <c r="F1493" i="31"/>
  <c r="I1493" i="31" s="1"/>
  <c r="E1493" i="31"/>
  <c r="I1492" i="31"/>
  <c r="F1492" i="31"/>
  <c r="E1492" i="31"/>
  <c r="F1491" i="31"/>
  <c r="I1491" i="31" s="1"/>
  <c r="E1491" i="31"/>
  <c r="F1487" i="31"/>
  <c r="G1487" i="31" s="1"/>
  <c r="E1487" i="31"/>
  <c r="D1487" i="31"/>
  <c r="I1487" i="31" s="1"/>
  <c r="F1486" i="31"/>
  <c r="G1486" i="31" s="1"/>
  <c r="E1486" i="31"/>
  <c r="D1486" i="31"/>
  <c r="F1485" i="31"/>
  <c r="G1485" i="31" s="1"/>
  <c r="E1485" i="31"/>
  <c r="D1485" i="31"/>
  <c r="F1484" i="31"/>
  <c r="G1484" i="31" s="1"/>
  <c r="E1484" i="31"/>
  <c r="D1484" i="31"/>
  <c r="I1484" i="31" s="1"/>
  <c r="C1481" i="31"/>
  <c r="F1467" i="31"/>
  <c r="I1467" i="31" s="1"/>
  <c r="I1468" i="31" s="1"/>
  <c r="I1473" i="31" s="1"/>
  <c r="E1467" i="31"/>
  <c r="G1463" i="31"/>
  <c r="F1463" i="31"/>
  <c r="I1463" i="31" s="1"/>
  <c r="I1464" i="31" s="1"/>
  <c r="I1472" i="31" s="1"/>
  <c r="E1463" i="31"/>
  <c r="I1459" i="31"/>
  <c r="G1459" i="31"/>
  <c r="F1459" i="31"/>
  <c r="E1459" i="31"/>
  <c r="I1458" i="31"/>
  <c r="I1460" i="31" s="1"/>
  <c r="I1471" i="31" s="1"/>
  <c r="G1458" i="31"/>
  <c r="F1458" i="31"/>
  <c r="E1458" i="31"/>
  <c r="I1454" i="31"/>
  <c r="F1454" i="31"/>
  <c r="G1454" i="31" s="1"/>
  <c r="E1454" i="31"/>
  <c r="F1453" i="31"/>
  <c r="G1453" i="31" s="1"/>
  <c r="E1453" i="31"/>
  <c r="F1452" i="31"/>
  <c r="G1452" i="31" s="1"/>
  <c r="E1452" i="31"/>
  <c r="F1451" i="31"/>
  <c r="G1451" i="31" s="1"/>
  <c r="E1451" i="31"/>
  <c r="E1448" i="31"/>
  <c r="E1476" i="31" s="1"/>
  <c r="C1448" i="31"/>
  <c r="F1436" i="31"/>
  <c r="I1436" i="31" s="1"/>
  <c r="I1437" i="31" s="1"/>
  <c r="I1442" i="31" s="1"/>
  <c r="E1436" i="31"/>
  <c r="F1432" i="31"/>
  <c r="I1432" i="31" s="1"/>
  <c r="I1433" i="31" s="1"/>
  <c r="I1441" i="31" s="1"/>
  <c r="E1432" i="31"/>
  <c r="I1428" i="31"/>
  <c r="F1428" i="31"/>
  <c r="G1428" i="31" s="1"/>
  <c r="E1428" i="31"/>
  <c r="I1427" i="31"/>
  <c r="F1427" i="31"/>
  <c r="G1427" i="31" s="1"/>
  <c r="F1423" i="31"/>
  <c r="I1423" i="31" s="1"/>
  <c r="I1424" i="31" s="1"/>
  <c r="I1439" i="31" s="1"/>
  <c r="E1423" i="31"/>
  <c r="E1420" i="31"/>
  <c r="E1445" i="31" s="1"/>
  <c r="C1420" i="31"/>
  <c r="F1408" i="31"/>
  <c r="I1408" i="31" s="1"/>
  <c r="I1409" i="31" s="1"/>
  <c r="I1414" i="31" s="1"/>
  <c r="E1408" i="31"/>
  <c r="F1404" i="31"/>
  <c r="I1404" i="31" s="1"/>
  <c r="I1405" i="31" s="1"/>
  <c r="I1413" i="31" s="1"/>
  <c r="E1404" i="31"/>
  <c r="F1400" i="31"/>
  <c r="I1400" i="31" s="1"/>
  <c r="I1401" i="31" s="1"/>
  <c r="I1412" i="31" s="1"/>
  <c r="E1400" i="31"/>
  <c r="I1396" i="31"/>
  <c r="G1396" i="31"/>
  <c r="I1395" i="31"/>
  <c r="G1395" i="31"/>
  <c r="I1394" i="31"/>
  <c r="G1394" i="31"/>
  <c r="F1393" i="31"/>
  <c r="I1393" i="31" s="1"/>
  <c r="E1393" i="31"/>
  <c r="E1390" i="31"/>
  <c r="E1417" i="31" s="1"/>
  <c r="C1390" i="31"/>
  <c r="F1378" i="31"/>
  <c r="E1378" i="31"/>
  <c r="F1374" i="31"/>
  <c r="G1374" i="31" s="1"/>
  <c r="E1374" i="31"/>
  <c r="I1373" i="31"/>
  <c r="F1373" i="31"/>
  <c r="G1373" i="31" s="1"/>
  <c r="E1373" i="31"/>
  <c r="F1372" i="31"/>
  <c r="G1372" i="31" s="1"/>
  <c r="E1372" i="31"/>
  <c r="F1368" i="31"/>
  <c r="I1368" i="31" s="1"/>
  <c r="I1369" i="31" s="1"/>
  <c r="E1368" i="31"/>
  <c r="F1364" i="31"/>
  <c r="I1364" i="31" s="1"/>
  <c r="I1365" i="31" s="1"/>
  <c r="I1381" i="31" s="1"/>
  <c r="E1364" i="31"/>
  <c r="E1361" i="31"/>
  <c r="E1387" i="31" s="1"/>
  <c r="C1361" i="31"/>
  <c r="F1349" i="31"/>
  <c r="E1349" i="31"/>
  <c r="F1345" i="31"/>
  <c r="I1345" i="31" s="1"/>
  <c r="E1345" i="31"/>
  <c r="F1344" i="31"/>
  <c r="I1344" i="31" s="1"/>
  <c r="E1344" i="31"/>
  <c r="F1340" i="31"/>
  <c r="I1340" i="31" s="1"/>
  <c r="I1341" i="31" s="1"/>
  <c r="E1340" i="31"/>
  <c r="F1336" i="31"/>
  <c r="I1336" i="31" s="1"/>
  <c r="I1337" i="31" s="1"/>
  <c r="I1352" i="31" s="1"/>
  <c r="E1336" i="31"/>
  <c r="E1333" i="31"/>
  <c r="E1358" i="31" s="1"/>
  <c r="C1333" i="31"/>
  <c r="F1320" i="31"/>
  <c r="E1320" i="31"/>
  <c r="F1316" i="31"/>
  <c r="I1316" i="31" s="1"/>
  <c r="I1317" i="31" s="1"/>
  <c r="I1325" i="31" s="1"/>
  <c r="E1316" i="31"/>
  <c r="F1312" i="31"/>
  <c r="I1312" i="31" s="1"/>
  <c r="I1313" i="31" s="1"/>
  <c r="E1312" i="31"/>
  <c r="F1308" i="31"/>
  <c r="I1308" i="31" s="1"/>
  <c r="I1309" i="31" s="1"/>
  <c r="I1323" i="31" s="1"/>
  <c r="E1308" i="31"/>
  <c r="E1305" i="31"/>
  <c r="C1305" i="31"/>
  <c r="F1293" i="31"/>
  <c r="E1293" i="31"/>
  <c r="F1289" i="31"/>
  <c r="I1289" i="31" s="1"/>
  <c r="E1289" i="31"/>
  <c r="F1288" i="31"/>
  <c r="I1288" i="31" s="1"/>
  <c r="E1288" i="31"/>
  <c r="F1284" i="31"/>
  <c r="I1284" i="31" s="1"/>
  <c r="I1285" i="31" s="1"/>
  <c r="E1284" i="31"/>
  <c r="F1280" i="31"/>
  <c r="I1280" i="31" s="1"/>
  <c r="I1281" i="31" s="1"/>
  <c r="I1296" i="31" s="1"/>
  <c r="E1280" i="31"/>
  <c r="E1277" i="31"/>
  <c r="E1302" i="31" s="1"/>
  <c r="C1277" i="31"/>
  <c r="F1264" i="31"/>
  <c r="E1264" i="31"/>
  <c r="F1260" i="31"/>
  <c r="I1260" i="31" s="1"/>
  <c r="E1260" i="31"/>
  <c r="F1259" i="31"/>
  <c r="I1259" i="31" s="1"/>
  <c r="E1259" i="31"/>
  <c r="F1255" i="31"/>
  <c r="I1255" i="31" s="1"/>
  <c r="I1256" i="31" s="1"/>
  <c r="E1255" i="31"/>
  <c r="F1251" i="31"/>
  <c r="E1251" i="31"/>
  <c r="E1248" i="31"/>
  <c r="E1273" i="31" s="1"/>
  <c r="C1248" i="31"/>
  <c r="F1236" i="31"/>
  <c r="E1236" i="31"/>
  <c r="F1232" i="31"/>
  <c r="I1232" i="31" s="1"/>
  <c r="I1233" i="31" s="1"/>
  <c r="I1241" i="31" s="1"/>
  <c r="F1228" i="31"/>
  <c r="I1228" i="31" s="1"/>
  <c r="E1228" i="31"/>
  <c r="F1227" i="31"/>
  <c r="I1227" i="31" s="1"/>
  <c r="E1227" i="31"/>
  <c r="F1226" i="31"/>
  <c r="I1226" i="31" s="1"/>
  <c r="E1226" i="31"/>
  <c r="I1222" i="31"/>
  <c r="F1222" i="31"/>
  <c r="G1222" i="31" s="1"/>
  <c r="E1222" i="31"/>
  <c r="I1221" i="31"/>
  <c r="F1221" i="31"/>
  <c r="G1221" i="31" s="1"/>
  <c r="E1221" i="31"/>
  <c r="G1220" i="31"/>
  <c r="F1220" i="31"/>
  <c r="E1220" i="31"/>
  <c r="D1220" i="31"/>
  <c r="I1219" i="31"/>
  <c r="F1219" i="31"/>
  <c r="G1219" i="31" s="1"/>
  <c r="E1219" i="31"/>
  <c r="I1218" i="31"/>
  <c r="F1218" i="31"/>
  <c r="G1218" i="31" s="1"/>
  <c r="E1218" i="31"/>
  <c r="E1215" i="31"/>
  <c r="E1245" i="31" s="1"/>
  <c r="C1215" i="31"/>
  <c r="D1209" i="31"/>
  <c r="F1200" i="31"/>
  <c r="E1200" i="31"/>
  <c r="F1196" i="31"/>
  <c r="I1196" i="31" s="1"/>
  <c r="I1197" i="31" s="1"/>
  <c r="I1205" i="31" s="1"/>
  <c r="E1196" i="31"/>
  <c r="F1192" i="31"/>
  <c r="G1192" i="31" s="1"/>
  <c r="E1192" i="31"/>
  <c r="F1188" i="31"/>
  <c r="I1188" i="31" s="1"/>
  <c r="E1188" i="31"/>
  <c r="F1187" i="31"/>
  <c r="I1187" i="31" s="1"/>
  <c r="I1189" i="31" s="1"/>
  <c r="I1203" i="31" s="1"/>
  <c r="E1187" i="31"/>
  <c r="E1184" i="31"/>
  <c r="C1184" i="31"/>
  <c r="F1172" i="31"/>
  <c r="I1172" i="31" s="1"/>
  <c r="I1173" i="31" s="1"/>
  <c r="I1178" i="31" s="1"/>
  <c r="E1172" i="31"/>
  <c r="G1168" i="31"/>
  <c r="F1168" i="31"/>
  <c r="I1168" i="31" s="1"/>
  <c r="I1169" i="31" s="1"/>
  <c r="I1177" i="31" s="1"/>
  <c r="E1168" i="31"/>
  <c r="F1164" i="31"/>
  <c r="G1164" i="31" s="1"/>
  <c r="E1164" i="31"/>
  <c r="G1160" i="31"/>
  <c r="F1160" i="31"/>
  <c r="I1160" i="31" s="1"/>
  <c r="I1161" i="31" s="1"/>
  <c r="I1175" i="31" s="1"/>
  <c r="E1160" i="31"/>
  <c r="E1157" i="31"/>
  <c r="E1181" i="31" s="1"/>
  <c r="C1157" i="31"/>
  <c r="F1145" i="31"/>
  <c r="E1145" i="31"/>
  <c r="G1141" i="31"/>
  <c r="F1141" i="31"/>
  <c r="I1141" i="31" s="1"/>
  <c r="E1141" i="31"/>
  <c r="F1140" i="31"/>
  <c r="I1140" i="31" s="1"/>
  <c r="E1140" i="31"/>
  <c r="F1139" i="31"/>
  <c r="I1139" i="31" s="1"/>
  <c r="E1139" i="31"/>
  <c r="G1138" i="31"/>
  <c r="F1138" i="31"/>
  <c r="I1138" i="31" s="1"/>
  <c r="E1138" i="31"/>
  <c r="F1134" i="31"/>
  <c r="I1134" i="31" s="1"/>
  <c r="I1135" i="31" s="1"/>
  <c r="E1134" i="31"/>
  <c r="F1130" i="31"/>
  <c r="I1130" i="31" s="1"/>
  <c r="I1131" i="31" s="1"/>
  <c r="I1148" i="31" s="1"/>
  <c r="E1130" i="31"/>
  <c r="E1127" i="31"/>
  <c r="E1154" i="31" s="1"/>
  <c r="C1127" i="31"/>
  <c r="F1115" i="31"/>
  <c r="E1115" i="31"/>
  <c r="F1111" i="31"/>
  <c r="I1111" i="31" s="1"/>
  <c r="I1112" i="31" s="1"/>
  <c r="I1120" i="31" s="1"/>
  <c r="E1111" i="31"/>
  <c r="F1107" i="31"/>
  <c r="I1107" i="31" s="1"/>
  <c r="I1108" i="31" s="1"/>
  <c r="E1107" i="31"/>
  <c r="I1103" i="31"/>
  <c r="I1104" i="31" s="1"/>
  <c r="I1118" i="31" s="1"/>
  <c r="F1103" i="31"/>
  <c r="G1103" i="31" s="1"/>
  <c r="E1103" i="31"/>
  <c r="E1100" i="31"/>
  <c r="E1124" i="31" s="1"/>
  <c r="C1100" i="31"/>
  <c r="F1088" i="31"/>
  <c r="E1088" i="31"/>
  <c r="F1084" i="31"/>
  <c r="I1084" i="31" s="1"/>
  <c r="E1084" i="31"/>
  <c r="F1083" i="31"/>
  <c r="I1083" i="31" s="1"/>
  <c r="E1083" i="31"/>
  <c r="F1082" i="31"/>
  <c r="I1082" i="31" s="1"/>
  <c r="E1082" i="31"/>
  <c r="F1078" i="31"/>
  <c r="G1078" i="31" s="1"/>
  <c r="E1078" i="31"/>
  <c r="G1074" i="31"/>
  <c r="F1074" i="31"/>
  <c r="I1074" i="31" s="1"/>
  <c r="I1075" i="31" s="1"/>
  <c r="I1091" i="31" s="1"/>
  <c r="E1074" i="31"/>
  <c r="E1071" i="31"/>
  <c r="E1097" i="31" s="1"/>
  <c r="C1071" i="31"/>
  <c r="F1059" i="31"/>
  <c r="E1059" i="31"/>
  <c r="F1055" i="31"/>
  <c r="G1055" i="31" s="1"/>
  <c r="E1055" i="31"/>
  <c r="F1054" i="31"/>
  <c r="G1054" i="31" s="1"/>
  <c r="E1054" i="31"/>
  <c r="F1050" i="31"/>
  <c r="I1050" i="31" s="1"/>
  <c r="I1051" i="31" s="1"/>
  <c r="E1050" i="31"/>
  <c r="F1046" i="31"/>
  <c r="I1046" i="31" s="1"/>
  <c r="I1047" i="31" s="1"/>
  <c r="I1062" i="31" s="1"/>
  <c r="E1046" i="31"/>
  <c r="E1043" i="31"/>
  <c r="E1068" i="31" s="1"/>
  <c r="C1043" i="31"/>
  <c r="E1041" i="31"/>
  <c r="F1032" i="31"/>
  <c r="E1032" i="31"/>
  <c r="F1028" i="31"/>
  <c r="G1028" i="31" s="1"/>
  <c r="F1024" i="31"/>
  <c r="I1024" i="31" s="1"/>
  <c r="F1023" i="31"/>
  <c r="I1023" i="31" s="1"/>
  <c r="E1023" i="31"/>
  <c r="F1022" i="31"/>
  <c r="I1022" i="31" s="1"/>
  <c r="E1022" i="31"/>
  <c r="G1018" i="31"/>
  <c r="F1018" i="31"/>
  <c r="I1018" i="31" s="1"/>
  <c r="E1018" i="31"/>
  <c r="F1017" i="31"/>
  <c r="I1017" i="31" s="1"/>
  <c r="E1017" i="31"/>
  <c r="F1016" i="31"/>
  <c r="G1016" i="31" s="1"/>
  <c r="E1016" i="31"/>
  <c r="D1016" i="31"/>
  <c r="F1015" i="31"/>
  <c r="I1015" i="31" s="1"/>
  <c r="E1015" i="31"/>
  <c r="F1014" i="31"/>
  <c r="I1014" i="31" s="1"/>
  <c r="E1014" i="31"/>
  <c r="C1011" i="31"/>
  <c r="F997" i="31"/>
  <c r="I997" i="31" s="1"/>
  <c r="I998" i="31" s="1"/>
  <c r="I1003" i="31" s="1"/>
  <c r="E997" i="31"/>
  <c r="G993" i="31"/>
  <c r="F993" i="31"/>
  <c r="I993" i="31" s="1"/>
  <c r="I994" i="31" s="1"/>
  <c r="I1002" i="31" s="1"/>
  <c r="E993" i="31"/>
  <c r="F989" i="31"/>
  <c r="G989" i="31" s="1"/>
  <c r="E989" i="31"/>
  <c r="E976" i="31"/>
  <c r="E1006" i="31" s="1"/>
  <c r="C976" i="31"/>
  <c r="F964" i="31"/>
  <c r="I964" i="31" s="1"/>
  <c r="I965" i="31" s="1"/>
  <c r="I970" i="31" s="1"/>
  <c r="E964" i="31"/>
  <c r="I960" i="31"/>
  <c r="I961" i="31" s="1"/>
  <c r="I969" i="31" s="1"/>
  <c r="F960" i="31"/>
  <c r="G960" i="31" s="1"/>
  <c r="E960" i="31"/>
  <c r="F956" i="31"/>
  <c r="G956" i="31" s="1"/>
  <c r="E956" i="31"/>
  <c r="F952" i="31"/>
  <c r="I952" i="31" s="1"/>
  <c r="I953" i="31" s="1"/>
  <c r="I967" i="31" s="1"/>
  <c r="E952" i="31"/>
  <c r="E949" i="31"/>
  <c r="E973" i="31" s="1"/>
  <c r="C949" i="31"/>
  <c r="F937" i="31"/>
  <c r="I937" i="31" s="1"/>
  <c r="I938" i="31" s="1"/>
  <c r="I943" i="31" s="1"/>
  <c r="E937" i="31"/>
  <c r="I933" i="31"/>
  <c r="I934" i="31" s="1"/>
  <c r="I942" i="31" s="1"/>
  <c r="F933" i="31"/>
  <c r="G933" i="31" s="1"/>
  <c r="E933" i="31"/>
  <c r="F929" i="31"/>
  <c r="I929" i="31" s="1"/>
  <c r="I930" i="31" s="1"/>
  <c r="I941" i="31" s="1"/>
  <c r="E929" i="31"/>
  <c r="F925" i="31"/>
  <c r="I925" i="31" s="1"/>
  <c r="I926" i="31" s="1"/>
  <c r="I940" i="31" s="1"/>
  <c r="E925" i="31"/>
  <c r="E922" i="31"/>
  <c r="E946" i="31" s="1"/>
  <c r="C922" i="31"/>
  <c r="F910" i="31"/>
  <c r="I910" i="31" s="1"/>
  <c r="I911" i="31" s="1"/>
  <c r="I916" i="31" s="1"/>
  <c r="E910" i="31"/>
  <c r="I906" i="31"/>
  <c r="I907" i="31" s="1"/>
  <c r="I915" i="31" s="1"/>
  <c r="F906" i="31"/>
  <c r="G906" i="31" s="1"/>
  <c r="E906" i="31"/>
  <c r="F902" i="31"/>
  <c r="I902" i="31" s="1"/>
  <c r="I903" i="31" s="1"/>
  <c r="I914" i="31" s="1"/>
  <c r="E902" i="31"/>
  <c r="F898" i="31"/>
  <c r="I898" i="31" s="1"/>
  <c r="I899" i="31" s="1"/>
  <c r="I913" i="31" s="1"/>
  <c r="E898" i="31"/>
  <c r="E895" i="31"/>
  <c r="E919" i="31" s="1"/>
  <c r="C895" i="31"/>
  <c r="F883" i="31"/>
  <c r="I883" i="31" s="1"/>
  <c r="I884" i="31" s="1"/>
  <c r="I889" i="31" s="1"/>
  <c r="E883" i="31"/>
  <c r="F879" i="31"/>
  <c r="G879" i="31" s="1"/>
  <c r="E879" i="31"/>
  <c r="F875" i="31"/>
  <c r="I875" i="31" s="1"/>
  <c r="I876" i="31" s="1"/>
  <c r="I887" i="31" s="1"/>
  <c r="E875" i="31"/>
  <c r="F871" i="31"/>
  <c r="I871" i="31" s="1"/>
  <c r="I872" i="31" s="1"/>
  <c r="I886" i="31" s="1"/>
  <c r="E871" i="31"/>
  <c r="E868" i="31"/>
  <c r="E892" i="31" s="1"/>
  <c r="C868" i="31"/>
  <c r="F856" i="31"/>
  <c r="I856" i="31" s="1"/>
  <c r="I857" i="31" s="1"/>
  <c r="I862" i="31" s="1"/>
  <c r="E856" i="31"/>
  <c r="F852" i="31"/>
  <c r="G852" i="31" s="1"/>
  <c r="E852" i="31"/>
  <c r="G848" i="31"/>
  <c r="F848" i="31"/>
  <c r="I848" i="31" s="1"/>
  <c r="I849" i="31" s="1"/>
  <c r="I860" i="31" s="1"/>
  <c r="E848" i="31"/>
  <c r="F844" i="31"/>
  <c r="I844" i="31" s="1"/>
  <c r="I845" i="31" s="1"/>
  <c r="I859" i="31" s="1"/>
  <c r="E844" i="31"/>
  <c r="E841" i="31"/>
  <c r="E865" i="31" s="1"/>
  <c r="C841" i="31"/>
  <c r="F829" i="31"/>
  <c r="I829" i="31" s="1"/>
  <c r="I830" i="31" s="1"/>
  <c r="I835" i="31" s="1"/>
  <c r="E829" i="31"/>
  <c r="F825" i="31"/>
  <c r="I825" i="31" s="1"/>
  <c r="I826" i="31" s="1"/>
  <c r="I834" i="31" s="1"/>
  <c r="E825" i="31"/>
  <c r="G821" i="31"/>
  <c r="F821" i="31"/>
  <c r="I821" i="31" s="1"/>
  <c r="I822" i="31" s="1"/>
  <c r="I833" i="31" s="1"/>
  <c r="E821" i="31"/>
  <c r="F817" i="31"/>
  <c r="I817" i="31" s="1"/>
  <c r="I818" i="31" s="1"/>
  <c r="I832" i="31" s="1"/>
  <c r="E817" i="31"/>
  <c r="E814" i="31"/>
  <c r="E838" i="31" s="1"/>
  <c r="C814" i="31"/>
  <c r="F802" i="31"/>
  <c r="I802" i="31" s="1"/>
  <c r="I803" i="31" s="1"/>
  <c r="I808" i="31" s="1"/>
  <c r="E802" i="31"/>
  <c r="F798" i="31"/>
  <c r="G798" i="31" s="1"/>
  <c r="E798" i="31"/>
  <c r="F794" i="31"/>
  <c r="G794" i="31" s="1"/>
  <c r="E794" i="31"/>
  <c r="F790" i="31"/>
  <c r="I790" i="31" s="1"/>
  <c r="I791" i="31" s="1"/>
  <c r="I805" i="31" s="1"/>
  <c r="E790" i="31"/>
  <c r="E787" i="31"/>
  <c r="E811" i="31" s="1"/>
  <c r="C787" i="31"/>
  <c r="F775" i="31"/>
  <c r="I775" i="31" s="1"/>
  <c r="I776" i="31" s="1"/>
  <c r="I781" i="31" s="1"/>
  <c r="E775" i="31"/>
  <c r="F771" i="31"/>
  <c r="I771" i="31" s="1"/>
  <c r="I772" i="31" s="1"/>
  <c r="I780" i="31" s="1"/>
  <c r="E771" i="31"/>
  <c r="F767" i="31"/>
  <c r="I767" i="31" s="1"/>
  <c r="I768" i="31" s="1"/>
  <c r="I779" i="31" s="1"/>
  <c r="E767" i="31"/>
  <c r="F763" i="31"/>
  <c r="I763" i="31" s="1"/>
  <c r="I764" i="31" s="1"/>
  <c r="I778" i="31" s="1"/>
  <c r="E763" i="31"/>
  <c r="E760" i="31"/>
  <c r="E784" i="31" s="1"/>
  <c r="C760" i="31"/>
  <c r="F748" i="31"/>
  <c r="I748" i="31" s="1"/>
  <c r="I749" i="31" s="1"/>
  <c r="I754" i="31" s="1"/>
  <c r="E748" i="31"/>
  <c r="F744" i="31"/>
  <c r="I744" i="31" s="1"/>
  <c r="I745" i="31" s="1"/>
  <c r="I753" i="31" s="1"/>
  <c r="E744" i="31"/>
  <c r="F740" i="31"/>
  <c r="I740" i="31" s="1"/>
  <c r="I741" i="31" s="1"/>
  <c r="I752" i="31" s="1"/>
  <c r="E740" i="31"/>
  <c r="F736" i="31"/>
  <c r="I736" i="31" s="1"/>
  <c r="I737" i="31" s="1"/>
  <c r="I751" i="31" s="1"/>
  <c r="E736" i="31"/>
  <c r="E733" i="31"/>
  <c r="E757" i="31" s="1"/>
  <c r="C733" i="31"/>
  <c r="F721" i="31"/>
  <c r="I721" i="31" s="1"/>
  <c r="I722" i="31" s="1"/>
  <c r="I727" i="31" s="1"/>
  <c r="E721" i="31"/>
  <c r="F717" i="31"/>
  <c r="I717" i="31" s="1"/>
  <c r="I718" i="31" s="1"/>
  <c r="I726" i="31" s="1"/>
  <c r="E717" i="31"/>
  <c r="F713" i="31"/>
  <c r="I713" i="31" s="1"/>
  <c r="I714" i="31" s="1"/>
  <c r="I725" i="31" s="1"/>
  <c r="E713" i="31"/>
  <c r="F709" i="31"/>
  <c r="I709" i="31" s="1"/>
  <c r="I710" i="31" s="1"/>
  <c r="I724" i="31" s="1"/>
  <c r="E709" i="31"/>
  <c r="E706" i="31"/>
  <c r="E730" i="31" s="1"/>
  <c r="C706" i="31"/>
  <c r="F694" i="31"/>
  <c r="I694" i="31" s="1"/>
  <c r="I695" i="31" s="1"/>
  <c r="I700" i="31" s="1"/>
  <c r="E694" i="31"/>
  <c r="F690" i="31"/>
  <c r="I690" i="31" s="1"/>
  <c r="I691" i="31" s="1"/>
  <c r="I699" i="31" s="1"/>
  <c r="E690" i="31"/>
  <c r="F686" i="31"/>
  <c r="I686" i="31" s="1"/>
  <c r="I687" i="31" s="1"/>
  <c r="I698" i="31" s="1"/>
  <c r="E686" i="31"/>
  <c r="F682" i="31"/>
  <c r="I682" i="31" s="1"/>
  <c r="I683" i="31" s="1"/>
  <c r="I697" i="31" s="1"/>
  <c r="E682" i="31"/>
  <c r="E679" i="31"/>
  <c r="E703" i="31" s="1"/>
  <c r="C679" i="31"/>
  <c r="F667" i="31"/>
  <c r="I667" i="31" s="1"/>
  <c r="I668" i="31" s="1"/>
  <c r="I673" i="31" s="1"/>
  <c r="E667" i="31"/>
  <c r="F663" i="31"/>
  <c r="I663" i="31" s="1"/>
  <c r="I664" i="31" s="1"/>
  <c r="I672" i="31" s="1"/>
  <c r="E663" i="31"/>
  <c r="L661" i="31"/>
  <c r="F659" i="31"/>
  <c r="I659" i="31" s="1"/>
  <c r="I660" i="31" s="1"/>
  <c r="I671" i="31" s="1"/>
  <c r="E659" i="31"/>
  <c r="F655" i="31"/>
  <c r="E655" i="31"/>
  <c r="E652" i="31"/>
  <c r="E676" i="31" s="1"/>
  <c r="C652" i="31"/>
  <c r="F638" i="31"/>
  <c r="I638" i="31" s="1"/>
  <c r="I639" i="31" s="1"/>
  <c r="I644" i="31" s="1"/>
  <c r="E638" i="31"/>
  <c r="G634" i="31"/>
  <c r="F634" i="31"/>
  <c r="I634" i="31" s="1"/>
  <c r="I635" i="31" s="1"/>
  <c r="I643" i="31" s="1"/>
  <c r="E634" i="31"/>
  <c r="F630" i="31"/>
  <c r="I630" i="31" s="1"/>
  <c r="E630" i="31"/>
  <c r="F629" i="31"/>
  <c r="I629" i="31" s="1"/>
  <c r="I631" i="31" s="1"/>
  <c r="I642" i="31" s="1"/>
  <c r="E629" i="31"/>
  <c r="F625" i="31"/>
  <c r="E625" i="31"/>
  <c r="F624" i="31"/>
  <c r="E624" i="31"/>
  <c r="F623" i="31"/>
  <c r="E623" i="31"/>
  <c r="F622" i="31"/>
  <c r="E622" i="31"/>
  <c r="E619" i="31"/>
  <c r="E647" i="31" s="1"/>
  <c r="C619" i="31"/>
  <c r="F607" i="31"/>
  <c r="I607" i="31" s="1"/>
  <c r="I608" i="31" s="1"/>
  <c r="I613" i="31" s="1"/>
  <c r="E607" i="31"/>
  <c r="F603" i="31"/>
  <c r="G603" i="31" s="1"/>
  <c r="E603" i="31"/>
  <c r="F599" i="31"/>
  <c r="I599" i="31" s="1"/>
  <c r="I600" i="31" s="1"/>
  <c r="I611" i="31" s="1"/>
  <c r="E599" i="31"/>
  <c r="F595" i="31"/>
  <c r="E595" i="31"/>
  <c r="E592" i="31"/>
  <c r="E616" i="31" s="1"/>
  <c r="C592" i="31"/>
  <c r="F580" i="31"/>
  <c r="I580" i="31" s="1"/>
  <c r="I581" i="31" s="1"/>
  <c r="I586" i="31" s="1"/>
  <c r="E580" i="31"/>
  <c r="F576" i="31"/>
  <c r="I576" i="31" s="1"/>
  <c r="I577" i="31" s="1"/>
  <c r="I585" i="31" s="1"/>
  <c r="E576" i="31"/>
  <c r="F572" i="31"/>
  <c r="I572" i="31" s="1"/>
  <c r="I573" i="31" s="1"/>
  <c r="I584" i="31" s="1"/>
  <c r="E572" i="31"/>
  <c r="F568" i="31"/>
  <c r="E568" i="31"/>
  <c r="E565" i="31"/>
  <c r="E589" i="31" s="1"/>
  <c r="C565" i="31"/>
  <c r="F551" i="31"/>
  <c r="E551" i="31"/>
  <c r="F547" i="31"/>
  <c r="I547" i="31" s="1"/>
  <c r="I548" i="31" s="1"/>
  <c r="I556" i="31" s="1"/>
  <c r="E547" i="31"/>
  <c r="F543" i="31"/>
  <c r="E543" i="31"/>
  <c r="F542" i="31"/>
  <c r="E542" i="31"/>
  <c r="F538" i="31"/>
  <c r="I538" i="31" s="1"/>
  <c r="E538" i="31"/>
  <c r="F537" i="31"/>
  <c r="I537" i="31" s="1"/>
  <c r="E537" i="31"/>
  <c r="F536" i="31"/>
  <c r="I536" i="31" s="1"/>
  <c r="E536" i="31"/>
  <c r="F535" i="31"/>
  <c r="I535" i="31" s="1"/>
  <c r="E535" i="31"/>
  <c r="E532" i="31"/>
  <c r="C532" i="31"/>
  <c r="F520" i="31"/>
  <c r="E520" i="31"/>
  <c r="F516" i="31"/>
  <c r="E516" i="31"/>
  <c r="F512" i="31"/>
  <c r="I512" i="31" s="1"/>
  <c r="E512" i="31"/>
  <c r="G511" i="31"/>
  <c r="F511" i="31"/>
  <c r="I511" i="31" s="1"/>
  <c r="E511" i="31"/>
  <c r="G510" i="31"/>
  <c r="F510" i="31"/>
  <c r="I510" i="31" s="1"/>
  <c r="E510" i="31"/>
  <c r="G506" i="31"/>
  <c r="F506" i="31"/>
  <c r="I506" i="31" s="1"/>
  <c r="E506" i="31"/>
  <c r="F505" i="31"/>
  <c r="I505" i="31" s="1"/>
  <c r="E505" i="31"/>
  <c r="F504" i="31"/>
  <c r="G504" i="31" s="1"/>
  <c r="E504" i="31"/>
  <c r="D504" i="31"/>
  <c r="F503" i="31"/>
  <c r="I503" i="31" s="1"/>
  <c r="E503" i="31"/>
  <c r="E500" i="31"/>
  <c r="E529" i="31" s="1"/>
  <c r="C500" i="31"/>
  <c r="F489" i="31"/>
  <c r="I489" i="31" s="1"/>
  <c r="I490" i="31" s="1"/>
  <c r="I495" i="31" s="1"/>
  <c r="E489" i="31"/>
  <c r="F485" i="31"/>
  <c r="G485" i="31" s="1"/>
  <c r="E485" i="31"/>
  <c r="D485" i="31"/>
  <c r="F484" i="31"/>
  <c r="G484" i="31" s="1"/>
  <c r="E484" i="31"/>
  <c r="F480" i="31"/>
  <c r="I480" i="31" s="1"/>
  <c r="I481" i="31" s="1"/>
  <c r="I493" i="31" s="1"/>
  <c r="E480" i="31"/>
  <c r="F476" i="31"/>
  <c r="E476" i="31"/>
  <c r="E473" i="31"/>
  <c r="E498" i="31" s="1"/>
  <c r="C473" i="31"/>
  <c r="F461" i="31"/>
  <c r="E461" i="31"/>
  <c r="F457" i="31"/>
  <c r="I457" i="31" s="1"/>
  <c r="E457" i="31"/>
  <c r="F456" i="31"/>
  <c r="I456" i="31" s="1"/>
  <c r="E456" i="31"/>
  <c r="F455" i="31"/>
  <c r="I455" i="31" s="1"/>
  <c r="E455" i="31"/>
  <c r="F454" i="31"/>
  <c r="G454" i="31" s="1"/>
  <c r="E454" i="31"/>
  <c r="D454" i="31"/>
  <c r="F453" i="31"/>
  <c r="G453" i="31" s="1"/>
  <c r="E453" i="31"/>
  <c r="D453" i="31"/>
  <c r="I452" i="31"/>
  <c r="F452" i="31"/>
  <c r="G452" i="31" s="1"/>
  <c r="E452" i="31"/>
  <c r="I451" i="31"/>
  <c r="F451" i="31"/>
  <c r="G451" i="31" s="1"/>
  <c r="E451" i="31"/>
  <c r="F447" i="31"/>
  <c r="I447" i="31" s="1"/>
  <c r="E447" i="31"/>
  <c r="I446" i="31"/>
  <c r="F446" i="31"/>
  <c r="G446" i="31" s="1"/>
  <c r="E446" i="31"/>
  <c r="F442" i="31"/>
  <c r="I442" i="31" s="1"/>
  <c r="I443" i="31" s="1"/>
  <c r="I464" i="31" s="1"/>
  <c r="E442" i="31"/>
  <c r="F441" i="31"/>
  <c r="I441" i="31" s="1"/>
  <c r="E441" i="31"/>
  <c r="E438" i="31"/>
  <c r="E470" i="31" s="1"/>
  <c r="C438" i="31"/>
  <c r="F426" i="31"/>
  <c r="I426" i="31" s="1"/>
  <c r="I427" i="31" s="1"/>
  <c r="I432" i="31" s="1"/>
  <c r="E426" i="31"/>
  <c r="I422" i="31"/>
  <c r="F422" i="31"/>
  <c r="G422" i="31" s="1"/>
  <c r="E422" i="31"/>
  <c r="I421" i="31"/>
  <c r="F421" i="31"/>
  <c r="G421" i="31" s="1"/>
  <c r="E421" i="31"/>
  <c r="F420" i="31"/>
  <c r="G420" i="31" s="1"/>
  <c r="E420" i="31"/>
  <c r="F419" i="31"/>
  <c r="G419" i="31" s="1"/>
  <c r="E419" i="31"/>
  <c r="D419" i="31"/>
  <c r="I419" i="31" s="1"/>
  <c r="I418" i="31"/>
  <c r="F418" i="31"/>
  <c r="G418" i="31" s="1"/>
  <c r="E418" i="31"/>
  <c r="F414" i="31"/>
  <c r="I414" i="31" s="1"/>
  <c r="E414" i="31"/>
  <c r="F413" i="31"/>
  <c r="I413" i="31" s="1"/>
  <c r="E413" i="31"/>
  <c r="F409" i="31"/>
  <c r="E409" i="31"/>
  <c r="F408" i="31"/>
  <c r="E408" i="31"/>
  <c r="E405" i="31"/>
  <c r="E435" i="31" s="1"/>
  <c r="C405" i="31"/>
  <c r="F393" i="31"/>
  <c r="I393" i="31" s="1"/>
  <c r="I394" i="31" s="1"/>
  <c r="I399" i="31" s="1"/>
  <c r="E393" i="31"/>
  <c r="F389" i="31"/>
  <c r="I389" i="31" s="1"/>
  <c r="E389" i="31"/>
  <c r="F388" i="31"/>
  <c r="I388" i="31" s="1"/>
  <c r="E388" i="31"/>
  <c r="F387" i="31"/>
  <c r="I387" i="31" s="1"/>
  <c r="E387" i="31"/>
  <c r="F386" i="31"/>
  <c r="I386" i="31" s="1"/>
  <c r="E386" i="31"/>
  <c r="F382" i="31"/>
  <c r="I382" i="31" s="1"/>
  <c r="I383" i="31" s="1"/>
  <c r="I397" i="31" s="1"/>
  <c r="E382" i="31"/>
  <c r="F378" i="31"/>
  <c r="E378" i="31"/>
  <c r="E375" i="31"/>
  <c r="E402" i="31" s="1"/>
  <c r="C375" i="31"/>
  <c r="F363" i="31"/>
  <c r="I363" i="31" s="1"/>
  <c r="I364" i="31" s="1"/>
  <c r="I369" i="31" s="1"/>
  <c r="E363" i="31"/>
  <c r="I359" i="31"/>
  <c r="G359" i="31"/>
  <c r="F359" i="31"/>
  <c r="E359" i="31"/>
  <c r="I358" i="31"/>
  <c r="F358" i="31"/>
  <c r="G358" i="31" s="1"/>
  <c r="E358" i="31"/>
  <c r="I357" i="31"/>
  <c r="G357" i="31"/>
  <c r="F357" i="31"/>
  <c r="E357" i="31"/>
  <c r="I356" i="31"/>
  <c r="F356" i="31"/>
  <c r="G356" i="31" s="1"/>
  <c r="E356" i="31"/>
  <c r="F352" i="31"/>
  <c r="I352" i="31" s="1"/>
  <c r="I353" i="31" s="1"/>
  <c r="I367" i="31" s="1"/>
  <c r="E352" i="31"/>
  <c r="F348" i="31"/>
  <c r="E348" i="31"/>
  <c r="E345" i="31"/>
  <c r="E372" i="31" s="1"/>
  <c r="C345" i="31"/>
  <c r="F333" i="31"/>
  <c r="I333" i="31" s="1"/>
  <c r="I334" i="31" s="1"/>
  <c r="I339" i="31" s="1"/>
  <c r="E333" i="31"/>
  <c r="G329" i="31"/>
  <c r="F329" i="31"/>
  <c r="I329" i="31" s="1"/>
  <c r="I330" i="31" s="1"/>
  <c r="I338" i="31" s="1"/>
  <c r="E329" i="31"/>
  <c r="F325" i="31"/>
  <c r="I325" i="31" s="1"/>
  <c r="I326" i="31" s="1"/>
  <c r="I337" i="31" s="1"/>
  <c r="E325" i="31"/>
  <c r="F321" i="31"/>
  <c r="E321" i="31"/>
  <c r="E318" i="31"/>
  <c r="E342" i="31" s="1"/>
  <c r="C318" i="31"/>
  <c r="F304" i="31"/>
  <c r="E304" i="31"/>
  <c r="F300" i="31"/>
  <c r="I300" i="31" s="1"/>
  <c r="I301" i="31" s="1"/>
  <c r="I309" i="31" s="1"/>
  <c r="E300" i="31"/>
  <c r="F296" i="31"/>
  <c r="E296" i="31"/>
  <c r="F295" i="31"/>
  <c r="E295" i="31"/>
  <c r="F291" i="31"/>
  <c r="I291" i="31" s="1"/>
  <c r="E291" i="31"/>
  <c r="F290" i="31"/>
  <c r="G290" i="31" s="1"/>
  <c r="E290" i="31"/>
  <c r="F289" i="31"/>
  <c r="I289" i="31" s="1"/>
  <c r="E289" i="31"/>
  <c r="F288" i="31"/>
  <c r="G288" i="31" s="1"/>
  <c r="E288" i="31"/>
  <c r="E285" i="31"/>
  <c r="C285" i="31"/>
  <c r="F273" i="31"/>
  <c r="E273" i="31"/>
  <c r="F269" i="31"/>
  <c r="E269" i="31"/>
  <c r="I265" i="31"/>
  <c r="G265" i="31"/>
  <c r="F265" i="31"/>
  <c r="E265" i="31"/>
  <c r="I264" i="31"/>
  <c r="G264" i="31"/>
  <c r="F264" i="31"/>
  <c r="E264" i="31"/>
  <c r="I263" i="31"/>
  <c r="I266" i="31" s="1"/>
  <c r="I277" i="31" s="1"/>
  <c r="G263" i="31"/>
  <c r="F263" i="31"/>
  <c r="E263" i="31"/>
  <c r="I259" i="31"/>
  <c r="G259" i="31"/>
  <c r="F259" i="31"/>
  <c r="E259" i="31"/>
  <c r="I258" i="31"/>
  <c r="G258" i="31"/>
  <c r="F258" i="31"/>
  <c r="E258" i="31"/>
  <c r="G257" i="31"/>
  <c r="F257" i="31"/>
  <c r="E257" i="31"/>
  <c r="D257" i="31"/>
  <c r="F256" i="31"/>
  <c r="I256" i="31" s="1"/>
  <c r="E256" i="31"/>
  <c r="E253" i="31"/>
  <c r="E282" i="31" s="1"/>
  <c r="C253" i="31"/>
  <c r="F241" i="31"/>
  <c r="I241" i="31" s="1"/>
  <c r="I242" i="31" s="1"/>
  <c r="I247" i="31" s="1"/>
  <c r="E241" i="31"/>
  <c r="F237" i="31"/>
  <c r="G237" i="31" s="1"/>
  <c r="E237" i="31"/>
  <c r="I236" i="31"/>
  <c r="F236" i="31"/>
  <c r="G236" i="31" s="1"/>
  <c r="E236" i="31"/>
  <c r="D236" i="31"/>
  <c r="D237" i="31" s="1"/>
  <c r="I237" i="31" s="1"/>
  <c r="F232" i="31"/>
  <c r="E232" i="31"/>
  <c r="F228" i="31"/>
  <c r="I228" i="31" s="1"/>
  <c r="I229" i="31" s="1"/>
  <c r="I244" i="31" s="1"/>
  <c r="E228" i="31"/>
  <c r="E225" i="31"/>
  <c r="E250" i="31" s="1"/>
  <c r="C225" i="31"/>
  <c r="F213" i="31"/>
  <c r="E213" i="31"/>
  <c r="F209" i="31"/>
  <c r="E209" i="31"/>
  <c r="F208" i="31"/>
  <c r="E208" i="31"/>
  <c r="F207" i="31"/>
  <c r="E207" i="31"/>
  <c r="F206" i="31"/>
  <c r="G206" i="31" s="1"/>
  <c r="E206" i="31"/>
  <c r="D206" i="31"/>
  <c r="G205" i="31"/>
  <c r="F205" i="31"/>
  <c r="E205" i="31"/>
  <c r="D205" i="31"/>
  <c r="I204" i="31"/>
  <c r="G204" i="31"/>
  <c r="F204" i="31"/>
  <c r="E204" i="31"/>
  <c r="I203" i="31"/>
  <c r="F203" i="31"/>
  <c r="G203" i="31" s="1"/>
  <c r="E203" i="31"/>
  <c r="F199" i="31"/>
  <c r="I199" i="31" s="1"/>
  <c r="E199" i="31"/>
  <c r="F198" i="31"/>
  <c r="I198" i="31" s="1"/>
  <c r="E198" i="31"/>
  <c r="F194" i="31"/>
  <c r="E194" i="31"/>
  <c r="F193" i="31"/>
  <c r="E193" i="31"/>
  <c r="E190" i="31"/>
  <c r="E222" i="31" s="1"/>
  <c r="C190" i="31"/>
  <c r="F178" i="31"/>
  <c r="I178" i="31" s="1"/>
  <c r="I179" i="31" s="1"/>
  <c r="I184" i="31" s="1"/>
  <c r="E178" i="31"/>
  <c r="F174" i="31"/>
  <c r="G174" i="31" s="1"/>
  <c r="E174" i="31"/>
  <c r="I173" i="31"/>
  <c r="F173" i="31"/>
  <c r="G173" i="31" s="1"/>
  <c r="E173" i="31"/>
  <c r="I172" i="31"/>
  <c r="F172" i="31"/>
  <c r="G172" i="31" s="1"/>
  <c r="E172" i="31"/>
  <c r="F171" i="31"/>
  <c r="G171" i="31" s="1"/>
  <c r="E171" i="31"/>
  <c r="D171" i="31"/>
  <c r="F170" i="31"/>
  <c r="I170" i="31" s="1"/>
  <c r="E170" i="31"/>
  <c r="F166" i="31"/>
  <c r="E166" i="31"/>
  <c r="F165" i="31"/>
  <c r="E165" i="31"/>
  <c r="G161" i="31"/>
  <c r="F161" i="31"/>
  <c r="I161" i="31" s="1"/>
  <c r="E161" i="31"/>
  <c r="G160" i="31"/>
  <c r="F160" i="31"/>
  <c r="I160" i="31" s="1"/>
  <c r="E160" i="31"/>
  <c r="E157" i="31"/>
  <c r="E187" i="31" s="1"/>
  <c r="C157" i="31"/>
  <c r="I145" i="31"/>
  <c r="I146" i="31" s="1"/>
  <c r="I151" i="31" s="1"/>
  <c r="F145" i="31"/>
  <c r="E145" i="31"/>
  <c r="F141" i="31"/>
  <c r="I141" i="31" s="1"/>
  <c r="E141" i="31"/>
  <c r="F140" i="31"/>
  <c r="I140" i="31" s="1"/>
  <c r="E140" i="31"/>
  <c r="F139" i="31"/>
  <c r="I139" i="31" s="1"/>
  <c r="E139" i="31"/>
  <c r="F138" i="31"/>
  <c r="I138" i="31" s="1"/>
  <c r="E138" i="31"/>
  <c r="F134" i="31"/>
  <c r="E134" i="31"/>
  <c r="F130" i="31"/>
  <c r="I130" i="31" s="1"/>
  <c r="I131" i="31" s="1"/>
  <c r="I148" i="31" s="1"/>
  <c r="E130" i="31"/>
  <c r="E127" i="31"/>
  <c r="E154" i="31" s="1"/>
  <c r="C127" i="31"/>
  <c r="F115" i="31"/>
  <c r="I115" i="31" s="1"/>
  <c r="I116" i="31" s="1"/>
  <c r="I121" i="31" s="1"/>
  <c r="E115" i="31"/>
  <c r="F111" i="31"/>
  <c r="I111" i="31" s="1"/>
  <c r="E111" i="31"/>
  <c r="F110" i="31"/>
  <c r="I110" i="31" s="1"/>
  <c r="E110" i="31"/>
  <c r="F109" i="31"/>
  <c r="I109" i="31" s="1"/>
  <c r="E109" i="31"/>
  <c r="F108" i="31"/>
  <c r="I108" i="31" s="1"/>
  <c r="E108" i="31"/>
  <c r="F104" i="31"/>
  <c r="E104" i="31"/>
  <c r="F100" i="31"/>
  <c r="G100" i="31" s="1"/>
  <c r="E100" i="31"/>
  <c r="E97" i="31"/>
  <c r="E124" i="31" s="1"/>
  <c r="C97" i="31"/>
  <c r="F85" i="31"/>
  <c r="E85" i="31"/>
  <c r="F81" i="31"/>
  <c r="E81" i="31"/>
  <c r="F80" i="31"/>
  <c r="E80" i="31"/>
  <c r="F79" i="31"/>
  <c r="E79" i="31"/>
  <c r="F75" i="31"/>
  <c r="I75" i="31" s="1"/>
  <c r="I76" i="31" s="1"/>
  <c r="E75" i="31"/>
  <c r="E71" i="31"/>
  <c r="F70" i="31"/>
  <c r="G71" i="31" s="1"/>
  <c r="E68" i="31"/>
  <c r="E94" i="31" s="1"/>
  <c r="C68" i="31"/>
  <c r="F56" i="31"/>
  <c r="E56" i="31"/>
  <c r="F52" i="31"/>
  <c r="I52" i="31" s="1"/>
  <c r="E52" i="31"/>
  <c r="F51" i="31"/>
  <c r="I51" i="31" s="1"/>
  <c r="E51" i="31"/>
  <c r="F47" i="31"/>
  <c r="I47" i="31" s="1"/>
  <c r="I48" i="31" s="1"/>
  <c r="E47" i="31"/>
  <c r="F43" i="31"/>
  <c r="I43" i="31" s="1"/>
  <c r="I44" i="31" s="1"/>
  <c r="I59" i="31" s="1"/>
  <c r="E43" i="31"/>
  <c r="E40" i="31"/>
  <c r="E65" i="31" s="1"/>
  <c r="C40" i="31"/>
  <c r="E37" i="31"/>
  <c r="F28" i="31"/>
  <c r="G28" i="31" s="1"/>
  <c r="E28" i="31"/>
  <c r="F24" i="31"/>
  <c r="G24" i="31" s="1"/>
  <c r="F20" i="31"/>
  <c r="I20" i="31" s="1"/>
  <c r="E20" i="31"/>
  <c r="F19" i="31"/>
  <c r="I19" i="31" s="1"/>
  <c r="E19" i="31"/>
  <c r="F18" i="31"/>
  <c r="I18" i="31" s="1"/>
  <c r="E18" i="31"/>
  <c r="F14" i="31"/>
  <c r="G14" i="31" s="1"/>
  <c r="E14" i="31"/>
  <c r="D14" i="31"/>
  <c r="F13" i="31"/>
  <c r="G13" i="31" s="1"/>
  <c r="E13" i="31"/>
  <c r="D13" i="31"/>
  <c r="G12" i="31"/>
  <c r="F12" i="31"/>
  <c r="E12" i="31"/>
  <c r="D12" i="31"/>
  <c r="F11" i="31"/>
  <c r="G11" i="31" s="1"/>
  <c r="E11" i="31"/>
  <c r="D11" i="31"/>
  <c r="C8" i="31"/>
  <c r="I2911" i="31" l="1"/>
  <c r="I2919" i="31" s="1"/>
  <c r="G5658" i="31"/>
  <c r="I5658" i="31"/>
  <c r="I5659" i="31" s="1"/>
  <c r="I5667" i="31" s="1"/>
  <c r="G51" i="31"/>
  <c r="I100" i="31"/>
  <c r="I101" i="31" s="1"/>
  <c r="I118" i="31" s="1"/>
  <c r="I174" i="31"/>
  <c r="I288" i="31"/>
  <c r="I292" i="31" s="1"/>
  <c r="I307" i="31" s="1"/>
  <c r="I290" i="31"/>
  <c r="I454" i="31"/>
  <c r="I603" i="31"/>
  <c r="I604" i="31" s="1"/>
  <c r="I612" i="31" s="1"/>
  <c r="G1188" i="31"/>
  <c r="G1523" i="31"/>
  <c r="I2251" i="31"/>
  <c r="I2252" i="31" s="1"/>
  <c r="I2266" i="31" s="1"/>
  <c r="I2814" i="31"/>
  <c r="I2987" i="31"/>
  <c r="I2989" i="31" s="1"/>
  <c r="I3003" i="31" s="1"/>
  <c r="I3009" i="31" s="1"/>
  <c r="I2983" i="31" s="1"/>
  <c r="I3055" i="31"/>
  <c r="I3070" i="31" s="1"/>
  <c r="I3060" i="31"/>
  <c r="I3071" i="31" s="1"/>
  <c r="I3165" i="31"/>
  <c r="I3179" i="31" s="1"/>
  <c r="G3501" i="31"/>
  <c r="G3529" i="31"/>
  <c r="I3579" i="31"/>
  <c r="I3593" i="31" s="1"/>
  <c r="G3671" i="31"/>
  <c r="I3699" i="31"/>
  <c r="I3754" i="31"/>
  <c r="G3754" i="31"/>
  <c r="I4265" i="31"/>
  <c r="I4276" i="31" s="1"/>
  <c r="I4458" i="31"/>
  <c r="I4460" i="31" s="1"/>
  <c r="I4561" i="31"/>
  <c r="I4565" i="31" s="1"/>
  <c r="I4579" i="31" s="1"/>
  <c r="I4623" i="31"/>
  <c r="G4713" i="31"/>
  <c r="G5001" i="31"/>
  <c r="I5001" i="31"/>
  <c r="I5114" i="31"/>
  <c r="G5539" i="31"/>
  <c r="I5539" i="31"/>
  <c r="I6022" i="31"/>
  <c r="I7263" i="31"/>
  <c r="I7264" i="31" s="1"/>
  <c r="I7278" i="31" s="1"/>
  <c r="G7263" i="31"/>
  <c r="G8625" i="31"/>
  <c r="I8625" i="31"/>
  <c r="I8873" i="31"/>
  <c r="G10156" i="31"/>
  <c r="I11682" i="31"/>
  <c r="G11682" i="31"/>
  <c r="G12297" i="31"/>
  <c r="I12297" i="31"/>
  <c r="I12298" i="31" s="1"/>
  <c r="I12312" i="31" s="1"/>
  <c r="I360" i="31"/>
  <c r="I368" i="31" s="1"/>
  <c r="I3305" i="31"/>
  <c r="I3316" i="31" s="1"/>
  <c r="I3727" i="31"/>
  <c r="G3727" i="31"/>
  <c r="I5457" i="31"/>
  <c r="I5458" i="31" s="1"/>
  <c r="I5472" i="31" s="1"/>
  <c r="G5457" i="31"/>
  <c r="G6796" i="31"/>
  <c r="I6796" i="31"/>
  <c r="I6797" i="31" s="1"/>
  <c r="I6811" i="31" s="1"/>
  <c r="I7363" i="31"/>
  <c r="I7364" i="31" s="1"/>
  <c r="I7378" i="31" s="1"/>
  <c r="G7363" i="31"/>
  <c r="I9515" i="31"/>
  <c r="I9516" i="31" s="1"/>
  <c r="I9530" i="31" s="1"/>
  <c r="G9515" i="31"/>
  <c r="I13584" i="31"/>
  <c r="I13585" i="31" s="1"/>
  <c r="I13599" i="31" s="1"/>
  <c r="G13584" i="31"/>
  <c r="G14217" i="31"/>
  <c r="I14217" i="31"/>
  <c r="I14218" i="31" s="1"/>
  <c r="I14232" i="31" s="1"/>
  <c r="I1397" i="31"/>
  <c r="I1411" i="31" s="1"/>
  <c r="I1417" i="31" s="1"/>
  <c r="I1390" i="31" s="1"/>
  <c r="G3700" i="31"/>
  <c r="I3700" i="31"/>
  <c r="G6023" i="31"/>
  <c r="I6023" i="31"/>
  <c r="I7112" i="31"/>
  <c r="I7113" i="31" s="1"/>
  <c r="I7127" i="31" s="1"/>
  <c r="G7112" i="31"/>
  <c r="I7847" i="31"/>
  <c r="I7848" i="31" s="1"/>
  <c r="I7856" i="31" s="1"/>
  <c r="G7847" i="31"/>
  <c r="I9859" i="31"/>
  <c r="G9859" i="31"/>
  <c r="G10008" i="31"/>
  <c r="I10008" i="31"/>
  <c r="G11328" i="31"/>
  <c r="I11328" i="31"/>
  <c r="I11329" i="31" s="1"/>
  <c r="I11337" i="31" s="1"/>
  <c r="I11779" i="31"/>
  <c r="G11779" i="31"/>
  <c r="I13025" i="31"/>
  <c r="G13025" i="31"/>
  <c r="I14416" i="31"/>
  <c r="I14417" i="31" s="1"/>
  <c r="I14431" i="31" s="1"/>
  <c r="G14416" i="31"/>
  <c r="G52" i="31"/>
  <c r="G289" i="31"/>
  <c r="G291" i="31"/>
  <c r="I420" i="31"/>
  <c r="I484" i="31"/>
  <c r="G505" i="31"/>
  <c r="G902" i="31"/>
  <c r="G1017" i="31"/>
  <c r="I1055" i="31"/>
  <c r="G1524" i="31"/>
  <c r="G1574" i="31"/>
  <c r="G2035" i="31"/>
  <c r="I2278" i="31"/>
  <c r="I2279" i="31" s="1"/>
  <c r="I2293" i="31" s="1"/>
  <c r="G2986" i="31"/>
  <c r="G2988" i="31"/>
  <c r="I3407" i="31"/>
  <c r="I3421" i="31" s="1"/>
  <c r="G3576" i="31"/>
  <c r="I3645" i="31"/>
  <c r="I3656" i="31" s="1"/>
  <c r="G3755" i="31"/>
  <c r="I3951" i="31"/>
  <c r="G4459" i="31"/>
  <c r="G4562" i="31"/>
  <c r="I4965" i="31"/>
  <c r="I4966" i="31" s="1"/>
  <c r="I4981" i="31" s="1"/>
  <c r="I5002" i="31"/>
  <c r="I5090" i="31"/>
  <c r="I5101" i="31" s="1"/>
  <c r="G5112" i="31"/>
  <c r="I5112" i="31"/>
  <c r="G5961" i="31"/>
  <c r="I6265" i="31"/>
  <c r="I6276" i="31" s="1"/>
  <c r="I6511" i="31"/>
  <c r="G6511" i="31"/>
  <c r="I6964" i="31"/>
  <c r="I7213" i="31"/>
  <c r="I7214" i="31" s="1"/>
  <c r="I7228" i="31" s="1"/>
  <c r="G7213" i="31"/>
  <c r="G8569" i="31"/>
  <c r="I8569" i="31"/>
  <c r="I8724" i="31"/>
  <c r="G8724" i="31"/>
  <c r="I8930" i="31"/>
  <c r="I8946" i="31" s="1"/>
  <c r="I9212" i="31"/>
  <c r="I9213" i="31" s="1"/>
  <c r="I9227" i="31" s="1"/>
  <c r="G10125" i="31"/>
  <c r="G12211" i="31"/>
  <c r="I12211" i="31"/>
  <c r="I12212" i="31" s="1"/>
  <c r="I12226" i="31" s="1"/>
  <c r="I171" i="31"/>
  <c r="I485" i="31"/>
  <c r="G1130" i="31"/>
  <c r="G1139" i="31"/>
  <c r="G1308" i="31"/>
  <c r="G1432" i="31"/>
  <c r="I1485" i="31"/>
  <c r="G1530" i="31"/>
  <c r="I2815" i="31"/>
  <c r="G3325" i="31"/>
  <c r="G3405" i="31"/>
  <c r="G3636" i="31"/>
  <c r="I3636" i="31"/>
  <c r="I3959" i="31"/>
  <c r="I3970" i="31" s="1"/>
  <c r="I4094" i="31"/>
  <c r="I4393" i="31"/>
  <c r="I4407" i="31" s="1"/>
  <c r="I4513" i="31"/>
  <c r="G4513" i="31"/>
  <c r="G4739" i="31"/>
  <c r="I4739" i="31"/>
  <c r="G6194" i="31"/>
  <c r="G10513" i="31"/>
  <c r="I10513" i="31"/>
  <c r="I10514" i="31" s="1"/>
  <c r="I10528" i="31" s="1"/>
  <c r="I13022" i="31"/>
  <c r="G13022" i="31"/>
  <c r="G14066" i="31"/>
  <c r="I14066" i="31"/>
  <c r="I14067" i="31" s="1"/>
  <c r="I14081" i="31" s="1"/>
  <c r="I1429" i="31"/>
  <c r="I1440" i="31" s="1"/>
  <c r="I4124" i="31"/>
  <c r="G4124" i="31"/>
  <c r="I5646" i="31"/>
  <c r="G7697" i="31"/>
  <c r="I7697" i="31"/>
  <c r="I7698" i="31" s="1"/>
  <c r="I7706" i="31" s="1"/>
  <c r="G8715" i="31"/>
  <c r="I9020" i="31"/>
  <c r="I9036" i="31" s="1"/>
  <c r="G9964" i="31"/>
  <c r="I10090" i="31"/>
  <c r="I10157" i="31"/>
  <c r="I10171" i="31" s="1"/>
  <c r="I12994" i="31"/>
  <c r="G12994" i="31"/>
  <c r="G14267" i="31"/>
  <c r="I14267" i="31"/>
  <c r="I14268" i="31" s="1"/>
  <c r="I14282" i="31" s="1"/>
  <c r="I6905" i="31"/>
  <c r="G6905" i="31"/>
  <c r="G11902" i="31"/>
  <c r="I11902" i="31"/>
  <c r="G5000" i="31"/>
  <c r="I5000" i="31"/>
  <c r="G512" i="31"/>
  <c r="G929" i="31"/>
  <c r="G1140" i="31"/>
  <c r="I1372" i="31"/>
  <c r="I1453" i="31"/>
  <c r="I1486" i="31"/>
  <c r="I1601" i="31"/>
  <c r="I1602" i="31" s="1"/>
  <c r="I1616" i="31" s="1"/>
  <c r="I2062" i="31"/>
  <c r="I2063" i="31" s="1"/>
  <c r="I2077" i="31" s="1"/>
  <c r="I2855" i="31"/>
  <c r="I3637" i="31"/>
  <c r="G3668" i="31"/>
  <c r="I3952" i="31"/>
  <c r="I4044" i="31"/>
  <c r="G4072" i="31"/>
  <c r="G4092" i="31"/>
  <c r="I4092" i="31"/>
  <c r="G4176" i="31"/>
  <c r="G4231" i="31"/>
  <c r="G4514" i="31"/>
  <c r="I4740" i="31"/>
  <c r="I4820" i="31"/>
  <c r="I4822" i="31" s="1"/>
  <c r="I4837" i="31" s="1"/>
  <c r="I4944" i="31"/>
  <c r="I4955" i="31" s="1"/>
  <c r="G5048" i="31"/>
  <c r="I5048" i="31"/>
  <c r="G5300" i="31"/>
  <c r="G5380" i="31"/>
  <c r="G5895" i="31"/>
  <c r="G5957" i="31"/>
  <c r="I6060" i="31"/>
  <c r="I6061" i="31" s="1"/>
  <c r="I6069" i="31" s="1"/>
  <c r="G6648" i="31"/>
  <c r="I8000" i="31"/>
  <c r="I8011" i="31" s="1"/>
  <c r="G8713" i="31"/>
  <c r="I8713" i="31"/>
  <c r="I9124" i="31"/>
  <c r="I9126" i="31" s="1"/>
  <c r="I9141" i="31" s="1"/>
  <c r="G9124" i="31"/>
  <c r="G11378" i="31"/>
  <c r="I11378" i="31"/>
  <c r="I11379" i="31" s="1"/>
  <c r="I11387" i="31" s="1"/>
  <c r="I11965" i="31"/>
  <c r="I11979" i="31" s="1"/>
  <c r="I12017" i="31"/>
  <c r="G12017" i="31"/>
  <c r="G12891" i="31"/>
  <c r="I12891" i="31"/>
  <c r="I10010" i="31"/>
  <c r="I10021" i="31" s="1"/>
  <c r="I13292" i="31"/>
  <c r="I13306" i="31" s="1"/>
  <c r="I13345" i="31"/>
  <c r="I13360" i="31" s="1"/>
  <c r="I14591" i="31"/>
  <c r="I14592" i="31" s="1"/>
  <c r="I14606" i="31" s="1"/>
  <c r="I15085" i="31"/>
  <c r="I15087" i="31" s="1"/>
  <c r="I15095" i="31" s="1"/>
  <c r="I5897" i="31"/>
  <c r="I5911" i="31" s="1"/>
  <c r="I8759" i="31"/>
  <c r="I8770" i="31" s="1"/>
  <c r="I8792" i="31"/>
  <c r="I8803" i="31" s="1"/>
  <c r="I8825" i="31"/>
  <c r="I8836" i="31" s="1"/>
  <c r="I10091" i="31"/>
  <c r="I10211" i="31"/>
  <c r="I10225" i="31" s="1"/>
  <c r="G11548" i="31"/>
  <c r="G11752" i="31"/>
  <c r="G11777" i="31"/>
  <c r="I11868" i="31"/>
  <c r="I11906" i="31"/>
  <c r="I12161" i="31"/>
  <c r="I12162" i="31" s="1"/>
  <c r="I12176" i="31" s="1"/>
  <c r="G12472" i="31"/>
  <c r="I4850" i="31"/>
  <c r="I4865" i="31" s="1"/>
  <c r="I4937" i="31"/>
  <c r="I5083" i="31"/>
  <c r="I5100" i="31" s="1"/>
  <c r="I5301" i="31"/>
  <c r="I5315" i="31" s="1"/>
  <c r="I5408" i="31"/>
  <c r="I5422" i="31" s="1"/>
  <c r="I5647" i="31"/>
  <c r="G5894" i="31"/>
  <c r="I6381" i="31"/>
  <c r="I6414" i="31"/>
  <c r="I6425" i="31" s="1"/>
  <c r="G6563" i="31"/>
  <c r="G6955" i="31"/>
  <c r="G7062" i="31"/>
  <c r="G7739" i="31"/>
  <c r="I8264" i="31"/>
  <c r="I8275" i="31" s="1"/>
  <c r="I8514" i="31"/>
  <c r="I8562" i="31"/>
  <c r="I8539" i="31" s="1"/>
  <c r="G8716" i="31"/>
  <c r="G8927" i="31"/>
  <c r="G8929" i="31"/>
  <c r="G9414" i="31"/>
  <c r="I9794" i="31"/>
  <c r="G9860" i="31"/>
  <c r="G9907" i="31"/>
  <c r="I9975" i="31"/>
  <c r="I10060" i="31"/>
  <c r="G10155" i="31"/>
  <c r="G10413" i="31"/>
  <c r="I10763" i="31"/>
  <c r="I10764" i="31" s="1"/>
  <c r="I10778" i="31" s="1"/>
  <c r="I11509" i="31"/>
  <c r="G11594" i="31"/>
  <c r="G11650" i="31"/>
  <c r="I11840" i="31"/>
  <c r="G11962" i="31"/>
  <c r="G11964" i="31"/>
  <c r="I12080" i="31"/>
  <c r="I12096" i="31" s="1"/>
  <c r="G13023" i="31"/>
  <c r="I13114" i="31"/>
  <c r="I13145" i="31"/>
  <c r="I13180" i="31"/>
  <c r="I13371" i="31"/>
  <c r="I13374" i="31"/>
  <c r="I13407" i="31"/>
  <c r="G13609" i="31"/>
  <c r="I14014" i="31"/>
  <c r="I14015" i="31" s="1"/>
  <c r="I14029" i="31" s="1"/>
  <c r="I15079" i="31"/>
  <c r="I6195" i="31"/>
  <c r="I6209" i="31" s="1"/>
  <c r="G7463" i="31"/>
  <c r="I8205" i="31"/>
  <c r="I8220" i="31" s="1"/>
  <c r="I8512" i="31"/>
  <c r="I9262" i="31"/>
  <c r="I9263" i="31" s="1"/>
  <c r="I9277" i="31" s="1"/>
  <c r="I9397" i="31"/>
  <c r="I9398" i="31" s="1"/>
  <c r="I9406" i="31" s="1"/>
  <c r="I9715" i="31"/>
  <c r="I9716" i="31" s="1"/>
  <c r="I9730" i="31" s="1"/>
  <c r="I9792" i="31"/>
  <c r="G10124" i="31"/>
  <c r="I10746" i="31"/>
  <c r="I10747" i="31" s="1"/>
  <c r="I10755" i="31" s="1"/>
  <c r="I11576" i="31"/>
  <c r="I11623" i="31"/>
  <c r="I11724" i="31"/>
  <c r="I11725" i="31" s="1"/>
  <c r="I11733" i="31" s="1"/>
  <c r="I11872" i="31"/>
  <c r="G12723" i="31"/>
  <c r="I12853" i="31"/>
  <c r="I12946" i="31"/>
  <c r="I12948" i="31" s="1"/>
  <c r="G13033" i="31"/>
  <c r="I13177" i="31"/>
  <c r="I13264" i="31"/>
  <c r="I13404" i="31"/>
  <c r="G14242" i="31"/>
  <c r="I8079" i="31"/>
  <c r="I8093" i="31" s="1"/>
  <c r="I8875" i="31"/>
  <c r="I8889" i="31" s="1"/>
  <c r="I11223" i="31"/>
  <c r="I11234" i="31" s="1"/>
  <c r="I11624" i="31"/>
  <c r="I11847" i="31"/>
  <c r="I11858" i="31" s="1"/>
  <c r="I11780" i="31"/>
  <c r="I11794" i="31" s="1"/>
  <c r="I13181" i="31"/>
  <c r="I13372" i="31"/>
  <c r="I3672" i="31"/>
  <c r="I3688" i="31" s="1"/>
  <c r="I3950" i="31"/>
  <c r="I5031" i="31"/>
  <c r="I8210" i="31"/>
  <c r="I8221" i="31" s="1"/>
  <c r="I8513" i="31"/>
  <c r="I8902" i="31"/>
  <c r="I8916" i="31" s="1"/>
  <c r="I9793" i="31"/>
  <c r="I9965" i="31"/>
  <c r="I11218" i="31"/>
  <c r="I11233" i="31" s="1"/>
  <c r="I11942" i="31"/>
  <c r="I11953" i="31" s="1"/>
  <c r="I12967" i="31"/>
  <c r="G663" i="31"/>
  <c r="G767" i="31"/>
  <c r="I5593" i="31"/>
  <c r="I5594" i="31" s="1"/>
  <c r="I5609" i="31" s="1"/>
  <c r="G6389" i="31"/>
  <c r="I6546" i="31"/>
  <c r="I6547" i="31" s="1"/>
  <c r="I6555" i="31" s="1"/>
  <c r="G9220" i="31"/>
  <c r="G9372" i="31"/>
  <c r="I9422" i="31"/>
  <c r="I9423" i="31" s="1"/>
  <c r="I9431" i="31" s="1"/>
  <c r="I9434" i="31" s="1"/>
  <c r="G9979" i="31"/>
  <c r="I11199" i="31"/>
  <c r="I11200" i="31" s="1"/>
  <c r="I11208" i="31" s="1"/>
  <c r="G12631" i="31"/>
  <c r="G825" i="31"/>
  <c r="I2845" i="31"/>
  <c r="I2846" i="31" s="1"/>
  <c r="I2861" i="31" s="1"/>
  <c r="G4695" i="31"/>
  <c r="G5122" i="31"/>
  <c r="I5685" i="31"/>
  <c r="I5686" i="31" s="1"/>
  <c r="I5694" i="31" s="1"/>
  <c r="I5729" i="31"/>
  <c r="I5730" i="31" s="1"/>
  <c r="I5745" i="31" s="1"/>
  <c r="I5738" i="31"/>
  <c r="I5739" i="31" s="1"/>
  <c r="G6002" i="31"/>
  <c r="I6778" i="31"/>
  <c r="I6779" i="31" s="1"/>
  <c r="I6787" i="31" s="1"/>
  <c r="I10996" i="31"/>
  <c r="I10997" i="31" s="1"/>
  <c r="I11005" i="31" s="1"/>
  <c r="I5106" i="31"/>
  <c r="I5074" i="31" s="1"/>
  <c r="I9893" i="31"/>
  <c r="I9894" i="31" s="1"/>
  <c r="I9899" i="31" s="1"/>
  <c r="G13518" i="31"/>
  <c r="I13629" i="31"/>
  <c r="I13606" i="31" s="1"/>
  <c r="I2205" i="31"/>
  <c r="I2206" i="31" s="1"/>
  <c r="I2214" i="31" s="1"/>
  <c r="I4268" i="31"/>
  <c r="I4269" i="31" s="1"/>
  <c r="I4277" i="31" s="1"/>
  <c r="G4947" i="31"/>
  <c r="G5545" i="31"/>
  <c r="I8664" i="31"/>
  <c r="I8665" i="31" s="1"/>
  <c r="I8673" i="31" s="1"/>
  <c r="G10946" i="31"/>
  <c r="G13970" i="31"/>
  <c r="I14250" i="31"/>
  <c r="I14251" i="31" s="1"/>
  <c r="I14259" i="31" s="1"/>
  <c r="G740" i="31"/>
  <c r="G1107" i="31"/>
  <c r="G1423" i="31"/>
  <c r="G3360" i="31"/>
  <c r="G3414" i="31"/>
  <c r="G3557" i="31"/>
  <c r="G3764" i="31"/>
  <c r="G4212" i="31"/>
  <c r="I6494" i="31"/>
  <c r="I6495" i="31" s="1"/>
  <c r="I6503" i="31" s="1"/>
  <c r="G6880" i="31"/>
  <c r="I6937" i="31"/>
  <c r="I6938" i="31" s="1"/>
  <c r="I6946" i="31" s="1"/>
  <c r="G7747" i="31"/>
  <c r="I11690" i="31"/>
  <c r="I11691" i="31" s="1"/>
  <c r="I11699" i="31" s="1"/>
  <c r="G12832" i="31"/>
  <c r="G576" i="31"/>
  <c r="I24" i="31"/>
  <c r="I25" i="31" s="1"/>
  <c r="I33" i="31" s="1"/>
  <c r="I794" i="31"/>
  <c r="I795" i="31" s="1"/>
  <c r="I806" i="31" s="1"/>
  <c r="I798" i="31"/>
  <c r="I799" i="31" s="1"/>
  <c r="I807" i="31" s="1"/>
  <c r="I811" i="31" s="1"/>
  <c r="I787" i="31" s="1"/>
  <c r="I1908" i="31"/>
  <c r="I1909" i="31" s="1"/>
  <c r="I1917" i="31" s="1"/>
  <c r="I1921" i="31" s="1"/>
  <c r="I1897" i="31" s="1"/>
  <c r="I2391" i="31"/>
  <c r="I2392" i="31" s="1"/>
  <c r="I2400" i="31" s="1"/>
  <c r="G2606" i="31"/>
  <c r="G3709" i="31"/>
  <c r="I3962" i="31"/>
  <c r="I3963" i="31" s="1"/>
  <c r="I3971" i="31" s="1"/>
  <c r="G3966" i="31"/>
  <c r="I4159" i="31"/>
  <c r="I4160" i="31" s="1"/>
  <c r="I4168" i="31" s="1"/>
  <c r="I4505" i="31"/>
  <c r="I4506" i="31" s="1"/>
  <c r="I4522" i="31" s="1"/>
  <c r="G4830" i="31"/>
  <c r="G5572" i="31"/>
  <c r="I13096" i="31"/>
  <c r="I13097" i="31" s="1"/>
  <c r="I13105" i="31" s="1"/>
  <c r="I15020" i="31"/>
  <c r="I15021" i="31" s="1"/>
  <c r="I15032" i="31" s="1"/>
  <c r="I112" i="31"/>
  <c r="I120" i="31" s="1"/>
  <c r="G744" i="31"/>
  <c r="G771" i="31"/>
  <c r="G875" i="31"/>
  <c r="I956" i="31"/>
  <c r="I957" i="31" s="1"/>
  <c r="I968" i="31" s="1"/>
  <c r="I1164" i="31"/>
  <c r="I1165" i="31" s="1"/>
  <c r="I1176" i="31" s="1"/>
  <c r="G1364" i="31"/>
  <c r="I1560" i="31"/>
  <c r="I1561" i="31" s="1"/>
  <c r="I1566" i="31" s="1"/>
  <c r="I1858" i="31"/>
  <c r="I1859" i="31" s="1"/>
  <c r="I1864" i="31" s="1"/>
  <c r="G2209" i="31"/>
  <c r="I2236" i="31"/>
  <c r="I2237" i="31" s="1"/>
  <c r="I2242" i="31" s="1"/>
  <c r="G2637" i="31"/>
  <c r="G3172" i="31"/>
  <c r="G3897" i="31"/>
  <c r="G3980" i="31"/>
  <c r="G4063" i="31"/>
  <c r="G4296" i="31"/>
  <c r="I4450" i="31"/>
  <c r="I4451" i="31" s="1"/>
  <c r="I4466" i="31" s="1"/>
  <c r="G4776" i="31"/>
  <c r="G5058" i="31"/>
  <c r="G5490" i="31"/>
  <c r="G6115" i="31"/>
  <c r="G6596" i="31"/>
  <c r="I8003" i="31"/>
  <c r="I8004" i="31" s="1"/>
  <c r="I8012" i="31" s="1"/>
  <c r="I8467" i="31"/>
  <c r="I8468" i="31" s="1"/>
  <c r="I8476" i="31" s="1"/>
  <c r="I8504" i="31"/>
  <c r="I8481" i="31" s="1"/>
  <c r="I8808" i="31"/>
  <c r="I8777" i="31" s="1"/>
  <c r="I8841" i="31"/>
  <c r="I8810" i="31" s="1"/>
  <c r="I8939" i="31"/>
  <c r="I8940" i="31" s="1"/>
  <c r="I8948" i="31" s="1"/>
  <c r="G9347" i="31"/>
  <c r="G10721" i="31"/>
  <c r="I11945" i="31"/>
  <c r="I11946" i="31" s="1"/>
  <c r="I11954" i="31" s="1"/>
  <c r="G13326" i="31"/>
  <c r="G14374" i="31"/>
  <c r="G15053" i="31"/>
  <c r="I11800" i="31"/>
  <c r="I11773" i="31" s="1"/>
  <c r="I13480" i="31"/>
  <c r="I13457" i="31" s="1"/>
  <c r="I13781" i="31"/>
  <c r="I13758" i="31" s="1"/>
  <c r="G6854" i="31"/>
  <c r="I8033" i="31"/>
  <c r="I8034" i="31" s="1"/>
  <c r="I8042" i="31" s="1"/>
  <c r="I9523" i="31"/>
  <c r="I9524" i="31" s="1"/>
  <c r="I9532" i="31" s="1"/>
  <c r="I9535" i="31" s="1"/>
  <c r="G2633" i="31"/>
  <c r="I2633" i="31"/>
  <c r="I2634" i="31" s="1"/>
  <c r="I2642" i="31" s="1"/>
  <c r="I3031" i="31"/>
  <c r="I3032" i="31" s="1"/>
  <c r="I3040" i="31" s="1"/>
  <c r="G3119" i="31"/>
  <c r="I4029" i="31"/>
  <c r="I4005" i="31" s="1"/>
  <c r="G4432" i="31"/>
  <c r="G4543" i="31"/>
  <c r="I4543" i="31"/>
  <c r="I4544" i="31" s="1"/>
  <c r="I4552" i="31" s="1"/>
  <c r="I5689" i="31"/>
  <c r="I5690" i="31" s="1"/>
  <c r="I5695" i="31" s="1"/>
  <c r="G5689" i="31"/>
  <c r="G6909" i="31"/>
  <c r="I6909" i="31"/>
  <c r="I6910" i="31" s="1"/>
  <c r="I6918" i="31" s="1"/>
  <c r="G8111" i="31"/>
  <c r="I8111" i="31"/>
  <c r="I8112" i="31" s="1"/>
  <c r="I8120" i="31" s="1"/>
  <c r="G228" i="31"/>
  <c r="G686" i="31"/>
  <c r="G690" i="31"/>
  <c r="G713" i="31"/>
  <c r="G717" i="31"/>
  <c r="I757" i="31"/>
  <c r="I733" i="31" s="1"/>
  <c r="I852" i="31"/>
  <c r="I853" i="31" s="1"/>
  <c r="I861" i="31" s="1"/>
  <c r="I865" i="31" s="1"/>
  <c r="I841" i="31" s="1"/>
  <c r="I879" i="31"/>
  <c r="I880" i="31" s="1"/>
  <c r="I888" i="31" s="1"/>
  <c r="I892" i="31" s="1"/>
  <c r="I868" i="31" s="1"/>
  <c r="I973" i="31"/>
  <c r="I949" i="31" s="1"/>
  <c r="G1280" i="31"/>
  <c r="I3255" i="31"/>
  <c r="I3256" i="31" s="1"/>
  <c r="I3264" i="31" s="1"/>
  <c r="I3267" i="31" s="1"/>
  <c r="I3244" i="31" s="1"/>
  <c r="G3255" i="31"/>
  <c r="G5619" i="31"/>
  <c r="I5619" i="31"/>
  <c r="I5620" i="31" s="1"/>
  <c r="I5636" i="31" s="1"/>
  <c r="I6301" i="31"/>
  <c r="I6302" i="31" s="1"/>
  <c r="I6310" i="31" s="1"/>
  <c r="G6301" i="31"/>
  <c r="G8060" i="31"/>
  <c r="I8060" i="31"/>
  <c r="I8061" i="31" s="1"/>
  <c r="I8069" i="31" s="1"/>
  <c r="G43" i="31"/>
  <c r="G130" i="31"/>
  <c r="I71" i="31"/>
  <c r="I72" i="31" s="1"/>
  <c r="I88" i="31" s="1"/>
  <c r="I703" i="31"/>
  <c r="I679" i="31" s="1"/>
  <c r="I989" i="31"/>
  <c r="I990" i="31" s="1"/>
  <c r="I1001" i="31" s="1"/>
  <c r="I1028" i="31"/>
  <c r="I1029" i="31" s="1"/>
  <c r="I1037" i="31" s="1"/>
  <c r="G1046" i="31"/>
  <c r="G1196" i="31"/>
  <c r="G1400" i="31"/>
  <c r="G1748" i="31"/>
  <c r="G1774" i="31"/>
  <c r="I2020" i="31"/>
  <c r="I2021" i="31" s="1"/>
  <c r="I2026" i="31" s="1"/>
  <c r="G2422" i="31"/>
  <c r="I2449" i="31"/>
  <c r="I2450" i="31" s="1"/>
  <c r="I2455" i="31" s="1"/>
  <c r="I2664" i="31"/>
  <c r="I2665" i="31" s="1"/>
  <c r="I2670" i="31" s="1"/>
  <c r="G3334" i="31"/>
  <c r="G4102" i="31"/>
  <c r="G4879" i="31"/>
  <c r="I4879" i="31"/>
  <c r="I4880" i="31" s="1"/>
  <c r="I4891" i="31" s="1"/>
  <c r="G5020" i="31"/>
  <c r="I5204" i="31"/>
  <c r="I5205" i="31" s="1"/>
  <c r="I5213" i="31" s="1"/>
  <c r="I5256" i="31"/>
  <c r="I5257" i="31" s="1"/>
  <c r="I5265" i="31" s="1"/>
  <c r="I5268" i="31" s="1"/>
  <c r="I5245" i="31" s="1"/>
  <c r="I5389" i="31"/>
  <c r="I5390" i="31" s="1"/>
  <c r="I5398" i="31" s="1"/>
  <c r="I6726" i="31"/>
  <c r="I6727" i="31" s="1"/>
  <c r="I6735" i="31" s="1"/>
  <c r="G6726" i="31"/>
  <c r="G7672" i="31"/>
  <c r="I7672" i="31"/>
  <c r="I7673" i="31" s="1"/>
  <c r="I7681" i="31" s="1"/>
  <c r="I7684" i="31" s="1"/>
  <c r="G7922" i="31"/>
  <c r="I7922" i="31"/>
  <c r="I7923" i="31" s="1"/>
  <c r="I7931" i="31" s="1"/>
  <c r="I7934" i="31" s="1"/>
  <c r="I7911" i="31" s="1"/>
  <c r="I2418" i="31"/>
  <c r="I2419" i="31" s="1"/>
  <c r="I2427" i="31" s="1"/>
  <c r="G3446" i="31"/>
  <c r="I3450" i="31"/>
  <c r="I3451" i="31" s="1"/>
  <c r="I3456" i="31" s="1"/>
  <c r="I3817" i="31"/>
  <c r="I3818" i="31" s="1"/>
  <c r="I3826" i="31" s="1"/>
  <c r="I3872" i="31"/>
  <c r="I3873" i="31" s="1"/>
  <c r="I3881" i="31" s="1"/>
  <c r="G3872" i="31"/>
  <c r="G4858" i="31"/>
  <c r="I4858" i="31"/>
  <c r="I4859" i="31" s="1"/>
  <c r="I4867" i="31" s="1"/>
  <c r="I4912" i="31"/>
  <c r="I4913" i="31" s="1"/>
  <c r="I4921" i="31" s="1"/>
  <c r="G4912" i="31"/>
  <c r="G5876" i="31"/>
  <c r="I5876" i="31"/>
  <c r="I5877" i="31" s="1"/>
  <c r="I5885" i="31" s="1"/>
  <c r="I6700" i="31"/>
  <c r="I6701" i="31" s="1"/>
  <c r="I6709" i="31" s="1"/>
  <c r="G6700" i="31"/>
  <c r="G6967" i="31"/>
  <c r="I6967" i="31"/>
  <c r="I6968" i="31" s="1"/>
  <c r="I6976" i="31" s="1"/>
  <c r="I7647" i="31"/>
  <c r="I7648" i="31" s="1"/>
  <c r="I7656" i="31" s="1"/>
  <c r="G7647" i="31"/>
  <c r="G8161" i="31"/>
  <c r="I8161" i="31"/>
  <c r="I8162" i="31" s="1"/>
  <c r="I8170" i="31" s="1"/>
  <c r="G13126" i="31"/>
  <c r="I13219" i="31"/>
  <c r="I13220" i="31" s="1"/>
  <c r="I13228" i="31" s="1"/>
  <c r="G13820" i="31"/>
  <c r="I13870" i="31"/>
  <c r="I13871" i="31" s="1"/>
  <c r="I13879" i="31" s="1"/>
  <c r="I13882" i="31" s="1"/>
  <c r="I13859" i="31" s="1"/>
  <c r="I13920" i="31"/>
  <c r="I13921" i="31" s="1"/>
  <c r="I13929" i="31" s="1"/>
  <c r="I13932" i="31" s="1"/>
  <c r="I13909" i="31" s="1"/>
  <c r="I14074" i="31"/>
  <c r="I14075" i="31" s="1"/>
  <c r="I14083" i="31" s="1"/>
  <c r="I14174" i="31"/>
  <c r="I14175" i="31" s="1"/>
  <c r="I14183" i="31" s="1"/>
  <c r="I14287" i="31"/>
  <c r="I14264" i="31" s="1"/>
  <c r="G14424" i="31"/>
  <c r="I14699" i="31"/>
  <c r="I14700" i="31" s="1"/>
  <c r="I14708" i="31" s="1"/>
  <c r="I14836" i="31"/>
  <c r="I14813" i="31" s="1"/>
  <c r="I14886" i="31"/>
  <c r="I14863" i="31" s="1"/>
  <c r="I14936" i="31"/>
  <c r="I14913" i="31" s="1"/>
  <c r="I14986" i="31"/>
  <c r="I14963" i="31" s="1"/>
  <c r="I15024" i="31"/>
  <c r="I15025" i="31" s="1"/>
  <c r="I15033" i="31" s="1"/>
  <c r="I6215" i="31"/>
  <c r="I6188" i="31" s="1"/>
  <c r="I8198" i="31"/>
  <c r="I8175" i="31" s="1"/>
  <c r="I9167" i="31"/>
  <c r="I9168" i="31" s="1"/>
  <c r="I9173" i="31" s="1"/>
  <c r="G9245" i="31"/>
  <c r="I9573" i="31"/>
  <c r="I9574" i="31" s="1"/>
  <c r="I9582" i="31" s="1"/>
  <c r="I9585" i="31" s="1"/>
  <c r="G9773" i="31"/>
  <c r="I10013" i="31"/>
  <c r="I10014" i="31" s="1"/>
  <c r="I10022" i="31" s="1"/>
  <c r="I10137" i="31"/>
  <c r="I10138" i="31" s="1"/>
  <c r="I10146" i="31" s="1"/>
  <c r="I10191" i="31"/>
  <c r="I10192" i="31" s="1"/>
  <c r="I10200" i="31" s="1"/>
  <c r="I10446" i="31"/>
  <c r="I10447" i="31" s="1"/>
  <c r="I10455" i="31" s="1"/>
  <c r="I10458" i="31" s="1"/>
  <c r="I10435" i="31" s="1"/>
  <c r="I10496" i="31"/>
  <c r="I10497" i="31" s="1"/>
  <c r="I10505" i="31" s="1"/>
  <c r="G10646" i="31"/>
  <c r="G10846" i="31"/>
  <c r="G10896" i="31"/>
  <c r="I11433" i="31"/>
  <c r="I11434" i="31" s="1"/>
  <c r="I11442" i="31" s="1"/>
  <c r="G11521" i="31"/>
  <c r="I11758" i="31"/>
  <c r="I11759" i="31" s="1"/>
  <c r="I11767" i="31" s="1"/>
  <c r="I11999" i="31"/>
  <c r="I12000" i="31" s="1"/>
  <c r="I12008" i="31" s="1"/>
  <c r="G12531" i="31"/>
  <c r="G12975" i="31"/>
  <c r="I13004" i="31"/>
  <c r="I13005" i="31" s="1"/>
  <c r="I13013" i="31" s="1"/>
  <c r="I13311" i="31"/>
  <c r="I13287" i="31" s="1"/>
  <c r="I15049" i="31"/>
  <c r="I15050" i="31" s="1"/>
  <c r="I15061" i="31" s="1"/>
  <c r="I15066" i="31" s="1"/>
  <c r="I15042" i="31" s="1"/>
  <c r="I8098" i="31"/>
  <c r="I8074" i="31" s="1"/>
  <c r="I8148" i="31"/>
  <c r="I8125" i="31" s="1"/>
  <c r="I12392" i="31"/>
  <c r="I12369" i="31" s="1"/>
  <c r="I10833" i="31"/>
  <c r="I10810" i="31" s="1"/>
  <c r="I10883" i="31"/>
  <c r="I10860" i="31" s="1"/>
  <c r="G12057" i="31"/>
  <c r="I12249" i="31"/>
  <c r="I12250" i="31" s="1"/>
  <c r="I12258" i="31" s="1"/>
  <c r="G12909" i="31"/>
  <c r="G13273" i="31"/>
  <c r="I13443" i="31"/>
  <c r="I13444" i="31" s="1"/>
  <c r="I13452" i="31" s="1"/>
  <c r="I13455" i="31" s="1"/>
  <c r="I13432" i="31" s="1"/>
  <c r="I14449" i="31"/>
  <c r="I14450" i="31" s="1"/>
  <c r="I14458" i="31" s="1"/>
  <c r="I14599" i="31"/>
  <c r="I14600" i="31" s="1"/>
  <c r="I14608" i="31" s="1"/>
  <c r="I14786" i="31"/>
  <c r="I14763" i="31" s="1"/>
  <c r="I390" i="31"/>
  <c r="I398" i="31" s="1"/>
  <c r="I89" i="31"/>
  <c r="D85" i="31"/>
  <c r="I85" i="31" s="1"/>
  <c r="I86" i="31" s="1"/>
  <c r="I91" i="31" s="1"/>
  <c r="I1085" i="31"/>
  <c r="I1093" i="31" s="1"/>
  <c r="I1142" i="31"/>
  <c r="I1150" i="31" s="1"/>
  <c r="I1527" i="31"/>
  <c r="I1535" i="31" s="1"/>
  <c r="I53" i="31"/>
  <c r="I61" i="31" s="1"/>
  <c r="I162" i="31"/>
  <c r="I181" i="31" s="1"/>
  <c r="I513" i="31"/>
  <c r="I539" i="31"/>
  <c r="I554" i="31" s="1"/>
  <c r="G5783" i="31"/>
  <c r="I5783" i="31"/>
  <c r="I5784" i="31" s="1"/>
  <c r="I5798" i="31" s="1"/>
  <c r="I5804" i="31" s="1"/>
  <c r="I5780" i="31" s="1"/>
  <c r="I5838" i="31"/>
  <c r="G5838" i="31"/>
  <c r="I6334" i="31"/>
  <c r="I6335" i="31" s="1"/>
  <c r="I6343" i="31" s="1"/>
  <c r="G6334" i="31"/>
  <c r="G6380" i="31"/>
  <c r="I6380" i="31"/>
  <c r="I6538" i="31"/>
  <c r="G6538" i="31"/>
  <c r="I142" i="31"/>
  <c r="I150" i="31" s="1"/>
  <c r="I3726" i="31"/>
  <c r="I3729" i="31" s="1"/>
  <c r="I3743" i="31" s="1"/>
  <c r="G3726" i="31"/>
  <c r="G3809" i="31"/>
  <c r="I3809" i="31"/>
  <c r="G4803" i="31"/>
  <c r="I4803" i="31"/>
  <c r="I4804" i="31" s="1"/>
  <c r="I4812" i="31" s="1"/>
  <c r="I4903" i="31"/>
  <c r="G4903" i="31"/>
  <c r="G75" i="31"/>
  <c r="I205" i="31"/>
  <c r="I206" i="31"/>
  <c r="I257" i="31"/>
  <c r="G386" i="31"/>
  <c r="G387" i="31"/>
  <c r="G388" i="31"/>
  <c r="G389" i="31"/>
  <c r="I415" i="31"/>
  <c r="I430" i="31" s="1"/>
  <c r="G535" i="31"/>
  <c r="G536" i="31"/>
  <c r="G537" i="31"/>
  <c r="G538" i="31"/>
  <c r="I919" i="31"/>
  <c r="I895" i="31" s="1"/>
  <c r="I946" i="31"/>
  <c r="I922" i="31" s="1"/>
  <c r="I1025" i="31"/>
  <c r="I1036" i="31" s="1"/>
  <c r="I1054" i="31"/>
  <c r="I1056" i="31" s="1"/>
  <c r="I1064" i="31" s="1"/>
  <c r="G1082" i="31"/>
  <c r="G1083" i="31"/>
  <c r="G1084" i="31"/>
  <c r="I1220" i="31"/>
  <c r="I1261" i="31"/>
  <c r="I1269" i="31" s="1"/>
  <c r="I1445" i="31"/>
  <c r="I1420" i="31" s="1"/>
  <c r="I1452" i="31"/>
  <c r="G1717" i="31"/>
  <c r="G1765" i="31"/>
  <c r="G1873" i="31"/>
  <c r="G1900" i="31"/>
  <c r="G1939" i="31"/>
  <c r="G2101" i="31"/>
  <c r="I2128" i="31"/>
  <c r="I2129" i="31" s="1"/>
  <c r="I2134" i="31" s="1"/>
  <c r="G2316" i="31"/>
  <c r="I2342" i="31"/>
  <c r="I2343" i="31" s="1"/>
  <c r="I2348" i="31" s="1"/>
  <c r="G2529" i="31"/>
  <c r="I2556" i="31"/>
  <c r="I2557" i="31" s="1"/>
  <c r="I2562" i="31" s="1"/>
  <c r="G2744" i="31"/>
  <c r="I2771" i="31"/>
  <c r="I2772" i="31" s="1"/>
  <c r="I2777" i="31" s="1"/>
  <c r="I2967" i="31"/>
  <c r="I2968" i="31" s="1"/>
  <c r="I2976" i="31" s="1"/>
  <c r="G3059" i="31"/>
  <c r="G3063" i="31"/>
  <c r="I3131" i="31"/>
  <c r="I3106" i="31" s="1"/>
  <c r="G3163" i="31"/>
  <c r="G3164" i="31"/>
  <c r="I3196" i="31"/>
  <c r="I3198" i="31" s="1"/>
  <c r="I3209" i="31" s="1"/>
  <c r="G3229" i="31"/>
  <c r="G3351" i="31"/>
  <c r="G3387" i="31"/>
  <c r="G3499" i="31"/>
  <c r="G3527" i="31"/>
  <c r="I3548" i="31"/>
  <c r="G3575" i="31"/>
  <c r="I3635" i="31"/>
  <c r="I3678" i="31"/>
  <c r="I3689" i="31" s="1"/>
  <c r="G3926" i="31"/>
  <c r="I3926" i="31"/>
  <c r="I3927" i="31" s="1"/>
  <c r="I3935" i="31" s="1"/>
  <c r="G4043" i="31"/>
  <c r="I4043" i="31"/>
  <c r="I4071" i="31"/>
  <c r="I4074" i="31" s="1"/>
  <c r="G4071" i="31"/>
  <c r="G4149" i="31"/>
  <c r="I4149" i="31"/>
  <c r="G4259" i="31"/>
  <c r="I4259" i="31"/>
  <c r="G4347" i="31"/>
  <c r="I4347" i="31"/>
  <c r="I4348" i="31" s="1"/>
  <c r="I4356" i="31" s="1"/>
  <c r="I4477" i="31"/>
  <c r="I4478" i="31" s="1"/>
  <c r="I4494" i="31" s="1"/>
  <c r="G4477" i="31"/>
  <c r="I4516" i="31"/>
  <c r="I4572" i="31"/>
  <c r="I4573" i="31" s="1"/>
  <c r="I4581" i="31" s="1"/>
  <c r="I4585" i="31" s="1"/>
  <c r="I4558" i="31" s="1"/>
  <c r="G4572" i="31"/>
  <c r="I4767" i="31"/>
  <c r="G4767" i="31"/>
  <c r="I5328" i="31"/>
  <c r="I5342" i="31" s="1"/>
  <c r="I5353" i="31"/>
  <c r="G5353" i="31"/>
  <c r="I5355" i="31"/>
  <c r="G5355" i="31"/>
  <c r="I6133" i="31"/>
  <c r="G6133" i="31"/>
  <c r="I6135" i="31"/>
  <c r="G6135" i="31"/>
  <c r="G3606" i="31"/>
  <c r="I3606" i="31"/>
  <c r="G3681" i="31"/>
  <c r="I3681" i="31"/>
  <c r="I3682" i="31" s="1"/>
  <c r="I3690" i="31" s="1"/>
  <c r="I3694" i="31" s="1"/>
  <c r="I3663" i="31" s="1"/>
  <c r="G4373" i="31"/>
  <c r="I4373" i="31"/>
  <c r="I4374" i="31" s="1"/>
  <c r="I4382" i="31" s="1"/>
  <c r="I4714" i="31"/>
  <c r="G4714" i="31"/>
  <c r="G4875" i="31"/>
  <c r="I4875" i="31"/>
  <c r="I4876" i="31" s="1"/>
  <c r="I4890" i="31" s="1"/>
  <c r="I4901" i="31"/>
  <c r="G4901" i="31"/>
  <c r="I12" i="31"/>
  <c r="I13" i="31"/>
  <c r="I1744" i="31"/>
  <c r="I1745" i="31" s="1"/>
  <c r="I1753" i="31" s="1"/>
  <c r="I11" i="31"/>
  <c r="I200" i="31"/>
  <c r="G447" i="31"/>
  <c r="I504" i="31"/>
  <c r="I730" i="31"/>
  <c r="I706" i="31" s="1"/>
  <c r="I784" i="31"/>
  <c r="I760" i="31" s="1"/>
  <c r="I838" i="31"/>
  <c r="I814" i="31" s="1"/>
  <c r="I1016" i="31"/>
  <c r="I1078" i="31"/>
  <c r="I1079" i="31" s="1"/>
  <c r="I1192" i="31"/>
  <c r="I1193" i="31" s="1"/>
  <c r="I1290" i="31"/>
  <c r="I1298" i="31" s="1"/>
  <c r="G1336" i="31"/>
  <c r="I1346" i="31"/>
  <c r="I1354" i="31" s="1"/>
  <c r="I1374" i="31"/>
  <c r="I1375" i="31" s="1"/>
  <c r="I1383" i="31" s="1"/>
  <c r="I1451" i="31"/>
  <c r="I1455" i="31" s="1"/>
  <c r="I1470" i="31" s="1"/>
  <c r="G1609" i="31"/>
  <c r="G1636" i="31"/>
  <c r="G1640" i="31"/>
  <c r="I1667" i="31"/>
  <c r="I1668" i="31" s="1"/>
  <c r="I1673" i="31" s="1"/>
  <c r="G1800" i="31"/>
  <c r="G1804" i="31"/>
  <c r="I1819" i="31"/>
  <c r="I1820" i="31" s="1"/>
  <c r="I1834" i="31" s="1"/>
  <c r="I1840" i="31" s="1"/>
  <c r="I1816" i="31" s="1"/>
  <c r="G1989" i="31"/>
  <c r="G2070" i="31"/>
  <c r="I2097" i="31"/>
  <c r="I2098" i="31" s="1"/>
  <c r="I2106" i="31" s="1"/>
  <c r="G2143" i="31"/>
  <c r="I2170" i="31"/>
  <c r="I2171" i="31" s="1"/>
  <c r="I2185" i="31" s="1"/>
  <c r="G2286" i="31"/>
  <c r="I2312" i="31"/>
  <c r="I2313" i="31" s="1"/>
  <c r="I2321" i="31" s="1"/>
  <c r="G2356" i="31"/>
  <c r="I2383" i="31"/>
  <c r="I2384" i="31" s="1"/>
  <c r="I2398" i="31" s="1"/>
  <c r="G2498" i="31"/>
  <c r="I2525" i="31"/>
  <c r="I2526" i="31" s="1"/>
  <c r="I2534" i="31" s="1"/>
  <c r="G2571" i="31"/>
  <c r="I2598" i="31"/>
  <c r="I2599" i="31" s="1"/>
  <c r="I2613" i="31" s="1"/>
  <c r="G2713" i="31"/>
  <c r="I2740" i="31"/>
  <c r="I2741" i="31" s="1"/>
  <c r="I2749" i="31" s="1"/>
  <c r="G2786" i="31"/>
  <c r="I2817" i="31"/>
  <c r="G2873" i="31"/>
  <c r="I2900" i="31"/>
  <c r="I2901" i="31" s="1"/>
  <c r="I2917" i="31" s="1"/>
  <c r="I2923" i="31" s="1"/>
  <c r="I2897" i="31" s="1"/>
  <c r="I2938" i="31"/>
  <c r="I2939" i="31" s="1"/>
  <c r="G3050" i="31"/>
  <c r="G3051" i="31"/>
  <c r="G3052" i="31"/>
  <c r="G3053" i="31"/>
  <c r="G3092" i="31"/>
  <c r="G3145" i="31"/>
  <c r="G3308" i="31"/>
  <c r="G3378" i="31"/>
  <c r="I3434" i="31"/>
  <c r="I3435" i="31"/>
  <c r="I3436" i="31"/>
  <c r="G3464" i="31"/>
  <c r="G3547" i="31"/>
  <c r="I3547" i="31"/>
  <c r="I3550" i="31" s="1"/>
  <c r="I3564" i="31" s="1"/>
  <c r="G3578" i="31"/>
  <c r="I3634" i="31"/>
  <c r="I3638" i="31"/>
  <c r="I3701" i="31"/>
  <c r="I3702" i="31" s="1"/>
  <c r="I3716" i="31" s="1"/>
  <c r="I3721" i="31" s="1"/>
  <c r="I3696" i="31" s="1"/>
  <c r="I3889" i="31"/>
  <c r="I3890" i="31" s="1"/>
  <c r="I3904" i="31" s="1"/>
  <c r="G3889" i="31"/>
  <c r="G4321" i="31"/>
  <c r="I4321" i="31"/>
  <c r="I4322" i="31" s="1"/>
  <c r="I4330" i="31" s="1"/>
  <c r="I4902" i="31"/>
  <c r="G4902" i="31"/>
  <c r="I4904" i="31"/>
  <c r="G4904" i="31"/>
  <c r="I4973" i="31"/>
  <c r="I4975" i="31" s="1"/>
  <c r="G4973" i="31"/>
  <c r="I5003" i="31"/>
  <c r="I5011" i="31" s="1"/>
  <c r="I5051" i="31"/>
  <c r="I5065" i="31" s="1"/>
  <c r="I5071" i="31" s="1"/>
  <c r="I5045" i="31" s="1"/>
  <c r="G5113" i="31"/>
  <c r="I5113" i="31"/>
  <c r="I5507" i="31"/>
  <c r="I5508" i="31" s="1"/>
  <c r="I5522" i="31" s="1"/>
  <c r="I5527" i="31" s="1"/>
  <c r="I5504" i="31" s="1"/>
  <c r="G5507" i="31"/>
  <c r="G5567" i="31"/>
  <c r="I5567" i="31"/>
  <c r="I5569" i="31" s="1"/>
  <c r="I5837" i="31"/>
  <c r="G5837" i="31"/>
  <c r="I5839" i="31"/>
  <c r="G5839" i="31"/>
  <c r="I5938" i="31"/>
  <c r="I5939" i="31" s="1"/>
  <c r="I5947" i="31" s="1"/>
  <c r="G5938" i="31"/>
  <c r="I6024" i="31"/>
  <c r="I6038" i="31" s="1"/>
  <c r="I6460" i="31"/>
  <c r="I6461" i="31" s="1"/>
  <c r="I6475" i="31" s="1"/>
  <c r="G6460" i="31"/>
  <c r="I6537" i="31"/>
  <c r="I6539" i="31" s="1"/>
  <c r="I6553" i="31" s="1"/>
  <c r="G6537" i="31"/>
  <c r="I6622" i="31"/>
  <c r="I6623" i="31" s="1"/>
  <c r="I6631" i="31" s="1"/>
  <c r="G6622" i="31"/>
  <c r="I1494" i="31"/>
  <c r="I1505" i="31" s="1"/>
  <c r="I238" i="31"/>
  <c r="I246" i="31" s="1"/>
  <c r="D273" i="31"/>
  <c r="I273" i="31" s="1"/>
  <c r="I274" i="31" s="1"/>
  <c r="I279" i="31" s="1"/>
  <c r="I448" i="31"/>
  <c r="I486" i="31"/>
  <c r="I494" i="31" s="1"/>
  <c r="I1229" i="31"/>
  <c r="I1240" i="31" s="1"/>
  <c r="I1730" i="31"/>
  <c r="I1706" i="31" s="1"/>
  <c r="I1764" i="31"/>
  <c r="I2816" i="31"/>
  <c r="I3433" i="31"/>
  <c r="I3443" i="31"/>
  <c r="I3454" i="31" s="1"/>
  <c r="I3586" i="31"/>
  <c r="I3587" i="31" s="1"/>
  <c r="I3595" i="31" s="1"/>
  <c r="I3599" i="31" s="1"/>
  <c r="I3572" i="31" s="1"/>
  <c r="G3586" i="31"/>
  <c r="G3604" i="31"/>
  <c r="I3604" i="31"/>
  <c r="I3607" i="31" s="1"/>
  <c r="I3622" i="31" s="1"/>
  <c r="I3612" i="31"/>
  <c r="I3623" i="31" s="1"/>
  <c r="G3615" i="31"/>
  <c r="I3615" i="31"/>
  <c r="I3616" i="31" s="1"/>
  <c r="I3624" i="31" s="1"/>
  <c r="I3639" i="31"/>
  <c r="I3655" i="31" s="1"/>
  <c r="I3756" i="31"/>
  <c r="I3771" i="31" s="1"/>
  <c r="G4093" i="31"/>
  <c r="I4093" i="31"/>
  <c r="I4095" i="31" s="1"/>
  <c r="I4109" i="31" s="1"/>
  <c r="I4115" i="31" s="1"/>
  <c r="I4089" i="31" s="1"/>
  <c r="I4121" i="31"/>
  <c r="G4121" i="31"/>
  <c r="G4203" i="31"/>
  <c r="I4203" i="31"/>
  <c r="I4205" i="31" s="1"/>
  <c r="I4219" i="31" s="1"/>
  <c r="I4224" i="31" s="1"/>
  <c r="I4200" i="31" s="1"/>
  <c r="I4230" i="31"/>
  <c r="G4230" i="31"/>
  <c r="G4622" i="31"/>
  <c r="I4622" i="31"/>
  <c r="G4655" i="31"/>
  <c r="I4655" i="31"/>
  <c r="I4768" i="31"/>
  <c r="G4768" i="31"/>
  <c r="I5352" i="31"/>
  <c r="I5356" i="31" s="1"/>
  <c r="I5370" i="31" s="1"/>
  <c r="I5375" i="31" s="1"/>
  <c r="I5349" i="31" s="1"/>
  <c r="G5352" i="31"/>
  <c r="I5354" i="31"/>
  <c r="G5354" i="31"/>
  <c r="G5432" i="31"/>
  <c r="I5432" i="31"/>
  <c r="I5433" i="31" s="1"/>
  <c r="I5447" i="31" s="1"/>
  <c r="I5440" i="31"/>
  <c r="I5441" i="31" s="1"/>
  <c r="I5449" i="31" s="1"/>
  <c r="G5440" i="31"/>
  <c r="G5540" i="31"/>
  <c r="I5540" i="31"/>
  <c r="I5602" i="31"/>
  <c r="I5603" i="31" s="1"/>
  <c r="I5611" i="31" s="1"/>
  <c r="G5602" i="31"/>
  <c r="I5629" i="31"/>
  <c r="G5629" i="31"/>
  <c r="I6134" i="31"/>
  <c r="G6134" i="31"/>
  <c r="I6136" i="31"/>
  <c r="G6136" i="31"/>
  <c r="I6173" i="31"/>
  <c r="I6174" i="31" s="1"/>
  <c r="I6182" i="31" s="1"/>
  <c r="G6173" i="31"/>
  <c r="I6362" i="31"/>
  <c r="I6363" i="31" s="1"/>
  <c r="I6371" i="31" s="1"/>
  <c r="G6362" i="31"/>
  <c r="I6512" i="31"/>
  <c r="G6512" i="31"/>
  <c r="I6804" i="31"/>
  <c r="I6805" i="31" s="1"/>
  <c r="I6813" i="31" s="1"/>
  <c r="I6816" i="31" s="1"/>
  <c r="I6793" i="31" s="1"/>
  <c r="G6804" i="31"/>
  <c r="I6897" i="31"/>
  <c r="G6897" i="31"/>
  <c r="I6899" i="31"/>
  <c r="G6899" i="31"/>
  <c r="G7070" i="31"/>
  <c r="I7070" i="31"/>
  <c r="I7071" i="31" s="1"/>
  <c r="I7079" i="31" s="1"/>
  <c r="I7082" i="31" s="1"/>
  <c r="I7059" i="31" s="1"/>
  <c r="G7171" i="31"/>
  <c r="I7171" i="31"/>
  <c r="I7172" i="31" s="1"/>
  <c r="I7180" i="31" s="1"/>
  <c r="G7271" i="31"/>
  <c r="I7271" i="31"/>
  <c r="I7272" i="31" s="1"/>
  <c r="I7280" i="31" s="1"/>
  <c r="I7283" i="31" s="1"/>
  <c r="I7260" i="31" s="1"/>
  <c r="G7371" i="31"/>
  <c r="I7371" i="31"/>
  <c r="I7372" i="31" s="1"/>
  <c r="I7380" i="31" s="1"/>
  <c r="G7471" i="31"/>
  <c r="I7471" i="31"/>
  <c r="I7472" i="31" s="1"/>
  <c r="I7480" i="31" s="1"/>
  <c r="I7483" i="31" s="1"/>
  <c r="I7460" i="31" s="1"/>
  <c r="G7571" i="31"/>
  <c r="I7571" i="31"/>
  <c r="I7572" i="31" s="1"/>
  <c r="I7580" i="31" s="1"/>
  <c r="G7872" i="31"/>
  <c r="I7872" i="31"/>
  <c r="I7873" i="31" s="1"/>
  <c r="I7881" i="31" s="1"/>
  <c r="I7884" i="31" s="1"/>
  <c r="I7991" i="31"/>
  <c r="G7991" i="31"/>
  <c r="I7993" i="31"/>
  <c r="G7993" i="31"/>
  <c r="I8284" i="31"/>
  <c r="I8285" i="31" s="1"/>
  <c r="I8299" i="31" s="1"/>
  <c r="I8304" i="31" s="1"/>
  <c r="I8281" i="31" s="1"/>
  <c r="G8284" i="31"/>
  <c r="G8417" i="31"/>
  <c r="I8417" i="31"/>
  <c r="I8418" i="31" s="1"/>
  <c r="I8426" i="31" s="1"/>
  <c r="I8722" i="31"/>
  <c r="G8722" i="31"/>
  <c r="G8909" i="31"/>
  <c r="I8909" i="31"/>
  <c r="I8910" i="31" s="1"/>
  <c r="I8918" i="31" s="1"/>
  <c r="I8921" i="31" s="1"/>
  <c r="I8896" i="31" s="1"/>
  <c r="G9314" i="31"/>
  <c r="I9314" i="31"/>
  <c r="I9315" i="31" s="1"/>
  <c r="I9329" i="31" s="1"/>
  <c r="I9334" i="31" s="1"/>
  <c r="I9311" i="31" s="1"/>
  <c r="I10988" i="31"/>
  <c r="I10989" i="31" s="1"/>
  <c r="I11003" i="31" s="1"/>
  <c r="I11008" i="31" s="1"/>
  <c r="I10985" i="31" s="1"/>
  <c r="G10988" i="31"/>
  <c r="I11253" i="31"/>
  <c r="I11254" i="31" s="1"/>
  <c r="I11262" i="31" s="1"/>
  <c r="G11253" i="31"/>
  <c r="G11871" i="31"/>
  <c r="I11871" i="31"/>
  <c r="I12089" i="31"/>
  <c r="I12090" i="31" s="1"/>
  <c r="I12098" i="31" s="1"/>
  <c r="G12089" i="31"/>
  <c r="I3949" i="31"/>
  <c r="I4419" i="31"/>
  <c r="I4423" i="31" s="1"/>
  <c r="I4439" i="31" s="1"/>
  <c r="I4445" i="31" s="1"/>
  <c r="I4416" i="31" s="1"/>
  <c r="I4420" i="31"/>
  <c r="I4421" i="31"/>
  <c r="I4488" i="31"/>
  <c r="I4496" i="31" s="1"/>
  <c r="I4598" i="31"/>
  <c r="I4609" i="31" s="1"/>
  <c r="I4934" i="31"/>
  <c r="I4935" i="31"/>
  <c r="I4936" i="31"/>
  <c r="I5143" i="31"/>
  <c r="I5158" i="31" s="1"/>
  <c r="I5147" i="31"/>
  <c r="I5197" i="31"/>
  <c r="I5211" i="31" s="1"/>
  <c r="I5294" i="31"/>
  <c r="I5271" i="31" s="1"/>
  <c r="I5970" i="31"/>
  <c r="I5981" i="31" s="1"/>
  <c r="G6443" i="31"/>
  <c r="I6443" i="31"/>
  <c r="I6444" i="31" s="1"/>
  <c r="I6452" i="31" s="1"/>
  <c r="I6608" i="31"/>
  <c r="I6585" i="31" s="1"/>
  <c r="G6692" i="31"/>
  <c r="I6692" i="31"/>
  <c r="I6693" i="31" s="1"/>
  <c r="I6707" i="31" s="1"/>
  <c r="I6959" i="31"/>
  <c r="I6974" i="31" s="1"/>
  <c r="I7037" i="31"/>
  <c r="I7038" i="31" s="1"/>
  <c r="I7052" i="31" s="1"/>
  <c r="G7037" i="31"/>
  <c r="I7137" i="31"/>
  <c r="I7138" i="31" s="1"/>
  <c r="I7152" i="31" s="1"/>
  <c r="G7137" i="31"/>
  <c r="I7238" i="31"/>
  <c r="I7239" i="31" s="1"/>
  <c r="I7253" i="31" s="1"/>
  <c r="G7238" i="31"/>
  <c r="I7338" i="31"/>
  <c r="I7339" i="31" s="1"/>
  <c r="I7353" i="31" s="1"/>
  <c r="G7338" i="31"/>
  <c r="I7438" i="31"/>
  <c r="I7439" i="31" s="1"/>
  <c r="I7453" i="31" s="1"/>
  <c r="G7438" i="31"/>
  <c r="I7538" i="31"/>
  <c r="I7539" i="31" s="1"/>
  <c r="I7553" i="31" s="1"/>
  <c r="G7538" i="31"/>
  <c r="I7789" i="31"/>
  <c r="I7790" i="31" s="1"/>
  <c r="I7804" i="31" s="1"/>
  <c r="G7789" i="31"/>
  <c r="I8230" i="31"/>
  <c r="I8232" i="31" s="1"/>
  <c r="I8247" i="31" s="1"/>
  <c r="G8230" i="31"/>
  <c r="I8334" i="31"/>
  <c r="I8335" i="31" s="1"/>
  <c r="I8349" i="31" s="1"/>
  <c r="I8354" i="31" s="1"/>
  <c r="I8331" i="31" s="1"/>
  <c r="G8334" i="31"/>
  <c r="G8568" i="31"/>
  <c r="I8568" i="31"/>
  <c r="G8712" i="31"/>
  <c r="I8712" i="31"/>
  <c r="I8718" i="31" s="1"/>
  <c r="I8735" i="31" s="1"/>
  <c r="G8855" i="31"/>
  <c r="I8855" i="31"/>
  <c r="I8856" i="31" s="1"/>
  <c r="I8864" i="31" s="1"/>
  <c r="I9029" i="31"/>
  <c r="I9030" i="31" s="1"/>
  <c r="I9038" i="31" s="1"/>
  <c r="G9029" i="31"/>
  <c r="G10913" i="31"/>
  <c r="I10913" i="31"/>
  <c r="I10914" i="31" s="1"/>
  <c r="I10928" i="31" s="1"/>
  <c r="I10933" i="31" s="1"/>
  <c r="I10910" i="31" s="1"/>
  <c r="I3810" i="31"/>
  <c r="I3824" i="31" s="1"/>
  <c r="I3869" i="31"/>
  <c r="I3880" i="31" s="1"/>
  <c r="I3910" i="31"/>
  <c r="I3886" i="31" s="1"/>
  <c r="I4412" i="31"/>
  <c r="I4388" i="31" s="1"/>
  <c r="I4827" i="31"/>
  <c r="I4838" i="31" s="1"/>
  <c r="I4842" i="31" s="1"/>
  <c r="I4817" i="31" s="1"/>
  <c r="I5146" i="31"/>
  <c r="I5542" i="31"/>
  <c r="I5648" i="31"/>
  <c r="I5650" i="31" s="1"/>
  <c r="I5649" i="31"/>
  <c r="I6232" i="31"/>
  <c r="I6243" i="31" s="1"/>
  <c r="I6298" i="31"/>
  <c r="I6309" i="31" s="1"/>
  <c r="I6382" i="31"/>
  <c r="I6396" i="31" s="1"/>
  <c r="I6829" i="31"/>
  <c r="I6830" i="31" s="1"/>
  <c r="I6838" i="31" s="1"/>
  <c r="G6829" i="31"/>
  <c r="I6896" i="31"/>
  <c r="G6896" i="31"/>
  <c r="I6898" i="31"/>
  <c r="G6898" i="31"/>
  <c r="G7019" i="31"/>
  <c r="I7019" i="31"/>
  <c r="I7020" i="31" s="1"/>
  <c r="I7028" i="31" s="1"/>
  <c r="I7031" i="31" s="1"/>
  <c r="I7008" i="31" s="1"/>
  <c r="G7120" i="31"/>
  <c r="I7120" i="31"/>
  <c r="I7121" i="31" s="1"/>
  <c r="I7129" i="31" s="1"/>
  <c r="I7132" i="31" s="1"/>
  <c r="I7109" i="31" s="1"/>
  <c r="G7221" i="31"/>
  <c r="I7221" i="31"/>
  <c r="I7222" i="31" s="1"/>
  <c r="I7230" i="31" s="1"/>
  <c r="I7233" i="31" s="1"/>
  <c r="I7210" i="31" s="1"/>
  <c r="G7321" i="31"/>
  <c r="I7321" i="31"/>
  <c r="I7322" i="31" s="1"/>
  <c r="I7330" i="31" s="1"/>
  <c r="I7333" i="31" s="1"/>
  <c r="I7310" i="31" s="1"/>
  <c r="G7421" i="31"/>
  <c r="I7421" i="31"/>
  <c r="I7422" i="31" s="1"/>
  <c r="I7430" i="31" s="1"/>
  <c r="I7433" i="31" s="1"/>
  <c r="I7410" i="31" s="1"/>
  <c r="G7521" i="31"/>
  <c r="I7521" i="31"/>
  <c r="I7522" i="31" s="1"/>
  <c r="I7530" i="31" s="1"/>
  <c r="I7533" i="31" s="1"/>
  <c r="I7639" i="31"/>
  <c r="I7640" i="31" s="1"/>
  <c r="I7654" i="31" s="1"/>
  <c r="G7639" i="31"/>
  <c r="G7772" i="31"/>
  <c r="I7772" i="31"/>
  <c r="I7773" i="31" s="1"/>
  <c r="I7781" i="31" s="1"/>
  <c r="I7784" i="31" s="1"/>
  <c r="I7990" i="31"/>
  <c r="G7990" i="31"/>
  <c r="I7992" i="31"/>
  <c r="G7992" i="31"/>
  <c r="I8279" i="31"/>
  <c r="I8254" i="31" s="1"/>
  <c r="G8317" i="31"/>
  <c r="I8317" i="31"/>
  <c r="I8318" i="31" s="1"/>
  <c r="I8326" i="31" s="1"/>
  <c r="I8329" i="31" s="1"/>
  <c r="I8384" i="31"/>
  <c r="I8385" i="31" s="1"/>
  <c r="I8399" i="31" s="1"/>
  <c r="I8404" i="31" s="1"/>
  <c r="I8381" i="31" s="1"/>
  <c r="G8384" i="31"/>
  <c r="I9963" i="31"/>
  <c r="G9963" i="31"/>
  <c r="G9974" i="31"/>
  <c r="I9974" i="31"/>
  <c r="G10089" i="31"/>
  <c r="I10089" i="31"/>
  <c r="I10671" i="31"/>
  <c r="I10672" i="31" s="1"/>
  <c r="I10680" i="31" s="1"/>
  <c r="G10671" i="31"/>
  <c r="G10713" i="31"/>
  <c r="I10713" i="31"/>
  <c r="I10714" i="31" s="1"/>
  <c r="I10728" i="31" s="1"/>
  <c r="I4045" i="31"/>
  <c r="G4073" i="31"/>
  <c r="G4123" i="31"/>
  <c r="I4151" i="31"/>
  <c r="G4177" i="31"/>
  <c r="I4257" i="31"/>
  <c r="I4260" i="31" s="1"/>
  <c r="I4275" i="31" s="1"/>
  <c r="D4339" i="31"/>
  <c r="I4339" i="31" s="1"/>
  <c r="I4340" i="31" s="1"/>
  <c r="I4354" i="31" s="1"/>
  <c r="I4620" i="31"/>
  <c r="I4624" i="31"/>
  <c r="I4653" i="31"/>
  <c r="I4658" i="31" s="1"/>
  <c r="I4674" i="31" s="1"/>
  <c r="I4657" i="31"/>
  <c r="I4686" i="31"/>
  <c r="I4688" i="31" s="1"/>
  <c r="I4702" i="31" s="1"/>
  <c r="I4707" i="31" s="1"/>
  <c r="I4682" i="31" s="1"/>
  <c r="G4712" i="31"/>
  <c r="I4750" i="31"/>
  <c r="I4751" i="31" s="1"/>
  <c r="I4759" i="31" s="1"/>
  <c r="I4883" i="31"/>
  <c r="I4884" i="31" s="1"/>
  <c r="I4892" i="31" s="1"/>
  <c r="I4992" i="31"/>
  <c r="I4993" i="31" s="1"/>
  <c r="I5009" i="31" s="1"/>
  <c r="I5015" i="31" s="1"/>
  <c r="I4989" i="31" s="1"/>
  <c r="I5111" i="31"/>
  <c r="I5115" i="31" s="1"/>
  <c r="I5129" i="31" s="1"/>
  <c r="I5221" i="31"/>
  <c r="I5223" i="31" s="1"/>
  <c r="I5238" i="31" s="1"/>
  <c r="I5308" i="31"/>
  <c r="I5309" i="31" s="1"/>
  <c r="I5317" i="31" s="1"/>
  <c r="I5320" i="31" s="1"/>
  <c r="I5296" i="31" s="1"/>
  <c r="I5415" i="31"/>
  <c r="I5416" i="31" s="1"/>
  <c r="I5424" i="31" s="1"/>
  <c r="G5515" i="31"/>
  <c r="I5599" i="31"/>
  <c r="I5610" i="31" s="1"/>
  <c r="I5986" i="31"/>
  <c r="I5954" i="31" s="1"/>
  <c r="G6268" i="31"/>
  <c r="G6674" i="31"/>
  <c r="I6986" i="31"/>
  <c r="I6987" i="31" s="1"/>
  <c r="I7001" i="31" s="1"/>
  <c r="G6986" i="31"/>
  <c r="I7087" i="31"/>
  <c r="I7088" i="31" s="1"/>
  <c r="I7102" i="31" s="1"/>
  <c r="G7087" i="31"/>
  <c r="I7188" i="31"/>
  <c r="I7189" i="31" s="1"/>
  <c r="I7203" i="31" s="1"/>
  <c r="G7188" i="31"/>
  <c r="I7288" i="31"/>
  <c r="I7289" i="31" s="1"/>
  <c r="I7303" i="31" s="1"/>
  <c r="G7288" i="31"/>
  <c r="I7388" i="31"/>
  <c r="I7389" i="31" s="1"/>
  <c r="I7403" i="31" s="1"/>
  <c r="G7388" i="31"/>
  <c r="I7488" i="31"/>
  <c r="I7489" i="31" s="1"/>
  <c r="I7503" i="31" s="1"/>
  <c r="G7488" i="31"/>
  <c r="I7589" i="31"/>
  <c r="I7590" i="31" s="1"/>
  <c r="I7604" i="31" s="1"/>
  <c r="G7589" i="31"/>
  <c r="I7839" i="31"/>
  <c r="I7840" i="31" s="1"/>
  <c r="I7854" i="31" s="1"/>
  <c r="I7859" i="31" s="1"/>
  <c r="I7836" i="31" s="1"/>
  <c r="G7839" i="31"/>
  <c r="I7889" i="31"/>
  <c r="I7890" i="31" s="1"/>
  <c r="I7904" i="31" s="1"/>
  <c r="G7889" i="31"/>
  <c r="G7973" i="31"/>
  <c r="I7973" i="31"/>
  <c r="I7974" i="31" s="1"/>
  <c r="I7982" i="31" s="1"/>
  <c r="I7985" i="31" s="1"/>
  <c r="I7962" i="31" s="1"/>
  <c r="I8225" i="31"/>
  <c r="I8200" i="31" s="1"/>
  <c r="G8367" i="31"/>
  <c r="I8367" i="31"/>
  <c r="I8368" i="31" s="1"/>
  <c r="I8376" i="31" s="1"/>
  <c r="I8379" i="31" s="1"/>
  <c r="I8434" i="31"/>
  <c r="I8435" i="31" s="1"/>
  <c r="I8449" i="31" s="1"/>
  <c r="I8454" i="31" s="1"/>
  <c r="I8431" i="31" s="1"/>
  <c r="G8434" i="31"/>
  <c r="G8624" i="31"/>
  <c r="I8624" i="31"/>
  <c r="G8750" i="31"/>
  <c r="I8750" i="31"/>
  <c r="G9723" i="31"/>
  <c r="I9723" i="31"/>
  <c r="I9724" i="31" s="1"/>
  <c r="I9732" i="31" s="1"/>
  <c r="I9735" i="31" s="1"/>
  <c r="I9712" i="31" s="1"/>
  <c r="I6906" i="31"/>
  <c r="I7759" i="31"/>
  <c r="I7736" i="31" s="1"/>
  <c r="I8894" i="31"/>
  <c r="I8869" i="31" s="1"/>
  <c r="I8958" i="31"/>
  <c r="G8958" i="31"/>
  <c r="G9364" i="31"/>
  <c r="I9364" i="31"/>
  <c r="I9365" i="31" s="1"/>
  <c r="I9379" i="31" s="1"/>
  <c r="I9824" i="31"/>
  <c r="I9825" i="31" s="1"/>
  <c r="I9840" i="31" s="1"/>
  <c r="G9824" i="31"/>
  <c r="I10063" i="31"/>
  <c r="G10063" i="31"/>
  <c r="I10123" i="31"/>
  <c r="G10123" i="31"/>
  <c r="I6640" i="31"/>
  <c r="I6641" i="31" s="1"/>
  <c r="I6655" i="31" s="1"/>
  <c r="G6752" i="31"/>
  <c r="I6846" i="31"/>
  <c r="I6847" i="31" s="1"/>
  <c r="I6861" i="31" s="1"/>
  <c r="G7714" i="31"/>
  <c r="G7814" i="31"/>
  <c r="G8213" i="31"/>
  <c r="G8267" i="31"/>
  <c r="I8511" i="31"/>
  <c r="G8567" i="31"/>
  <c r="I8567" i="31"/>
  <c r="I8577" i="31"/>
  <c r="I8578" i="31" s="1"/>
  <c r="I8586" i="31" s="1"/>
  <c r="I8626" i="31"/>
  <c r="G8635" i="31"/>
  <c r="I8748" i="31"/>
  <c r="G8749" i="31"/>
  <c r="I8749" i="31"/>
  <c r="G8966" i="31"/>
  <c r="I9107" i="31"/>
  <c r="I9108" i="31" s="1"/>
  <c r="I9116" i="31" s="1"/>
  <c r="I9191" i="31"/>
  <c r="G9191" i="31"/>
  <c r="I9296" i="31"/>
  <c r="I9297" i="31" s="1"/>
  <c r="I9305" i="31" s="1"/>
  <c r="I9308" i="31" s="1"/>
  <c r="I9285" i="31" s="1"/>
  <c r="G9296" i="31"/>
  <c r="I9805" i="31"/>
  <c r="I9806" i="31" s="1"/>
  <c r="I9814" i="31" s="1"/>
  <c r="G9805" i="31"/>
  <c r="G9936" i="31"/>
  <c r="I9936" i="31"/>
  <c r="G9967" i="31"/>
  <c r="I9967" i="31"/>
  <c r="G10093" i="31"/>
  <c r="I10093" i="31"/>
  <c r="G10271" i="31"/>
  <c r="I10271" i="31"/>
  <c r="I10272" i="31" s="1"/>
  <c r="I10280" i="31" s="1"/>
  <c r="I10421" i="31"/>
  <c r="I10422" i="31" s="1"/>
  <c r="I10430" i="31" s="1"/>
  <c r="G10421" i="31"/>
  <c r="I10621" i="31"/>
  <c r="I10622" i="31" s="1"/>
  <c r="I10630" i="31" s="1"/>
  <c r="I10633" i="31" s="1"/>
  <c r="I10610" i="31" s="1"/>
  <c r="G10621" i="31"/>
  <c r="I10696" i="31"/>
  <c r="I10697" i="31" s="1"/>
  <c r="I10705" i="31" s="1"/>
  <c r="G10696" i="31"/>
  <c r="G10788" i="31"/>
  <c r="I10788" i="31"/>
  <c r="I10789" i="31" s="1"/>
  <c r="I10803" i="31" s="1"/>
  <c r="G11622" i="31"/>
  <c r="I11622" i="31"/>
  <c r="I11625" i="31" s="1"/>
  <c r="I11639" i="31" s="1"/>
  <c r="I7183" i="31"/>
  <c r="I7160" i="31" s="1"/>
  <c r="I7383" i="31"/>
  <c r="I7360" i="31" s="1"/>
  <c r="I8655" i="31"/>
  <c r="I8657" i="31" s="1"/>
  <c r="I8671" i="31" s="1"/>
  <c r="I8677" i="31" s="1"/>
  <c r="I8650" i="31" s="1"/>
  <c r="I8957" i="31"/>
  <c r="I8959" i="31" s="1"/>
  <c r="I8973" i="31" s="1"/>
  <c r="I8978" i="31" s="1"/>
  <c r="I8954" i="31" s="1"/>
  <c r="G8957" i="31"/>
  <c r="I9270" i="31"/>
  <c r="I9271" i="31" s="1"/>
  <c r="I9279" i="31" s="1"/>
  <c r="I9282" i="31" s="1"/>
  <c r="I9259" i="31" s="1"/>
  <c r="G9270" i="31"/>
  <c r="I9439" i="31"/>
  <c r="I9440" i="31" s="1"/>
  <c r="I9454" i="31" s="1"/>
  <c r="G9439" i="31"/>
  <c r="I9740" i="31"/>
  <c r="I9741" i="31" s="1"/>
  <c r="I9755" i="31" s="1"/>
  <c r="G9740" i="31"/>
  <c r="I10127" i="31"/>
  <c r="I10128" i="31" s="1"/>
  <c r="I10144" i="31" s="1"/>
  <c r="I10150" i="31" s="1"/>
  <c r="G10127" i="31"/>
  <c r="I10571" i="31"/>
  <c r="I10572" i="31" s="1"/>
  <c r="I10580" i="31" s="1"/>
  <c r="G10571" i="31"/>
  <c r="I12422" i="31"/>
  <c r="I12423" i="31" s="1"/>
  <c r="I12437" i="31" s="1"/>
  <c r="G12422" i="31"/>
  <c r="I13032" i="31"/>
  <c r="G13032" i="31"/>
  <c r="G13146" i="31"/>
  <c r="I13146" i="31"/>
  <c r="G13406" i="31"/>
  <c r="I13406" i="31"/>
  <c r="G13643" i="31"/>
  <c r="I13643" i="31"/>
  <c r="I13644" i="31" s="1"/>
  <c r="I13652" i="31" s="1"/>
  <c r="I13655" i="31" s="1"/>
  <c r="I13632" i="31" s="1"/>
  <c r="I14141" i="31"/>
  <c r="I14142" i="31" s="1"/>
  <c r="I14156" i="31" s="1"/>
  <c r="G14141" i="31"/>
  <c r="I14149" i="31"/>
  <c r="I14150" i="31" s="1"/>
  <c r="I14158" i="31" s="1"/>
  <c r="I14161" i="31" s="1"/>
  <c r="I14138" i="31" s="1"/>
  <c r="G14149" i="31"/>
  <c r="I14366" i="31"/>
  <c r="I14367" i="31" s="1"/>
  <c r="I14381" i="31" s="1"/>
  <c r="I14386" i="31" s="1"/>
  <c r="I14363" i="31" s="1"/>
  <c r="G14366" i="31"/>
  <c r="I14466" i="31"/>
  <c r="I14467" i="31" s="1"/>
  <c r="I14481" i="31" s="1"/>
  <c r="G14466" i="31"/>
  <c r="I14474" i="31"/>
  <c r="I14475" i="31" s="1"/>
  <c r="I14483" i="31" s="1"/>
  <c r="G14474" i="31"/>
  <c r="I14616" i="31"/>
  <c r="I14617" i="31" s="1"/>
  <c r="I14631" i="31" s="1"/>
  <c r="I14636" i="31" s="1"/>
  <c r="I14613" i="31" s="1"/>
  <c r="G14616" i="31"/>
  <c r="I14799" i="31"/>
  <c r="I14800" i="31" s="1"/>
  <c r="I14808" i="31" s="1"/>
  <c r="G14799" i="31"/>
  <c r="I14849" i="31"/>
  <c r="I14850" i="31" s="1"/>
  <c r="I14858" i="31" s="1"/>
  <c r="G14849" i="31"/>
  <c r="I14899" i="31"/>
  <c r="I14900" i="31" s="1"/>
  <c r="I14908" i="31" s="1"/>
  <c r="G14899" i="31"/>
  <c r="I14949" i="31"/>
  <c r="I14950" i="31" s="1"/>
  <c r="I14958" i="31" s="1"/>
  <c r="G14949" i="31"/>
  <c r="I14999" i="31"/>
  <c r="I15000" i="31" s="1"/>
  <c r="I15008" i="31" s="1"/>
  <c r="G14999" i="31"/>
  <c r="F13024" i="31"/>
  <c r="G13024" i="31" s="1"/>
  <c r="F11744" i="31"/>
  <c r="G11744" i="31" s="1"/>
  <c r="F11710" i="31"/>
  <c r="F12236" i="31"/>
  <c r="I12236" i="31" s="1"/>
  <c r="F11420" i="31"/>
  <c r="I11420" i="31" s="1"/>
  <c r="I11424" i="31" s="1"/>
  <c r="I11440" i="31" s="1"/>
  <c r="F13115" i="31"/>
  <c r="F11806" i="31"/>
  <c r="I11806" i="31" s="1"/>
  <c r="I10471" i="31"/>
  <c r="I10472" i="31" s="1"/>
  <c r="I10480" i="31" s="1"/>
  <c r="I10483" i="31" s="1"/>
  <c r="I10460" i="31" s="1"/>
  <c r="G10471" i="31"/>
  <c r="I10771" i="31"/>
  <c r="I10772" i="31" s="1"/>
  <c r="I10780" i="31" s="1"/>
  <c r="I10783" i="31" s="1"/>
  <c r="I10760" i="31" s="1"/>
  <c r="G10771" i="31"/>
  <c r="G11226" i="31"/>
  <c r="I11226" i="31"/>
  <c r="I11227" i="31" s="1"/>
  <c r="I11235" i="31" s="1"/>
  <c r="I11238" i="31" s="1"/>
  <c r="I11213" i="31" s="1"/>
  <c r="I11566" i="31"/>
  <c r="I11567" i="31" s="1"/>
  <c r="I11583" i="31" s="1"/>
  <c r="G11566" i="31"/>
  <c r="I11661" i="31"/>
  <c r="I11662" i="31" s="1"/>
  <c r="I11670" i="31" s="1"/>
  <c r="G11661" i="31"/>
  <c r="I11743" i="31"/>
  <c r="G11743" i="31"/>
  <c r="G11835" i="31"/>
  <c r="I11835" i="31"/>
  <c r="G11903" i="31"/>
  <c r="I11903" i="31"/>
  <c r="I12774" i="31"/>
  <c r="I12775" i="31" s="1"/>
  <c r="I12789" i="31" s="1"/>
  <c r="G12774" i="31"/>
  <c r="I12892" i="31"/>
  <c r="D12895" i="31" s="1"/>
  <c r="I12895" i="31" s="1"/>
  <c r="I12896" i="31" s="1"/>
  <c r="I12901" i="31" s="1"/>
  <c r="I13026" i="31"/>
  <c r="G13026" i="31"/>
  <c r="G13375" i="31"/>
  <c r="I13375" i="31"/>
  <c r="G13560" i="31"/>
  <c r="I13560" i="31"/>
  <c r="I13561" i="31" s="1"/>
  <c r="I13575" i="31" s="1"/>
  <c r="I9623" i="31"/>
  <c r="I9624" i="31" s="1"/>
  <c r="I9632" i="31" s="1"/>
  <c r="I9635" i="31" s="1"/>
  <c r="G9640" i="31"/>
  <c r="I9673" i="31"/>
  <c r="I9674" i="31" s="1"/>
  <c r="I9682" i="31" s="1"/>
  <c r="I9685" i="31" s="1"/>
  <c r="G9690" i="31"/>
  <c r="I9765" i="31"/>
  <c r="I9766" i="31" s="1"/>
  <c r="I9780" i="31" s="1"/>
  <c r="I9851" i="31"/>
  <c r="I9852" i="31" s="1"/>
  <c r="I9868" i="31" s="1"/>
  <c r="G9861" i="31"/>
  <c r="G9887" i="31"/>
  <c r="G9888" i="31"/>
  <c r="G9889" i="31"/>
  <c r="I9935" i="31"/>
  <c r="I9938" i="31" s="1"/>
  <c r="I9952" i="31" s="1"/>
  <c r="I9937" i="31"/>
  <c r="I9966" i="31"/>
  <c r="I9973" i="31"/>
  <c r="G10000" i="31"/>
  <c r="G10001" i="31"/>
  <c r="G10002" i="31"/>
  <c r="G10042" i="31"/>
  <c r="I10061" i="31"/>
  <c r="I10064" i="31" s="1"/>
  <c r="I10078" i="31" s="1"/>
  <c r="I10092" i="31"/>
  <c r="G10122" i="31"/>
  <c r="G10126" i="31"/>
  <c r="I10184" i="31"/>
  <c r="I10198" i="31" s="1"/>
  <c r="I10238" i="31"/>
  <c r="I10253" i="31" s="1"/>
  <c r="G10313" i="31"/>
  <c r="I10346" i="31"/>
  <c r="I10347" i="31" s="1"/>
  <c r="I10355" i="31" s="1"/>
  <c r="G10363" i="31"/>
  <c r="I10396" i="31"/>
  <c r="I10397" i="31" s="1"/>
  <c r="I10405" i="31" s="1"/>
  <c r="I10408" i="31" s="1"/>
  <c r="I10385" i="31" s="1"/>
  <c r="I10521" i="31"/>
  <c r="I10522" i="31" s="1"/>
  <c r="I10530" i="31" s="1"/>
  <c r="I10533" i="31" s="1"/>
  <c r="I10510" i="31" s="1"/>
  <c r="G10521" i="31"/>
  <c r="I10546" i="31"/>
  <c r="I10547" i="31" s="1"/>
  <c r="I10555" i="31" s="1"/>
  <c r="I10558" i="31" s="1"/>
  <c r="I10535" i="31" s="1"/>
  <c r="I10608" i="31"/>
  <c r="I10585" i="31" s="1"/>
  <c r="G10796" i="31"/>
  <c r="G10938" i="31"/>
  <c r="G11097" i="31"/>
  <c r="I11147" i="31"/>
  <c r="I11148" i="31" s="1"/>
  <c r="I11156" i="31" s="1"/>
  <c r="I11159" i="31" s="1"/>
  <c r="I11136" i="31" s="1"/>
  <c r="G11164" i="31"/>
  <c r="I11196" i="31"/>
  <c r="I11207" i="31" s="1"/>
  <c r="I11747" i="31"/>
  <c r="G11747" i="31"/>
  <c r="G11935" i="31"/>
  <c r="I11935" i="31"/>
  <c r="I11937" i="31" s="1"/>
  <c r="I11952" i="31" s="1"/>
  <c r="I12018" i="31"/>
  <c r="I12032" i="31" s="1"/>
  <c r="I12141" i="31"/>
  <c r="I12152" i="31" s="1"/>
  <c r="I12347" i="31"/>
  <c r="I12348" i="31" s="1"/>
  <c r="I12362" i="31" s="1"/>
  <c r="G12347" i="31"/>
  <c r="I12524" i="31"/>
  <c r="I12538" i="31" s="1"/>
  <c r="G12757" i="31"/>
  <c r="I12757" i="31"/>
  <c r="I12758" i="31" s="1"/>
  <c r="I12766" i="31" s="1"/>
  <c r="G13210" i="31"/>
  <c r="I13210" i="31"/>
  <c r="I14499" i="31"/>
  <c r="I14500" i="31" s="1"/>
  <c r="I14508" i="31" s="1"/>
  <c r="G14499" i="31"/>
  <c r="I14674" i="31"/>
  <c r="I14675" i="31" s="1"/>
  <c r="I14683" i="31" s="1"/>
  <c r="G14674" i="31"/>
  <c r="I8685" i="31"/>
  <c r="I8725" i="31"/>
  <c r="I8736" i="31" s="1"/>
  <c r="G8882" i="31"/>
  <c r="G8998" i="31"/>
  <c r="I9187" i="31"/>
  <c r="I9202" i="31" s="1"/>
  <c r="I9192" i="31"/>
  <c r="I9862" i="31"/>
  <c r="I9870" i="31" s="1"/>
  <c r="I9976" i="31"/>
  <c r="I9987" i="31" s="1"/>
  <c r="I10134" i="31"/>
  <c r="I10145" i="31" s="1"/>
  <c r="I10283" i="31"/>
  <c r="I10260" i="31" s="1"/>
  <c r="I10371" i="31"/>
  <c r="I10372" i="31" s="1"/>
  <c r="I10380" i="31" s="1"/>
  <c r="I10383" i="31" s="1"/>
  <c r="G10371" i="31"/>
  <c r="I10433" i="31"/>
  <c r="I10410" i="31" s="1"/>
  <c r="I10508" i="31"/>
  <c r="I10485" i="31" s="1"/>
  <c r="I10583" i="31"/>
  <c r="I10560" i="31" s="1"/>
  <c r="G10663" i="31"/>
  <c r="I10663" i="31"/>
  <c r="I10664" i="31" s="1"/>
  <c r="I10678" i="31" s="1"/>
  <c r="G11278" i="31"/>
  <c r="I11278" i="31"/>
  <c r="I11279" i="31" s="1"/>
  <c r="I11287" i="31" s="1"/>
  <c r="I11430" i="31"/>
  <c r="F11508" i="31"/>
  <c r="G11508" i="31" s="1"/>
  <c r="I11742" i="31"/>
  <c r="G11742" i="31"/>
  <c r="G11839" i="31"/>
  <c r="I11839" i="31"/>
  <c r="I12025" i="31"/>
  <c r="I12026" i="31" s="1"/>
  <c r="I12034" i="31" s="1"/>
  <c r="I12037" i="31" s="1"/>
  <c r="G12025" i="31"/>
  <c r="I12623" i="31"/>
  <c r="I12624" i="31" s="1"/>
  <c r="I12638" i="31" s="1"/>
  <c r="G12623" i="31"/>
  <c r="I12698" i="31"/>
  <c r="I12699" i="31" s="1"/>
  <c r="I12713" i="31" s="1"/>
  <c r="G12698" i="31"/>
  <c r="I13024" i="31"/>
  <c r="I13067" i="31"/>
  <c r="I13068" i="31" s="1"/>
  <c r="I13076" i="31" s="1"/>
  <c r="G13067" i="31"/>
  <c r="G13179" i="31"/>
  <c r="I13179" i="31"/>
  <c r="G13510" i="31"/>
  <c r="I13510" i="31"/>
  <c r="I13511" i="31" s="1"/>
  <c r="I13525" i="31" s="1"/>
  <c r="I13530" i="31" s="1"/>
  <c r="I13507" i="31" s="1"/>
  <c r="I13660" i="31"/>
  <c r="I13661" i="31" s="1"/>
  <c r="I13675" i="31" s="1"/>
  <c r="G13660" i="31"/>
  <c r="I12086" i="31"/>
  <c r="I12097" i="31" s="1"/>
  <c r="I12517" i="31"/>
  <c r="I12494" i="31" s="1"/>
  <c r="I12851" i="31"/>
  <c r="I12855" i="31" s="1"/>
  <c r="G13182" i="31"/>
  <c r="I13182" i="31"/>
  <c r="G13543" i="31"/>
  <c r="I13543" i="31"/>
  <c r="I13544" i="31" s="1"/>
  <c r="I13552" i="31" s="1"/>
  <c r="I14086" i="31"/>
  <c r="I14063" i="31" s="1"/>
  <c r="I11552" i="31"/>
  <c r="I11553" i="31" s="1"/>
  <c r="I11558" i="31" s="1"/>
  <c r="I11652" i="31"/>
  <c r="I11681" i="31"/>
  <c r="I11683" i="31" s="1"/>
  <c r="I11697" i="31" s="1"/>
  <c r="I11703" i="31" s="1"/>
  <c r="I11676" i="31" s="1"/>
  <c r="I11880" i="31"/>
  <c r="I11891" i="31" s="1"/>
  <c r="I12206" i="31"/>
  <c r="I12183" i="31" s="1"/>
  <c r="I12246" i="31"/>
  <c r="I12270" i="31"/>
  <c r="I12284" i="31" s="1"/>
  <c r="I12290" i="31" s="1"/>
  <c r="I12292" i="31" s="1"/>
  <c r="I12263" i="31" s="1"/>
  <c r="G12497" i="31"/>
  <c r="G12522" i="31"/>
  <c r="G12523" i="31"/>
  <c r="G12581" i="31"/>
  <c r="I12681" i="31"/>
  <c r="I12682" i="31" s="1"/>
  <c r="I12690" i="31" s="1"/>
  <c r="I12693" i="31" s="1"/>
  <c r="I12670" i="31" s="1"/>
  <c r="I12807" i="31"/>
  <c r="I12808" i="31" s="1"/>
  <c r="I12816" i="31" s="1"/>
  <c r="G12824" i="31"/>
  <c r="I13035" i="31"/>
  <c r="I13046" i="31" s="1"/>
  <c r="G13178" i="31"/>
  <c r="I13178" i="31"/>
  <c r="G13405" i="31"/>
  <c r="I13405" i="31"/>
  <c r="I13408" i="31" s="1"/>
  <c r="I13424" i="31" s="1"/>
  <c r="I13832" i="31"/>
  <c r="I13809" i="31" s="1"/>
  <c r="I14116" i="31"/>
  <c r="I14117" i="31" s="1"/>
  <c r="I14131" i="31" s="1"/>
  <c r="G14116" i="31"/>
  <c r="G14349" i="31"/>
  <c r="I14349" i="31"/>
  <c r="I14350" i="31" s="1"/>
  <c r="I14358" i="31" s="1"/>
  <c r="I14649" i="31"/>
  <c r="I14650" i="31" s="1"/>
  <c r="I14658" i="31" s="1"/>
  <c r="G14649" i="31"/>
  <c r="I15110" i="31"/>
  <c r="G15110" i="31"/>
  <c r="I11575" i="31"/>
  <c r="I11577" i="31" s="1"/>
  <c r="I11585" i="31" s="1"/>
  <c r="I11589" i="31" s="1"/>
  <c r="I11653" i="31"/>
  <c r="I11712" i="31"/>
  <c r="I11718" i="31"/>
  <c r="I11755" i="31"/>
  <c r="I11766" i="31" s="1"/>
  <c r="G11754" i="31"/>
  <c r="G11805" i="31"/>
  <c r="I11837" i="31"/>
  <c r="I11869" i="31"/>
  <c r="I11873" i="31"/>
  <c r="I11901" i="31"/>
  <c r="I11905" i="31"/>
  <c r="I11992" i="31"/>
  <c r="I12006" i="31" s="1"/>
  <c r="I12144" i="31"/>
  <c r="I12145" i="31" s="1"/>
  <c r="I12153" i="31" s="1"/>
  <c r="I12330" i="31"/>
  <c r="I12331" i="31" s="1"/>
  <c r="I12339" i="31" s="1"/>
  <c r="I12342" i="31" s="1"/>
  <c r="I12319" i="31" s="1"/>
  <c r="G12782" i="31"/>
  <c r="G12864" i="31"/>
  <c r="I12937" i="31"/>
  <c r="I12938" i="31" s="1"/>
  <c r="I12954" i="31" s="1"/>
  <c r="G12993" i="31"/>
  <c r="I12995" i="31"/>
  <c r="G13034" i="31"/>
  <c r="I13057" i="31"/>
  <c r="I13144" i="31"/>
  <c r="I13147" i="31"/>
  <c r="I13211" i="31"/>
  <c r="I13263" i="31"/>
  <c r="I13266" i="31" s="1"/>
  <c r="I13280" i="31" s="1"/>
  <c r="I13323" i="31"/>
  <c r="I13334" i="31" s="1"/>
  <c r="I13338" i="31" s="1"/>
  <c r="I13313" i="31" s="1"/>
  <c r="I13370" i="31"/>
  <c r="I13376" i="31" s="1"/>
  <c r="I13392" i="31" s="1"/>
  <c r="G13373" i="31"/>
  <c r="I13373" i="31"/>
  <c r="I13414" i="31"/>
  <c r="I13425" i="31" s="1"/>
  <c r="I13568" i="31"/>
  <c r="I13569" i="31" s="1"/>
  <c r="I13577" i="31" s="1"/>
  <c r="G13710" i="31"/>
  <c r="G13795" i="31"/>
  <c r="I13795" i="31"/>
  <c r="I13796" i="31" s="1"/>
  <c r="I13804" i="31" s="1"/>
  <c r="G13812" i="31"/>
  <c r="I13962" i="31"/>
  <c r="I13963" i="31" s="1"/>
  <c r="I13977" i="31" s="1"/>
  <c r="I13982" i="31" s="1"/>
  <c r="I13959" i="31" s="1"/>
  <c r="G13962" i="31"/>
  <c r="I14022" i="31"/>
  <c r="I14023" i="31" s="1"/>
  <c r="I14031" i="31" s="1"/>
  <c r="I14034" i="31" s="1"/>
  <c r="I14011" i="31" s="1"/>
  <c r="G14022" i="31"/>
  <c r="I14186" i="31"/>
  <c r="I14163" i="31" s="1"/>
  <c r="G14199" i="31"/>
  <c r="I14199" i="31"/>
  <c r="I14200" i="31" s="1"/>
  <c r="I14208" i="31" s="1"/>
  <c r="I14211" i="31" s="1"/>
  <c r="I14188" i="31" s="1"/>
  <c r="G14300" i="31"/>
  <c r="I14300" i="31"/>
  <c r="I14301" i="31" s="1"/>
  <c r="I14309" i="31" s="1"/>
  <c r="I14549" i="31"/>
  <c r="I14550" i="31" s="1"/>
  <c r="I14558" i="31" s="1"/>
  <c r="G14549" i="31"/>
  <c r="I14574" i="31"/>
  <c r="I14575" i="31" s="1"/>
  <c r="I14583" i="31" s="1"/>
  <c r="G14574" i="31"/>
  <c r="G14766" i="31"/>
  <c r="I13350" i="31"/>
  <c r="I13361" i="31" s="1"/>
  <c r="I13365" i="31" s="1"/>
  <c r="I13340" i="31" s="1"/>
  <c r="I13693" i="31"/>
  <c r="I13694" i="31" s="1"/>
  <c r="I13702" i="31" s="1"/>
  <c r="I13743" i="31"/>
  <c r="I13744" i="31" s="1"/>
  <c r="I13752" i="31" s="1"/>
  <c r="G14191" i="31"/>
  <c r="G14275" i="31"/>
  <c r="G14324" i="31"/>
  <c r="I14399" i="31"/>
  <c r="I14400" i="31" s="1"/>
  <c r="I14408" i="31" s="1"/>
  <c r="I14516" i="31"/>
  <c r="I14517" i="31" s="1"/>
  <c r="I14531" i="31" s="1"/>
  <c r="I14536" i="31" s="1"/>
  <c r="I14513" i="31" s="1"/>
  <c r="G14624" i="31"/>
  <c r="I14841" i="31"/>
  <c r="I14842" i="31" s="1"/>
  <c r="I14856" i="31" s="1"/>
  <c r="I14891" i="31"/>
  <c r="I14892" i="31" s="1"/>
  <c r="I14906" i="31" s="1"/>
  <c r="I14941" i="31"/>
  <c r="I14942" i="31" s="1"/>
  <c r="I14956" i="31" s="1"/>
  <c r="I14991" i="31"/>
  <c r="I14992" i="31" s="1"/>
  <c r="I15006" i="31" s="1"/>
  <c r="I15076" i="31"/>
  <c r="I15093" i="31" s="1"/>
  <c r="I15080" i="31"/>
  <c r="I15109" i="31"/>
  <c r="I15111" i="31" s="1"/>
  <c r="I217" i="31"/>
  <c r="D213" i="31"/>
  <c r="I213" i="31" s="1"/>
  <c r="I214" i="31" s="1"/>
  <c r="I219" i="31" s="1"/>
  <c r="I193" i="31"/>
  <c r="G193" i="31"/>
  <c r="I207" i="31"/>
  <c r="G207" i="31"/>
  <c r="I260" i="31"/>
  <c r="I276" i="31" s="1"/>
  <c r="I378" i="31"/>
  <c r="I379" i="31" s="1"/>
  <c r="I396" i="31" s="1"/>
  <c r="I402" i="31" s="1"/>
  <c r="I375" i="31" s="1"/>
  <c r="G378" i="31"/>
  <c r="I1149" i="31"/>
  <c r="D1145" i="31"/>
  <c r="I1145" i="31" s="1"/>
  <c r="I1146" i="31" s="1"/>
  <c r="I1151" i="31" s="1"/>
  <c r="D56" i="31"/>
  <c r="I56" i="31" s="1"/>
  <c r="I57" i="31" s="1"/>
  <c r="I62" i="31" s="1"/>
  <c r="I60" i="31"/>
  <c r="G79" i="31"/>
  <c r="I79" i="31"/>
  <c r="G81" i="31"/>
  <c r="I81" i="31"/>
  <c r="D1059" i="31"/>
  <c r="I1059" i="31" s="1"/>
  <c r="I1060" i="31" s="1"/>
  <c r="I1065" i="31" s="1"/>
  <c r="I1063" i="31"/>
  <c r="D1088" i="31"/>
  <c r="I1088" i="31" s="1"/>
  <c r="I1089" i="31" s="1"/>
  <c r="I1094" i="31" s="1"/>
  <c r="I1097" i="31" s="1"/>
  <c r="I1071" i="31" s="1"/>
  <c r="I1092" i="31"/>
  <c r="D1200" i="31"/>
  <c r="I1200" i="31" s="1"/>
  <c r="I1201" i="31" s="1"/>
  <c r="I1206" i="31" s="1"/>
  <c r="I1204" i="31"/>
  <c r="I1209" i="31" s="1"/>
  <c r="I1210" i="31" s="1"/>
  <c r="I1184" i="31" s="1"/>
  <c r="I194" i="31"/>
  <c r="G194" i="31"/>
  <c r="I208" i="31"/>
  <c r="G208" i="31"/>
  <c r="I321" i="31"/>
  <c r="I322" i="31" s="1"/>
  <c r="I336" i="31" s="1"/>
  <c r="I342" i="31" s="1"/>
  <c r="I318" i="31" s="1"/>
  <c r="G321" i="31"/>
  <c r="I423" i="31"/>
  <c r="I431" i="31" s="1"/>
  <c r="I453" i="31"/>
  <c r="I458" i="31" s="1"/>
  <c r="I466" i="31" s="1"/>
  <c r="I476" i="31"/>
  <c r="I477" i="31" s="1"/>
  <c r="I492" i="31" s="1"/>
  <c r="I498" i="31" s="1"/>
  <c r="I473" i="31" s="1"/>
  <c r="G476" i="31"/>
  <c r="I542" i="31"/>
  <c r="G542" i="31"/>
  <c r="I595" i="31"/>
  <c r="I596" i="31" s="1"/>
  <c r="I610" i="31" s="1"/>
  <c r="I616" i="31" s="1"/>
  <c r="I592" i="31" s="1"/>
  <c r="G595" i="31"/>
  <c r="I1019" i="31"/>
  <c r="I209" i="31"/>
  <c r="G209" i="31"/>
  <c r="I516" i="31"/>
  <c r="I517" i="31" s="1"/>
  <c r="I525" i="31" s="1"/>
  <c r="G516" i="31"/>
  <c r="I543" i="31"/>
  <c r="G543" i="31"/>
  <c r="I655" i="31"/>
  <c r="I656" i="31" s="1"/>
  <c r="I670" i="31" s="1"/>
  <c r="I676" i="31" s="1"/>
  <c r="I652" i="31" s="1"/>
  <c r="G655" i="31"/>
  <c r="I1119" i="31"/>
  <c r="D1115" i="31"/>
  <c r="I1115" i="31" s="1"/>
  <c r="I1116" i="31" s="1"/>
  <c r="I1121" i="31" s="1"/>
  <c r="I134" i="31"/>
  <c r="I135" i="31" s="1"/>
  <c r="I149" i="31" s="1"/>
  <c r="G134" i="31"/>
  <c r="G166" i="31"/>
  <c r="I166" i="31"/>
  <c r="I232" i="31"/>
  <c r="I233" i="31" s="1"/>
  <c r="I245" i="31" s="1"/>
  <c r="I250" i="31" s="1"/>
  <c r="I225" i="31" s="1"/>
  <c r="G232" i="31"/>
  <c r="I295" i="31"/>
  <c r="G295" i="31"/>
  <c r="I348" i="31"/>
  <c r="I349" i="31" s="1"/>
  <c r="I366" i="31" s="1"/>
  <c r="I372" i="31" s="1"/>
  <c r="I345" i="31" s="1"/>
  <c r="G348" i="31"/>
  <c r="I409" i="31"/>
  <c r="G409" i="31"/>
  <c r="I465" i="31"/>
  <c r="D461" i="31"/>
  <c r="I461" i="31" s="1"/>
  <c r="I462" i="31" s="1"/>
  <c r="I467" i="31" s="1"/>
  <c r="I507" i="31"/>
  <c r="I523" i="31" s="1"/>
  <c r="I622" i="31"/>
  <c r="G622" i="31"/>
  <c r="I624" i="31"/>
  <c r="G624" i="31"/>
  <c r="I14" i="31"/>
  <c r="I15" i="31" s="1"/>
  <c r="I21" i="31"/>
  <c r="I32" i="31" s="1"/>
  <c r="G80" i="31"/>
  <c r="I80" i="31"/>
  <c r="I104" i="31"/>
  <c r="I105" i="31" s="1"/>
  <c r="I119" i="31" s="1"/>
  <c r="I124" i="31" s="1"/>
  <c r="I97" i="31" s="1"/>
  <c r="G104" i="31"/>
  <c r="G165" i="31"/>
  <c r="I165" i="31"/>
  <c r="I175" i="31"/>
  <c r="I183" i="31" s="1"/>
  <c r="I269" i="31"/>
  <c r="I270" i="31" s="1"/>
  <c r="I278" i="31" s="1"/>
  <c r="G269" i="31"/>
  <c r="I296" i="31"/>
  <c r="G296" i="31"/>
  <c r="I408" i="31"/>
  <c r="I410" i="31" s="1"/>
  <c r="I429" i="31" s="1"/>
  <c r="I435" i="31" s="1"/>
  <c r="I405" i="31" s="1"/>
  <c r="G408" i="31"/>
  <c r="I568" i="31"/>
  <c r="I569" i="31" s="1"/>
  <c r="I583" i="31" s="1"/>
  <c r="I589" i="31" s="1"/>
  <c r="I565" i="31" s="1"/>
  <c r="G568" i="31"/>
  <c r="I623" i="31"/>
  <c r="G623" i="31"/>
  <c r="I625" i="31"/>
  <c r="G625" i="31"/>
  <c r="I1181" i="31"/>
  <c r="I1157" i="31" s="1"/>
  <c r="I1251" i="31"/>
  <c r="I1252" i="31" s="1"/>
  <c r="I1267" i="31" s="1"/>
  <c r="G1251" i="31"/>
  <c r="I1324" i="31"/>
  <c r="D1320" i="31"/>
  <c r="I1320" i="31" s="1"/>
  <c r="I1321" i="31" s="1"/>
  <c r="I1326" i="31" s="1"/>
  <c r="D1378" i="31"/>
  <c r="I1378" i="31" s="1"/>
  <c r="I1379" i="31" s="1"/>
  <c r="I1384" i="31" s="1"/>
  <c r="I1382" i="31"/>
  <c r="D2858" i="31"/>
  <c r="I2858" i="31" s="1"/>
  <c r="I2859" i="31" s="1"/>
  <c r="I2864" i="31" s="1"/>
  <c r="I2867" i="31" s="1"/>
  <c r="I2842" i="31" s="1"/>
  <c r="I2863" i="31"/>
  <c r="D3379" i="31"/>
  <c r="I3379" i="31" s="1"/>
  <c r="I3380" i="31" s="1"/>
  <c r="I3394" i="31" s="1"/>
  <c r="I3399" i="31" s="1"/>
  <c r="I3375" i="31" s="1"/>
  <c r="G108" i="31"/>
  <c r="G109" i="31"/>
  <c r="G110" i="31"/>
  <c r="G111" i="31"/>
  <c r="G138" i="31"/>
  <c r="G139" i="31"/>
  <c r="G140" i="31"/>
  <c r="G141" i="31"/>
  <c r="G170" i="31"/>
  <c r="G198" i="31"/>
  <c r="G199" i="31"/>
  <c r="G256" i="31"/>
  <c r="G300" i="31"/>
  <c r="G325" i="31"/>
  <c r="G352" i="31"/>
  <c r="G382" i="31"/>
  <c r="G413" i="31"/>
  <c r="G414" i="31"/>
  <c r="G441" i="31"/>
  <c r="G442" i="31"/>
  <c r="G455" i="31"/>
  <c r="G456" i="31"/>
  <c r="G457" i="31"/>
  <c r="G480" i="31"/>
  <c r="G503" i="31"/>
  <c r="G547" i="31"/>
  <c r="G572" i="31"/>
  <c r="G599" i="31"/>
  <c r="G629" i="31"/>
  <c r="G630" i="31"/>
  <c r="G659" i="31"/>
  <c r="G682" i="31"/>
  <c r="G709" i="31"/>
  <c r="G736" i="31"/>
  <c r="G763" i="31"/>
  <c r="G790" i="31"/>
  <c r="G817" i="31"/>
  <c r="G844" i="31"/>
  <c r="G871" i="31"/>
  <c r="G898" i="31"/>
  <c r="G925" i="31"/>
  <c r="G952" i="31"/>
  <c r="G1014" i="31"/>
  <c r="G1015" i="31"/>
  <c r="G1111" i="31"/>
  <c r="G1134" i="31"/>
  <c r="I2191" i="31"/>
  <c r="I2167" i="31" s="1"/>
  <c r="I2619" i="31"/>
  <c r="I2595" i="31" s="1"/>
  <c r="I3184" i="31"/>
  <c r="I3160" i="31" s="1"/>
  <c r="I3426" i="31"/>
  <c r="I3402" i="31" s="1"/>
  <c r="I3570" i="31"/>
  <c r="I3544" i="31" s="1"/>
  <c r="I3661" i="31"/>
  <c r="I3630" i="31" s="1"/>
  <c r="I3776" i="31"/>
  <c r="I3750" i="31" s="1"/>
  <c r="I1268" i="31"/>
  <c r="D1264" i="31"/>
  <c r="I1264" i="31" s="1"/>
  <c r="I1265" i="31" s="1"/>
  <c r="I1270" i="31" s="1"/>
  <c r="I2824" i="31"/>
  <c r="I2835" i="31" s="1"/>
  <c r="I2894" i="31"/>
  <c r="I2870" i="31" s="1"/>
  <c r="I3076" i="31"/>
  <c r="I3047" i="31" s="1"/>
  <c r="D3326" i="31"/>
  <c r="I3326" i="31" s="1"/>
  <c r="I3327" i="31" s="1"/>
  <c r="I3341" i="31" s="1"/>
  <c r="I3346" i="31" s="1"/>
  <c r="I3322" i="31" s="1"/>
  <c r="I3437" i="31"/>
  <c r="I3453" i="31" s="1"/>
  <c r="I3459" i="31" s="1"/>
  <c r="I3430" i="31" s="1"/>
  <c r="I3829" i="31"/>
  <c r="I3805" i="31" s="1"/>
  <c r="G1187" i="31"/>
  <c r="I1223" i="31"/>
  <c r="I1297" i="31"/>
  <c r="D1293" i="31"/>
  <c r="I1293" i="31" s="1"/>
  <c r="I1294" i="31" s="1"/>
  <c r="I1299" i="31" s="1"/>
  <c r="I1353" i="31"/>
  <c r="D1349" i="31"/>
  <c r="I1349" i="31" s="1"/>
  <c r="I1350" i="31" s="1"/>
  <c r="I1355" i="31" s="1"/>
  <c r="I1476" i="31"/>
  <c r="I1448" i="31" s="1"/>
  <c r="I1488" i="31"/>
  <c r="I1548" i="31"/>
  <c r="I1563" i="31" s="1"/>
  <c r="I1622" i="31"/>
  <c r="I1598" i="31" s="1"/>
  <c r="I1766" i="31"/>
  <c r="I1781" i="31" s="1"/>
  <c r="I1787" i="31" s="1"/>
  <c r="I1760" i="31" s="1"/>
  <c r="I2002" i="31"/>
  <c r="I1978" i="31" s="1"/>
  <c r="I2083" i="31"/>
  <c r="I2059" i="31" s="1"/>
  <c r="I2299" i="31"/>
  <c r="I2275" i="31" s="1"/>
  <c r="I2511" i="31"/>
  <c r="I2487" i="31" s="1"/>
  <c r="I2726" i="31"/>
  <c r="I2702" i="31" s="1"/>
  <c r="I2818" i="31"/>
  <c r="I2834" i="31" s="1"/>
  <c r="I3320" i="31"/>
  <c r="I3295" i="31" s="1"/>
  <c r="D3352" i="31"/>
  <c r="I3352" i="31" s="1"/>
  <c r="I3353" i="31" s="1"/>
  <c r="I3367" i="31" s="1"/>
  <c r="I3372" i="31" s="1"/>
  <c r="I3348" i="31" s="1"/>
  <c r="I3502" i="31"/>
  <c r="I3510" i="31" s="1"/>
  <c r="I3514" i="31" s="1"/>
  <c r="I3488" i="31" s="1"/>
  <c r="I1515" i="31"/>
  <c r="I1516" i="31" s="1"/>
  <c r="I1533" i="31" s="1"/>
  <c r="I1539" i="31" s="1"/>
  <c r="I1512" i="31" s="1"/>
  <c r="I1555" i="31"/>
  <c r="I1556" i="31"/>
  <c r="I1586" i="31"/>
  <c r="I1587" i="31" s="1"/>
  <c r="I1592" i="31" s="1"/>
  <c r="I1595" i="31" s="1"/>
  <c r="I1571" i="31" s="1"/>
  <c r="I1628" i="31"/>
  <c r="I1629" i="31" s="1"/>
  <c r="I1643" i="31" s="1"/>
  <c r="I1649" i="31" s="1"/>
  <c r="I1625" i="31" s="1"/>
  <c r="I1663" i="31"/>
  <c r="I1664" i="31" s="1"/>
  <c r="I1672" i="31" s="1"/>
  <c r="I1676" i="31" s="1"/>
  <c r="I1652" i="31" s="1"/>
  <c r="I1694" i="31"/>
  <c r="I1695" i="31" s="1"/>
  <c r="I1700" i="31" s="1"/>
  <c r="I1703" i="31" s="1"/>
  <c r="I1679" i="31" s="1"/>
  <c r="I1736" i="31"/>
  <c r="I1737" i="31" s="1"/>
  <c r="I1751" i="31" s="1"/>
  <c r="I1757" i="31" s="1"/>
  <c r="I1733" i="31" s="1"/>
  <c r="I1792" i="31"/>
  <c r="I1793" i="31" s="1"/>
  <c r="I1807" i="31" s="1"/>
  <c r="I1813" i="31" s="1"/>
  <c r="I1789" i="31" s="1"/>
  <c r="I1854" i="31"/>
  <c r="I1855" i="31" s="1"/>
  <c r="I1863" i="31" s="1"/>
  <c r="I1867" i="31" s="1"/>
  <c r="I1843" i="31" s="1"/>
  <c r="I1885" i="31"/>
  <c r="I1886" i="31" s="1"/>
  <c r="I1891" i="31" s="1"/>
  <c r="I1894" i="31" s="1"/>
  <c r="I1870" i="31" s="1"/>
  <c r="I1935" i="31"/>
  <c r="I1936" i="31" s="1"/>
  <c r="I1944" i="31" s="1"/>
  <c r="I1948" i="31" s="1"/>
  <c r="I1924" i="31" s="1"/>
  <c r="I1966" i="31"/>
  <c r="I1967" i="31" s="1"/>
  <c r="I1972" i="31" s="1"/>
  <c r="I1975" i="31" s="1"/>
  <c r="I1951" i="31" s="1"/>
  <c r="I2016" i="31"/>
  <c r="I2017" i="31" s="1"/>
  <c r="I2025" i="31" s="1"/>
  <c r="I2029" i="31" s="1"/>
  <c r="I2005" i="31" s="1"/>
  <c r="I2047" i="31"/>
  <c r="I2048" i="31" s="1"/>
  <c r="I2053" i="31" s="1"/>
  <c r="I2056" i="31" s="1"/>
  <c r="I2032" i="31" s="1"/>
  <c r="I2089" i="31"/>
  <c r="I2090" i="31" s="1"/>
  <c r="I2104" i="31" s="1"/>
  <c r="I2124" i="31"/>
  <c r="I2125" i="31" s="1"/>
  <c r="I2133" i="31" s="1"/>
  <c r="I2155" i="31"/>
  <c r="I2156" i="31" s="1"/>
  <c r="I2161" i="31" s="1"/>
  <c r="I2164" i="31" s="1"/>
  <c r="I2140" i="31" s="1"/>
  <c r="I2197" i="31"/>
  <c r="I2198" i="31" s="1"/>
  <c r="I2212" i="31" s="1"/>
  <c r="I2218" i="31" s="1"/>
  <c r="I2194" i="31" s="1"/>
  <c r="I2232" i="31"/>
  <c r="I2233" i="31" s="1"/>
  <c r="I2241" i="31" s="1"/>
  <c r="I2245" i="31" s="1"/>
  <c r="I2221" i="31" s="1"/>
  <c r="I2263" i="31"/>
  <c r="I2264" i="31" s="1"/>
  <c r="I2269" i="31" s="1"/>
  <c r="I2272" i="31" s="1"/>
  <c r="I2248" i="31" s="1"/>
  <c r="I2304" i="31"/>
  <c r="I2305" i="31" s="1"/>
  <c r="I2319" i="31" s="1"/>
  <c r="I2338" i="31"/>
  <c r="I2339" i="31" s="1"/>
  <c r="I2347" i="31" s="1"/>
  <c r="I2351" i="31" s="1"/>
  <c r="I2327" i="31" s="1"/>
  <c r="I2368" i="31"/>
  <c r="I2369" i="31" s="1"/>
  <c r="I2374" i="31" s="1"/>
  <c r="I2377" i="31" s="1"/>
  <c r="I2353" i="31" s="1"/>
  <c r="I2410" i="31"/>
  <c r="I2411" i="31" s="1"/>
  <c r="I2425" i="31" s="1"/>
  <c r="I2445" i="31"/>
  <c r="I2446" i="31" s="1"/>
  <c r="I2454" i="31" s="1"/>
  <c r="I2476" i="31"/>
  <c r="I2477" i="31" s="1"/>
  <c r="I2482" i="31" s="1"/>
  <c r="I2485" i="31" s="1"/>
  <c r="I2461" i="31" s="1"/>
  <c r="I2517" i="31"/>
  <c r="I2518" i="31" s="1"/>
  <c r="I2532" i="31" s="1"/>
  <c r="I2552" i="31"/>
  <c r="I2553" i="31" s="1"/>
  <c r="I2561" i="31" s="1"/>
  <c r="I2583" i="31"/>
  <c r="I2584" i="31" s="1"/>
  <c r="I2589" i="31" s="1"/>
  <c r="I2592" i="31" s="1"/>
  <c r="I2568" i="31" s="1"/>
  <c r="I2625" i="31"/>
  <c r="I2626" i="31" s="1"/>
  <c r="I2640" i="31" s="1"/>
  <c r="I2660" i="31"/>
  <c r="I2661" i="31" s="1"/>
  <c r="I2669" i="31" s="1"/>
  <c r="I2691" i="31"/>
  <c r="I2692" i="31" s="1"/>
  <c r="I2697" i="31" s="1"/>
  <c r="I2700" i="31" s="1"/>
  <c r="I2676" i="31" s="1"/>
  <c r="I2732" i="31"/>
  <c r="I2733" i="31" s="1"/>
  <c r="I2747" i="31" s="1"/>
  <c r="I2767" i="31"/>
  <c r="I2768" i="31" s="1"/>
  <c r="I2776" i="31" s="1"/>
  <c r="I2780" i="31" s="1"/>
  <c r="I2756" i="31" s="1"/>
  <c r="I2798" i="31"/>
  <c r="I2799" i="31" s="1"/>
  <c r="I2804" i="31" s="1"/>
  <c r="I2807" i="31" s="1"/>
  <c r="I2783" i="31" s="1"/>
  <c r="I2831" i="31"/>
  <c r="I2832" i="31" s="1"/>
  <c r="I2837" i="31" s="1"/>
  <c r="I2928" i="31"/>
  <c r="I2929" i="31" s="1"/>
  <c r="I2945" i="31" s="1"/>
  <c r="I2957" i="31"/>
  <c r="I2958" i="31"/>
  <c r="I2959" i="31"/>
  <c r="I3015" i="31"/>
  <c r="I3016" i="31"/>
  <c r="I3017" i="31"/>
  <c r="I3018" i="31"/>
  <c r="I3019" i="31"/>
  <c r="I3020" i="31"/>
  <c r="I3025" i="31"/>
  <c r="I3026" i="31"/>
  <c r="I3027" i="31"/>
  <c r="I3082" i="31"/>
  <c r="I3083" i="31"/>
  <c r="I3084" i="31"/>
  <c r="I3136" i="31"/>
  <c r="I3137" i="31"/>
  <c r="I3190" i="31"/>
  <c r="I3191" i="31"/>
  <c r="I3192" i="31"/>
  <c r="I3221" i="31"/>
  <c r="I3222" i="31" s="1"/>
  <c r="I3236" i="31" s="1"/>
  <c r="I3241" i="31" s="1"/>
  <c r="I3218" i="31" s="1"/>
  <c r="I3272" i="31"/>
  <c r="I3273" i="31" s="1"/>
  <c r="I3287" i="31" s="1"/>
  <c r="I3292" i="31" s="1"/>
  <c r="I3269" i="31" s="1"/>
  <c r="I3472" i="31"/>
  <c r="I3473" i="31"/>
  <c r="I3519" i="31"/>
  <c r="I3520" i="31" s="1"/>
  <c r="I3536" i="31" s="1"/>
  <c r="G3728" i="31"/>
  <c r="G3781" i="31"/>
  <c r="I4125" i="31"/>
  <c r="I4138" i="31" s="1"/>
  <c r="I4144" i="31" s="1"/>
  <c r="I4118" i="31" s="1"/>
  <c r="I4232" i="31"/>
  <c r="I4246" i="31" s="1"/>
  <c r="I4251" i="31" s="1"/>
  <c r="I4227" i="31" s="1"/>
  <c r="I4308" i="31"/>
  <c r="I4285" i="31" s="1"/>
  <c r="I4333" i="31"/>
  <c r="I4310" i="31" s="1"/>
  <c r="D4978" i="31"/>
  <c r="I4978" i="31" s="1"/>
  <c r="I4979" i="31" s="1"/>
  <c r="I4984" i="31" s="1"/>
  <c r="I4983" i="31"/>
  <c r="D5034" i="31"/>
  <c r="I5034" i="31" s="1"/>
  <c r="I5035" i="31" s="1"/>
  <c r="I5040" i="31" s="1"/>
  <c r="I5039" i="31"/>
  <c r="I3862" i="31"/>
  <c r="I3864" i="31" s="1"/>
  <c r="I3879" i="31" s="1"/>
  <c r="G3862" i="31"/>
  <c r="I3915" i="31"/>
  <c r="G3915" i="31"/>
  <c r="I3917" i="31"/>
  <c r="G3917" i="31"/>
  <c r="I3953" i="31"/>
  <c r="I3969" i="31" s="1"/>
  <c r="I3975" i="31" s="1"/>
  <c r="I3946" i="31" s="1"/>
  <c r="I3988" i="31"/>
  <c r="I3990" i="31" s="1"/>
  <c r="G3988" i="31"/>
  <c r="I4035" i="31"/>
  <c r="I4036" i="31" s="1"/>
  <c r="I4052" i="31" s="1"/>
  <c r="G4035" i="31"/>
  <c r="D4519" i="31"/>
  <c r="I4519" i="31" s="1"/>
  <c r="I4520" i="31" s="1"/>
  <c r="I4525" i="31" s="1"/>
  <c r="I4528" i="31" s="1"/>
  <c r="I4502" i="31" s="1"/>
  <c r="I4524" i="31"/>
  <c r="I4938" i="31"/>
  <c r="I5401" i="31"/>
  <c r="G1232" i="31"/>
  <c r="G1259" i="31"/>
  <c r="G1260" i="31"/>
  <c r="G1288" i="31"/>
  <c r="G1289" i="31"/>
  <c r="G1316" i="31"/>
  <c r="G1344" i="31"/>
  <c r="G1345" i="31"/>
  <c r="G1368" i="31"/>
  <c r="G1393" i="31"/>
  <c r="G1404" i="31"/>
  <c r="G1544" i="31"/>
  <c r="G1545" i="31"/>
  <c r="G1546" i="31"/>
  <c r="G1547" i="31"/>
  <c r="G1582" i="31"/>
  <c r="G1613" i="31"/>
  <c r="G1655" i="31"/>
  <c r="G1690" i="31"/>
  <c r="G1721" i="31"/>
  <c r="G1778" i="31"/>
  <c r="G1846" i="31"/>
  <c r="G1881" i="31"/>
  <c r="G1912" i="31"/>
  <c r="G1927" i="31"/>
  <c r="G1962" i="31"/>
  <c r="G1993" i="31"/>
  <c r="G2008" i="31"/>
  <c r="G2043" i="31"/>
  <c r="G2074" i="31"/>
  <c r="G2116" i="31"/>
  <c r="G2151" i="31"/>
  <c r="G2182" i="31"/>
  <c r="G2224" i="31"/>
  <c r="G2259" i="31"/>
  <c r="G2290" i="31"/>
  <c r="G2330" i="31"/>
  <c r="G2364" i="31"/>
  <c r="G2395" i="31"/>
  <c r="G2437" i="31"/>
  <c r="G2472" i="31"/>
  <c r="G2502" i="31"/>
  <c r="G2544" i="31"/>
  <c r="G2579" i="31"/>
  <c r="G2610" i="31"/>
  <c r="G2652" i="31"/>
  <c r="G2687" i="31"/>
  <c r="G2717" i="31"/>
  <c r="G2759" i="31"/>
  <c r="G2794" i="31"/>
  <c r="G2827" i="31"/>
  <c r="G2853" i="31"/>
  <c r="G2854" i="31"/>
  <c r="G2881" i="31"/>
  <c r="G2996" i="31"/>
  <c r="I3538" i="31"/>
  <c r="D4077" i="31"/>
  <c r="I4077" i="31" s="1"/>
  <c r="I4078" i="31" s="1"/>
  <c r="I4083" i="31" s="1"/>
  <c r="I4082" i="31"/>
  <c r="I4280" i="31"/>
  <c r="I4282" i="31" s="1"/>
  <c r="I4254" i="31" s="1"/>
  <c r="I4366" i="31"/>
  <c r="I4380" i="31" s="1"/>
  <c r="I4385" i="31" s="1"/>
  <c r="I4361" i="31" s="1"/>
  <c r="I4715" i="31"/>
  <c r="I4729" i="31" s="1"/>
  <c r="I4734" i="31" s="1"/>
  <c r="I4709" i="31" s="1"/>
  <c r="I4747" i="31"/>
  <c r="I4758" i="31" s="1"/>
  <c r="I4796" i="31"/>
  <c r="I4810" i="31" s="1"/>
  <c r="I4815" i="31" s="1"/>
  <c r="I4791" i="31" s="1"/>
  <c r="I5148" i="31"/>
  <c r="I5159" i="31" s="1"/>
  <c r="I5163" i="31" s="1"/>
  <c r="I5553" i="31"/>
  <c r="D5549" i="31"/>
  <c r="I5549" i="31" s="1"/>
  <c r="I5550" i="31" s="1"/>
  <c r="I5555" i="31" s="1"/>
  <c r="I3736" i="31"/>
  <c r="I3737" i="31" s="1"/>
  <c r="I3745" i="31" s="1"/>
  <c r="I3748" i="31" s="1"/>
  <c r="I3723" i="31" s="1"/>
  <c r="I3783" i="31"/>
  <c r="I3797" i="31" s="1"/>
  <c r="G3782" i="31"/>
  <c r="I3790" i="31"/>
  <c r="I3791" i="31" s="1"/>
  <c r="I3799" i="31" s="1"/>
  <c r="G3790" i="31"/>
  <c r="I3841" i="31"/>
  <c r="I3852" i="31" s="1"/>
  <c r="I3844" i="31"/>
  <c r="I3845" i="31" s="1"/>
  <c r="I3853" i="31" s="1"/>
  <c r="G3844" i="31"/>
  <c r="G3893" i="31"/>
  <c r="I3916" i="31"/>
  <c r="G3916" i="31"/>
  <c r="I3918" i="31"/>
  <c r="G3918" i="31"/>
  <c r="I3989" i="31"/>
  <c r="G3989" i="31"/>
  <c r="I4179" i="31"/>
  <c r="I4193" i="31" s="1"/>
  <c r="I4198" i="31" s="1"/>
  <c r="I4173" i="31" s="1"/>
  <c r="I4468" i="31"/>
  <c r="D4463" i="31"/>
  <c r="I4463" i="31" s="1"/>
  <c r="I4464" i="31" s="1"/>
  <c r="I4469" i="31" s="1"/>
  <c r="I4472" i="31" s="1"/>
  <c r="I4447" i="31" s="1"/>
  <c r="I4536" i="31"/>
  <c r="I4550" i="31" s="1"/>
  <c r="I4556" i="31" s="1"/>
  <c r="I4530" i="31" s="1"/>
  <c r="I4593" i="31"/>
  <c r="I4608" i="31" s="1"/>
  <c r="I4614" i="31" s="1"/>
  <c r="I4587" i="31" s="1"/>
  <c r="I4631" i="31"/>
  <c r="I4642" i="31" s="1"/>
  <c r="I4664" i="31"/>
  <c r="I4675" i="31" s="1"/>
  <c r="I4855" i="31"/>
  <c r="I4866" i="31" s="1"/>
  <c r="I5135" i="31"/>
  <c r="I5190" i="31"/>
  <c r="I5228" i="31"/>
  <c r="I5239" i="31" s="1"/>
  <c r="I5243" i="31" s="1"/>
  <c r="G4131" i="31"/>
  <c r="G4186" i="31"/>
  <c r="G4239" i="31"/>
  <c r="G4313" i="31"/>
  <c r="G4400" i="31"/>
  <c r="G4436" i="31"/>
  <c r="G4485" i="31"/>
  <c r="G4486" i="31"/>
  <c r="G4487" i="31"/>
  <c r="G4533" i="31"/>
  <c r="G4534" i="31"/>
  <c r="G4535" i="31"/>
  <c r="G4590" i="31"/>
  <c r="G4591" i="31"/>
  <c r="G4592" i="31"/>
  <c r="G4601" i="31"/>
  <c r="G4634" i="31"/>
  <c r="G4667" i="31"/>
  <c r="G4722" i="31"/>
  <c r="G4794" i="31"/>
  <c r="G4795" i="31"/>
  <c r="G5028" i="31"/>
  <c r="G5029" i="31"/>
  <c r="G5030" i="31"/>
  <c r="G5077" i="31"/>
  <c r="G5078" i="31"/>
  <c r="G5079" i="31"/>
  <c r="G5080" i="31"/>
  <c r="G5081" i="31"/>
  <c r="G5082" i="31"/>
  <c r="G5087" i="31"/>
  <c r="G5088" i="31"/>
  <c r="G5089" i="31"/>
  <c r="G5140" i="31"/>
  <c r="G5141" i="31"/>
  <c r="G5142" i="31"/>
  <c r="G5178" i="31"/>
  <c r="G5231" i="31"/>
  <c r="G5274" i="31"/>
  <c r="G5532" i="31"/>
  <c r="I5630" i="31"/>
  <c r="I5638" i="31" s="1"/>
  <c r="I5641" i="31" s="1"/>
  <c r="D5742" i="31"/>
  <c r="I5742" i="31" s="1"/>
  <c r="I5743" i="31" s="1"/>
  <c r="I5748" i="31" s="1"/>
  <c r="I5747" i="31"/>
  <c r="I6044" i="31"/>
  <c r="I6506" i="31"/>
  <c r="I6513" i="31"/>
  <c r="I6527" i="31" s="1"/>
  <c r="I6764" i="31"/>
  <c r="D6971" i="31"/>
  <c r="I6971" i="31" s="1"/>
  <c r="I6972" i="31" s="1"/>
  <c r="I6977" i="31" s="1"/>
  <c r="I6975" i="31"/>
  <c r="I7634" i="31"/>
  <c r="G5093" i="31"/>
  <c r="G5195" i="31"/>
  <c r="G5196" i="31"/>
  <c r="G5248" i="31"/>
  <c r="G5282" i="31"/>
  <c r="I5335" i="31"/>
  <c r="I5336" i="31" s="1"/>
  <c r="I5344" i="31" s="1"/>
  <c r="I5347" i="31" s="1"/>
  <c r="G5406" i="31"/>
  <c r="G5465" i="31"/>
  <c r="I5465" i="31"/>
  <c r="I5466" i="31" s="1"/>
  <c r="I5474" i="31" s="1"/>
  <c r="I5477" i="31" s="1"/>
  <c r="I5533" i="31"/>
  <c r="G5534" i="31"/>
  <c r="I5534" i="31"/>
  <c r="I5580" i="31"/>
  <c r="D5576" i="31"/>
  <c r="I5576" i="31" s="1"/>
  <c r="I5577" i="31" s="1"/>
  <c r="I5582" i="31" s="1"/>
  <c r="I5614" i="31"/>
  <c r="I5917" i="31"/>
  <c r="I6099" i="31"/>
  <c r="I6331" i="31"/>
  <c r="I6342" i="31" s="1"/>
  <c r="I6455" i="31"/>
  <c r="I6917" i="31"/>
  <c r="D6913" i="31"/>
  <c r="I6913" i="31" s="1"/>
  <c r="I6914" i="31" s="1"/>
  <c r="I6919" i="31" s="1"/>
  <c r="G5327" i="31"/>
  <c r="I5502" i="31"/>
  <c r="I5777" i="31"/>
  <c r="I6401" i="31"/>
  <c r="I6558" i="31"/>
  <c r="I6660" i="31"/>
  <c r="I6866" i="31"/>
  <c r="I7709" i="31"/>
  <c r="I5427" i="31"/>
  <c r="G5535" i="31"/>
  <c r="I5535" i="31"/>
  <c r="D6941" i="31"/>
  <c r="I6941" i="31" s="1"/>
  <c r="I6942" i="31" s="1"/>
  <c r="I6947" i="31" s="1"/>
  <c r="I6945" i="31"/>
  <c r="I7006" i="31"/>
  <c r="I7057" i="31"/>
  <c r="I7107" i="31"/>
  <c r="I7157" i="31"/>
  <c r="I7208" i="31"/>
  <c r="I7258" i="31"/>
  <c r="I7308" i="31"/>
  <c r="I7358" i="31"/>
  <c r="I7408" i="31"/>
  <c r="I7458" i="31"/>
  <c r="I7508" i="31"/>
  <c r="I7558" i="31"/>
  <c r="I7583" i="31"/>
  <c r="I7609" i="31"/>
  <c r="I5563" i="31"/>
  <c r="I5564" i="31" s="1"/>
  <c r="I5579" i="31" s="1"/>
  <c r="I5715" i="31"/>
  <c r="I5716" i="31" s="1"/>
  <c r="I5721" i="31" s="1"/>
  <c r="I5724" i="31" s="1"/>
  <c r="I5764" i="31"/>
  <c r="I5765" i="31" s="1"/>
  <c r="I5773" i="31" s="1"/>
  <c r="I5817" i="31"/>
  <c r="I5818" i="31"/>
  <c r="I5819" i="31"/>
  <c r="I5866" i="31"/>
  <c r="I5867" i="31"/>
  <c r="I5868" i="31"/>
  <c r="I5922" i="31"/>
  <c r="I5923" i="31"/>
  <c r="I5924" i="31"/>
  <c r="I5925" i="31"/>
  <c r="I5926" i="31"/>
  <c r="I5927" i="31"/>
  <c r="I5932" i="31"/>
  <c r="I5933" i="31"/>
  <c r="I5934" i="31"/>
  <c r="I5991" i="31"/>
  <c r="I5992" i="31"/>
  <c r="I5993" i="31"/>
  <c r="I5994" i="31"/>
  <c r="I6049" i="31"/>
  <c r="I6050" i="31"/>
  <c r="I6051" i="31"/>
  <c r="I6052" i="31"/>
  <c r="I6104" i="31"/>
  <c r="I6105" i="31"/>
  <c r="I6106" i="31"/>
  <c r="I6107" i="31"/>
  <c r="I6162" i="31"/>
  <c r="I6163" i="31"/>
  <c r="I6164" i="31"/>
  <c r="I6165" i="31"/>
  <c r="I6220" i="31"/>
  <c r="I6221" i="31"/>
  <c r="I6222" i="31"/>
  <c r="I6223" i="31"/>
  <c r="I6224" i="31"/>
  <c r="I6225" i="31"/>
  <c r="I6253" i="31"/>
  <c r="I6254" i="31"/>
  <c r="I6255" i="31"/>
  <c r="I6256" i="31"/>
  <c r="I6257" i="31"/>
  <c r="I6258" i="31"/>
  <c r="I6286" i="31"/>
  <c r="I6287" i="31"/>
  <c r="I6288" i="31"/>
  <c r="I6289" i="31"/>
  <c r="I6290" i="31"/>
  <c r="I6291" i="31"/>
  <c r="I6319" i="31"/>
  <c r="I6320" i="31"/>
  <c r="I6321" i="31"/>
  <c r="I6322" i="31"/>
  <c r="I6323" i="31"/>
  <c r="I6324" i="31"/>
  <c r="I6352" i="31"/>
  <c r="I6353" i="31"/>
  <c r="I6354" i="31"/>
  <c r="I6406" i="31"/>
  <c r="I6407" i="31"/>
  <c r="I6408" i="31"/>
  <c r="I6417" i="31"/>
  <c r="I6418" i="31" s="1"/>
  <c r="I6426" i="31" s="1"/>
  <c r="I6468" i="31"/>
  <c r="I6469" i="31" s="1"/>
  <c r="I6477" i="31" s="1"/>
  <c r="I6480" i="31" s="1"/>
  <c r="I6520" i="31"/>
  <c r="I6521" i="31" s="1"/>
  <c r="I6529" i="31" s="1"/>
  <c r="I6571" i="31"/>
  <c r="I6572" i="31" s="1"/>
  <c r="I6580" i="31" s="1"/>
  <c r="I6583" i="31" s="1"/>
  <c r="I6614" i="31"/>
  <c r="I6615" i="31" s="1"/>
  <c r="I6629" i="31" s="1"/>
  <c r="I6666" i="31"/>
  <c r="I6667" i="31" s="1"/>
  <c r="I6681" i="31" s="1"/>
  <c r="I6686" i="31" s="1"/>
  <c r="I6718" i="31"/>
  <c r="I6719" i="31" s="1"/>
  <c r="I6733" i="31" s="1"/>
  <c r="I6738" i="31" s="1"/>
  <c r="I6770" i="31"/>
  <c r="I6771" i="31" s="1"/>
  <c r="I6785" i="31" s="1"/>
  <c r="I6790" i="31" s="1"/>
  <c r="I6821" i="31"/>
  <c r="I6822" i="31" s="1"/>
  <c r="I6836" i="31" s="1"/>
  <c r="I6872" i="31"/>
  <c r="I6873" i="31" s="1"/>
  <c r="I6887" i="31" s="1"/>
  <c r="I6891" i="31" s="1"/>
  <c r="I6926" i="31"/>
  <c r="I6927" i="31"/>
  <c r="I6928" i="31"/>
  <c r="I6929" i="31"/>
  <c r="I7797" i="31"/>
  <c r="I7798" i="31" s="1"/>
  <c r="I7806" i="31" s="1"/>
  <c r="I7809" i="31" s="1"/>
  <c r="I8429" i="31"/>
  <c r="I8479" i="31"/>
  <c r="I8752" i="31"/>
  <c r="I8769" i="31" s="1"/>
  <c r="I8775" i="31" s="1"/>
  <c r="I8848" i="31"/>
  <c r="I8862" i="31" s="1"/>
  <c r="I8867" i="31" s="1"/>
  <c r="I8989" i="31"/>
  <c r="I9005" i="31" s="1"/>
  <c r="I8995" i="31"/>
  <c r="I9006" i="31" s="1"/>
  <c r="I9203" i="31"/>
  <c r="D9199" i="31"/>
  <c r="I9199" i="31" s="1"/>
  <c r="I9200" i="31" s="1"/>
  <c r="I9205" i="31" s="1"/>
  <c r="I9232" i="31"/>
  <c r="I9257" i="31"/>
  <c r="I9409" i="31"/>
  <c r="G6994" i="31"/>
  <c r="G7045" i="31"/>
  <c r="G7095" i="31"/>
  <c r="G7145" i="31"/>
  <c r="G7196" i="31"/>
  <c r="G7246" i="31"/>
  <c r="G7296" i="31"/>
  <c r="G7346" i="31"/>
  <c r="G7396" i="31"/>
  <c r="G7446" i="31"/>
  <c r="G7496" i="31"/>
  <c r="G7546" i="31"/>
  <c r="G7597" i="31"/>
  <c r="G7622" i="31"/>
  <c r="I7722" i="31"/>
  <c r="I7723" i="31" s="1"/>
  <c r="I7731" i="31" s="1"/>
  <c r="I7734" i="31" s="1"/>
  <c r="G7764" i="31"/>
  <c r="I7897" i="31"/>
  <c r="I7898" i="31" s="1"/>
  <c r="I7906" i="31" s="1"/>
  <c r="I7909" i="31" s="1"/>
  <c r="I7948" i="31"/>
  <c r="I7949" i="31" s="1"/>
  <c r="I7957" i="31" s="1"/>
  <c r="I7960" i="31" s="1"/>
  <c r="G7948" i="31"/>
  <c r="I8936" i="31"/>
  <c r="I8947" i="31" s="1"/>
  <c r="G5703" i="31"/>
  <c r="G5711" i="31"/>
  <c r="G5756" i="31"/>
  <c r="G5809" i="31"/>
  <c r="G5847" i="31"/>
  <c r="G5904" i="31"/>
  <c r="G5973" i="31"/>
  <c r="G6031" i="31"/>
  <c r="G6086" i="31"/>
  <c r="G6144" i="31"/>
  <c r="G6202" i="31"/>
  <c r="G6235" i="31"/>
  <c r="I9131" i="31"/>
  <c r="I9142" i="31" s="1"/>
  <c r="I9146" i="31" s="1"/>
  <c r="I9164" i="31"/>
  <c r="I9172" i="31" s="1"/>
  <c r="I9359" i="31"/>
  <c r="G7664" i="31"/>
  <c r="I7822" i="31"/>
  <c r="I7823" i="31" s="1"/>
  <c r="I7831" i="31" s="1"/>
  <c r="I7834" i="31" s="1"/>
  <c r="G7864" i="31"/>
  <c r="I8030" i="31"/>
  <c r="I8041" i="31" s="1"/>
  <c r="I8072" i="31"/>
  <c r="I8123" i="31"/>
  <c r="I8173" i="31"/>
  <c r="I8237" i="31"/>
  <c r="I8248" i="31" s="1"/>
  <c r="I8252" i="31" s="1"/>
  <c r="I8515" i="31"/>
  <c r="I8599" i="31"/>
  <c r="I8613" i="31" s="1"/>
  <c r="I8619" i="31" s="1"/>
  <c r="I8687" i="31"/>
  <c r="I8701" i="31" s="1"/>
  <c r="I8707" i="31" s="1"/>
  <c r="I8741" i="31"/>
  <c r="I9026" i="31"/>
  <c r="I9037" i="31" s="1"/>
  <c r="I9384" i="31"/>
  <c r="I9056" i="31"/>
  <c r="I9057" i="31" s="1"/>
  <c r="I9065" i="31" s="1"/>
  <c r="I9068" i="31" s="1"/>
  <c r="I9073" i="31"/>
  <c r="I9075" i="31" s="1"/>
  <c r="I9089" i="31" s="1"/>
  <c r="I9094" i="31" s="1"/>
  <c r="I9099" i="31"/>
  <c r="I9100" i="31" s="1"/>
  <c r="I9114" i="31" s="1"/>
  <c r="I9119" i="31" s="1"/>
  <c r="I9151" i="31"/>
  <c r="I9152" i="31"/>
  <c r="I9153" i="31"/>
  <c r="I9154" i="31"/>
  <c r="G9162" i="31"/>
  <c r="G9163" i="31"/>
  <c r="G9183" i="31"/>
  <c r="G9184" i="31"/>
  <c r="G9185" i="31"/>
  <c r="G9186" i="31"/>
  <c r="G8086" i="31"/>
  <c r="G8136" i="31"/>
  <c r="G8178" i="31"/>
  <c r="G8292" i="31"/>
  <c r="G8342" i="31"/>
  <c r="G8392" i="31"/>
  <c r="G8442" i="31"/>
  <c r="G8492" i="31"/>
  <c r="G8524" i="31"/>
  <c r="G8542" i="31"/>
  <c r="G8595" i="31"/>
  <c r="G8596" i="31"/>
  <c r="G8597" i="31"/>
  <c r="G8598" i="31"/>
  <c r="G8653" i="31"/>
  <c r="G8654" i="31"/>
  <c r="G8686" i="31"/>
  <c r="G8728" i="31"/>
  <c r="G8762" i="31"/>
  <c r="G8795" i="31"/>
  <c r="G9195" i="31"/>
  <c r="G9237" i="31"/>
  <c r="G9288" i="31"/>
  <c r="G9339" i="31"/>
  <c r="G9389" i="31"/>
  <c r="I9472" i="31"/>
  <c r="I9473" i="31" s="1"/>
  <c r="I9481" i="31" s="1"/>
  <c r="I9484" i="31" s="1"/>
  <c r="I9548" i="31"/>
  <c r="I9549" i="31" s="1"/>
  <c r="I9557" i="31" s="1"/>
  <c r="I9560" i="31" s="1"/>
  <c r="G9648" i="31"/>
  <c r="I9648" i="31"/>
  <c r="I9649" i="31" s="1"/>
  <c r="I9657" i="31" s="1"/>
  <c r="I9660" i="31" s="1"/>
  <c r="I9930" i="31"/>
  <c r="I9969" i="31"/>
  <c r="I9986" i="31" s="1"/>
  <c r="I9992" i="31" s="1"/>
  <c r="I10176" i="31"/>
  <c r="I10230" i="31"/>
  <c r="I10243" i="31"/>
  <c r="I10254" i="31" s="1"/>
  <c r="I10308" i="31"/>
  <c r="I10333" i="31"/>
  <c r="I10733" i="31"/>
  <c r="I10758" i="31"/>
  <c r="I11059" i="31"/>
  <c r="D11437" i="31"/>
  <c r="I11437" i="31" s="1"/>
  <c r="I11438" i="31" s="1"/>
  <c r="I11443" i="31" s="1"/>
  <c r="I11441" i="31"/>
  <c r="G8103" i="31"/>
  <c r="G8153" i="31"/>
  <c r="G8186" i="31"/>
  <c r="G8203" i="31"/>
  <c r="G8240" i="31"/>
  <c r="G8257" i="31"/>
  <c r="G8309" i="31"/>
  <c r="G8359" i="31"/>
  <c r="G8409" i="31"/>
  <c r="G8459" i="31"/>
  <c r="G8550" i="31"/>
  <c r="G8606" i="31"/>
  <c r="G8656" i="31"/>
  <c r="G8694" i="31"/>
  <c r="G8746" i="31"/>
  <c r="G8747" i="31"/>
  <c r="G8780" i="31"/>
  <c r="G8781" i="31"/>
  <c r="G8782" i="31"/>
  <c r="G8783" i="31"/>
  <c r="G8784" i="31"/>
  <c r="G8785" i="31"/>
  <c r="G8813" i="31"/>
  <c r="G8814" i="31"/>
  <c r="G8815" i="31"/>
  <c r="G8816" i="31"/>
  <c r="G8817" i="31"/>
  <c r="G8818" i="31"/>
  <c r="G8846" i="31"/>
  <c r="G8847" i="31"/>
  <c r="G8899" i="31"/>
  <c r="G8900" i="31"/>
  <c r="G8901" i="31"/>
  <c r="G8983" i="31"/>
  <c r="G8984" i="31"/>
  <c r="G8985" i="31"/>
  <c r="G8986" i="31"/>
  <c r="G8987" i="31"/>
  <c r="G8988" i="31"/>
  <c r="G9017" i="31"/>
  <c r="G9018" i="31"/>
  <c r="G9019" i="31"/>
  <c r="G9047" i="31"/>
  <c r="G9048" i="31"/>
  <c r="G9082" i="31"/>
  <c r="G9134" i="31"/>
  <c r="I9498" i="31"/>
  <c r="I9499" i="31" s="1"/>
  <c r="I9507" i="31" s="1"/>
  <c r="I9510" i="31" s="1"/>
  <c r="I9796" i="31"/>
  <c r="I9802" i="31"/>
  <c r="I9813" i="31" s="1"/>
  <c r="I10101" i="31"/>
  <c r="I10112" i="31" s="1"/>
  <c r="I10708" i="31"/>
  <c r="I10808" i="31"/>
  <c r="I10958" i="31"/>
  <c r="I11109" i="31"/>
  <c r="I9447" i="31"/>
  <c r="I9448" i="31" s="1"/>
  <c r="I9456" i="31" s="1"/>
  <c r="I9459" i="31" s="1"/>
  <c r="G9598" i="31"/>
  <c r="I9598" i="31"/>
  <c r="I9599" i="31" s="1"/>
  <c r="I9607" i="31" s="1"/>
  <c r="I9610" i="31" s="1"/>
  <c r="I9785" i="31"/>
  <c r="I9874" i="31"/>
  <c r="I10203" i="31"/>
  <c r="I10258" i="31"/>
  <c r="I10358" i="31"/>
  <c r="I10658" i="31"/>
  <c r="I9698" i="31"/>
  <c r="I9699" i="31" s="1"/>
  <c r="I9707" i="31" s="1"/>
  <c r="I9710" i="31" s="1"/>
  <c r="I9748" i="31"/>
  <c r="I9749" i="31" s="1"/>
  <c r="I9757" i="31" s="1"/>
  <c r="I9760" i="31" s="1"/>
  <c r="I9832" i="31"/>
  <c r="I9833" i="31"/>
  <c r="I9879" i="31"/>
  <c r="I9880" i="31" s="1"/>
  <c r="I9896" i="31" s="1"/>
  <c r="G9917" i="31"/>
  <c r="I9945" i="31"/>
  <c r="I9946" i="31" s="1"/>
  <c r="I9954" i="31" s="1"/>
  <c r="I9958" i="31" s="1"/>
  <c r="I9997" i="31"/>
  <c r="I9998" i="31"/>
  <c r="I10034" i="31"/>
  <c r="I10035" i="31" s="1"/>
  <c r="I10049" i="31" s="1"/>
  <c r="I10055" i="31" s="1"/>
  <c r="I10071" i="31"/>
  <c r="I10072" i="31" s="1"/>
  <c r="I10080" i="31" s="1"/>
  <c r="I10104" i="31"/>
  <c r="I10105" i="31" s="1"/>
  <c r="I10113" i="31" s="1"/>
  <c r="G10821" i="31"/>
  <c r="G10921" i="31"/>
  <c r="G10963" i="31"/>
  <c r="I10971" i="31"/>
  <c r="I10972" i="31" s="1"/>
  <c r="I10980" i="31" s="1"/>
  <c r="I10983" i="31" s="1"/>
  <c r="G10971" i="31"/>
  <c r="G11064" i="31"/>
  <c r="I11072" i="31"/>
  <c r="I11073" i="31" s="1"/>
  <c r="I11081" i="31" s="1"/>
  <c r="I11084" i="31" s="1"/>
  <c r="G11072" i="31"/>
  <c r="I11501" i="31"/>
  <c r="I11518" i="31"/>
  <c r="I11529" i="31" s="1"/>
  <c r="I11645" i="31"/>
  <c r="I11654" i="31"/>
  <c r="I11668" i="31" s="1"/>
  <c r="I11674" i="31" s="1"/>
  <c r="G10164" i="31"/>
  <c r="G10218" i="31"/>
  <c r="G10288" i="31"/>
  <c r="G10321" i="31"/>
  <c r="I10838" i="31"/>
  <c r="I10839" i="31" s="1"/>
  <c r="I10853" i="31" s="1"/>
  <c r="I10858" i="31" s="1"/>
  <c r="G10838" i="31"/>
  <c r="I11189" i="31"/>
  <c r="I11191" i="31" s="1"/>
  <c r="I11206" i="31" s="1"/>
  <c r="I11211" i="31" s="1"/>
  <c r="G11189" i="31"/>
  <c r="I11250" i="31"/>
  <c r="I11261" i="31" s="1"/>
  <c r="I11403" i="31"/>
  <c r="I11404" i="31" s="1"/>
  <c r="I11412" i="31" s="1"/>
  <c r="I11415" i="31" s="1"/>
  <c r="G11403" i="31"/>
  <c r="I11451" i="31"/>
  <c r="G11451" i="31"/>
  <c r="I11453" i="31"/>
  <c r="G11453" i="31"/>
  <c r="I11605" i="31"/>
  <c r="I9898" i="31"/>
  <c r="G10181" i="31"/>
  <c r="G10182" i="31"/>
  <c r="G10183" i="31"/>
  <c r="G10235" i="31"/>
  <c r="G10236" i="31"/>
  <c r="G10237" i="31"/>
  <c r="G10246" i="31"/>
  <c r="G10296" i="31"/>
  <c r="G10338" i="31"/>
  <c r="G10388" i="31"/>
  <c r="G10438" i="31"/>
  <c r="G10488" i="31"/>
  <c r="G10538" i="31"/>
  <c r="G10588" i="31"/>
  <c r="G10638" i="31"/>
  <c r="G10688" i="31"/>
  <c r="G10738" i="31"/>
  <c r="G10871" i="31"/>
  <c r="G11013" i="31"/>
  <c r="I11021" i="31"/>
  <c r="I11022" i="31" s="1"/>
  <c r="I11030" i="31" s="1"/>
  <c r="I11033" i="31" s="1"/>
  <c r="G11021" i="31"/>
  <c r="G11114" i="31"/>
  <c r="I11122" i="31"/>
  <c r="I11123" i="31" s="1"/>
  <c r="I11131" i="31" s="1"/>
  <c r="I11134" i="31" s="1"/>
  <c r="G11122" i="31"/>
  <c r="I10888" i="31"/>
  <c r="I10889" i="31" s="1"/>
  <c r="I10903" i="31" s="1"/>
  <c r="I10908" i="31" s="1"/>
  <c r="G10888" i="31"/>
  <c r="I11172" i="31"/>
  <c r="I11173" i="31" s="1"/>
  <c r="I11181" i="31" s="1"/>
  <c r="I11184" i="31" s="1"/>
  <c r="G11172" i="31"/>
  <c r="I11290" i="31"/>
  <c r="I11303" i="31"/>
  <c r="I11304" i="31" s="1"/>
  <c r="I11312" i="31" s="1"/>
  <c r="I11315" i="31" s="1"/>
  <c r="G11303" i="31"/>
  <c r="I11340" i="31"/>
  <c r="I11353" i="31"/>
  <c r="I11354" i="31" s="1"/>
  <c r="I11362" i="31" s="1"/>
  <c r="I11365" i="31" s="1"/>
  <c r="G11353" i="31"/>
  <c r="I11390" i="31"/>
  <c r="I11450" i="31"/>
  <c r="G11450" i="31"/>
  <c r="I11452" i="31"/>
  <c r="G11452" i="31"/>
  <c r="I11721" i="31"/>
  <c r="I11732" i="31" s="1"/>
  <c r="G11489" i="31"/>
  <c r="G11602" i="31"/>
  <c r="G11603" i="31"/>
  <c r="G11604" i="31"/>
  <c r="G11632" i="31"/>
  <c r="G11679" i="31"/>
  <c r="G11680" i="31"/>
  <c r="I11711" i="31"/>
  <c r="I11719" i="31"/>
  <c r="G11787" i="31"/>
  <c r="G11806" i="31"/>
  <c r="I11817" i="31"/>
  <c r="I11818" i="31" s="1"/>
  <c r="I11826" i="31" s="1"/>
  <c r="G11817" i="31"/>
  <c r="I11883" i="31"/>
  <c r="I11884" i="31" s="1"/>
  <c r="I11892" i="31" s="1"/>
  <c r="G11883" i="31"/>
  <c r="I11984" i="31"/>
  <c r="I12102" i="31"/>
  <c r="I12156" i="31"/>
  <c r="I12231" i="31"/>
  <c r="G11270" i="31"/>
  <c r="G11320" i="31"/>
  <c r="G11370" i="31"/>
  <c r="G11420" i="31"/>
  <c r="G11421" i="31"/>
  <c r="G11422" i="31"/>
  <c r="G11423" i="31"/>
  <c r="G11428" i="31"/>
  <c r="G11429" i="31"/>
  <c r="G11461" i="31"/>
  <c r="I11557" i="31"/>
  <c r="I11561" i="31" s="1"/>
  <c r="I11744" i="31"/>
  <c r="I11748" i="31" s="1"/>
  <c r="I11765" i="31" s="1"/>
  <c r="I11771" i="31" s="1"/>
  <c r="I11808" i="31"/>
  <c r="I11809" i="31" s="1"/>
  <c r="I11824" i="31" s="1"/>
  <c r="G11808" i="31"/>
  <c r="I11916" i="31"/>
  <c r="I11917" i="31" s="1"/>
  <c r="I11925" i="31" s="1"/>
  <c r="G11916" i="31"/>
  <c r="D12253" i="31"/>
  <c r="I12253" i="31" s="1"/>
  <c r="I12254" i="31" s="1"/>
  <c r="I12259" i="31" s="1"/>
  <c r="I12257" i="31"/>
  <c r="I12442" i="31"/>
  <c r="G11539" i="31"/>
  <c r="G11708" i="31"/>
  <c r="I11713" i="31"/>
  <c r="G11746" i="31"/>
  <c r="G11753" i="31"/>
  <c r="D11821" i="31"/>
  <c r="I11821" i="31" s="1"/>
  <c r="I11822" i="31" s="1"/>
  <c r="I11827" i="31" s="1"/>
  <c r="I12048" i="31"/>
  <c r="I12064" i="31" s="1"/>
  <c r="I12240" i="31"/>
  <c r="I12256" i="31" s="1"/>
  <c r="I11850" i="31"/>
  <c r="I11851" i="31" s="1"/>
  <c r="I11859" i="31" s="1"/>
  <c r="G11850" i="31"/>
  <c r="I11913" i="31"/>
  <c r="I11924" i="31" s="1"/>
  <c r="I12054" i="31"/>
  <c r="I12065" i="31" s="1"/>
  <c r="I12114" i="31"/>
  <c r="I12125" i="31" s="1"/>
  <c r="I12129" i="31" s="1"/>
  <c r="I12181" i="31"/>
  <c r="I12317" i="31"/>
  <c r="G11972" i="31"/>
  <c r="I12871" i="31"/>
  <c r="D12868" i="31"/>
  <c r="I12868" i="31" s="1"/>
  <c r="I12869" i="31" s="1"/>
  <c r="I12874" i="31" s="1"/>
  <c r="G11989" i="31"/>
  <c r="G11990" i="31"/>
  <c r="G11991" i="31"/>
  <c r="G12042" i="31"/>
  <c r="G12043" i="31"/>
  <c r="G12044" i="31"/>
  <c r="G12045" i="31"/>
  <c r="G12046" i="31"/>
  <c r="G12047" i="31"/>
  <c r="G12076" i="31"/>
  <c r="G12077" i="31"/>
  <c r="G12078" i="31"/>
  <c r="G12079" i="31"/>
  <c r="G12117" i="31"/>
  <c r="G12134" i="31"/>
  <c r="G12169" i="31"/>
  <c r="G12219" i="31"/>
  <c r="G12266" i="31"/>
  <c r="G12267" i="31"/>
  <c r="G12268" i="31"/>
  <c r="G12269" i="31"/>
  <c r="G12305" i="31"/>
  <c r="G12430" i="31"/>
  <c r="I12455" i="31"/>
  <c r="I12456" i="31" s="1"/>
  <c r="I12464" i="31" s="1"/>
  <c r="I12467" i="31" s="1"/>
  <c r="I12492" i="31"/>
  <c r="I12643" i="31"/>
  <c r="I12794" i="31"/>
  <c r="G12186" i="31"/>
  <c r="G12236" i="31"/>
  <c r="G12237" i="31"/>
  <c r="G12238" i="31"/>
  <c r="G12239" i="31"/>
  <c r="G12244" i="31"/>
  <c r="G12245" i="31"/>
  <c r="G12277" i="31"/>
  <c r="G12322" i="31"/>
  <c r="G12380" i="31"/>
  <c r="I12405" i="31"/>
  <c r="I12406" i="31" s="1"/>
  <c r="I12414" i="31" s="1"/>
  <c r="I12417" i="31" s="1"/>
  <c r="G12447" i="31"/>
  <c r="I12543" i="31"/>
  <c r="I12844" i="31"/>
  <c r="I12355" i="31"/>
  <c r="I12356" i="31" s="1"/>
  <c r="I12364" i="31" s="1"/>
  <c r="I12367" i="31" s="1"/>
  <c r="G12397" i="31"/>
  <c r="I12593" i="31"/>
  <c r="G12505" i="31"/>
  <c r="I12548" i="31"/>
  <c r="I12549" i="31" s="1"/>
  <c r="I12563" i="31" s="1"/>
  <c r="I12568" i="31" s="1"/>
  <c r="G12556" i="31"/>
  <c r="I12598" i="31"/>
  <c r="I12599" i="31" s="1"/>
  <c r="I12613" i="31" s="1"/>
  <c r="I12618" i="31" s="1"/>
  <c r="G12606" i="31"/>
  <c r="I12648" i="31"/>
  <c r="I12649" i="31" s="1"/>
  <c r="I12663" i="31" s="1"/>
  <c r="I12668" i="31" s="1"/>
  <c r="G12656" i="31"/>
  <c r="I12706" i="31"/>
  <c r="I12707" i="31" s="1"/>
  <c r="I12715" i="31" s="1"/>
  <c r="I12718" i="31" s="1"/>
  <c r="I12731" i="31"/>
  <c r="I12732" i="31" s="1"/>
  <c r="I12740" i="31" s="1"/>
  <c r="I12743" i="31" s="1"/>
  <c r="G12749" i="31"/>
  <c r="I12799" i="31"/>
  <c r="I12800" i="31" s="1"/>
  <c r="I12814" i="31" s="1"/>
  <c r="G12799" i="31"/>
  <c r="I12917" i="31"/>
  <c r="G12917" i="31"/>
  <c r="I12919" i="31"/>
  <c r="G12919" i="31"/>
  <c r="I12996" i="31"/>
  <c r="G12996" i="31"/>
  <c r="I13038" i="31"/>
  <c r="I13039" i="31" s="1"/>
  <c r="I13047" i="31" s="1"/>
  <c r="G13038" i="31"/>
  <c r="I13060" i="31"/>
  <c r="I13074" i="31" s="1"/>
  <c r="I13086" i="31"/>
  <c r="G13086" i="31"/>
  <c r="I13088" i="31"/>
  <c r="G13088" i="31"/>
  <c r="I12769" i="31"/>
  <c r="I12861" i="31"/>
  <c r="I12872" i="31" s="1"/>
  <c r="I12965" i="31"/>
  <c r="G12965" i="31"/>
  <c r="D13130" i="31"/>
  <c r="I13130" i="31" s="1"/>
  <c r="I13131" i="31" s="1"/>
  <c r="I13136" i="31" s="1"/>
  <c r="I13134" i="31"/>
  <c r="G12480" i="31"/>
  <c r="I12918" i="31"/>
  <c r="G12918" i="31"/>
  <c r="I13028" i="31"/>
  <c r="I13045" i="31" s="1"/>
  <c r="I13051" i="31" s="1"/>
  <c r="I13085" i="31"/>
  <c r="G13085" i="31"/>
  <c r="I13087" i="31"/>
  <c r="G13087" i="31"/>
  <c r="I13189" i="31"/>
  <c r="I13200" i="31" s="1"/>
  <c r="I13285" i="31"/>
  <c r="I13398" i="31"/>
  <c r="I13399" i="31" s="1"/>
  <c r="I13555" i="31"/>
  <c r="I13680" i="31"/>
  <c r="I13730" i="31"/>
  <c r="I12882" i="31"/>
  <c r="I12883" i="31" s="1"/>
  <c r="I12898" i="31" s="1"/>
  <c r="G12882" i="31"/>
  <c r="I12900" i="31"/>
  <c r="I12966" i="31"/>
  <c r="G12966" i="31"/>
  <c r="I12997" i="31"/>
  <c r="I13011" i="31" s="1"/>
  <c r="I13156" i="31"/>
  <c r="I13167" i="31" s="1"/>
  <c r="I13239" i="31"/>
  <c r="I13253" i="31" s="1"/>
  <c r="I13258" i="31" s="1"/>
  <c r="I13685" i="31"/>
  <c r="I13686" i="31" s="1"/>
  <c r="I13700" i="31" s="1"/>
  <c r="I13705" i="31" s="1"/>
  <c r="G13685" i="31"/>
  <c r="I13735" i="31"/>
  <c r="I13736" i="31" s="1"/>
  <c r="I13750" i="31" s="1"/>
  <c r="I13755" i="31" s="1"/>
  <c r="G13735" i="31"/>
  <c r="I14124" i="31"/>
  <c r="I14125" i="31" s="1"/>
  <c r="I14133" i="31" s="1"/>
  <c r="I14136" i="31" s="1"/>
  <c r="G14124" i="31"/>
  <c r="G15081" i="31"/>
  <c r="I15081" i="31"/>
  <c r="I15082" i="31" s="1"/>
  <c r="I15094" i="31" s="1"/>
  <c r="I15099" i="31" s="1"/>
  <c r="G13236" i="31"/>
  <c r="G13237" i="31"/>
  <c r="G13238" i="31"/>
  <c r="G13290" i="31"/>
  <c r="G13291" i="31"/>
  <c r="G13468" i="31"/>
  <c r="I13493" i="31"/>
  <c r="I13494" i="31" s="1"/>
  <c r="I13502" i="31" s="1"/>
  <c r="I13505" i="31" s="1"/>
  <c r="G13535" i="31"/>
  <c r="I14436" i="31"/>
  <c r="G13159" i="31"/>
  <c r="G13192" i="31"/>
  <c r="G13246" i="31"/>
  <c r="G13299" i="31"/>
  <c r="G13316" i="31"/>
  <c r="G13353" i="31"/>
  <c r="G13385" i="31"/>
  <c r="G13417" i="31"/>
  <c r="G13435" i="31"/>
  <c r="G13485" i="31"/>
  <c r="G13617" i="31"/>
  <c r="I14237" i="31"/>
  <c r="I13592" i="31"/>
  <c r="I13593" i="31" s="1"/>
  <c r="I13601" i="31" s="1"/>
  <c r="I13604" i="31" s="1"/>
  <c r="G13635" i="31"/>
  <c r="G13668" i="31"/>
  <c r="G13718" i="31"/>
  <c r="G13769" i="31"/>
  <c r="I13787" i="31"/>
  <c r="I13788" i="31" s="1"/>
  <c r="I13802" i="31" s="1"/>
  <c r="I13807" i="31" s="1"/>
  <c r="G13787" i="31"/>
  <c r="I13837" i="31"/>
  <c r="I13838" i="31" s="1"/>
  <c r="I13852" i="31" s="1"/>
  <c r="I13857" i="31" s="1"/>
  <c r="G13837" i="31"/>
  <c r="I13887" i="31"/>
  <c r="I13888" i="31" s="1"/>
  <c r="I13902" i="31" s="1"/>
  <c r="I13907" i="31" s="1"/>
  <c r="G13887" i="31"/>
  <c r="I13937" i="31"/>
  <c r="I13938" i="31" s="1"/>
  <c r="I13952" i="31" s="1"/>
  <c r="I13957" i="31" s="1"/>
  <c r="G13937" i="31"/>
  <c r="I13988" i="31"/>
  <c r="I13989" i="31" s="1"/>
  <c r="I14003" i="31" s="1"/>
  <c r="I14008" i="31" s="1"/>
  <c r="G13988" i="31"/>
  <c r="I14041" i="31"/>
  <c r="I14042" i="31" s="1"/>
  <c r="I14056" i="31" s="1"/>
  <c r="I14061" i="31" s="1"/>
  <c r="G14041" i="31"/>
  <c r="I14091" i="31"/>
  <c r="I14092" i="31" s="1"/>
  <c r="I14106" i="31" s="1"/>
  <c r="I14111" i="31" s="1"/>
  <c r="G14091" i="31"/>
  <c r="I14262" i="31"/>
  <c r="I14336" i="31"/>
  <c r="I14586" i="31"/>
  <c r="G13845" i="31"/>
  <c r="G13895" i="31"/>
  <c r="G13945" i="31"/>
  <c r="G13996" i="31"/>
  <c r="G14049" i="31"/>
  <c r="G14099" i="31"/>
  <c r="G14166" i="31"/>
  <c r="G14225" i="31"/>
  <c r="I14292" i="31"/>
  <c r="I14293" i="31" s="1"/>
  <c r="I14307" i="31" s="1"/>
  <c r="G14292" i="31"/>
  <c r="I14341" i="31"/>
  <c r="I14342" i="31" s="1"/>
  <c r="I14356" i="31" s="1"/>
  <c r="I14361" i="31" s="1"/>
  <c r="G14341" i="31"/>
  <c r="I14391" i="31"/>
  <c r="I14392" i="31" s="1"/>
  <c r="I14406" i="31" s="1"/>
  <c r="G14391" i="31"/>
  <c r="I14441" i="31"/>
  <c r="I14442" i="31" s="1"/>
  <c r="I14456" i="31" s="1"/>
  <c r="G14441" i="31"/>
  <c r="I14666" i="31"/>
  <c r="I14667" i="31" s="1"/>
  <c r="I14681" i="31" s="1"/>
  <c r="G14666" i="31"/>
  <c r="I14491" i="31"/>
  <c r="I14492" i="31" s="1"/>
  <c r="I14506" i="31" s="1"/>
  <c r="G14491" i="31"/>
  <c r="I14541" i="31"/>
  <c r="I14542" i="31" s="1"/>
  <c r="I14556" i="31" s="1"/>
  <c r="G14541" i="31"/>
  <c r="I14611" i="31"/>
  <c r="G14641" i="31"/>
  <c r="I14641" i="31"/>
  <c r="I14642" i="31" s="1"/>
  <c r="I14656" i="31" s="1"/>
  <c r="I14724" i="31"/>
  <c r="I14725" i="31" s="1"/>
  <c r="I14733" i="31" s="1"/>
  <c r="I14736" i="31" s="1"/>
  <c r="G14724" i="31"/>
  <c r="I14691" i="31"/>
  <c r="I14692" i="31" s="1"/>
  <c r="I14706" i="31" s="1"/>
  <c r="G14716" i="31"/>
  <c r="I14741" i="31"/>
  <c r="I14742" i="31" s="1"/>
  <c r="I14756" i="31" s="1"/>
  <c r="I14761" i="31" s="1"/>
  <c r="I14911" i="31"/>
  <c r="I15011" i="31"/>
  <c r="I15122" i="31"/>
  <c r="D15118" i="31"/>
  <c r="I15118" i="31" s="1"/>
  <c r="I15119" i="31" s="1"/>
  <c r="I15124" i="31" s="1"/>
  <c r="I15127" i="31" s="1"/>
  <c r="I14791" i="31"/>
  <c r="I14792" i="31" s="1"/>
  <c r="I14806" i="31" s="1"/>
  <c r="I14811" i="31" s="1"/>
  <c r="G14816" i="31"/>
  <c r="G14866" i="31"/>
  <c r="G14916" i="31"/>
  <c r="G14966" i="31"/>
  <c r="G15114" i="31"/>
  <c r="G14824" i="31"/>
  <c r="G14874" i="31"/>
  <c r="G14924" i="31"/>
  <c r="G14974" i="31"/>
  <c r="G15016" i="31"/>
  <c r="G15045" i="31"/>
  <c r="G15072" i="31"/>
  <c r="G15073" i="31"/>
  <c r="G15074" i="31"/>
  <c r="G15075" i="31"/>
  <c r="G15105" i="31"/>
  <c r="D229" i="28"/>
  <c r="D228" i="28"/>
  <c r="D301" i="28"/>
  <c r="D300" i="28"/>
  <c r="D299" i="28"/>
  <c r="D298" i="28"/>
  <c r="D349" i="28"/>
  <c r="D347" i="28"/>
  <c r="D346" i="28"/>
  <c r="D344" i="28"/>
  <c r="D343" i="28"/>
  <c r="D345" i="28"/>
  <c r="I5665" i="31" l="1"/>
  <c r="D5662" i="31"/>
  <c r="I5662" i="31" s="1"/>
  <c r="I5663" i="31" s="1"/>
  <c r="I5668" i="31" s="1"/>
  <c r="D12951" i="31"/>
  <c r="I12951" i="31" s="1"/>
  <c r="I12952" i="31" s="1"/>
  <c r="I12957" i="31" s="1"/>
  <c r="I12956" i="31"/>
  <c r="I12960" i="31" s="1"/>
  <c r="I2404" i="31"/>
  <c r="I2380" i="31" s="1"/>
  <c r="I5751" i="31"/>
  <c r="I5840" i="31"/>
  <c r="I5854" i="31" s="1"/>
  <c r="I5860" i="31" s="1"/>
  <c r="I5834" i="31" s="1"/>
  <c r="I11508" i="31"/>
  <c r="I11512" i="31" s="1"/>
  <c r="I11874" i="31"/>
  <c r="I11890" i="31" s="1"/>
  <c r="I8570" i="31"/>
  <c r="I8584" i="31" s="1"/>
  <c r="I4625" i="31"/>
  <c r="I4641" i="31" s="1"/>
  <c r="I1329" i="31"/>
  <c r="I1330" i="31" s="1"/>
  <c r="I1305" i="31" s="1"/>
  <c r="I7659" i="31"/>
  <c r="I8046" i="31"/>
  <c r="I4742" i="31"/>
  <c r="I4757" i="31" s="1"/>
  <c r="I4762" i="31" s="1"/>
  <c r="I4736" i="31" s="1"/>
  <c r="I4086" i="31"/>
  <c r="I4060" i="31" s="1"/>
  <c r="I14961" i="31"/>
  <c r="I7994" i="31"/>
  <c r="I8010" i="31" s="1"/>
  <c r="I5216" i="31"/>
  <c r="I15037" i="31"/>
  <c r="I15013" i="31" s="1"/>
  <c r="I5698" i="31"/>
  <c r="I5536" i="31"/>
  <c r="I5552" i="31" s="1"/>
  <c r="I5043" i="31"/>
  <c r="I3193" i="31"/>
  <c r="I3208" i="31" s="1"/>
  <c r="I3213" i="31" s="1"/>
  <c r="I3215" i="31" s="1"/>
  <c r="I3187" i="31" s="1"/>
  <c r="I3028" i="31"/>
  <c r="I3039" i="31" s="1"/>
  <c r="I13430" i="31"/>
  <c r="I13401" i="31" s="1"/>
  <c r="I13183" i="31"/>
  <c r="I13199" i="31" s="1"/>
  <c r="I13205" i="31" s="1"/>
  <c r="I8628" i="31"/>
  <c r="I8642" i="31" s="1"/>
  <c r="I8648" i="31" s="1"/>
  <c r="I10683" i="31"/>
  <c r="I4500" i="31"/>
  <c r="I4474" i="31" s="1"/>
  <c r="I1124" i="31"/>
  <c r="I1100" i="31" s="1"/>
  <c r="I5558" i="31"/>
  <c r="I4870" i="31"/>
  <c r="I4845" i="31" s="1"/>
  <c r="I13017" i="31"/>
  <c r="I14511" i="31"/>
  <c r="I1068" i="31"/>
  <c r="I1043" i="31" s="1"/>
  <c r="I12261" i="31"/>
  <c r="I12233" i="31" s="1"/>
  <c r="I11265" i="31"/>
  <c r="I11240" i="31" s="1"/>
  <c r="I6979" i="31"/>
  <c r="I6980" i="31" s="1"/>
  <c r="I6952" i="31" s="1"/>
  <c r="I11445" i="31"/>
  <c r="I14461" i="31"/>
  <c r="I13080" i="31"/>
  <c r="I6841" i="31"/>
  <c r="I6818" i="31" s="1"/>
  <c r="I6634" i="31"/>
  <c r="I2673" i="31"/>
  <c r="I2649" i="31" s="1"/>
  <c r="I2538" i="31"/>
  <c r="I2514" i="31" s="1"/>
  <c r="I2110" i="31"/>
  <c r="I2086" i="31" s="1"/>
  <c r="I470" i="31"/>
  <c r="I438" i="31" s="1"/>
  <c r="I154" i="31"/>
  <c r="I127" i="31" s="1"/>
  <c r="I1154" i="31"/>
  <c r="I1127" i="31" s="1"/>
  <c r="I14861" i="31"/>
  <c r="I11957" i="31"/>
  <c r="I11931" i="31" s="1"/>
  <c r="I4896" i="31"/>
  <c r="I4872" i="31" s="1"/>
  <c r="I4359" i="31"/>
  <c r="I4335" i="31" s="1"/>
  <c r="I8952" i="31"/>
  <c r="I8923" i="31" s="1"/>
  <c r="I2565" i="31"/>
  <c r="I2541" i="31" s="1"/>
  <c r="I2137" i="31"/>
  <c r="I2113" i="31" s="1"/>
  <c r="I14711" i="31"/>
  <c r="I14561" i="31"/>
  <c r="I14538" i="31" s="1"/>
  <c r="I14411" i="31"/>
  <c r="I12819" i="31"/>
  <c r="I2646" i="31"/>
  <c r="I2622" i="31" s="1"/>
  <c r="I8016" i="31"/>
  <c r="I7987" i="31" s="1"/>
  <c r="I9207" i="31"/>
  <c r="I3884" i="31"/>
  <c r="I3859" i="31" s="1"/>
  <c r="I1302" i="31"/>
  <c r="I1277" i="31" s="1"/>
  <c r="I14661" i="31"/>
  <c r="I14638" i="31" s="1"/>
  <c r="I14686" i="31"/>
  <c r="I14312" i="31"/>
  <c r="I14289" i="31" s="1"/>
  <c r="I11829" i="31"/>
  <c r="I11830" i="31" s="1"/>
  <c r="I11802" i="31" s="1"/>
  <c r="I2753" i="31"/>
  <c r="I2729" i="31" s="1"/>
  <c r="I2458" i="31"/>
  <c r="I2434" i="31" s="1"/>
  <c r="I2325" i="31"/>
  <c r="I2301" i="31" s="1"/>
  <c r="I65" i="31"/>
  <c r="I40" i="31" s="1"/>
  <c r="I6712" i="31"/>
  <c r="I6689" i="31" s="1"/>
  <c r="I9042" i="31"/>
  <c r="I2431" i="31"/>
  <c r="I2407" i="31" s="1"/>
  <c r="I12011" i="31"/>
  <c r="I11986" i="31" s="1"/>
  <c r="I14486" i="31"/>
  <c r="I14463" i="31" s="1"/>
  <c r="D2942" i="31"/>
  <c r="I2942" i="31" s="1"/>
  <c r="I2943" i="31" s="1"/>
  <c r="I2948" i="31" s="1"/>
  <c r="I2947" i="31"/>
  <c r="I10084" i="31"/>
  <c r="I4987" i="31"/>
  <c r="I167" i="31"/>
  <c r="I182" i="31" s="1"/>
  <c r="I187" i="31" s="1"/>
  <c r="I157" i="31" s="1"/>
  <c r="I210" i="31"/>
  <c r="I218" i="31" s="1"/>
  <c r="I13212" i="31"/>
  <c r="I13226" i="31" s="1"/>
  <c r="I13231" i="31" s="1"/>
  <c r="I13207" i="31" s="1"/>
  <c r="G11710" i="31"/>
  <c r="I11710" i="31"/>
  <c r="I11714" i="31" s="1"/>
  <c r="I11731" i="31" s="1"/>
  <c r="I11737" i="31" s="1"/>
  <c r="I11705" i="31" s="1"/>
  <c r="I4769" i="31"/>
  <c r="I4783" i="31" s="1"/>
  <c r="I4788" i="31" s="1"/>
  <c r="I4764" i="31" s="1"/>
  <c r="I11454" i="31"/>
  <c r="I11468" i="31" s="1"/>
  <c r="I11474" i="31" s="1"/>
  <c r="I11476" i="31" s="1"/>
  <c r="I4680" i="31"/>
  <c r="I4649" i="31" s="1"/>
  <c r="I1387" i="31"/>
  <c r="I1361" i="31" s="1"/>
  <c r="I13580" i="31"/>
  <c r="I13557" i="31" s="1"/>
  <c r="G13115" i="31"/>
  <c r="I13115" i="31"/>
  <c r="I13118" i="31" s="1"/>
  <c r="I13133" i="31" s="1"/>
  <c r="I13138" i="31" s="1"/>
  <c r="I13139" i="31" s="1"/>
  <c r="I13111" i="31" s="1"/>
  <c r="I8590" i="31"/>
  <c r="I8564" i="31" s="1"/>
  <c r="I6900" i="31"/>
  <c r="I6916" i="31" s="1"/>
  <c r="I6921" i="31" s="1"/>
  <c r="I6893" i="31" s="1"/>
  <c r="I5452" i="31"/>
  <c r="I5429" i="31" s="1"/>
  <c r="I4905" i="31"/>
  <c r="I4919" i="31" s="1"/>
  <c r="I4925" i="31" s="1"/>
  <c r="I4927" i="31" s="1"/>
  <c r="I4898" i="31" s="1"/>
  <c r="I6137" i="31"/>
  <c r="I6151" i="31" s="1"/>
  <c r="I6157" i="31" s="1"/>
  <c r="I6130" i="31" s="1"/>
  <c r="I6532" i="31"/>
  <c r="I4647" i="31"/>
  <c r="I4616" i="31" s="1"/>
  <c r="I4152" i="31"/>
  <c r="I4166" i="31" s="1"/>
  <c r="I4171" i="31" s="1"/>
  <c r="I4146" i="31" s="1"/>
  <c r="I524" i="31"/>
  <c r="D520" i="31"/>
  <c r="I520" i="31" s="1"/>
  <c r="I521" i="31" s="1"/>
  <c r="I526" i="31" s="1"/>
  <c r="I12070" i="31"/>
  <c r="I12071" i="31" s="1"/>
  <c r="I11896" i="31"/>
  <c r="I11865" i="31" s="1"/>
  <c r="I10003" i="31"/>
  <c r="I10020" i="31" s="1"/>
  <c r="I10026" i="31" s="1"/>
  <c r="I9994" i="31" s="1"/>
  <c r="I6325" i="31"/>
  <c r="I6341" i="31" s="1"/>
  <c r="I6347" i="31" s="1"/>
  <c r="I5585" i="31"/>
  <c r="I5671" i="31"/>
  <c r="I5672" i="31" s="1"/>
  <c r="I5643" i="31" s="1"/>
  <c r="I3856" i="31"/>
  <c r="I3831" i="31" s="1"/>
  <c r="I1358" i="31"/>
  <c r="I1333" i="31" s="1"/>
  <c r="I13150" i="31"/>
  <c r="I13166" i="31" s="1"/>
  <c r="I13172" i="31" s="1"/>
  <c r="I13141" i="31" s="1"/>
  <c r="I11907" i="31"/>
  <c r="I11923" i="31" s="1"/>
  <c r="I11929" i="31" s="1"/>
  <c r="I11898" i="31" s="1"/>
  <c r="I11841" i="31"/>
  <c r="I11857" i="31" s="1"/>
  <c r="I11863" i="31" s="1"/>
  <c r="I11832" i="31" s="1"/>
  <c r="I10095" i="31"/>
  <c r="I10111" i="31" s="1"/>
  <c r="I10117" i="31" s="1"/>
  <c r="I10086" i="31" s="1"/>
  <c r="I3628" i="31"/>
  <c r="I3601" i="31" s="1"/>
  <c r="I4046" i="31"/>
  <c r="I4054" i="31" s="1"/>
  <c r="I4058" i="31" s="1"/>
  <c r="I4032" i="31" s="1"/>
  <c r="I15102" i="31"/>
  <c r="I12104" i="31"/>
  <c r="I9737" i="31"/>
  <c r="I7811" i="31"/>
  <c r="I7886" i="31"/>
  <c r="I7786" i="31"/>
  <c r="I11739" i="31"/>
  <c r="I11010" i="31"/>
  <c r="I9014" i="31"/>
  <c r="I5529" i="31"/>
  <c r="I5323" i="31"/>
  <c r="I5218" i="31"/>
  <c r="I13581" i="31"/>
  <c r="I15069" i="31"/>
  <c r="I12720" i="31"/>
  <c r="I11536" i="31"/>
  <c r="I11111" i="31"/>
  <c r="I10960" i="31"/>
  <c r="I9044" i="31"/>
  <c r="I8227" i="31"/>
  <c r="I7711" i="31"/>
  <c r="D28" i="31"/>
  <c r="I28" i="31" s="1"/>
  <c r="I29" i="31" s="1"/>
  <c r="I34" i="31" s="1"/>
  <c r="I31" i="31"/>
  <c r="I13482" i="31"/>
  <c r="I12934" i="31"/>
  <c r="I12344" i="31"/>
  <c r="I12394" i="31"/>
  <c r="I11161" i="31"/>
  <c r="I9587" i="31"/>
  <c r="I9537" i="31"/>
  <c r="I9121" i="31"/>
  <c r="I6457" i="31"/>
  <c r="I5726" i="31"/>
  <c r="I14713" i="31"/>
  <c r="I12695" i="31"/>
  <c r="I12444" i="31"/>
  <c r="I11342" i="31"/>
  <c r="I11392" i="31"/>
  <c r="I11061" i="31"/>
  <c r="I10057" i="31"/>
  <c r="I9932" i="31"/>
  <c r="I9436" i="31"/>
  <c r="I6560" i="31"/>
  <c r="I4962" i="31"/>
  <c r="I14938" i="31"/>
  <c r="I14588" i="31"/>
  <c r="I14088" i="31"/>
  <c r="I13884" i="31"/>
  <c r="I13657" i="31"/>
  <c r="I13174" i="31"/>
  <c r="I12545" i="31"/>
  <c r="I12519" i="31"/>
  <c r="I12469" i="31"/>
  <c r="I12158" i="31"/>
  <c r="I12208" i="31"/>
  <c r="I11317" i="31"/>
  <c r="I10232" i="31"/>
  <c r="I11086" i="31"/>
  <c r="I9812" i="31"/>
  <c r="D9809" i="31"/>
  <c r="I9809" i="31" s="1"/>
  <c r="I9810" i="31" s="1"/>
  <c r="I9815" i="31" s="1"/>
  <c r="I10028" i="31"/>
  <c r="I8531" i="31"/>
  <c r="D8528" i="31"/>
  <c r="I8528" i="31" s="1"/>
  <c r="I8529" i="31" s="1"/>
  <c r="I8534" i="31" s="1"/>
  <c r="I9487" i="31"/>
  <c r="I9234" i="31"/>
  <c r="I9180" i="31"/>
  <c r="I8356" i="31"/>
  <c r="I6611" i="31"/>
  <c r="I6259" i="31"/>
  <c r="I6275" i="31" s="1"/>
  <c r="I6281" i="31" s="1"/>
  <c r="I7661" i="31"/>
  <c r="I7335" i="31"/>
  <c r="I5403" i="31"/>
  <c r="I6508" i="31"/>
  <c r="I5137" i="31"/>
  <c r="I14888" i="31"/>
  <c r="I14338" i="31"/>
  <c r="I14313" i="31"/>
  <c r="I12990" i="31"/>
  <c r="I12771" i="31"/>
  <c r="I12131" i="31"/>
  <c r="I11367" i="31"/>
  <c r="I10119" i="31"/>
  <c r="I10360" i="31"/>
  <c r="I11417" i="31"/>
  <c r="I9662" i="31"/>
  <c r="I9637" i="31"/>
  <c r="I9209" i="31"/>
  <c r="I8621" i="31"/>
  <c r="I6767" i="31"/>
  <c r="I7586" i="31"/>
  <c r="I7285" i="31"/>
  <c r="I5753" i="31"/>
  <c r="I5700" i="31"/>
  <c r="I3998" i="31"/>
  <c r="D3993" i="31"/>
  <c r="I3993" i="31" s="1"/>
  <c r="I3994" i="31" s="1"/>
  <c r="I3999" i="31" s="1"/>
  <c r="I3085" i="31"/>
  <c r="I3099" i="31" s="1"/>
  <c r="I3104" i="31" s="1"/>
  <c r="I3079" i="31" s="1"/>
  <c r="I2960" i="31"/>
  <c r="I2974" i="31" s="1"/>
  <c r="I2980" i="31" s="1"/>
  <c r="I2954" i="31" s="1"/>
  <c r="I626" i="31"/>
  <c r="I641" i="31" s="1"/>
  <c r="I647" i="31" s="1"/>
  <c r="I619" i="31" s="1"/>
  <c r="I14838" i="31"/>
  <c r="I14688" i="31"/>
  <c r="I14239" i="31"/>
  <c r="I14038" i="31"/>
  <c r="I13934" i="31"/>
  <c r="I13834" i="31"/>
  <c r="I14214" i="31"/>
  <c r="I14413" i="31"/>
  <c r="I13233" i="31"/>
  <c r="I12904" i="31"/>
  <c r="I13532" i="31"/>
  <c r="I13089" i="31"/>
  <c r="I13103" i="31" s="1"/>
  <c r="I13109" i="31" s="1"/>
  <c r="I12595" i="31"/>
  <c r="I12877" i="31"/>
  <c r="I12878" i="31" s="1"/>
  <c r="I12073" i="31"/>
  <c r="I11563" i="31"/>
  <c r="D11608" i="31"/>
  <c r="I11608" i="31" s="1"/>
  <c r="I11609" i="31" s="1"/>
  <c r="I11614" i="31" s="1"/>
  <c r="I11613" i="31"/>
  <c r="I11186" i="31"/>
  <c r="I11647" i="31"/>
  <c r="I11478" i="31"/>
  <c r="I10635" i="31"/>
  <c r="I10785" i="31"/>
  <c r="I9612" i="31"/>
  <c r="I10310" i="31"/>
  <c r="I10152" i="31"/>
  <c r="I9461" i="31"/>
  <c r="I9562" i="31"/>
  <c r="I9096" i="31"/>
  <c r="I9411" i="31"/>
  <c r="I8680" i="31"/>
  <c r="I8150" i="31"/>
  <c r="I9336" i="31"/>
  <c r="I9011" i="31"/>
  <c r="I9012" i="31" s="1"/>
  <c r="I8456" i="31"/>
  <c r="I6930" i="31"/>
  <c r="I6944" i="31" s="1"/>
  <c r="I6949" i="31" s="1"/>
  <c r="I6950" i="31" s="1"/>
  <c r="I6715" i="31"/>
  <c r="I6355" i="31"/>
  <c r="I6369" i="31" s="1"/>
  <c r="I6374" i="31" s="1"/>
  <c r="I6292" i="31"/>
  <c r="I6308" i="31" s="1"/>
  <c r="I6314" i="31" s="1"/>
  <c r="I6226" i="31"/>
  <c r="I6242" i="31" s="1"/>
  <c r="I6248" i="31" s="1"/>
  <c r="I6166" i="31"/>
  <c r="I6180" i="31" s="1"/>
  <c r="I6186" i="31" s="1"/>
  <c r="I6108" i="31"/>
  <c r="I6122" i="31" s="1"/>
  <c r="I6128" i="31" s="1"/>
  <c r="I6053" i="31"/>
  <c r="I6067" i="31" s="1"/>
  <c r="I6073" i="31" s="1"/>
  <c r="I5995" i="31"/>
  <c r="I6009" i="31" s="1"/>
  <c r="I6015" i="31" s="1"/>
  <c r="I5869" i="31"/>
  <c r="I5883" i="31" s="1"/>
  <c r="I5889" i="31" s="1"/>
  <c r="I7560" i="31"/>
  <c r="I7435" i="31"/>
  <c r="I7235" i="31"/>
  <c r="I7034" i="31"/>
  <c r="I7636" i="31"/>
  <c r="I6534" i="31"/>
  <c r="I5891" i="31"/>
  <c r="I7861" i="31"/>
  <c r="I6017" i="31"/>
  <c r="I5674" i="31"/>
  <c r="I5165" i="31"/>
  <c r="I3919" i="31"/>
  <c r="I3933" i="31" s="1"/>
  <c r="I3939" i="31" s="1"/>
  <c r="I3941" i="31" s="1"/>
  <c r="I3912" i="31" s="1"/>
  <c r="I3138" i="31"/>
  <c r="I3152" i="31" s="1"/>
  <c r="I3157" i="31" s="1"/>
  <c r="I3133" i="31" s="1"/>
  <c r="I3021" i="31"/>
  <c r="I3038" i="31" s="1"/>
  <c r="I3044" i="31" s="1"/>
  <c r="I3012" i="31" s="1"/>
  <c r="I2951" i="31"/>
  <c r="I2925" i="31" s="1"/>
  <c r="I1557" i="31"/>
  <c r="I1565" i="31" s="1"/>
  <c r="I1569" i="31"/>
  <c r="I1541" i="31" s="1"/>
  <c r="I1273" i="31"/>
  <c r="I1248" i="31" s="1"/>
  <c r="I529" i="31"/>
  <c r="I500" i="31" s="1"/>
  <c r="I297" i="31"/>
  <c r="I1035" i="31"/>
  <c r="D1032" i="31"/>
  <c r="I1032" i="31" s="1"/>
  <c r="I1033" i="31" s="1"/>
  <c r="I1038" i="31" s="1"/>
  <c r="I544" i="31"/>
  <c r="I82" i="31"/>
  <c r="I90" i="31" s="1"/>
  <c r="I94" i="31" s="1"/>
  <c r="I68" i="31" s="1"/>
  <c r="I282" i="31"/>
  <c r="I253" i="31" s="1"/>
  <c r="I195" i="31"/>
  <c r="I216" i="31" s="1"/>
  <c r="I222" i="31" s="1"/>
  <c r="I190" i="31" s="1"/>
  <c r="I14488" i="31"/>
  <c r="I14563" i="31"/>
  <c r="I13985" i="31"/>
  <c r="I13784" i="31"/>
  <c r="I14113" i="31"/>
  <c r="I13260" i="31"/>
  <c r="I12645" i="31"/>
  <c r="I12039" i="31"/>
  <c r="I12419" i="31"/>
  <c r="I11447" i="31"/>
  <c r="I10835" i="31"/>
  <c r="I11292" i="31"/>
  <c r="I9762" i="31"/>
  <c r="I10660" i="31"/>
  <c r="I10710" i="31"/>
  <c r="I9904" i="31"/>
  <c r="I8048" i="31"/>
  <c r="I8018" i="31"/>
  <c r="I8743" i="31"/>
  <c r="I6316" i="31"/>
  <c r="I5560" i="31"/>
  <c r="I7510" i="31"/>
  <c r="I7134" i="31"/>
  <c r="I6637" i="31"/>
  <c r="I5479" i="31"/>
  <c r="I7611" i="31"/>
  <c r="I5017" i="31"/>
  <c r="I14438" i="31"/>
  <c r="I13732" i="31"/>
  <c r="I13053" i="31"/>
  <c r="I12920" i="31"/>
  <c r="I12928" i="31" s="1"/>
  <c r="I12932" i="31" s="1"/>
  <c r="I12013" i="31"/>
  <c r="I9834" i="31"/>
  <c r="I10178" i="31"/>
  <c r="I10935" i="31"/>
  <c r="I9687" i="31"/>
  <c r="I11036" i="31"/>
  <c r="I10205" i="31"/>
  <c r="I9155" i="31"/>
  <c r="I9170" i="31" s="1"/>
  <c r="I9176" i="31" s="1"/>
  <c r="I9178" i="31" s="1"/>
  <c r="I8709" i="31"/>
  <c r="I7937" i="31"/>
  <c r="I8306" i="31"/>
  <c r="I5935" i="31"/>
  <c r="I5946" i="31" s="1"/>
  <c r="I5820" i="31"/>
  <c r="I7485" i="31"/>
  <c r="I7084" i="31"/>
  <c r="I7686" i="31"/>
  <c r="I5454" i="31"/>
  <c r="I6075" i="31"/>
  <c r="I6483" i="31"/>
  <c r="I5377" i="31"/>
  <c r="D4951" i="31"/>
  <c r="I4951" i="31" s="1"/>
  <c r="I4952" i="31" s="1"/>
  <c r="I4957" i="31" s="1"/>
  <c r="I4954" i="31"/>
  <c r="I3542" i="31"/>
  <c r="I1239" i="31"/>
  <c r="D1236" i="31"/>
  <c r="I1236" i="31" s="1"/>
  <c r="I1237" i="31" s="1"/>
  <c r="I1242" i="31" s="1"/>
  <c r="I14788" i="31"/>
  <c r="I14988" i="31"/>
  <c r="I14738" i="31"/>
  <c r="I14663" i="31"/>
  <c r="I14388" i="31"/>
  <c r="I13682" i="31"/>
  <c r="I13707" i="31"/>
  <c r="I13367" i="31"/>
  <c r="I13019" i="31"/>
  <c r="I12968" i="31"/>
  <c r="I12982" i="31" s="1"/>
  <c r="I12988" i="31" s="1"/>
  <c r="I12746" i="31"/>
  <c r="I12796" i="31"/>
  <c r="I12570" i="31"/>
  <c r="I12821" i="31"/>
  <c r="I12620" i="31"/>
  <c r="I12294" i="31"/>
  <c r="I11959" i="31"/>
  <c r="I11267" i="31"/>
  <c r="I10885" i="31"/>
  <c r="I11619" i="31"/>
  <c r="I9902" i="31"/>
  <c r="I10335" i="31"/>
  <c r="I9848" i="31"/>
  <c r="I10685" i="31"/>
  <c r="I10735" i="31"/>
  <c r="I10285" i="31"/>
  <c r="I9960" i="31"/>
  <c r="I9512" i="31"/>
  <c r="I9070" i="31"/>
  <c r="I9361" i="31"/>
  <c r="I8592" i="31"/>
  <c r="I8100" i="31"/>
  <c r="I9386" i="31"/>
  <c r="I8843" i="31"/>
  <c r="I8406" i="31"/>
  <c r="I6869" i="31"/>
  <c r="I6663" i="31"/>
  <c r="I6409" i="31"/>
  <c r="I6424" i="31" s="1"/>
  <c r="I6429" i="31" s="1"/>
  <c r="I5928" i="31"/>
  <c r="I5945" i="31" s="1"/>
  <c r="I7535" i="31"/>
  <c r="I7385" i="31"/>
  <c r="I7185" i="31"/>
  <c r="I6983" i="31"/>
  <c r="I6843" i="31"/>
  <c r="I6376" i="31"/>
  <c r="I5616" i="31"/>
  <c r="I6431" i="31"/>
  <c r="I5590" i="31"/>
  <c r="I7761" i="31"/>
  <c r="I6741" i="31"/>
  <c r="I5108" i="31"/>
  <c r="I3802" i="31"/>
  <c r="I3778" i="31" s="1"/>
  <c r="I5192" i="31"/>
  <c r="I3474" i="31"/>
  <c r="I2840" i="31"/>
  <c r="I2811" i="31" s="1"/>
  <c r="D1501" i="31"/>
  <c r="I1501" i="31" s="1"/>
  <c r="I1502" i="31" s="1"/>
  <c r="I1507" i="31" s="1"/>
  <c r="I1504" i="31"/>
  <c r="D225" i="28"/>
  <c r="D311" i="28"/>
  <c r="D290" i="28"/>
  <c r="D335" i="28"/>
  <c r="D334" i="28"/>
  <c r="D312" i="28"/>
  <c r="D11525" i="31" l="1"/>
  <c r="I11525" i="31" s="1"/>
  <c r="I11526" i="31" s="1"/>
  <c r="I11531" i="31" s="1"/>
  <c r="I11528" i="31"/>
  <c r="I11617" i="31"/>
  <c r="I37" i="31"/>
  <c r="I9876" i="31"/>
  <c r="I6046" i="31"/>
  <c r="I6283" i="31"/>
  <c r="I6923" i="31"/>
  <c r="I12848" i="31"/>
  <c r="I5951" i="31"/>
  <c r="I308" i="31"/>
  <c r="D304" i="31"/>
  <c r="I304" i="31" s="1"/>
  <c r="I305" i="31" s="1"/>
  <c r="I310" i="31" s="1"/>
  <c r="I5863" i="31"/>
  <c r="I6159" i="31"/>
  <c r="I11591" i="31"/>
  <c r="I12879" i="31"/>
  <c r="I6250" i="31"/>
  <c r="I8537" i="31"/>
  <c r="I8538" i="31" s="1"/>
  <c r="I9818" i="31"/>
  <c r="I9819" i="31" s="1"/>
  <c r="I8" i="31"/>
  <c r="I12962" i="31"/>
  <c r="I1245" i="31"/>
  <c r="I1215" i="31" s="1"/>
  <c r="I1041" i="31"/>
  <c r="I1011" i="31" s="1"/>
  <c r="I6101" i="31"/>
  <c r="I6349" i="31"/>
  <c r="I4002" i="31"/>
  <c r="I3977" i="31" s="1"/>
  <c r="D3477" i="31"/>
  <c r="I3477" i="31" s="1"/>
  <c r="I3478" i="31" s="1"/>
  <c r="I3483" i="31" s="1"/>
  <c r="I3482" i="31"/>
  <c r="D9837" i="31"/>
  <c r="I9837" i="31" s="1"/>
  <c r="I9838" i="31" s="1"/>
  <c r="I9843" i="31" s="1"/>
  <c r="I9842" i="31"/>
  <c r="I1510" i="31"/>
  <c r="I1481" i="31" s="1"/>
  <c r="I6403" i="31"/>
  <c r="I4960" i="31"/>
  <c r="D5823" i="31"/>
  <c r="I5823" i="31" s="1"/>
  <c r="I5824" i="31" s="1"/>
  <c r="I5829" i="31" s="1"/>
  <c r="I5828" i="31"/>
  <c r="I9148" i="31"/>
  <c r="I12906" i="31"/>
  <c r="I555" i="31"/>
  <c r="D551" i="31"/>
  <c r="I551" i="31" s="1"/>
  <c r="I552" i="31" s="1"/>
  <c r="I557" i="31" s="1"/>
  <c r="I5988" i="31"/>
  <c r="I6217" i="31"/>
  <c r="I8980" i="31"/>
  <c r="I13082" i="31"/>
  <c r="D381" i="28"/>
  <c r="D380" i="28"/>
  <c r="D368" i="28"/>
  <c r="D358" i="28"/>
  <c r="D357" i="28"/>
  <c r="D355" i="28"/>
  <c r="D354" i="28"/>
  <c r="D353" i="28"/>
  <c r="D47" i="28"/>
  <c r="D330" i="28"/>
  <c r="D493" i="28"/>
  <c r="D328" i="28"/>
  <c r="D327" i="28"/>
  <c r="D326" i="28"/>
  <c r="D329" i="28"/>
  <c r="D194" i="28"/>
  <c r="D317" i="28"/>
  <c r="D195" i="28"/>
  <c r="D193" i="28"/>
  <c r="D192" i="28"/>
  <c r="D526" i="28"/>
  <c r="D525" i="28"/>
  <c r="D524" i="28"/>
  <c r="I11534" i="31" l="1"/>
  <c r="I11505" i="31" s="1"/>
  <c r="I313" i="31"/>
  <c r="I315" i="31" s="1"/>
  <c r="I285" i="31" s="1"/>
  <c r="I5832" i="31"/>
  <c r="I560" i="31"/>
  <c r="I562" i="31" s="1"/>
  <c r="I532" i="31" s="1"/>
  <c r="I9789" i="31"/>
  <c r="I5919" i="31"/>
  <c r="I4931" i="31"/>
  <c r="I9846" i="31"/>
  <c r="I3486" i="31"/>
  <c r="I3461" i="31" s="1"/>
  <c r="I8508" i="31"/>
  <c r="D320" i="28"/>
  <c r="I5806" i="31" l="1"/>
  <c r="I9821" i="31"/>
  <c r="I175" i="38"/>
  <c r="D704" i="28"/>
  <c r="D703" i="28"/>
  <c r="D702" i="28"/>
  <c r="D699" i="28"/>
  <c r="D717" i="28"/>
  <c r="D697" i="28"/>
  <c r="D687" i="28"/>
  <c r="D686" i="28"/>
  <c r="D681" i="28"/>
  <c r="D680" i="28"/>
  <c r="D462" i="28"/>
  <c r="D658" i="28"/>
  <c r="D649" i="28"/>
  <c r="D648" i="28"/>
  <c r="D647" i="28"/>
  <c r="D646" i="28"/>
  <c r="D645" i="28"/>
  <c r="D644" i="28"/>
  <c r="D650" i="28" s="1"/>
  <c r="D456" i="28"/>
  <c r="D642" i="28"/>
  <c r="D641" i="28"/>
  <c r="D640" i="28"/>
  <c r="D639" i="28"/>
  <c r="D637" i="28"/>
  <c r="D607" i="28"/>
  <c r="D606" i="28"/>
  <c r="D604" i="28"/>
  <c r="D589" i="28"/>
  <c r="D340" i="28"/>
  <c r="D580" i="28"/>
  <c r="D579" i="28"/>
  <c r="D337" i="28"/>
  <c r="D575" i="28"/>
  <c r="D573" i="28"/>
  <c r="D574" i="28" s="1"/>
  <c r="D572" i="28"/>
  <c r="D571" i="28"/>
  <c r="D332" i="28"/>
  <c r="D570" i="28"/>
  <c r="D519" i="28"/>
  <c r="D475" i="28"/>
  <c r="D321" i="28"/>
  <c r="D516" i="28"/>
  <c r="D515" i="28"/>
  <c r="D514" i="28"/>
  <c r="D507" i="28"/>
  <c r="D291" i="28"/>
  <c r="D219" i="28"/>
  <c r="D190" i="28"/>
  <c r="D188" i="28"/>
  <c r="D486" i="28"/>
  <c r="D484" i="28"/>
  <c r="D483" i="28"/>
  <c r="D182" i="28"/>
  <c r="D176" i="28"/>
  <c r="D175" i="28"/>
  <c r="D177" i="28" s="1"/>
  <c r="D497" i="28"/>
  <c r="D496" i="28"/>
  <c r="D495" i="28"/>
  <c r="D96" i="28"/>
  <c r="D91" i="28"/>
  <c r="D89" i="28"/>
  <c r="D88" i="28"/>
  <c r="D87" i="28"/>
  <c r="D90" i="28" s="1"/>
  <c r="D86" i="28"/>
  <c r="D50" i="28"/>
  <c r="D67" i="28"/>
  <c r="D146" i="28"/>
  <c r="D37" i="28"/>
  <c r="D144" i="28"/>
  <c r="D135" i="28"/>
  <c r="D134" i="28"/>
  <c r="D129" i="28"/>
  <c r="D148" i="28"/>
  <c r="D18" i="28"/>
  <c r="D115" i="28"/>
  <c r="D111" i="28"/>
  <c r="D110" i="28"/>
  <c r="D109" i="28"/>
  <c r="D108" i="28"/>
  <c r="D100" i="28"/>
  <c r="D9" i="28"/>
  <c r="D8" i="28"/>
  <c r="I174" i="38" l="1"/>
  <c r="D185" i="28"/>
  <c r="I173" i="38"/>
  <c r="I30" i="38"/>
  <c r="I171" i="38" l="1"/>
  <c r="I231" i="38"/>
  <c r="I232" i="38"/>
  <c r="I172" i="38"/>
  <c r="I16" i="38"/>
  <c r="I13" i="38"/>
  <c r="I135" i="38"/>
  <c r="I136" i="38"/>
  <c r="I12" i="38"/>
  <c r="D515" i="22"/>
  <c r="D306" i="22"/>
  <c r="D514" i="22"/>
  <c r="D650" i="22"/>
  <c r="I9" i="38" l="1"/>
  <c r="D533" i="22"/>
  <c r="D443" i="22"/>
  <c r="D363" i="22"/>
  <c r="D41" i="22"/>
  <c r="I18" i="38" l="1"/>
  <c r="I10" i="38"/>
  <c r="D296" i="22" l="1"/>
  <c r="D232" i="22"/>
  <c r="F1337" i="39" l="1"/>
  <c r="F1352" i="39" s="1"/>
  <c r="F1433" i="39" s="1"/>
  <c r="F1440" i="39" s="1"/>
  <c r="F1442" i="39" s="1"/>
  <c r="F1454" i="39" l="1"/>
  <c r="F1453" i="39"/>
  <c r="F1447" i="39"/>
  <c r="F1457" i="39"/>
  <c r="F1450" i="39"/>
  <c r="F1448" i="39"/>
  <c r="F1449" i="39"/>
  <c r="F1446" i="39"/>
  <c r="F1456" i="39" s="1"/>
  <c r="F1445" i="39"/>
  <c r="F1458" i="39"/>
  <c r="F1452" i="39"/>
  <c r="F1455" i="39"/>
  <c r="F1451" i="39"/>
  <c r="D453" i="22"/>
  <c r="F1462" i="39" l="1"/>
  <c r="F1464" i="39" s="1"/>
  <c r="F1466" i="39" s="1"/>
  <c r="D383" i="22" l="1"/>
  <c r="D477" i="22" l="1"/>
  <c r="D476" i="22"/>
  <c r="D714" i="22" l="1"/>
  <c r="D713" i="22"/>
  <c r="D712" i="22"/>
  <c r="D709" i="22"/>
  <c r="D706" i="22"/>
  <c r="D696" i="22"/>
  <c r="D691" i="22"/>
  <c r="D690" i="22"/>
  <c r="D685" i="22"/>
  <c r="D684" i="22"/>
  <c r="D644" i="22"/>
  <c r="D634" i="22"/>
  <c r="D633" i="22"/>
  <c r="D632" i="22"/>
  <c r="D631" i="22"/>
  <c r="D630" i="22"/>
  <c r="D629" i="22"/>
  <c r="D635" i="22" s="1"/>
  <c r="D628" i="22"/>
  <c r="D626" i="22"/>
  <c r="D625" i="22"/>
  <c r="D624" i="22"/>
  <c r="D623" i="22"/>
  <c r="D621" i="22"/>
  <c r="D516" i="22"/>
  <c r="D486" i="22"/>
  <c r="D485" i="22"/>
  <c r="D482" i="22"/>
  <c r="D475" i="22"/>
  <c r="D474" i="22"/>
  <c r="D459" i="22"/>
  <c r="D449" i="22"/>
  <c r="D446" i="22"/>
  <c r="D445" i="22"/>
  <c r="D439" i="22"/>
  <c r="D433" i="22"/>
  <c r="D432" i="22"/>
  <c r="D430" i="22"/>
  <c r="D429" i="22"/>
  <c r="D377" i="22"/>
  <c r="D369" i="22"/>
  <c r="D362" i="22"/>
  <c r="D360" i="22"/>
  <c r="D359" i="22"/>
  <c r="D358" i="22"/>
  <c r="D340" i="22"/>
  <c r="D315" i="22"/>
  <c r="D203" i="22"/>
  <c r="D201" i="22"/>
  <c r="D197" i="22"/>
  <c r="D198" i="22" s="1"/>
  <c r="D192" i="22"/>
  <c r="D191" i="22"/>
  <c r="D190" i="22"/>
  <c r="D189" i="22"/>
  <c r="D187" i="22"/>
  <c r="D181" i="22"/>
  <c r="D180" i="22"/>
  <c r="D182" i="22" s="1"/>
  <c r="D174" i="22"/>
  <c r="D173" i="22"/>
  <c r="D172" i="22"/>
  <c r="D139" i="22"/>
  <c r="D134" i="22"/>
  <c r="D132" i="22"/>
  <c r="D131" i="22"/>
  <c r="D130" i="22"/>
  <c r="D133" i="22" s="1"/>
  <c r="D129" i="22"/>
  <c r="D122" i="22"/>
  <c r="D107" i="22"/>
  <c r="D87" i="22"/>
  <c r="D85" i="22"/>
  <c r="D84" i="22"/>
  <c r="D75" i="22"/>
  <c r="D74" i="22"/>
  <c r="D65" i="22"/>
  <c r="D46" i="22"/>
  <c r="D30" i="22"/>
  <c r="D26" i="22"/>
  <c r="D25" i="22"/>
  <c r="D24" i="22"/>
  <c r="D23" i="22"/>
  <c r="D12" i="22"/>
  <c r="D9" i="22"/>
  <c r="D8" i="22"/>
  <c r="E648" i="20" l="1"/>
  <c r="E642" i="20"/>
  <c r="E636" i="20"/>
  <c r="E630" i="20"/>
  <c r="E626" i="20"/>
  <c r="E622" i="20"/>
  <c r="E618" i="20"/>
  <c r="E614" i="20"/>
  <c r="E608" i="20"/>
  <c r="E604" i="20"/>
  <c r="E598" i="20"/>
  <c r="E580" i="20"/>
  <c r="E565" i="20"/>
  <c r="E559" i="20"/>
  <c r="E555" i="20"/>
  <c r="E551" i="20"/>
  <c r="E543" i="20"/>
  <c r="E536" i="20"/>
  <c r="E531" i="20"/>
  <c r="E647" i="20"/>
  <c r="E641" i="20"/>
  <c r="E635" i="20"/>
  <c r="E629" i="20"/>
  <c r="E625" i="20"/>
  <c r="E621" i="20"/>
  <c r="E617" i="20"/>
  <c r="E611" i="20"/>
  <c r="E607" i="20"/>
  <c r="E603" i="20"/>
  <c r="E597" i="20"/>
  <c r="E579" i="20"/>
  <c r="E568" i="20"/>
  <c r="E562" i="20"/>
  <c r="E558" i="20"/>
  <c r="E554" i="20"/>
  <c r="E550" i="20"/>
  <c r="E542" i="20"/>
  <c r="E534" i="20"/>
  <c r="E526" i="20"/>
  <c r="E508" i="20"/>
  <c r="E605" i="20"/>
  <c r="E538" i="20"/>
  <c r="E524" i="20"/>
  <c r="E644" i="20"/>
  <c r="E638" i="20"/>
  <c r="E634" i="20"/>
  <c r="E628" i="20"/>
  <c r="E624" i="20"/>
  <c r="E620" i="20"/>
  <c r="E616" i="20"/>
  <c r="E610" i="20"/>
  <c r="E606" i="20"/>
  <c r="E602" i="20"/>
  <c r="E596" i="20"/>
  <c r="E567" i="20"/>
  <c r="E561" i="20"/>
  <c r="E557" i="20"/>
  <c r="E553" i="20"/>
  <c r="E547" i="20"/>
  <c r="E541" i="20"/>
  <c r="E533" i="20"/>
  <c r="E525" i="20"/>
  <c r="E649" i="20"/>
  <c r="E643" i="20"/>
  <c r="E637" i="20"/>
  <c r="E633" i="20"/>
  <c r="E627" i="20"/>
  <c r="E623" i="20"/>
  <c r="E619" i="20"/>
  <c r="E615" i="20"/>
  <c r="E609" i="20"/>
  <c r="E599" i="20"/>
  <c r="E570" i="20"/>
  <c r="E566" i="20"/>
  <c r="E560" i="20"/>
  <c r="E556" i="20"/>
  <c r="E552" i="20"/>
  <c r="E546" i="20"/>
  <c r="E528" i="20"/>
  <c r="D434" i="22"/>
  <c r="D435" i="22" s="1"/>
  <c r="E279" i="20"/>
  <c r="E118" i="20"/>
  <c r="E323" i="20"/>
  <c r="E500" i="20"/>
  <c r="E496" i="20"/>
  <c r="E490" i="20"/>
  <c r="E484" i="20"/>
  <c r="E472" i="20"/>
  <c r="E468" i="20"/>
  <c r="E464" i="20"/>
  <c r="E460" i="20"/>
  <c r="E454" i="20"/>
  <c r="E450" i="20"/>
  <c r="E446" i="20"/>
  <c r="E442" i="20"/>
  <c r="E438" i="20"/>
  <c r="E434" i="20"/>
  <c r="E422" i="20"/>
  <c r="E412" i="20"/>
  <c r="E404" i="20"/>
  <c r="E400" i="20"/>
  <c r="E497" i="20"/>
  <c r="E485" i="20"/>
  <c r="E473" i="20"/>
  <c r="E465" i="20"/>
  <c r="E455" i="20"/>
  <c r="E447" i="20"/>
  <c r="E439" i="20"/>
  <c r="E417" i="20"/>
  <c r="E405" i="20"/>
  <c r="E499" i="20"/>
  <c r="E495" i="20"/>
  <c r="E489" i="20"/>
  <c r="E483" i="20"/>
  <c r="E471" i="20"/>
  <c r="E467" i="20"/>
  <c r="E463" i="20"/>
  <c r="E457" i="20"/>
  <c r="E453" i="20"/>
  <c r="E449" i="20"/>
  <c r="E445" i="20"/>
  <c r="E441" i="20"/>
  <c r="E437" i="20"/>
  <c r="E431" i="20"/>
  <c r="E425" i="20"/>
  <c r="E421" i="20"/>
  <c r="E409" i="20"/>
  <c r="E403" i="20"/>
  <c r="E399" i="20"/>
  <c r="E491" i="20"/>
  <c r="E479" i="20"/>
  <c r="E469" i="20"/>
  <c r="E461" i="20"/>
  <c r="E451" i="20"/>
  <c r="E443" i="20"/>
  <c r="E435" i="20"/>
  <c r="E423" i="20"/>
  <c r="E401" i="20"/>
  <c r="E498" i="20"/>
  <c r="E494" i="20"/>
  <c r="E488" i="20"/>
  <c r="E482" i="20"/>
  <c r="E470" i="20"/>
  <c r="E466" i="20"/>
  <c r="E462" i="20"/>
  <c r="E456" i="20"/>
  <c r="E452" i="20"/>
  <c r="E448" i="20"/>
  <c r="E444" i="20"/>
  <c r="E440" i="20"/>
  <c r="E436" i="20"/>
  <c r="E430" i="20"/>
  <c r="E424" i="20"/>
  <c r="E418" i="20"/>
  <c r="E408" i="20"/>
  <c r="E402" i="20"/>
  <c r="E398" i="20"/>
  <c r="E357" i="20"/>
  <c r="E344" i="20"/>
  <c r="E340" i="20"/>
  <c r="E356" i="20"/>
  <c r="E343" i="20"/>
  <c r="E339" i="20"/>
  <c r="E327" i="20"/>
  <c r="E342" i="20"/>
  <c r="E338" i="20"/>
  <c r="E326" i="20"/>
  <c r="E341" i="20"/>
  <c r="E337" i="20"/>
  <c r="E311" i="20"/>
  <c r="E310" i="20"/>
  <c r="F310" i="20" s="1"/>
  <c r="E112" i="20"/>
  <c r="E122" i="20"/>
  <c r="E814" i="20"/>
  <c r="E107" i="20"/>
  <c r="E115" i="20"/>
  <c r="E127" i="20"/>
  <c r="E135" i="20"/>
  <c r="E143" i="20"/>
  <c r="E151" i="20"/>
  <c r="E197" i="20"/>
  <c r="E214" i="20"/>
  <c r="E228" i="20"/>
  <c r="E265" i="20"/>
  <c r="E314" i="20"/>
  <c r="E715" i="20"/>
  <c r="E767" i="20"/>
  <c r="E847" i="20"/>
  <c r="E841" i="20"/>
  <c r="E837" i="20"/>
  <c r="E833" i="20"/>
  <c r="E827" i="20"/>
  <c r="E823" i="20"/>
  <c r="E817" i="20"/>
  <c r="E811" i="20"/>
  <c r="E807" i="20"/>
  <c r="E798" i="20"/>
  <c r="E792" i="20"/>
  <c r="E786" i="20"/>
  <c r="E782" i="20"/>
  <c r="E774" i="20"/>
  <c r="E770" i="20"/>
  <c r="E766" i="20"/>
  <c r="E760" i="20"/>
  <c r="E756" i="20"/>
  <c r="E724" i="20"/>
  <c r="E718" i="20"/>
  <c r="E714" i="20"/>
  <c r="E710" i="20"/>
  <c r="E706" i="20"/>
  <c r="E700" i="20"/>
  <c r="E696" i="20"/>
  <c r="E692" i="20"/>
  <c r="E670" i="20"/>
  <c r="E660" i="20"/>
  <c r="E846" i="20"/>
  <c r="E840" i="20"/>
  <c r="E836" i="20"/>
  <c r="E832" i="20"/>
  <c r="E826" i="20"/>
  <c r="E822" i="20"/>
  <c r="E816" i="20"/>
  <c r="E806" i="20"/>
  <c r="E797" i="20"/>
  <c r="E791" i="20"/>
  <c r="E785" i="20"/>
  <c r="E779" i="20"/>
  <c r="E773" i="20"/>
  <c r="E769" i="20"/>
  <c r="E759" i="20"/>
  <c r="E730" i="20"/>
  <c r="E723" i="20"/>
  <c r="E717" i="20"/>
  <c r="E713" i="20"/>
  <c r="E709" i="20"/>
  <c r="E705" i="20"/>
  <c r="E699" i="20"/>
  <c r="E695" i="20"/>
  <c r="E691" i="20"/>
  <c r="E667" i="20"/>
  <c r="E659" i="20"/>
  <c r="E385" i="20"/>
  <c r="E849" i="20"/>
  <c r="E845" i="20"/>
  <c r="E839" i="20"/>
  <c r="E835" i="20"/>
  <c r="E831" i="20"/>
  <c r="E825" i="20"/>
  <c r="E819" i="20"/>
  <c r="E815" i="20"/>
  <c r="E809" i="20"/>
  <c r="E805" i="20"/>
  <c r="E796" i="20"/>
  <c r="E790" i="20"/>
  <c r="E778" i="20"/>
  <c r="E772" i="20"/>
  <c r="E768" i="20"/>
  <c r="E758" i="20"/>
  <c r="E740" i="20"/>
  <c r="E728" i="20"/>
  <c r="E720" i="20"/>
  <c r="E716" i="20"/>
  <c r="E712" i="20"/>
  <c r="E708" i="20"/>
  <c r="E704" i="20"/>
  <c r="E698" i="20"/>
  <c r="E690" i="20"/>
  <c r="E662" i="20"/>
  <c r="E658" i="20"/>
  <c r="E830" i="20"/>
  <c r="E808" i="20"/>
  <c r="E761" i="20"/>
  <c r="E739" i="20"/>
  <c r="E711" i="20"/>
  <c r="E671" i="20"/>
  <c r="E371" i="20"/>
  <c r="E307" i="20"/>
  <c r="E303" i="20"/>
  <c r="E289" i="20"/>
  <c r="E268" i="20"/>
  <c r="E239" i="20"/>
  <c r="E231" i="20"/>
  <c r="E188" i="20"/>
  <c r="E160" i="20"/>
  <c r="E154" i="20"/>
  <c r="E150" i="20"/>
  <c r="E146" i="20"/>
  <c r="E142" i="20"/>
  <c r="E138" i="20"/>
  <c r="E134" i="20"/>
  <c r="E130" i="20"/>
  <c r="E126" i="20"/>
  <c r="E114" i="20"/>
  <c r="E110" i="20"/>
  <c r="E104" i="20"/>
  <c r="E844" i="20"/>
  <c r="E824" i="20"/>
  <c r="E799" i="20"/>
  <c r="E775" i="20"/>
  <c r="E757" i="20"/>
  <c r="E725" i="20"/>
  <c r="E707" i="20"/>
  <c r="E689" i="20"/>
  <c r="E368" i="20"/>
  <c r="E364" i="20"/>
  <c r="E306" i="20"/>
  <c r="E275" i="20"/>
  <c r="E267" i="20"/>
  <c r="E253" i="20"/>
  <c r="E236" i="20"/>
  <c r="E230" i="20"/>
  <c r="E201" i="20"/>
  <c r="E187" i="20"/>
  <c r="E173" i="20"/>
  <c r="E153" i="20"/>
  <c r="E149" i="20"/>
  <c r="E145" i="20"/>
  <c r="E141" i="20"/>
  <c r="E137" i="20"/>
  <c r="E133" i="20"/>
  <c r="E129" i="20"/>
  <c r="E125" i="20"/>
  <c r="E121" i="20"/>
  <c r="E113" i="20"/>
  <c r="E109" i="20"/>
  <c r="E108" i="20"/>
  <c r="E128" i="20"/>
  <c r="E136" i="20"/>
  <c r="E144" i="20"/>
  <c r="E152" i="20"/>
  <c r="E198" i="20"/>
  <c r="E215" i="20"/>
  <c r="E229" i="20"/>
  <c r="E266" i="20"/>
  <c r="E719" i="20"/>
  <c r="E771" i="20"/>
  <c r="E818" i="20"/>
  <c r="E111" i="20"/>
  <c r="E123" i="20"/>
  <c r="E131" i="20"/>
  <c r="E139" i="20"/>
  <c r="E147" i="20"/>
  <c r="E155" i="20"/>
  <c r="E175" i="20"/>
  <c r="E189" i="20"/>
  <c r="E232" i="20"/>
  <c r="E255" i="20"/>
  <c r="E290" i="20"/>
  <c r="E304" i="20"/>
  <c r="E366" i="20"/>
  <c r="E697" i="20"/>
  <c r="E787" i="20"/>
  <c r="E834" i="20"/>
  <c r="E47" i="20"/>
  <c r="E124" i="20"/>
  <c r="E132" i="20"/>
  <c r="E140" i="20"/>
  <c r="E148" i="20"/>
  <c r="E156" i="20"/>
  <c r="E190" i="20"/>
  <c r="E235" i="20"/>
  <c r="E274" i="20"/>
  <c r="E305" i="20"/>
  <c r="E367" i="20"/>
  <c r="E655" i="20"/>
  <c r="E793" i="20"/>
  <c r="E838" i="20"/>
  <c r="E48" i="20"/>
  <c r="E49" i="20"/>
  <c r="E56" i="20"/>
  <c r="E576" i="20" l="1"/>
  <c r="E532" i="20"/>
  <c r="E478" i="20"/>
  <c r="E286" i="20"/>
  <c r="E158" i="20"/>
  <c r="E196" i="20"/>
  <c r="E202" i="20"/>
  <c r="E204" i="20"/>
  <c r="E203" i="20"/>
  <c r="E205" i="20"/>
  <c r="E280" i="20"/>
  <c r="E211" i="20"/>
  <c r="E278" i="20"/>
  <c r="E250" i="20"/>
  <c r="E170" i="20"/>
  <c r="E18" i="20"/>
  <c r="E30" i="20"/>
  <c r="E736" i="20" l="1"/>
  <c r="E506" i="20"/>
  <c r="E345" i="20"/>
  <c r="E71" i="20"/>
  <c r="E96" i="20"/>
  <c r="E53" i="20"/>
  <c r="E394" i="20"/>
  <c r="E72" i="20"/>
  <c r="E69" i="20"/>
  <c r="E86" i="20"/>
  <c r="E22" i="20"/>
  <c r="E85" i="20"/>
  <c r="E55" i="20"/>
  <c r="E51" i="20"/>
  <c r="E386" i="20"/>
  <c r="E414" i="20"/>
  <c r="E514" i="20"/>
  <c r="E748" i="20"/>
  <c r="E70" i="20"/>
  <c r="E373" i="20"/>
  <c r="E856" i="20"/>
  <c r="E686" i="20"/>
  <c r="E677" i="20"/>
  <c r="E585" i="20"/>
  <c r="E654" i="20"/>
  <c r="E476" i="20"/>
  <c r="E675" i="20"/>
  <c r="E679" i="20"/>
  <c r="E652" i="20"/>
  <c r="E752" i="20"/>
  <c r="E681" i="20"/>
  <c r="E653" i="20"/>
  <c r="E680" i="20"/>
  <c r="E783" i="20"/>
  <c r="E42" i="20"/>
  <c r="E38" i="20"/>
  <c r="E40" i="20"/>
  <c r="E16" i="20"/>
  <c r="E415" i="20"/>
  <c r="E413" i="20"/>
  <c r="E416" i="20"/>
  <c r="E395" i="20"/>
  <c r="E54" i="20"/>
  <c r="E427" i="20"/>
  <c r="E87" i="20"/>
  <c r="E17" i="20"/>
  <c r="E50" i="20"/>
  <c r="E27" i="20"/>
  <c r="E31" i="20"/>
  <c r="E810" i="20"/>
  <c r="E84" i="20"/>
  <c r="E91" i="20"/>
  <c r="E73" i="20"/>
  <c r="E58" i="20"/>
  <c r="E88" i="20"/>
  <c r="E372" i="20"/>
  <c r="E392" i="20"/>
  <c r="E52" i="20"/>
  <c r="E515" i="20"/>
  <c r="E516" i="20"/>
  <c r="E426" i="20"/>
  <c r="E701" i="20"/>
  <c r="E586" i="20"/>
  <c r="E784" i="20"/>
  <c r="E527" i="20"/>
  <c r="E762" i="20"/>
  <c r="E693" i="20"/>
  <c r="E529" i="20"/>
  <c r="E530" i="20"/>
  <c r="E477" i="20"/>
  <c r="E219" i="20"/>
  <c r="E294" i="20"/>
  <c r="E271" i="20"/>
  <c r="E193" i="20"/>
  <c r="E296" i="20"/>
  <c r="E221" i="20"/>
  <c r="E19" i="20"/>
  <c r="E57" i="20"/>
  <c r="E848" i="20"/>
  <c r="E94" i="20"/>
  <c r="E34" i="20"/>
  <c r="F981" i="31" l="1"/>
  <c r="F980" i="31"/>
  <c r="E389" i="20"/>
  <c r="E332" i="20"/>
  <c r="E380" i="20"/>
  <c r="E589" i="20"/>
  <c r="E592" i="20"/>
  <c r="E383" i="20"/>
  <c r="E517" i="20"/>
  <c r="E162" i="20"/>
  <c r="E377" i="20"/>
  <c r="E381" i="20"/>
  <c r="E747" i="20"/>
  <c r="E746" i="20"/>
  <c r="E387" i="20"/>
  <c r="E512" i="20"/>
  <c r="E661" i="20"/>
  <c r="E588" i="20"/>
  <c r="E763" i="20"/>
  <c r="E694" i="20"/>
  <c r="E593" i="20"/>
  <c r="E295" i="20"/>
  <c r="E513" i="20"/>
  <c r="E678" i="20"/>
  <c r="E685" i="20"/>
  <c r="E584" i="20"/>
  <c r="E753" i="20"/>
  <c r="E857" i="20"/>
  <c r="E180" i="20"/>
  <c r="E384" i="20"/>
  <c r="E259" i="20"/>
  <c r="E378" i="20"/>
  <c r="E520" i="20"/>
  <c r="E684" i="20"/>
  <c r="E76" i="20"/>
  <c r="E20" i="20"/>
  <c r="E66" i="20"/>
  <c r="E21" i="20"/>
  <c r="E334" i="20"/>
  <c r="E333" i="20"/>
  <c r="E511" i="20"/>
  <c r="E393" i="20"/>
  <c r="E35" i="20"/>
  <c r="E331" i="20"/>
  <c r="E33" i="20"/>
  <c r="E379" i="20"/>
  <c r="E388" i="20"/>
  <c r="E382" i="20"/>
  <c r="E181" i="20"/>
  <c r="E262" i="20"/>
  <c r="E744" i="20"/>
  <c r="E676" i="20"/>
  <c r="E745" i="20"/>
  <c r="E220" i="20"/>
  <c r="E184" i="20"/>
  <c r="E179" i="20"/>
  <c r="E174" i="20"/>
  <c r="E254" i="20"/>
  <c r="E225" i="20"/>
  <c r="E300" i="20"/>
  <c r="E299" i="20"/>
  <c r="E224" i="20"/>
  <c r="E240" i="20"/>
  <c r="E315" i="20"/>
  <c r="E32" i="20"/>
  <c r="E26" i="20"/>
  <c r="E36" i="20"/>
  <c r="E858" i="20"/>
  <c r="E13" i="20"/>
  <c r="E81" i="20"/>
  <c r="C160" i="20"/>
  <c r="C155" i="20"/>
  <c r="C123" i="20"/>
  <c r="C122" i="20"/>
  <c r="C121" i="20"/>
  <c r="C118" i="20"/>
  <c r="A106" i="20"/>
  <c r="F982" i="31" l="1"/>
  <c r="F984" i="31"/>
  <c r="F985" i="31"/>
  <c r="F979" i="31"/>
  <c r="G980" i="31"/>
  <c r="I980" i="31"/>
  <c r="F983" i="31"/>
  <c r="G981" i="31"/>
  <c r="I981" i="31"/>
  <c r="E587" i="20"/>
  <c r="E521" i="20"/>
  <c r="E749" i="20"/>
  <c r="E25" i="20"/>
  <c r="E581" i="20"/>
  <c r="E741" i="20"/>
  <c r="E672" i="20"/>
  <c r="E216" i="20"/>
  <c r="E328" i="20"/>
  <c r="E291" i="20"/>
  <c r="E374" i="20"/>
  <c r="E176" i="20"/>
  <c r="E365" i="20"/>
  <c r="E256" i="20"/>
  <c r="F579" i="20"/>
  <c r="E663" i="20" l="1"/>
  <c r="I3516" i="31"/>
  <c r="G979" i="31"/>
  <c r="I979" i="31"/>
  <c r="G985" i="31"/>
  <c r="I985" i="31"/>
  <c r="I983" i="31"/>
  <c r="G983" i="31"/>
  <c r="G984" i="31"/>
  <c r="I984" i="31"/>
  <c r="I982" i="31"/>
  <c r="G982" i="31"/>
  <c r="E59" i="20"/>
  <c r="F701" i="20"/>
  <c r="F689" i="20"/>
  <c r="I986" i="31" l="1"/>
  <c r="I1000" i="31" s="1"/>
  <c r="I1006" i="31" s="1"/>
  <c r="I976" i="31" s="1"/>
  <c r="F879" i="20"/>
  <c r="F878" i="20"/>
  <c r="F877" i="20"/>
  <c r="F859" i="20"/>
  <c r="F849" i="20"/>
  <c r="F848" i="20"/>
  <c r="F847" i="20"/>
  <c r="F846" i="20"/>
  <c r="F845" i="20"/>
  <c r="F844" i="20"/>
  <c r="F841" i="20"/>
  <c r="F840" i="20"/>
  <c r="A840" i="20"/>
  <c r="A841" i="20" s="1"/>
  <c r="F839" i="20"/>
  <c r="F838" i="20"/>
  <c r="F837" i="20"/>
  <c r="F836" i="20"/>
  <c r="F835" i="20"/>
  <c r="F834" i="20"/>
  <c r="F833" i="20"/>
  <c r="F832" i="20"/>
  <c r="F831" i="20"/>
  <c r="F830" i="20"/>
  <c r="F827" i="20"/>
  <c r="F826" i="20"/>
  <c r="F825" i="20"/>
  <c r="F824" i="20"/>
  <c r="F823" i="20"/>
  <c r="F822" i="20"/>
  <c r="F819" i="20"/>
  <c r="F818" i="20"/>
  <c r="F817" i="20"/>
  <c r="F816" i="20"/>
  <c r="F815" i="20"/>
  <c r="F814" i="20"/>
  <c r="A813" i="20"/>
  <c r="A821" i="20" s="1"/>
  <c r="F811" i="20"/>
  <c r="F810" i="20"/>
  <c r="F809" i="20"/>
  <c r="F808" i="20"/>
  <c r="F807" i="20"/>
  <c r="F806" i="20"/>
  <c r="F805" i="20"/>
  <c r="A805" i="20"/>
  <c r="A806" i="20" s="1"/>
  <c r="A807" i="20" s="1"/>
  <c r="A808" i="20" s="1"/>
  <c r="A809" i="20" s="1"/>
  <c r="A810" i="20" s="1"/>
  <c r="A811" i="20" s="1"/>
  <c r="F799" i="20"/>
  <c r="F798" i="20"/>
  <c r="F797" i="20"/>
  <c r="F796" i="20"/>
  <c r="F793" i="20"/>
  <c r="F792" i="20"/>
  <c r="F791" i="20"/>
  <c r="F790" i="20"/>
  <c r="F787" i="20"/>
  <c r="F786" i="20"/>
  <c r="F785" i="20"/>
  <c r="F784" i="20"/>
  <c r="F783" i="20"/>
  <c r="F782" i="20"/>
  <c r="F779" i="20"/>
  <c r="F778" i="20"/>
  <c r="A777" i="20"/>
  <c r="A781" i="20" s="1"/>
  <c r="F775" i="20"/>
  <c r="F774" i="20"/>
  <c r="F773" i="20"/>
  <c r="F772" i="20"/>
  <c r="F771" i="20"/>
  <c r="F770" i="20"/>
  <c r="F769" i="20"/>
  <c r="F768" i="20"/>
  <c r="F767" i="20"/>
  <c r="F766" i="20"/>
  <c r="A766" i="20"/>
  <c r="A767" i="20" s="1"/>
  <c r="A768" i="20" s="1"/>
  <c r="A769" i="20" s="1"/>
  <c r="A770" i="20" s="1"/>
  <c r="A771" i="20" s="1"/>
  <c r="A772" i="20" s="1"/>
  <c r="A773" i="20" s="1"/>
  <c r="A774" i="20" s="1"/>
  <c r="F761" i="20"/>
  <c r="F760" i="20"/>
  <c r="A756" i="20"/>
  <c r="A757" i="20" s="1"/>
  <c r="A758" i="20" s="1"/>
  <c r="A759" i="20" s="1"/>
  <c r="A760" i="20" s="1"/>
  <c r="A761" i="20" s="1"/>
  <c r="A762" i="20" s="1"/>
  <c r="A763" i="20" s="1"/>
  <c r="F753" i="20"/>
  <c r="F752" i="20"/>
  <c r="A752" i="20"/>
  <c r="A753" i="20" s="1"/>
  <c r="F749" i="20"/>
  <c r="F748" i="20"/>
  <c r="F747" i="20"/>
  <c r="F746" i="20"/>
  <c r="F745" i="20"/>
  <c r="F744" i="20"/>
  <c r="A744" i="20"/>
  <c r="A745" i="20" s="1"/>
  <c r="A746" i="20" s="1"/>
  <c r="A747" i="20" s="1"/>
  <c r="A748" i="20" s="1"/>
  <c r="A749" i="20" s="1"/>
  <c r="F741" i="20"/>
  <c r="F740" i="20"/>
  <c r="F739" i="20"/>
  <c r="A739" i="20"/>
  <c r="A740" i="20" s="1"/>
  <c r="A741" i="20" s="1"/>
  <c r="F738" i="20"/>
  <c r="F736" i="20"/>
  <c r="A736" i="20"/>
  <c r="F730" i="20"/>
  <c r="F728" i="20"/>
  <c r="F725" i="20"/>
  <c r="F724" i="20"/>
  <c r="F723" i="20"/>
  <c r="A722" i="20"/>
  <c r="A727" i="20" s="1"/>
  <c r="F720" i="20"/>
  <c r="F719" i="20"/>
  <c r="F718" i="20"/>
  <c r="F717" i="20"/>
  <c r="F716" i="20"/>
  <c r="F715" i="20"/>
  <c r="F714" i="20"/>
  <c r="A714" i="20"/>
  <c r="A715" i="20" s="1"/>
  <c r="A716" i="20" s="1"/>
  <c r="A717" i="20" s="1"/>
  <c r="A718" i="20" s="1"/>
  <c r="A719" i="20" s="1"/>
  <c r="A720" i="20" s="1"/>
  <c r="F713" i="20"/>
  <c r="F712" i="20"/>
  <c r="F711" i="20"/>
  <c r="F710" i="20"/>
  <c r="F709" i="20"/>
  <c r="F708" i="20"/>
  <c r="F707" i="20"/>
  <c r="F706" i="20"/>
  <c r="F705" i="20"/>
  <c r="A705" i="20"/>
  <c r="A706" i="20" s="1"/>
  <c r="A707" i="20" s="1"/>
  <c r="A708" i="20" s="1"/>
  <c r="A709" i="20" s="1"/>
  <c r="A710" i="20" s="1"/>
  <c r="A711" i="20" s="1"/>
  <c r="A712" i="20" s="1"/>
  <c r="F704" i="20"/>
  <c r="F700" i="20"/>
  <c r="F699" i="20"/>
  <c r="F698" i="20"/>
  <c r="F697" i="20"/>
  <c r="F696" i="20"/>
  <c r="F695" i="20"/>
  <c r="F686" i="20"/>
  <c r="F685" i="20"/>
  <c r="F684" i="20"/>
  <c r="F681" i="20"/>
  <c r="F680" i="20"/>
  <c r="F679" i="20"/>
  <c r="F678" i="20"/>
  <c r="F677" i="20"/>
  <c r="F676" i="20"/>
  <c r="F675" i="20"/>
  <c r="F672" i="20"/>
  <c r="F671" i="20"/>
  <c r="F670" i="20"/>
  <c r="F667" i="20"/>
  <c r="F662" i="20"/>
  <c r="F661" i="20"/>
  <c r="F660" i="20"/>
  <c r="F659" i="20"/>
  <c r="F658" i="20"/>
  <c r="A658" i="20"/>
  <c r="A659" i="20" s="1"/>
  <c r="A660" i="20" s="1"/>
  <c r="A661" i="20" s="1"/>
  <c r="A662" i="20" s="1"/>
  <c r="F655" i="20"/>
  <c r="F654" i="20"/>
  <c r="F653" i="20"/>
  <c r="F652" i="20"/>
  <c r="A652" i="20"/>
  <c r="A653" i="20" s="1"/>
  <c r="F649" i="20"/>
  <c r="F648" i="20"/>
  <c r="F647" i="20"/>
  <c r="A647" i="20"/>
  <c r="A648" i="20" s="1"/>
  <c r="F644" i="20"/>
  <c r="F643" i="20"/>
  <c r="F642" i="20"/>
  <c r="F641" i="20"/>
  <c r="A641" i="20"/>
  <c r="A642" i="20" s="1"/>
  <c r="A643" i="20" s="1"/>
  <c r="A644" i="20" s="1"/>
  <c r="F638" i="20"/>
  <c r="F637" i="20"/>
  <c r="F636" i="20"/>
  <c r="F635" i="20"/>
  <c r="F634" i="20"/>
  <c r="F633" i="20"/>
  <c r="A633" i="20"/>
  <c r="A634" i="20" s="1"/>
  <c r="A635" i="20" s="1"/>
  <c r="A636" i="20" s="1"/>
  <c r="A637" i="20" s="1"/>
  <c r="A638" i="20" s="1"/>
  <c r="F630" i="20"/>
  <c r="F629" i="20"/>
  <c r="F628" i="20"/>
  <c r="F627" i="20"/>
  <c r="F626" i="20"/>
  <c r="F625" i="20"/>
  <c r="F624" i="20"/>
  <c r="F623" i="20"/>
  <c r="F622" i="20"/>
  <c r="F621" i="20"/>
  <c r="F620" i="20"/>
  <c r="F619" i="20"/>
  <c r="F618" i="20"/>
  <c r="F617" i="20"/>
  <c r="F616" i="20"/>
  <c r="F615" i="20"/>
  <c r="F614" i="20"/>
  <c r="A614" i="20"/>
  <c r="A615" i="20" s="1"/>
  <c r="A616" i="20" s="1"/>
  <c r="A617" i="20" s="1"/>
  <c r="A618" i="20" s="1"/>
  <c r="A619" i="20" s="1"/>
  <c r="A620" i="20" s="1"/>
  <c r="A621" i="20" s="1"/>
  <c r="A622" i="20" s="1"/>
  <c r="F613" i="20"/>
  <c r="F611" i="20"/>
  <c r="F610" i="20"/>
  <c r="F609" i="20"/>
  <c r="F608" i="20"/>
  <c r="F607" i="20"/>
  <c r="F606" i="20"/>
  <c r="F605" i="20"/>
  <c r="F604" i="20"/>
  <c r="F603" i="20"/>
  <c r="F602" i="20"/>
  <c r="A602" i="20"/>
  <c r="A603" i="20" s="1"/>
  <c r="A604" i="20" s="1"/>
  <c r="A605" i="20" s="1"/>
  <c r="A606" i="20" s="1"/>
  <c r="A607" i="20" s="1"/>
  <c r="A608" i="20" s="1"/>
  <c r="A609" i="20" s="1"/>
  <c r="A610" i="20" s="1"/>
  <c r="A592" i="20"/>
  <c r="A593" i="20" s="1"/>
  <c r="F589" i="20"/>
  <c r="F588" i="20"/>
  <c r="F587" i="20"/>
  <c r="F586" i="20"/>
  <c r="F585" i="20"/>
  <c r="F584" i="20"/>
  <c r="A584" i="20"/>
  <c r="A585" i="20" s="1"/>
  <c r="A586" i="20" s="1"/>
  <c r="A587" i="20" s="1"/>
  <c r="A588" i="20" s="1"/>
  <c r="A589" i="20" s="1"/>
  <c r="F581" i="20"/>
  <c r="F580" i="20"/>
  <c r="A579" i="20"/>
  <c r="A580" i="20" s="1"/>
  <c r="A581" i="20" s="1"/>
  <c r="F576" i="20"/>
  <c r="A576" i="20"/>
  <c r="F570" i="20"/>
  <c r="F568" i="20"/>
  <c r="F567" i="20"/>
  <c r="F566" i="20"/>
  <c r="F565" i="20"/>
  <c r="F562" i="20"/>
  <c r="F561" i="20"/>
  <c r="F560" i="20"/>
  <c r="F559" i="20"/>
  <c r="F558" i="20"/>
  <c r="F557" i="20"/>
  <c r="F556" i="20"/>
  <c r="F555" i="20"/>
  <c r="F554" i="20"/>
  <c r="F553" i="20"/>
  <c r="F552" i="20"/>
  <c r="F551" i="20"/>
  <c r="F550" i="20"/>
  <c r="F547" i="20"/>
  <c r="F546" i="20"/>
  <c r="F543" i="20"/>
  <c r="F542" i="20"/>
  <c r="F541" i="20"/>
  <c r="F538" i="20"/>
  <c r="F536" i="20"/>
  <c r="F534" i="20"/>
  <c r="F533" i="20"/>
  <c r="F532" i="20"/>
  <c r="F531" i="20"/>
  <c r="F530" i="20"/>
  <c r="F521" i="20"/>
  <c r="F520" i="20"/>
  <c r="F517" i="20"/>
  <c r="F516" i="20"/>
  <c r="F515" i="20"/>
  <c r="F514" i="20"/>
  <c r="F513" i="20"/>
  <c r="F512" i="20"/>
  <c r="F511" i="20"/>
  <c r="F508" i="20"/>
  <c r="F506" i="20"/>
  <c r="A506" i="20"/>
  <c r="F500" i="20"/>
  <c r="F499" i="20"/>
  <c r="F498" i="20"/>
  <c r="F497" i="20"/>
  <c r="F496" i="20"/>
  <c r="F495" i="20"/>
  <c r="F494" i="20"/>
  <c r="F491" i="20"/>
  <c r="F490" i="20"/>
  <c r="F489" i="20"/>
  <c r="F488" i="20"/>
  <c r="F485" i="20"/>
  <c r="F484" i="20"/>
  <c r="F483" i="20"/>
  <c r="F482" i="20"/>
  <c r="F479" i="20"/>
  <c r="F478" i="20"/>
  <c r="F477" i="20"/>
  <c r="F473" i="20"/>
  <c r="F472" i="20"/>
  <c r="F471" i="20"/>
  <c r="F470" i="20"/>
  <c r="A470" i="20"/>
  <c r="A471" i="20" s="1"/>
  <c r="A472" i="20" s="1"/>
  <c r="A473" i="20" s="1"/>
  <c r="F469" i="20"/>
  <c r="F468" i="20"/>
  <c r="F467" i="20"/>
  <c r="F466" i="20"/>
  <c r="F465" i="20"/>
  <c r="F464" i="20"/>
  <c r="F463" i="20"/>
  <c r="F462" i="20"/>
  <c r="F461" i="20"/>
  <c r="F460" i="20"/>
  <c r="F457" i="20"/>
  <c r="F456" i="20"/>
  <c r="F455" i="20"/>
  <c r="F454" i="20"/>
  <c r="F453" i="20"/>
  <c r="F452" i="20"/>
  <c r="F451" i="20"/>
  <c r="F450" i="20"/>
  <c r="F449" i="20"/>
  <c r="F448" i="20"/>
  <c r="F447" i="20"/>
  <c r="F446" i="20"/>
  <c r="F445" i="20"/>
  <c r="F444" i="20"/>
  <c r="A444" i="20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F443" i="20"/>
  <c r="F442" i="20"/>
  <c r="F441" i="20"/>
  <c r="F440" i="20"/>
  <c r="F439" i="20"/>
  <c r="F438" i="20"/>
  <c r="F437" i="20"/>
  <c r="F436" i="20"/>
  <c r="F435" i="20"/>
  <c r="F434" i="20"/>
  <c r="F431" i="20"/>
  <c r="F430" i="20"/>
  <c r="F427" i="20"/>
  <c r="F426" i="20"/>
  <c r="F425" i="20"/>
  <c r="F424" i="20"/>
  <c r="F423" i="20"/>
  <c r="F422" i="20"/>
  <c r="F421" i="20"/>
  <c r="F418" i="20"/>
  <c r="F417" i="20"/>
  <c r="F416" i="20"/>
  <c r="F415" i="20"/>
  <c r="F414" i="20"/>
  <c r="F413" i="20"/>
  <c r="F412" i="20"/>
  <c r="F409" i="20"/>
  <c r="F408" i="20"/>
  <c r="F404" i="20"/>
  <c r="F403" i="20"/>
  <c r="F402" i="20"/>
  <c r="F399" i="20"/>
  <c r="F395" i="20"/>
  <c r="F389" i="20"/>
  <c r="F388" i="20"/>
  <c r="F387" i="20"/>
  <c r="A387" i="20"/>
  <c r="A388" i="20" s="1"/>
  <c r="A389" i="20" s="1"/>
  <c r="F386" i="20"/>
  <c r="F385" i="20"/>
  <c r="F384" i="20"/>
  <c r="F383" i="20"/>
  <c r="F382" i="20"/>
  <c r="F381" i="20"/>
  <c r="F380" i="20"/>
  <c r="F379" i="20"/>
  <c r="F378" i="20"/>
  <c r="F377" i="20"/>
  <c r="F374" i="20"/>
  <c r="F373" i="20"/>
  <c r="F372" i="20"/>
  <c r="F371" i="20"/>
  <c r="A370" i="20"/>
  <c r="A376" i="20" s="1"/>
  <c r="F368" i="20"/>
  <c r="F367" i="20"/>
  <c r="F366" i="20"/>
  <c r="F365" i="20"/>
  <c r="F364" i="20"/>
  <c r="A364" i="20"/>
  <c r="A365" i="20" s="1"/>
  <c r="A366" i="20" s="1"/>
  <c r="A367" i="20" s="1"/>
  <c r="A368" i="20" s="1"/>
  <c r="F357" i="20"/>
  <c r="F356" i="20"/>
  <c r="F352" i="20"/>
  <c r="F351" i="20"/>
  <c r="F350" i="20"/>
  <c r="F349" i="20"/>
  <c r="F348" i="20"/>
  <c r="F345" i="20"/>
  <c r="F344" i="20"/>
  <c r="F343" i="20"/>
  <c r="F341" i="20"/>
  <c r="F340" i="20"/>
  <c r="F334" i="20"/>
  <c r="F333" i="20"/>
  <c r="F332" i="20"/>
  <c r="F331" i="20"/>
  <c r="F328" i="20"/>
  <c r="F327" i="20"/>
  <c r="F326" i="20"/>
  <c r="A325" i="20"/>
  <c r="A330" i="20" s="1"/>
  <c r="A336" i="20" s="1"/>
  <c r="F323" i="20"/>
  <c r="A323" i="20"/>
  <c r="F315" i="20"/>
  <c r="F314" i="20"/>
  <c r="F311" i="20"/>
  <c r="A309" i="20"/>
  <c r="A310" i="20" s="1"/>
  <c r="A311" i="20" s="1"/>
  <c r="F305" i="20"/>
  <c r="F304" i="20"/>
  <c r="F303" i="20"/>
  <c r="A303" i="20"/>
  <c r="A304" i="20" s="1"/>
  <c r="A305" i="20" s="1"/>
  <c r="A306" i="20" s="1"/>
  <c r="A307" i="20" s="1"/>
  <c r="F296" i="20"/>
  <c r="F295" i="20"/>
  <c r="F294" i="20"/>
  <c r="F291" i="20"/>
  <c r="F290" i="20"/>
  <c r="F289" i="20"/>
  <c r="A288" i="20"/>
  <c r="A289" i="20" s="1"/>
  <c r="A290" i="20" s="1"/>
  <c r="A291" i="20" s="1"/>
  <c r="F286" i="20"/>
  <c r="A286" i="20"/>
  <c r="F280" i="20"/>
  <c r="F279" i="20"/>
  <c r="F278" i="20"/>
  <c r="F275" i="20"/>
  <c r="F274" i="20"/>
  <c r="F271" i="20"/>
  <c r="F262" i="20"/>
  <c r="F259" i="20"/>
  <c r="F256" i="20"/>
  <c r="F255" i="20"/>
  <c r="F254" i="20"/>
  <c r="F253" i="20"/>
  <c r="A252" i="20"/>
  <c r="A253" i="20" s="1"/>
  <c r="A254" i="20" s="1"/>
  <c r="A255" i="20" s="1"/>
  <c r="A256" i="20" s="1"/>
  <c r="F250" i="20"/>
  <c r="A250" i="20"/>
  <c r="F240" i="20"/>
  <c r="F239" i="20"/>
  <c r="A234" i="20"/>
  <c r="A238" i="20" s="1"/>
  <c r="A239" i="20" s="1"/>
  <c r="A240" i="20" s="1"/>
  <c r="A228" i="20"/>
  <c r="A229" i="20" s="1"/>
  <c r="A230" i="20" s="1"/>
  <c r="A231" i="20" s="1"/>
  <c r="A232" i="20" s="1"/>
  <c r="F221" i="20"/>
  <c r="F220" i="20"/>
  <c r="F219" i="20"/>
  <c r="F216" i="20"/>
  <c r="F215" i="20"/>
  <c r="F214" i="20"/>
  <c r="A213" i="20"/>
  <c r="A214" i="20" s="1"/>
  <c r="A215" i="20" s="1"/>
  <c r="A216" i="20" s="1"/>
  <c r="F211" i="20"/>
  <c r="A211" i="20"/>
  <c r="F205" i="20"/>
  <c r="F204" i="20"/>
  <c r="F203" i="20"/>
  <c r="F202" i="20"/>
  <c r="F198" i="20"/>
  <c r="F197" i="20"/>
  <c r="F196" i="20"/>
  <c r="F193" i="20"/>
  <c r="F184" i="20"/>
  <c r="F181" i="20"/>
  <c r="F180" i="20"/>
  <c r="F179" i="20"/>
  <c r="F176" i="20"/>
  <c r="F175" i="20"/>
  <c r="F174" i="20"/>
  <c r="F173" i="20"/>
  <c r="A172" i="20"/>
  <c r="A178" i="20" s="1"/>
  <c r="F170" i="20"/>
  <c r="A170" i="20"/>
  <c r="F162" i="20"/>
  <c r="F160" i="20"/>
  <c r="F158" i="20"/>
  <c r="F156" i="20"/>
  <c r="F155" i="20"/>
  <c r="F154" i="20"/>
  <c r="F153" i="20"/>
  <c r="F152" i="20"/>
  <c r="F151" i="20"/>
  <c r="F150" i="20"/>
  <c r="F149" i="20"/>
  <c r="F148" i="20"/>
  <c r="F147" i="20"/>
  <c r="F146" i="20"/>
  <c r="F145" i="20"/>
  <c r="F144" i="20"/>
  <c r="F143" i="20"/>
  <c r="F142" i="20"/>
  <c r="F141" i="20"/>
  <c r="F140" i="20"/>
  <c r="F139" i="20"/>
  <c r="F138" i="20"/>
  <c r="F137" i="20"/>
  <c r="F136" i="20"/>
  <c r="F135" i="20"/>
  <c r="F134" i="20"/>
  <c r="F133" i="20"/>
  <c r="F132" i="20"/>
  <c r="F131" i="20"/>
  <c r="A131" i="20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F130" i="20"/>
  <c r="F129" i="20"/>
  <c r="F128" i="20"/>
  <c r="F127" i="20"/>
  <c r="F126" i="20"/>
  <c r="F125" i="20"/>
  <c r="F124" i="20"/>
  <c r="F123" i="20"/>
  <c r="F122" i="20"/>
  <c r="F121" i="20"/>
  <c r="F118" i="20"/>
  <c r="F115" i="20"/>
  <c r="F114" i="20"/>
  <c r="F113" i="20"/>
  <c r="F112" i="20"/>
  <c r="F111" i="20"/>
  <c r="F110" i="20"/>
  <c r="F109" i="20"/>
  <c r="F108" i="20"/>
  <c r="F107" i="20"/>
  <c r="F104" i="20"/>
  <c r="A104" i="20"/>
  <c r="L96" i="20"/>
  <c r="F96" i="20"/>
  <c r="L94" i="20"/>
  <c r="F94" i="20"/>
  <c r="L93" i="20"/>
  <c r="L92" i="20"/>
  <c r="L91" i="20"/>
  <c r="F91" i="20"/>
  <c r="L90" i="20"/>
  <c r="L89" i="20"/>
  <c r="L88" i="20"/>
  <c r="F88" i="20"/>
  <c r="L87" i="20"/>
  <c r="F87" i="20"/>
  <c r="L86" i="20"/>
  <c r="F86" i="20"/>
  <c r="L85" i="20"/>
  <c r="F85" i="20"/>
  <c r="L84" i="20"/>
  <c r="F84" i="20"/>
  <c r="L83" i="20"/>
  <c r="F83" i="20"/>
  <c r="F82" i="20"/>
  <c r="L81" i="20"/>
  <c r="F81" i="20"/>
  <c r="F80" i="20"/>
  <c r="F79" i="20"/>
  <c r="F78" i="20"/>
  <c r="F77" i="20"/>
  <c r="F76" i="20"/>
  <c r="F75" i="20"/>
  <c r="F74" i="20"/>
  <c r="F73" i="20"/>
  <c r="F72" i="20"/>
  <c r="F71" i="20"/>
  <c r="F70" i="20"/>
  <c r="F69" i="20"/>
  <c r="F68" i="20"/>
  <c r="F67" i="20"/>
  <c r="F66" i="20"/>
  <c r="F59" i="20"/>
  <c r="F58" i="20"/>
  <c r="F57" i="20"/>
  <c r="F56" i="20"/>
  <c r="C55" i="20"/>
  <c r="F55" i="20" s="1"/>
  <c r="C54" i="20"/>
  <c r="F54" i="20" s="1"/>
  <c r="F53" i="20"/>
  <c r="F52" i="20"/>
  <c r="F51" i="20"/>
  <c r="F50" i="20"/>
  <c r="F49" i="20"/>
  <c r="F48" i="20"/>
  <c r="F47" i="20"/>
  <c r="F45" i="20"/>
  <c r="C40" i="20"/>
  <c r="C42" i="20" s="1"/>
  <c r="F42" i="20" s="1"/>
  <c r="F38" i="20"/>
  <c r="C36" i="20"/>
  <c r="F36" i="20" s="1"/>
  <c r="C35" i="20"/>
  <c r="F35" i="20" s="1"/>
  <c r="C33" i="20"/>
  <c r="C34" i="20" s="1"/>
  <c r="F34" i="20" s="1"/>
  <c r="F31" i="20"/>
  <c r="F30" i="20"/>
  <c r="C27" i="20"/>
  <c r="F27" i="20" s="1"/>
  <c r="C26" i="20"/>
  <c r="F26" i="20" s="1"/>
  <c r="C25" i="20"/>
  <c r="F25" i="20" s="1"/>
  <c r="C22" i="20"/>
  <c r="F22" i="20" s="1"/>
  <c r="F21" i="20"/>
  <c r="F20" i="20"/>
  <c r="F19" i="20"/>
  <c r="F18" i="20"/>
  <c r="F17" i="20"/>
  <c r="F16" i="20"/>
  <c r="F13" i="20"/>
  <c r="B11213" i="31" l="1"/>
  <c r="A649" i="20"/>
  <c r="F163" i="20"/>
  <c r="F40" i="20"/>
  <c r="A326" i="20"/>
  <c r="A327" i="20" s="1"/>
  <c r="A328" i="20" s="1"/>
  <c r="A371" i="20"/>
  <c r="A372" i="20" s="1"/>
  <c r="A373" i="20" s="1"/>
  <c r="A374" i="20" s="1"/>
  <c r="A173" i="20"/>
  <c r="A174" i="20" s="1"/>
  <c r="A175" i="20" s="1"/>
  <c r="A176" i="20" s="1"/>
  <c r="A235" i="20"/>
  <c r="A236" i="20" s="1"/>
  <c r="C32" i="20"/>
  <c r="F32" i="20" s="1"/>
  <c r="A313" i="20"/>
  <c r="A314" i="20" s="1"/>
  <c r="A315" i="20" s="1"/>
  <c r="A778" i="20"/>
  <c r="A779" i="20" s="1"/>
  <c r="F97" i="20"/>
  <c r="A723" i="20"/>
  <c r="A724" i="20" s="1"/>
  <c r="A725" i="20" s="1"/>
  <c r="F851" i="20"/>
  <c r="A183" i="20"/>
  <c r="A179" i="20"/>
  <c r="A180" i="20" s="1"/>
  <c r="A181" i="20" s="1"/>
  <c r="A391" i="20"/>
  <c r="A377" i="20"/>
  <c r="A378" i="20" s="1"/>
  <c r="A379" i="20" s="1"/>
  <c r="A380" i="20" s="1"/>
  <c r="A381" i="20" s="1"/>
  <c r="A382" i="20" s="1"/>
  <c r="A383" i="20" s="1"/>
  <c r="A384" i="20" s="1"/>
  <c r="A385" i="20" s="1"/>
  <c r="A789" i="20"/>
  <c r="A782" i="20"/>
  <c r="A783" i="20" s="1"/>
  <c r="A784" i="20" s="1"/>
  <c r="A785" i="20" s="1"/>
  <c r="A786" i="20" s="1"/>
  <c r="A787" i="20" s="1"/>
  <c r="A337" i="20"/>
  <c r="A338" i="20" s="1"/>
  <c r="A339" i="20" s="1"/>
  <c r="A340" i="20" s="1"/>
  <c r="A341" i="20" s="1"/>
  <c r="A342" i="20" s="1"/>
  <c r="A343" i="20" s="1"/>
  <c r="A344" i="20" s="1"/>
  <c r="A345" i="20" s="1"/>
  <c r="A347" i="20"/>
  <c r="A829" i="20"/>
  <c r="A822" i="20"/>
  <c r="A823" i="20" s="1"/>
  <c r="A824" i="20" s="1"/>
  <c r="A825" i="20" s="1"/>
  <c r="A826" i="20" s="1"/>
  <c r="A827" i="20" s="1"/>
  <c r="A655" i="20"/>
  <c r="A654" i="20"/>
  <c r="A730" i="20"/>
  <c r="A728" i="20"/>
  <c r="F60" i="20"/>
  <c r="A258" i="20"/>
  <c r="A331" i="20"/>
  <c r="A332" i="20" s="1"/>
  <c r="A333" i="20" s="1"/>
  <c r="A334" i="20" s="1"/>
  <c r="F33" i="20"/>
  <c r="A218" i="20"/>
  <c r="A293" i="20"/>
  <c r="A814" i="20"/>
  <c r="A815" i="20" s="1"/>
  <c r="A816" i="20" s="1"/>
  <c r="A817" i="20" s="1"/>
  <c r="A818" i="20" s="1"/>
  <c r="A819" i="20" s="1"/>
  <c r="F43" i="20" l="1"/>
  <c r="A830" i="20"/>
  <c r="A831" i="20" s="1"/>
  <c r="A832" i="20" s="1"/>
  <c r="A833" i="20" s="1"/>
  <c r="A834" i="20" s="1"/>
  <c r="A835" i="20" s="1"/>
  <c r="A836" i="20" s="1"/>
  <c r="A837" i="20" s="1"/>
  <c r="A838" i="20" s="1"/>
  <c r="A843" i="20"/>
  <c r="A844" i="20" s="1"/>
  <c r="A845" i="20" s="1"/>
  <c r="A846" i="20" s="1"/>
  <c r="A847" i="20" s="1"/>
  <c r="A848" i="20" s="1"/>
  <c r="A849" i="20" s="1"/>
  <c r="A107" i="20"/>
  <c r="A108" i="20" s="1"/>
  <c r="A109" i="20" s="1"/>
  <c r="A110" i="20" s="1"/>
  <c r="A111" i="20" s="1"/>
  <c r="A112" i="20" s="1"/>
  <c r="A113" i="20" s="1"/>
  <c r="A114" i="20" s="1"/>
  <c r="A115" i="20" s="1"/>
  <c r="A117" i="20"/>
  <c r="A120" i="20" s="1"/>
  <c r="A348" i="20"/>
  <c r="A349" i="20" s="1"/>
  <c r="A350" i="20" s="1"/>
  <c r="A351" i="20" s="1"/>
  <c r="A352" i="20" s="1"/>
  <c r="A353" i="20" s="1"/>
  <c r="A355" i="20"/>
  <c r="A356" i="20" s="1"/>
  <c r="A357" i="20" s="1"/>
  <c r="A795" i="20"/>
  <c r="A796" i="20" s="1"/>
  <c r="A797" i="20" s="1"/>
  <c r="A798" i="20" s="1"/>
  <c r="A799" i="20" s="1"/>
  <c r="A790" i="20"/>
  <c r="A791" i="20" s="1"/>
  <c r="A792" i="20" s="1"/>
  <c r="A793" i="20" s="1"/>
  <c r="A223" i="20"/>
  <c r="A224" i="20" s="1"/>
  <c r="A225" i="20" s="1"/>
  <c r="A219" i="20"/>
  <c r="A220" i="20" s="1"/>
  <c r="A221" i="20" s="1"/>
  <c r="A261" i="20"/>
  <c r="A259" i="20"/>
  <c r="A392" i="20"/>
  <c r="A393" i="20" s="1"/>
  <c r="A394" i="20" s="1"/>
  <c r="A395" i="20" s="1"/>
  <c r="A397" i="20"/>
  <c r="A294" i="20"/>
  <c r="A295" i="20" s="1"/>
  <c r="A296" i="20" s="1"/>
  <c r="A298" i="20"/>
  <c r="A299" i="20" s="1"/>
  <c r="A300" i="20" s="1"/>
  <c r="A184" i="20"/>
  <c r="A186" i="20"/>
  <c r="A407" i="20" l="1"/>
  <c r="A398" i="20"/>
  <c r="A399" i="20" s="1"/>
  <c r="A400" i="20" s="1"/>
  <c r="A401" i="20" s="1"/>
  <c r="A402" i="20" s="1"/>
  <c r="A403" i="20" s="1"/>
  <c r="A404" i="20" s="1"/>
  <c r="A405" i="20" s="1"/>
  <c r="A192" i="20"/>
  <c r="A187" i="20"/>
  <c r="A188" i="20" s="1"/>
  <c r="A189" i="20" s="1"/>
  <c r="A190" i="20" s="1"/>
  <c r="A264" i="20"/>
  <c r="A262" i="20"/>
  <c r="A265" i="20" l="1"/>
  <c r="A266" i="20" s="1"/>
  <c r="A267" i="20" s="1"/>
  <c r="A268" i="20" s="1"/>
  <c r="A270" i="20"/>
  <c r="A193" i="20"/>
  <c r="A195" i="20"/>
  <c r="A408" i="20"/>
  <c r="A409" i="20" s="1"/>
  <c r="A411" i="20"/>
  <c r="A420" i="20" l="1"/>
  <c r="A412" i="20"/>
  <c r="A413" i="20" s="1"/>
  <c r="A414" i="20" s="1"/>
  <c r="A415" i="20" s="1"/>
  <c r="A416" i="20" s="1"/>
  <c r="A417" i="20" s="1"/>
  <c r="A418" i="20" s="1"/>
  <c r="A200" i="20"/>
  <c r="A201" i="20" s="1"/>
  <c r="A202" i="20" s="1"/>
  <c r="A196" i="20"/>
  <c r="A197" i="20" s="1"/>
  <c r="A198" i="20" s="1"/>
  <c r="A118" i="20"/>
  <c r="A273" i="20"/>
  <c r="A271" i="20"/>
  <c r="A429" i="20" l="1"/>
  <c r="A421" i="20"/>
  <c r="A422" i="20" s="1"/>
  <c r="A423" i="20" s="1"/>
  <c r="A424" i="20" s="1"/>
  <c r="A425" i="20" s="1"/>
  <c r="A426" i="20" s="1"/>
  <c r="A427" i="20" s="1"/>
  <c r="A205" i="20"/>
  <c r="A203" i="20"/>
  <c r="A204" i="20" s="1"/>
  <c r="A277" i="20"/>
  <c r="A278" i="20" s="1"/>
  <c r="A279" i="20" s="1"/>
  <c r="A280" i="20" s="1"/>
  <c r="A274" i="20"/>
  <c r="A275" i="20" s="1"/>
  <c r="A121" i="20" l="1"/>
  <c r="A122" i="20" s="1"/>
  <c r="A123" i="20" s="1"/>
  <c r="A124" i="20" s="1"/>
  <c r="A125" i="20" s="1"/>
  <c r="A126" i="20" s="1"/>
  <c r="A127" i="20" s="1"/>
  <c r="A128" i="20" s="1"/>
  <c r="A129" i="20" s="1"/>
  <c r="A158" i="20"/>
  <c r="A160" i="20" s="1"/>
  <c r="A162" i="20" s="1"/>
  <c r="A430" i="20"/>
  <c r="A431" i="20" s="1"/>
  <c r="A433" i="20"/>
  <c r="A459" i="20" l="1"/>
  <c r="A434" i="20"/>
  <c r="A435" i="20" s="1"/>
  <c r="A436" i="20" s="1"/>
  <c r="A437" i="20" s="1"/>
  <c r="A438" i="20" s="1"/>
  <c r="A439" i="20" s="1"/>
  <c r="A440" i="20" s="1"/>
  <c r="A441" i="20" s="1"/>
  <c r="A442" i="20" s="1"/>
  <c r="A475" i="20" l="1"/>
  <c r="A460" i="20"/>
  <c r="A461" i="20" s="1"/>
  <c r="A462" i="20" s="1"/>
  <c r="A463" i="20" s="1"/>
  <c r="A464" i="20" s="1"/>
  <c r="A465" i="20" s="1"/>
  <c r="A466" i="20" s="1"/>
  <c r="A467" i="20" s="1"/>
  <c r="A468" i="20" s="1"/>
  <c r="A476" i="20" l="1"/>
  <c r="A477" i="20" s="1"/>
  <c r="A478" i="20" s="1"/>
  <c r="A479" i="20" s="1"/>
  <c r="A481" i="20"/>
  <c r="A487" i="20" l="1"/>
  <c r="A482" i="20"/>
  <c r="A483" i="20" s="1"/>
  <c r="A484" i="20" s="1"/>
  <c r="A485" i="20" s="1"/>
  <c r="A488" i="20" l="1"/>
  <c r="A489" i="20" s="1"/>
  <c r="A490" i="20" s="1"/>
  <c r="A491" i="20" s="1"/>
  <c r="A493" i="20"/>
  <c r="A494" i="20" s="1"/>
  <c r="A495" i="20" s="1"/>
  <c r="A496" i="20" s="1"/>
  <c r="A497" i="20" s="1"/>
  <c r="A498" i="20" s="1"/>
  <c r="A499" i="20" s="1"/>
  <c r="A500" i="20" s="1"/>
  <c r="F400" i="20" l="1"/>
  <c r="F476" i="20" l="1"/>
  <c r="F694" i="20"/>
  <c r="F763" i="20"/>
  <c r="F527" i="20"/>
  <c r="F229" i="20"/>
  <c r="F398" i="20" l="1"/>
  <c r="F599" i="20"/>
  <c r="F337" i="20"/>
  <c r="F266" i="20"/>
  <c r="F188" i="20"/>
  <c r="F230" i="20"/>
  <c r="F228" i="20"/>
  <c r="F525" i="20"/>
  <c r="F757" i="20"/>
  <c r="F690" i="20"/>
  <c r="F597" i="20"/>
  <c r="F235" i="20" l="1"/>
  <c r="F265" i="20" l="1"/>
  <c r="F187" i="20"/>
  <c r="F526" i="20"/>
  <c r="F691" i="20"/>
  <c r="F758" i="20"/>
  <c r="F598" i="20"/>
  <c r="F756" i="20"/>
  <c r="F596" i="20"/>
  <c r="F524" i="20"/>
  <c r="F401" i="20"/>
  <c r="F306" i="20"/>
  <c r="F267" i="20"/>
  <c r="F231" i="20"/>
  <c r="F189" i="20"/>
  <c r="F339" i="20" l="1"/>
  <c r="F236" i="20"/>
  <c r="F201" i="20"/>
  <c r="F405" i="20"/>
  <c r="F342" i="20"/>
  <c r="F307" i="20"/>
  <c r="F268" i="20"/>
  <c r="F281" i="20" s="1"/>
  <c r="F232" i="20"/>
  <c r="F692" i="20"/>
  <c r="F190" i="20"/>
  <c r="F759" i="20"/>
  <c r="F528" i="20"/>
  <c r="F593" i="20"/>
  <c r="F393" i="20"/>
  <c r="F300" i="20"/>
  <c r="F225" i="20"/>
  <c r="F392" i="20"/>
  <c r="F358" i="20" l="1"/>
  <c r="F206" i="20"/>
  <c r="F592" i="20"/>
  <c r="F663" i="20" s="1"/>
  <c r="F299" i="20"/>
  <c r="F316" i="20" s="1"/>
  <c r="F318" i="20" s="1"/>
  <c r="F224" i="20"/>
  <c r="F241" i="20" s="1"/>
  <c r="F243" i="20" l="1"/>
  <c r="B66" i="8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53" i="8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F523" i="1" l="1"/>
  <c r="F521" i="1"/>
  <c r="C519" i="1"/>
  <c r="F519" i="1" s="1"/>
  <c r="E518" i="1"/>
  <c r="F518" i="1" s="1"/>
  <c r="F517" i="1"/>
  <c r="F516" i="1"/>
  <c r="F515" i="1"/>
  <c r="F514" i="1"/>
  <c r="F513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0" i="1"/>
  <c r="F471" i="1" s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6" i="1"/>
  <c r="F433" i="1"/>
  <c r="C431" i="1"/>
  <c r="F431" i="1" s="1"/>
  <c r="F429" i="1"/>
  <c r="F428" i="1"/>
  <c r="F427" i="1"/>
  <c r="F426" i="1"/>
  <c r="F425" i="1"/>
  <c r="F423" i="1"/>
  <c r="F422" i="1"/>
  <c r="F421" i="1"/>
  <c r="F420" i="1"/>
  <c r="F419" i="1"/>
  <c r="F418" i="1"/>
  <c r="G417" i="1"/>
  <c r="F417" i="1"/>
  <c r="G416" i="1"/>
  <c r="F416" i="1"/>
  <c r="G415" i="1"/>
  <c r="F415" i="1"/>
  <c r="F414" i="1"/>
  <c r="F413" i="1"/>
  <c r="F412" i="1"/>
  <c r="F411" i="1"/>
  <c r="F410" i="1"/>
  <c r="F409" i="1"/>
  <c r="F407" i="1"/>
  <c r="F406" i="1"/>
  <c r="F405" i="1"/>
  <c r="C403" i="1"/>
  <c r="C404" i="1" s="1"/>
  <c r="F404" i="1" s="1"/>
  <c r="C402" i="1"/>
  <c r="F402" i="1" s="1"/>
  <c r="F400" i="1"/>
  <c r="F399" i="1"/>
  <c r="F394" i="1"/>
  <c r="F391" i="1"/>
  <c r="F390" i="1"/>
  <c r="F389" i="1"/>
  <c r="F388" i="1"/>
  <c r="F387" i="1"/>
  <c r="F386" i="1"/>
  <c r="F385" i="1"/>
  <c r="F384" i="1"/>
  <c r="G383" i="1"/>
  <c r="F383" i="1"/>
  <c r="G382" i="1"/>
  <c r="F382" i="1"/>
  <c r="F381" i="1"/>
  <c r="F380" i="1"/>
  <c r="F379" i="1"/>
  <c r="F378" i="1"/>
  <c r="F377" i="1"/>
  <c r="H376" i="1"/>
  <c r="G376" i="1"/>
  <c r="F376" i="1"/>
  <c r="H374" i="1"/>
  <c r="G374" i="1"/>
  <c r="F374" i="1"/>
  <c r="F373" i="1"/>
  <c r="F372" i="1"/>
  <c r="F367" i="1"/>
  <c r="C366" i="1"/>
  <c r="C369" i="1" s="1"/>
  <c r="F369" i="1" s="1"/>
  <c r="F361" i="1"/>
  <c r="F359" i="1"/>
  <c r="F358" i="1"/>
  <c r="F357" i="1"/>
  <c r="F356" i="1"/>
  <c r="F355" i="1"/>
  <c r="F354" i="1"/>
  <c r="F353" i="1"/>
  <c r="G352" i="1"/>
  <c r="F352" i="1"/>
  <c r="F351" i="1"/>
  <c r="F350" i="1"/>
  <c r="F349" i="1"/>
  <c r="F348" i="1"/>
  <c r="F347" i="1"/>
  <c r="G346" i="1"/>
  <c r="F346" i="1"/>
  <c r="G344" i="1"/>
  <c r="F344" i="1"/>
  <c r="F343" i="1"/>
  <c r="F342" i="1"/>
  <c r="C340" i="1"/>
  <c r="C345" i="1" s="1"/>
  <c r="C339" i="1"/>
  <c r="F339" i="1" s="1"/>
  <c r="F336" i="1"/>
  <c r="G331" i="1"/>
  <c r="F331" i="1"/>
  <c r="G329" i="1"/>
  <c r="F329" i="1"/>
  <c r="G327" i="1"/>
  <c r="F327" i="1"/>
  <c r="G326" i="1"/>
  <c r="G325" i="1"/>
  <c r="G324" i="1"/>
  <c r="F324" i="1"/>
  <c r="G323" i="1"/>
  <c r="F323" i="1"/>
  <c r="G322" i="1"/>
  <c r="F322" i="1"/>
  <c r="G321" i="1"/>
  <c r="G320" i="1"/>
  <c r="G319" i="1"/>
  <c r="F319" i="1"/>
  <c r="G318" i="1"/>
  <c r="G317" i="1"/>
  <c r="I316" i="1"/>
  <c r="H316" i="1"/>
  <c r="G316" i="1"/>
  <c r="F316" i="1"/>
  <c r="G315" i="1"/>
  <c r="F313" i="1"/>
  <c r="G312" i="1"/>
  <c r="G311" i="1" s="1"/>
  <c r="F312" i="1"/>
  <c r="F311" i="1"/>
  <c r="F310" i="1"/>
  <c r="F309" i="1"/>
  <c r="H308" i="1"/>
  <c r="F308" i="1"/>
  <c r="F305" i="1"/>
  <c r="F300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1" i="1"/>
  <c r="F280" i="1"/>
  <c r="F279" i="1"/>
  <c r="C277" i="1"/>
  <c r="C278" i="1" s="1"/>
  <c r="F278" i="1" s="1"/>
  <c r="C276" i="1"/>
  <c r="F276" i="1" s="1"/>
  <c r="F273" i="1"/>
  <c r="F268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1" i="1"/>
  <c r="F250" i="1"/>
  <c r="F249" i="1"/>
  <c r="C247" i="1"/>
  <c r="C252" i="1" s="1"/>
  <c r="C246" i="1"/>
  <c r="F246" i="1" s="1"/>
  <c r="F243" i="1"/>
  <c r="F238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7" i="1"/>
  <c r="F216" i="1"/>
  <c r="F215" i="1"/>
  <c r="C213" i="1"/>
  <c r="C218" i="1" s="1"/>
  <c r="F218" i="1" s="1"/>
  <c r="C212" i="1"/>
  <c r="F212" i="1" s="1"/>
  <c r="F209" i="1"/>
  <c r="F204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7" i="1"/>
  <c r="F186" i="1"/>
  <c r="F185" i="1"/>
  <c r="C183" i="1"/>
  <c r="F183" i="1" s="1"/>
  <c r="C182" i="1"/>
  <c r="F182" i="1" s="1"/>
  <c r="F179" i="1"/>
  <c r="F174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4" i="1"/>
  <c r="F153" i="1"/>
  <c r="F152" i="1"/>
  <c r="C150" i="1"/>
  <c r="F150" i="1" s="1"/>
  <c r="C149" i="1"/>
  <c r="F149" i="1" s="1"/>
  <c r="F146" i="1"/>
  <c r="F141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C121" i="1"/>
  <c r="F121" i="1" s="1"/>
  <c r="F120" i="1"/>
  <c r="F119" i="1"/>
  <c r="F117" i="1"/>
  <c r="F116" i="1"/>
  <c r="C115" i="1"/>
  <c r="F115" i="1" s="1"/>
  <c r="F112" i="1"/>
  <c r="F107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C90" i="1"/>
  <c r="F90" i="1" s="1"/>
  <c r="C89" i="1"/>
  <c r="G89" i="1" s="1"/>
  <c r="G88" i="1"/>
  <c r="F88" i="1"/>
  <c r="F87" i="1"/>
  <c r="F85" i="1"/>
  <c r="F84" i="1"/>
  <c r="F83" i="1"/>
  <c r="F80" i="1"/>
  <c r="F74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G57" i="1"/>
  <c r="F57" i="1"/>
  <c r="C56" i="1"/>
  <c r="G56" i="1" s="1"/>
  <c r="G55" i="1"/>
  <c r="F55" i="1"/>
  <c r="F54" i="1"/>
  <c r="F52" i="1"/>
  <c r="F51" i="1"/>
  <c r="F50" i="1"/>
  <c r="F48" i="1"/>
  <c r="C47" i="1"/>
  <c r="F47" i="1" s="1"/>
  <c r="F42" i="1"/>
  <c r="F40" i="1"/>
  <c r="F39" i="1"/>
  <c r="F38" i="1"/>
  <c r="F37" i="1"/>
  <c r="F36" i="1"/>
  <c r="F35" i="1"/>
  <c r="F34" i="1"/>
  <c r="F33" i="1"/>
  <c r="F32" i="1"/>
  <c r="F31" i="1"/>
  <c r="G30" i="1"/>
  <c r="F30" i="1"/>
  <c r="G29" i="1"/>
  <c r="F29" i="1"/>
  <c r="F28" i="1"/>
  <c r="F27" i="1"/>
  <c r="F26" i="1"/>
  <c r="F25" i="1"/>
  <c r="F24" i="1"/>
  <c r="F23" i="1"/>
  <c r="F21" i="1"/>
  <c r="F20" i="1"/>
  <c r="F19" i="1"/>
  <c r="F18" i="1"/>
  <c r="C17" i="1"/>
  <c r="F17" i="1" s="1"/>
  <c r="F16" i="1"/>
  <c r="F13" i="1"/>
  <c r="G59" i="1" l="1"/>
  <c r="G23" i="1"/>
  <c r="G409" i="1"/>
  <c r="G21" i="1"/>
  <c r="G26" i="1" s="1"/>
  <c r="H378" i="1"/>
  <c r="G399" i="1"/>
  <c r="F332" i="1"/>
  <c r="G348" i="1"/>
  <c r="G349" i="1" s="1"/>
  <c r="F56" i="1"/>
  <c r="I376" i="1"/>
  <c r="G92" i="1"/>
  <c r="G91" i="1" s="1"/>
  <c r="F89" i="1"/>
  <c r="F108" i="1" s="1"/>
  <c r="F213" i="1"/>
  <c r="F247" i="1"/>
  <c r="G378" i="1"/>
  <c r="C22" i="1"/>
  <c r="F22" i="1" s="1"/>
  <c r="F43" i="1" s="1"/>
  <c r="G93" i="1"/>
  <c r="F142" i="1"/>
  <c r="G121" i="1"/>
  <c r="C341" i="1"/>
  <c r="F341" i="1" s="1"/>
  <c r="F75" i="1"/>
  <c r="C155" i="1"/>
  <c r="G155" i="1" s="1"/>
  <c r="C188" i="1"/>
  <c r="G188" i="1" s="1"/>
  <c r="C214" i="1"/>
  <c r="F214" i="1" s="1"/>
  <c r="C248" i="1"/>
  <c r="F248" i="1" s="1"/>
  <c r="F340" i="1"/>
  <c r="F366" i="1"/>
  <c r="C370" i="1"/>
  <c r="C375" i="1" s="1"/>
  <c r="G375" i="1" s="1"/>
  <c r="G407" i="1"/>
  <c r="G411" i="1" s="1"/>
  <c r="G410" i="1" s="1"/>
  <c r="F466" i="1"/>
  <c r="F345" i="1"/>
  <c r="G345" i="1"/>
  <c r="F252" i="1"/>
  <c r="G252" i="1"/>
  <c r="F524" i="1"/>
  <c r="G60" i="1"/>
  <c r="G58" i="1"/>
  <c r="F277" i="1"/>
  <c r="I374" i="1"/>
  <c r="F403" i="1"/>
  <c r="C151" i="1"/>
  <c r="F151" i="1" s="1"/>
  <c r="C184" i="1"/>
  <c r="F184" i="1" s="1"/>
  <c r="G218" i="1"/>
  <c r="C282" i="1"/>
  <c r="C392" i="1"/>
  <c r="F392" i="1" s="1"/>
  <c r="C408" i="1"/>
  <c r="G25" i="1" l="1"/>
  <c r="G24" i="1" s="1"/>
  <c r="C371" i="1"/>
  <c r="F371" i="1" s="1"/>
  <c r="F375" i="1"/>
  <c r="F155" i="1"/>
  <c r="F175" i="1" s="1"/>
  <c r="I378" i="1"/>
  <c r="I377" i="1" s="1"/>
  <c r="H348" i="1"/>
  <c r="F362" i="1"/>
  <c r="F239" i="1"/>
  <c r="F188" i="1"/>
  <c r="F205" i="1" s="1"/>
  <c r="G517" i="1"/>
  <c r="G518" i="1" s="1"/>
  <c r="F370" i="1"/>
  <c r="F395" i="1" s="1"/>
  <c r="G22" i="1"/>
  <c r="F269" i="1"/>
  <c r="G408" i="1"/>
  <c r="F408" i="1"/>
  <c r="F434" i="1" s="1"/>
  <c r="G282" i="1"/>
  <c r="F282" i="1"/>
  <c r="F301" i="1" s="1"/>
  <c r="G412" i="1"/>
  <c r="I379" i="1" l="1"/>
  <c r="F526" i="1"/>
  <c r="F527" i="1" s="1"/>
  <c r="F532" i="1" l="1"/>
  <c r="F535" i="1"/>
  <c r="F534" i="1"/>
  <c r="F537" i="1"/>
  <c r="F533" i="1"/>
  <c r="F529" i="1"/>
  <c r="F531" i="1"/>
  <c r="F538" i="1"/>
  <c r="F530" i="1"/>
  <c r="F536" i="1" l="1"/>
  <c r="F540" i="1" s="1"/>
  <c r="F542" i="1" s="1"/>
  <c r="F693" i="20" l="1"/>
  <c r="F731" i="20" s="1"/>
  <c r="F529" i="20"/>
  <c r="F571" i="20" s="1"/>
  <c r="F762" i="20"/>
  <c r="F800" i="20" s="1"/>
  <c r="F394" i="20"/>
  <c r="F501" i="20" s="1"/>
  <c r="F504" i="20" s="1"/>
  <c r="F853" i="20" l="1"/>
  <c r="F861" i="20" s="1"/>
  <c r="F866" i="20" s="1"/>
  <c r="F874" i="20" s="1"/>
  <c r="F868" i="20" l="1"/>
  <c r="F871" i="20"/>
  <c r="F865" i="20"/>
  <c r="F875" i="20"/>
  <c r="F876" i="20"/>
  <c r="F862" i="20"/>
  <c r="F873" i="20"/>
  <c r="F872" i="20"/>
  <c r="F869" i="20"/>
  <c r="F870" i="20"/>
  <c r="F867" i="20"/>
  <c r="F880" i="20" l="1"/>
  <c r="F882" i="20" s="1"/>
  <c r="F884" i="20" s="1"/>
</calcChain>
</file>

<file path=xl/sharedStrings.xml><?xml version="1.0" encoding="utf-8"?>
<sst xmlns="http://schemas.openxmlformats.org/spreadsheetml/2006/main" count="24842" uniqueCount="1782">
  <si>
    <t>INSTITUTO NACIONAL DE AGUAS POTABLES Y ALCANTARILLADOS</t>
  </si>
  <si>
    <t>***INAPA***</t>
  </si>
  <si>
    <t>DIRECCION DE INGENIERIA</t>
  </si>
  <si>
    <t>DEPARTAMENTO DE COSTOS Y PRESUPUESTOS</t>
  </si>
  <si>
    <t>Obra: CONSTRUCCION DEL ALCANTARILLADO SANITARIO SAN JUAN DE LA MAGUANA (OPCION 1)</t>
  </si>
  <si>
    <t>Ubicación : PROVINCIA SAN JUAN DE LA MAGUANA</t>
  </si>
  <si>
    <t>ZONA: II</t>
  </si>
  <si>
    <t>Partida</t>
  </si>
  <si>
    <t xml:space="preserve">Descripcion </t>
  </si>
  <si>
    <t>Cantidad</t>
  </si>
  <si>
    <t>Ud</t>
  </si>
  <si>
    <t>P.U. RD$</t>
  </si>
  <si>
    <t>MONTO RD$</t>
  </si>
  <si>
    <t>A</t>
  </si>
  <si>
    <t>REPLANTEO Y CONTROL TOPOGRAFICO</t>
  </si>
  <si>
    <t>M</t>
  </si>
  <si>
    <t>CORTE Y EXTRACCION DE ASFALTO</t>
  </si>
  <si>
    <t>CORTE DE ASFALTO E=2" (AMBOS LADOS)</t>
  </si>
  <si>
    <t>ML</t>
  </si>
  <si>
    <t>EXTRACCION DE ASFALTO C/EQUIPO</t>
  </si>
  <si>
    <t>M2</t>
  </si>
  <si>
    <t>BOTE DE MATERIAL C/CAMION</t>
  </si>
  <si>
    <t>M3</t>
  </si>
  <si>
    <t>MOVIMIENTO DE TIERRA:</t>
  </si>
  <si>
    <t>EXCAVACION MATERIAL COMPACTO C/EQUIPO (INC.EXTRACCION DE TUBERIA)</t>
  </si>
  <si>
    <t>REGULARIZACION DE ZANJA</t>
  </si>
  <si>
    <t>ASIENTO DE ARENA</t>
  </si>
  <si>
    <t>SUMINISTRO MATERIAL DE MINA</t>
  </si>
  <si>
    <t>COLOCACION Y COMPACTADO DE MATERIAL C/COMPACTADOR MECANICO EN CAPAS DE 0.20M</t>
  </si>
  <si>
    <t>BOTE DE MATERIAL CON CAMION (DIST.=5.0KM)</t>
  </si>
  <si>
    <t>SUMINISTRO DE TUBERIA:</t>
  </si>
  <si>
    <t>DE Ø12" PVC SRD-32.5 C/JUNTA GOMA + 4% DE PERDIDA</t>
  </si>
  <si>
    <t>DE Ø8" PVC SRD-32.5 C/JUNTA GOMA + 3% DE PERDIDA</t>
  </si>
  <si>
    <t>COLOCACION TUBERIA:</t>
  </si>
  <si>
    <t>DE Ø12" PVC SRD-32.5 C/J. G. + 4%  PERDIDA POR CAMP.</t>
  </si>
  <si>
    <t>DE Ø8" PVC SRD-32.5 C/J. G. + 3% PERDIDA POR CAMP.</t>
  </si>
  <si>
    <t>REGISTROS</t>
  </si>
  <si>
    <t>DESMOLICION  Y BOTE DE REGISTRO EXISTENTE</t>
  </si>
  <si>
    <t>UD</t>
  </si>
  <si>
    <t xml:space="preserve">CONSTRUCCION  REGISTRO DE 1.00 A 1.50 MT. </t>
  </si>
  <si>
    <t/>
  </si>
  <si>
    <t>SENALIZACION, MANEJO DE TRANSITO Y SEGURIDAD EN LA VIA</t>
  </si>
  <si>
    <t>LIMPIEZA FINAL</t>
  </si>
  <si>
    <t>U</t>
  </si>
  <si>
    <t>SUB-TOTAL A</t>
  </si>
  <si>
    <t>B</t>
  </si>
  <si>
    <t>PROYECTO PERPETUO SOCORRO (KM 3)</t>
  </si>
  <si>
    <t>EXCAVACION MATERIAL C/EQUIPO (INC.EXTRACCION DE TUBERIA)</t>
  </si>
  <si>
    <t>DE Ø8" PVC SRD-32.5 C/J. G. + 3%  PERDIDA POR CAMP.</t>
  </si>
  <si>
    <t xml:space="preserve">REGISTRO </t>
  </si>
  <si>
    <t>DESMOLICION  REGISTRO EXISTENTE</t>
  </si>
  <si>
    <t xml:space="preserve">CONSTRUCCION DE REGISTRO DE 1.50 A 2.00 MT. </t>
  </si>
  <si>
    <t>SUB-TOTAL B</t>
  </si>
  <si>
    <t>C</t>
  </si>
  <si>
    <t xml:space="preserve"> CENTRO DE LA CIUDAD ( C/ WENCESLAO RAMIREZ ENTRE LAS AV.DR. CABRAL Y SAN JUAN BAUTISTA).</t>
  </si>
  <si>
    <t>SUMINISTRO  MATERIAL DE MINA (INC. ACARREO)</t>
  </si>
  <si>
    <t>REGISTRO</t>
  </si>
  <si>
    <t xml:space="preserve">CONSTRUCCION DE REGISTRO DE 1.00  a 1.50 MT. </t>
  </si>
  <si>
    <t>SUB-TOTAL C</t>
  </si>
  <si>
    <t>D</t>
  </si>
  <si>
    <t xml:space="preserve">TRAMO CALLE DUVERGE </t>
  </si>
  <si>
    <t xml:space="preserve">EXCAVACIÓN CON RETROEXCAVADORA( INC. EXTRACCION DE TUBERIA) </t>
  </si>
  <si>
    <t>SUMINISTRO DE:</t>
  </si>
  <si>
    <t>TUBERÍA Ø8", PVC SDR-32.5 CON JUNTA DE GOMA MAS 3% ESPIGA Y CAMPANA</t>
  </si>
  <si>
    <t>COLOCACIÓN DE:</t>
  </si>
  <si>
    <t>TUBERÍA Ø8", PVC-SDR32.5 CON JUNTA DE GOMA MAS 3% PERDIDA POR CAMPANA</t>
  </si>
  <si>
    <t>CONSTRUCCION DE REGISTRO DE 2.50 A 3.00 PREFABRICADO</t>
  </si>
  <si>
    <t xml:space="preserve">REGISTRO DE LADRILLO </t>
  </si>
  <si>
    <t>LIMPIEZA DE REGISTRO EXISTENTE</t>
  </si>
  <si>
    <t>EMPALME DE TUBERÍA Ø8" A REGISTRO</t>
  </si>
  <si>
    <t>SUB-TOTAL  FASE D</t>
  </si>
  <si>
    <t>E</t>
  </si>
  <si>
    <t>CALLE  ENRRIQUILLO ( Ø12"PVC SDR-32.5, L=597.00 ML)</t>
  </si>
  <si>
    <t>TUBERÍA Ø12", PVC-SDR32.5 CON JUNTA DE GOMA MAS 4% ESPIGA Y CAMPANA</t>
  </si>
  <si>
    <t>TUBERÍA Ø12", PVC-SDR32.5 CON JUNTA DE GOMA MAS 4% PERDIDA POR CAMPANA</t>
  </si>
  <si>
    <t>CONSTRUCCION DE REGISTRO DE 3.00 A 3.50 PREFABRICADOS</t>
  </si>
  <si>
    <t>SUB-TOTAL  FASE E</t>
  </si>
  <si>
    <t>F</t>
  </si>
  <si>
    <t>TRAMO DE CALLE  PROYECTO 6   (ENTRE LAS CALLES DUVERGE Y ENRIQUILO)</t>
  </si>
  <si>
    <t>SUMINISTRO DE TUBERÍA Ø8", PVC-SDR 32.5 CON JUNTA DE GOMA MAS 3% ESPIGA Y CAMPANA</t>
  </si>
  <si>
    <t>COLOCACIÓN DE TUBERÍA Ø8", PVC-SDR32.5 CON JUNTA DE GOMA MAS 3% PERDIDA POR CAMPANA</t>
  </si>
  <si>
    <t>CONSTRUCCION DE REGISTRO DE 3.00 A 3.50</t>
  </si>
  <si>
    <t>SUB-TOTAL  FASE F</t>
  </si>
  <si>
    <t>G</t>
  </si>
  <si>
    <t>TRAMO DE CALLE  PROYECTO 2   (ENTRE LAS CALLES DUBERGE Y ENRIQUILO)</t>
  </si>
  <si>
    <t>TUBERÍA Ø8", PVC-SDR32.5 CON JUNTA DE GOMA MAS 3% ESPIGA Y CAMPANA</t>
  </si>
  <si>
    <t>CONSTRUCCION DE REGISTRO DE 2.50 A 3.00 M</t>
  </si>
  <si>
    <t>SUB-TOTAL  FASE G</t>
  </si>
  <si>
    <t>H</t>
  </si>
  <si>
    <t>TRAMO DE CALLE 30 DE MAYO</t>
  </si>
  <si>
    <t>DE TUBERÍA Ø12", PVC-SDR 32.5 CON JUNTA DE GOMA MAS 4% ESPIGA Y CAMPANA</t>
  </si>
  <si>
    <t>TUBERÍA Ø12", PVC-SDR 32.5 CON JUNTA DE GOMA MAS 4% PERDIDA POR CAMPANA</t>
  </si>
  <si>
    <t>SUB-TOTAL  FASE H</t>
  </si>
  <si>
    <t>I</t>
  </si>
  <si>
    <t>CALLE 12 DE JULIO (DESDE LA CALLE DUARTE HASTA  LA CALLE MONSEÑOR DE MARIÑO)</t>
  </si>
  <si>
    <t>TUBERÍA Ø12", PVC-SDR 32.5 CON JUNTA DE GOMA MAS 4% ESPIGA Y CAMPANA</t>
  </si>
  <si>
    <t>SUB-TOTAL  FASE  I</t>
  </si>
  <si>
    <t>J</t>
  </si>
  <si>
    <t>RED COLECTORA  URB. VILLA ALEJANDRA,  PARTE A.</t>
  </si>
  <si>
    <t>BOTE DE MATERIAL CON CAMION (D=5KM)</t>
  </si>
  <si>
    <r>
      <t xml:space="preserve">DE </t>
    </r>
    <r>
      <rPr>
        <sz val="10"/>
        <color indexed="8"/>
        <rFont val="Calibri"/>
        <family val="2"/>
      </rPr>
      <t>Ø</t>
    </r>
    <r>
      <rPr>
        <sz val="10"/>
        <color indexed="8"/>
        <rFont val="Arial"/>
        <family val="2"/>
      </rPr>
      <t xml:space="preserve">8" PVC SDR-32.5 + 3% DE PERDIDA POR CAMPANA </t>
    </r>
  </si>
  <si>
    <t>COLOCACION DE TUBERIA:</t>
  </si>
  <si>
    <t>REGISTROS PREFABRICADOS:</t>
  </si>
  <si>
    <t>DE 1 A 1.50 MTS (INC. TAPA GRP O POLIETILENO)</t>
  </si>
  <si>
    <t>DE 1.51 A 2.00 MTS (INC. TAPA GRP O POLIETILENO)</t>
  </si>
  <si>
    <t>DE 2.50 A 3.00 MTS (INC. TAPA GRP O POLIETILENO)</t>
  </si>
  <si>
    <t>CAIDAS EN PVC</t>
  </si>
  <si>
    <t>DE 1.00 A 2.00 MTS PVC</t>
  </si>
  <si>
    <t>SEÑALIZACION Y MANEJO DEL TRANSITO Y SEGURIDAD VIAL</t>
  </si>
  <si>
    <t>SUB-TOTAL  FASE  J</t>
  </si>
  <si>
    <t>K</t>
  </si>
  <si>
    <t>SECTOR SANTOME</t>
  </si>
  <si>
    <t>EXCAVACION MATERIAL COMPACTO C/EQUIPO</t>
  </si>
  <si>
    <t>SUB-TOTAL K</t>
  </si>
  <si>
    <t>L</t>
  </si>
  <si>
    <t>SECTOR CORBANO NORTE</t>
  </si>
  <si>
    <t>SUB-TOTAL L</t>
  </si>
  <si>
    <t>SECTOR CORBANO SUR</t>
  </si>
  <si>
    <t>DE Ø16" PVC SRD-32.5 C/JUNTA GOMA + 5% DE PERDIDA</t>
  </si>
  <si>
    <t xml:space="preserve">CONSTRUCCION  REGISTRO </t>
  </si>
  <si>
    <t xml:space="preserve">DE 1.00 A 1.50 MT. </t>
  </si>
  <si>
    <t xml:space="preserve">DE 1.50 A 2.00 MT. </t>
  </si>
  <si>
    <t xml:space="preserve">DE 2.00 A 2.50 MT. </t>
  </si>
  <si>
    <t xml:space="preserve">DE 2.50 A 3.00 MT. </t>
  </si>
  <si>
    <t xml:space="preserve">DE 3.00 A 3.50 MT. </t>
  </si>
  <si>
    <t>SUB-TOTAL M</t>
  </si>
  <si>
    <t>N</t>
  </si>
  <si>
    <t>ACOMETIDAS DOMICILIARIAS</t>
  </si>
  <si>
    <t>ACOMETIDA 8 X 6 PVC SDR-32.5 (80 U)</t>
  </si>
  <si>
    <t>SUMINISTRO TUB.6" PVC SDR-32.5 C/J.G.</t>
  </si>
  <si>
    <t>COLOCACIÓN TUB. 6" PVC SDR-32.5 C/J.G.</t>
  </si>
  <si>
    <t>SUMINISTRO YEE 8" X 6" PVC C/J.G.</t>
  </si>
  <si>
    <t>SUMINISTRO CODO 6" X 45º PVC</t>
  </si>
  <si>
    <t>SUMINISTRO TAPÓN (H) 6" PVC</t>
  </si>
  <si>
    <t>CEMENTO SOLVENTE</t>
  </si>
  <si>
    <t>PA</t>
  </si>
  <si>
    <t>EXCAVACION  MATERIAL COMPACTO A MANO</t>
  </si>
  <si>
    <t>RELLENO COMPACTADO CON COMPACTADOR MECANICO EN CAPAS DE 0.30</t>
  </si>
  <si>
    <t>BOTE CON CAMION D=5 KM (INCL. TRANSPORTE INTERNO DENTRO DEL RECINTO)</t>
  </si>
  <si>
    <t>MANO DE OBRA PROMEDIO</t>
  </si>
  <si>
    <t>P.A</t>
  </si>
  <si>
    <t xml:space="preserve"> ACOMETIDA AGUAS RESIDUALES (1029U)</t>
  </si>
  <si>
    <t>SUMINISTRO Ø4" PVC SDR-32.5</t>
  </si>
  <si>
    <t>COLOCACION Ø4" PVC SDR-32.5</t>
  </si>
  <si>
    <t>SUMINISTRO YEE Ø8" X Ø4" PVC PRESION</t>
  </si>
  <si>
    <t>SUMINISTRO YEE Ø4" X Ø4" PVC PRESION</t>
  </si>
  <si>
    <t>SUMINISTRO CODO Ø4" X 45 PVC</t>
  </si>
  <si>
    <t>SUMINISTRO TAPON (H)  Ø4" PVC</t>
  </si>
  <si>
    <t xml:space="preserve">EXCAVACION MATERIAL COMPACTO C/EQUIPO </t>
  </si>
  <si>
    <t>RELLENO COMPACTADO A MANO</t>
  </si>
  <si>
    <t>MANO DE OBRA PLOMERO</t>
  </si>
  <si>
    <t>SUB-TOTAL N</t>
  </si>
  <si>
    <t>Ñ</t>
  </si>
  <si>
    <t xml:space="preserve">CONSTRUCCION PLANTA DEPURADORA </t>
  </si>
  <si>
    <t>CONSTRUCCION PLANTA DEPURADORA 15LPS</t>
  </si>
  <si>
    <t>SUB-TOTAL Ñ</t>
  </si>
  <si>
    <t>Z</t>
  </si>
  <si>
    <t>VARIOS</t>
  </si>
  <si>
    <t>REPARACION DE SERVICIOS EXISTENTES</t>
  </si>
  <si>
    <t>DEMOLICION Y REPOSICION DE CONTENES Y ACERAS</t>
  </si>
  <si>
    <t>1.1.1</t>
  </si>
  <si>
    <t xml:space="preserve">DEMOLICION: </t>
  </si>
  <si>
    <t>1.1.1.1</t>
  </si>
  <si>
    <t>DE CONTENES Y ACERAS</t>
  </si>
  <si>
    <t>1.1.1.2</t>
  </si>
  <si>
    <t>BOTE DE ESCOMBROS C/CAMION</t>
  </si>
  <si>
    <t>1.1.2</t>
  </si>
  <si>
    <t>REPOSICION DE:</t>
  </si>
  <si>
    <t>1.1.2.1</t>
  </si>
  <si>
    <t>ACERA PERIMETRAL 0.80 M</t>
  </si>
  <si>
    <t>1.1.2.2</t>
  </si>
  <si>
    <t>CONTENES</t>
  </si>
  <si>
    <t>REPARACION DE AVERIAS EN TUBERIAS EXIST.</t>
  </si>
  <si>
    <t>1.2.1</t>
  </si>
  <si>
    <t>SUMINISTRO TUBERIAS</t>
  </si>
  <si>
    <t>1.2.1.1</t>
  </si>
  <si>
    <t xml:space="preserve">DE Ø1/2" PVC  (SCH-40)  </t>
  </si>
  <si>
    <t>1.2.1.2</t>
  </si>
  <si>
    <t>DE Ø3/4" PVC  (SCH-40)</t>
  </si>
  <si>
    <t>1.2.1.3</t>
  </si>
  <si>
    <t xml:space="preserve">DE Ø1" PVC  (SCH-40) </t>
  </si>
  <si>
    <t>1.2.1.4</t>
  </si>
  <si>
    <t xml:space="preserve">DE Ø2" PVC  (SCH-40) </t>
  </si>
  <si>
    <t>1.2.1.5</t>
  </si>
  <si>
    <t>DE Ø3" PVC SDR-26 C/ JG</t>
  </si>
  <si>
    <t>DE Ø4" PVC SDR-26 C/ JG</t>
  </si>
  <si>
    <t>1.2.2</t>
  </si>
  <si>
    <t>1.2.2.1</t>
  </si>
  <si>
    <t>COUPLING  Ø1/2" PVC</t>
  </si>
  <si>
    <t>1.2.2.2</t>
  </si>
  <si>
    <t>COUPLING 3/4" PVC</t>
  </si>
  <si>
    <t>1.2.2.3</t>
  </si>
  <si>
    <t>COUPLING 1" PVC</t>
  </si>
  <si>
    <t>1.2.2.4</t>
  </si>
  <si>
    <t>COUPLING Ø2" PVC</t>
  </si>
  <si>
    <t>1.2.2.5</t>
  </si>
  <si>
    <t>JUNTA MECANICA TIPO DRESSER 3" 150 PSI</t>
  </si>
  <si>
    <t>JUNTA MECANICA TIPO DRESSER 4" 150 PSI</t>
  </si>
  <si>
    <t>1.2.3</t>
  </si>
  <si>
    <t xml:space="preserve">MANO DE OBRA </t>
  </si>
  <si>
    <t>1.2.3.1</t>
  </si>
  <si>
    <t>MAESTRO PLOMERO (1H)</t>
  </si>
  <si>
    <t>HR</t>
  </si>
  <si>
    <t>1.2.3.2</t>
  </si>
  <si>
    <t>PEON (2H)</t>
  </si>
  <si>
    <t>BOMBA DE ACHIQUE</t>
  </si>
  <si>
    <t>BOMBA DE ACHIQUE Ø3" (5,5 HP)</t>
  </si>
  <si>
    <t>BOMBA DE ACHIQUE DE 4" (HP 9 )</t>
  </si>
  <si>
    <t>BOMBA DE ACHIQUE DE 6" (HP 18 )</t>
  </si>
  <si>
    <t>REPOSICION DE ASFALTO</t>
  </si>
  <si>
    <t>PREPARACION DE BASE</t>
  </si>
  <si>
    <t>3.1.1</t>
  </si>
  <si>
    <t>EXTRACCION Y RECOLOCACION DE MATERIAL DE BASE</t>
  </si>
  <si>
    <t>M3E</t>
  </si>
  <si>
    <t>ASFALTADO</t>
  </si>
  <si>
    <t>3.2.1</t>
  </si>
  <si>
    <t>RIEGO DE ADHERENCIA</t>
  </si>
  <si>
    <t>3.2.2</t>
  </si>
  <si>
    <t>SUMINISTRO Y COLOCACION DE ASFALTO</t>
  </si>
  <si>
    <t>M3C</t>
  </si>
  <si>
    <t>3.3.3</t>
  </si>
  <si>
    <t xml:space="preserve">TRANSPORTE DE ASFALTO </t>
  </si>
  <si>
    <t>M3EXKM</t>
  </si>
  <si>
    <t>CAMPAMENTO (INC. OFICINAS, FACILIDADES Y BANOS)</t>
  </si>
  <si>
    <t>MES</t>
  </si>
  <si>
    <t>VALLA ANUNCIANDO OBRA 16' X 10' IMPRESION FULL COLOR CONTENIENDO LOGO DE INAPA, NOMBRE DE PROYECTO Y CONTRATISTA. ESTRUCTURA EN TUBOS GALVANIZADOS 1 1/2"X 1 1/2" Y SOPORTES EN TUBO CUAD. 4" X 4"</t>
  </si>
  <si>
    <t>SUB-TOTAL FASE Z</t>
  </si>
  <si>
    <t>SUB-TOTAL GENERAL</t>
  </si>
  <si>
    <t>GASTOS INDIRECTOS</t>
  </si>
  <si>
    <t>HONORARIOS PROFESIONALES</t>
  </si>
  <si>
    <t>TRANSPORTE</t>
  </si>
  <si>
    <t>SEGUROS,POLIZA Y FINANZA</t>
  </si>
  <si>
    <t>GASTOS  ADMINISTRATIVOS</t>
  </si>
  <si>
    <t>SUPERVISION DE LA OBRA</t>
  </si>
  <si>
    <t>ESTUDIOS Y DISENOS</t>
  </si>
  <si>
    <t>LEY 3-86</t>
  </si>
  <si>
    <t>ITBIS 07-2007</t>
  </si>
  <si>
    <t>IMPREVISTOS</t>
  </si>
  <si>
    <t xml:space="preserve">MANTENIMIENTO Y OPERACION SISTEMA </t>
  </si>
  <si>
    <t>COMPRA DE TERRENO P/PLANTA</t>
  </si>
  <si>
    <t>TOTAL GASTOS INDIRECTOS</t>
  </si>
  <si>
    <t xml:space="preserve">TOTAL A CONTRATAR EN RD$ </t>
  </si>
  <si>
    <t xml:space="preserve">                PREPARADO POR:</t>
  </si>
  <si>
    <t>REVISADO POR:</t>
  </si>
  <si>
    <t>ING. MARIA ISABEL MORALES</t>
  </si>
  <si>
    <t>ING. RAMONA MONTAS</t>
  </si>
  <si>
    <t xml:space="preserve">   ING. DEPTO. COSTOS Y PRESUPUESTOS</t>
  </si>
  <si>
    <t xml:space="preserve"> </t>
  </si>
  <si>
    <t xml:space="preserve">             SOMETIDO  POR:                                        :</t>
  </si>
  <si>
    <t>VISTO BUENO :</t>
  </si>
  <si>
    <t xml:space="preserve">        </t>
  </si>
  <si>
    <t xml:space="preserve">  </t>
  </si>
  <si>
    <t xml:space="preserve">        ING. CLAUDIA DE LEON</t>
  </si>
  <si>
    <t>ING. LEONARDO PEREZ</t>
  </si>
  <si>
    <t xml:space="preserve">   ENC. DEPTO. COSTOS Y PRESUPUESTOS</t>
  </si>
  <si>
    <t>DIRECTOR DE INGENIERIA</t>
  </si>
  <si>
    <t>REUBICACIÓN COLECTORA LAS MATAS DE FARFÁN</t>
  </si>
  <si>
    <t>MUNICIPIO LAS MATAS DE FARFÁN</t>
  </si>
  <si>
    <t>DE Ø24" PVC SRD-32.5 C/JUNTA GOMA + 4% DE PERDIDA</t>
  </si>
  <si>
    <t>REGISTROS Y BADENES</t>
  </si>
  <si>
    <t>DEMOLICION  Y BOTE DE REGISTRO EXISTENTE</t>
  </si>
  <si>
    <t>DEMOLICION  Y BOTE DE BADÉN EXISTENTE</t>
  </si>
  <si>
    <t>SUMINISTRO DE TUBERIA DE Ø4" PVC SDR-32.5 C/J.G.</t>
  </si>
  <si>
    <t xml:space="preserve">COLOCACION DE TUBERIA Ø4" PVC SDR-32.5 C/J.G. </t>
  </si>
  <si>
    <t>SUMINISTRO  YEE 8" x 4"  PVC C/J/G</t>
  </si>
  <si>
    <t xml:space="preserve">SUMINISTRO CODO 4" x 45º  PVC </t>
  </si>
  <si>
    <t>SUMINISTRO TAPON 4" PVC</t>
  </si>
  <si>
    <t>EXCAVACION MATERIAL COMPACTO CON EQUIPO</t>
  </si>
  <si>
    <t>RELLENO COMPACTADO EN CAPAS DE 0.30</t>
  </si>
  <si>
    <t>BOTE DE MATERIAL C/CAMION D=5 KM</t>
  </si>
  <si>
    <t xml:space="preserve"> MANO DE OBRA </t>
  </si>
  <si>
    <t>PRUEBAS DE TUBERÍAS</t>
  </si>
  <si>
    <t>CAIDAS</t>
  </si>
  <si>
    <t xml:space="preserve"> ACOMETIDAS DOMICILIARIAS 8" x 4"PVC SDR- 32.5 (70 U)</t>
  </si>
  <si>
    <t xml:space="preserve"> ACOMETIDAS DOMICILIARIAS 4" DIRECTO A REGISTRO 6M (20U)</t>
  </si>
  <si>
    <t>DE 1.00M A 2.00M</t>
  </si>
  <si>
    <t>DE 2.00 M A 3.00 M</t>
  </si>
  <si>
    <t>DE 3.00 M A 4.00 M</t>
  </si>
  <si>
    <t xml:space="preserve">REGISTRO PREFABRICADO H. A. DE 1.00 M A 1.50 M. </t>
  </si>
  <si>
    <t xml:space="preserve">REGISTRO PREFABRICADO H. A. DE 1.50 M A 2.00 M. </t>
  </si>
  <si>
    <t xml:space="preserve">REGISTRO PREFABRICADO H. A. DE 2.00 M A 2.50 M. </t>
  </si>
  <si>
    <t xml:space="preserve">REGISTRO PREFABRICADO H. A. DE 2.50 M A 3.00 M. </t>
  </si>
  <si>
    <t xml:space="preserve">REGISTRO PREFABRICADO H. A. DE 3.50 M A 4.00M. </t>
  </si>
  <si>
    <t xml:space="preserve">REGISTRO PREFABRICADO H. A. DE 4.50 M A 5.00 M. </t>
  </si>
  <si>
    <t xml:space="preserve">REGISTRO PREFABRICADO H. A. DE 5.50 M A 6.00 M. </t>
  </si>
  <si>
    <t xml:space="preserve">REGISTRO PREFABRICADO H. A. DE 6.00 M A 6.50 M. </t>
  </si>
  <si>
    <t>BADENES</t>
  </si>
  <si>
    <t>PREPARACIÓN DE SUPERFICIE</t>
  </si>
  <si>
    <r>
      <t>CONSTRUCCIÓN DE BADÉN (L=10M A=2.5M E=0.15) F´C= 280KG/CM</t>
    </r>
    <r>
      <rPr>
        <vertAlign val="superscript"/>
        <sz val="10"/>
        <rFont val="Arial"/>
        <family val="2"/>
      </rPr>
      <t xml:space="preserve">2 </t>
    </r>
    <r>
      <rPr>
        <sz val="10"/>
        <rFont val="Cambria"/>
        <family val="1"/>
      </rPr>
      <t>Y ACERO FY= 4200 210KG/CM</t>
    </r>
    <r>
      <rPr>
        <vertAlign val="superscript"/>
        <sz val="10"/>
        <rFont val="Cambria"/>
        <family val="1"/>
      </rPr>
      <t>2</t>
    </r>
    <r>
      <rPr>
        <sz val="10"/>
        <rFont val="Cambria"/>
        <family val="1"/>
      </rPr>
      <t xml:space="preserve">  Ø 3/8" @0.25M</t>
    </r>
  </si>
  <si>
    <t>Unidad</t>
  </si>
  <si>
    <t>Descripción</t>
  </si>
  <si>
    <t>Listado de Análisis de Costos del Presupuesto</t>
  </si>
  <si>
    <t>No hecho</t>
  </si>
  <si>
    <t>Cantidades</t>
  </si>
  <si>
    <t>Análisis de Costo</t>
  </si>
  <si>
    <t>Hecho</t>
  </si>
  <si>
    <t>MOVIMIENTO DE TIERRA</t>
  </si>
  <si>
    <t>CANTIDAD</t>
  </si>
  <si>
    <t>M³</t>
  </si>
  <si>
    <t>MUROS DE BLOQUES</t>
  </si>
  <si>
    <t>M²</t>
  </si>
  <si>
    <t>TERMINACIÓN  DE SUPERFICIE</t>
  </si>
  <si>
    <t>INSTALACIONES SANITARIA</t>
  </si>
  <si>
    <t>INSTALACIONES ELÉCTRICAS</t>
  </si>
  <si>
    <t>P²</t>
  </si>
  <si>
    <t>INSTALACIONES SANITARIAS</t>
  </si>
  <si>
    <t xml:space="preserve">P.A </t>
  </si>
  <si>
    <t>Replanteo</t>
  </si>
  <si>
    <t>Bote de material in situ</t>
  </si>
  <si>
    <t>Bloques de 6" S.N.P.</t>
  </si>
  <si>
    <t>Bloques calado</t>
  </si>
  <si>
    <t>Pañete en techo</t>
  </si>
  <si>
    <t>Pañete interior</t>
  </si>
  <si>
    <t>Pañete exterior y vuelos</t>
  </si>
  <si>
    <t xml:space="preserve">Cantos y mocheta </t>
  </si>
  <si>
    <t>Antepecho</t>
  </si>
  <si>
    <t>Fino de techo</t>
  </si>
  <si>
    <t>Pintura base blanca</t>
  </si>
  <si>
    <t xml:space="preserve">Acrílica azul turquesa en vigas y columnas </t>
  </si>
  <si>
    <t xml:space="preserve">Cerámica criolla en piso, incluye bañera </t>
  </si>
  <si>
    <t>Acera perimetral 0.80 m</t>
  </si>
  <si>
    <t>Inodoro completo</t>
  </si>
  <si>
    <t xml:space="preserve">Lavamanos blanco para empotrar incluye mezcladora </t>
  </si>
  <si>
    <t>Desagüe de piso</t>
  </si>
  <si>
    <t>Desagüe de techo</t>
  </si>
  <si>
    <t xml:space="preserve">Cámara de inspección, según detalle </t>
  </si>
  <si>
    <t xml:space="preserve">Cámara de séptica, según detalle  </t>
  </si>
  <si>
    <t xml:space="preserve">Tuberías y piezas para conexión de agua potable, ventilación y drenaje sanitario </t>
  </si>
  <si>
    <t>Salidas cenitales</t>
  </si>
  <si>
    <t>Salida interruptor sencillo</t>
  </si>
  <si>
    <t xml:space="preserve">Limpieza final, incluye personal y bote </t>
  </si>
  <si>
    <t>Honorarios Profesionales</t>
  </si>
  <si>
    <t>Gastos Administrativos</t>
  </si>
  <si>
    <t>Ley 6-86</t>
  </si>
  <si>
    <t>Imprevistos</t>
  </si>
  <si>
    <t>Seguros, Pólizas y Fianzas</t>
  </si>
  <si>
    <t>Supervisión de la Obra</t>
  </si>
  <si>
    <t>Gastos de Transporte</t>
  </si>
  <si>
    <t>Zapata de muros 0.78 qq/m³</t>
  </si>
  <si>
    <t>Bloques de 6" B.N.P.</t>
  </si>
  <si>
    <t xml:space="preserve">Urinales </t>
  </si>
  <si>
    <t xml:space="preserve">Suministro e instalación tinaco 700 gls, inc. piezas, accesorios </t>
  </si>
  <si>
    <t>Mano de obra plomería en general</t>
  </si>
  <si>
    <t>Cerámica criolla en baño (incluye paredes del en area de inodoro y lavamano h= 1.50 m.)</t>
  </si>
  <si>
    <t>Tope en granito natural brasil, todo costo</t>
  </si>
  <si>
    <t>Suministro y colocacion de falso techo en plafon, pvc todo costos</t>
  </si>
  <si>
    <t>Juego de accesorios de baño cristal y cromado</t>
  </si>
  <si>
    <t>Mampara de cristal templado para bañera 1.00m x 2.33m x 8mm</t>
  </si>
  <si>
    <t>Barra de seguridad acero inoxidable ducha/indoro 40cms</t>
  </si>
  <si>
    <t xml:space="preserve">Juego accesorios dispensador de papel </t>
  </si>
  <si>
    <t>Juego accesorios dispensador de jabon</t>
  </si>
  <si>
    <t>Obra : CONSTRUCCIÓN SISTEMA DE SANEAMIENTO ARROYO GURABO Y SU ENTORNO, MUNICIPIO SANTIAGO  
           (CONSTRUCCIÓN VÍAS DE CIRCULACIÓN, ILUMINACIÓN Y PAISAJISMO)</t>
  </si>
  <si>
    <t xml:space="preserve">Ubicacion: PROVINCIA SANTIAGO </t>
  </si>
  <si>
    <t>Zona : V</t>
  </si>
  <si>
    <t>Nº</t>
  </si>
  <si>
    <t>DESCRIPCIÓN</t>
  </si>
  <si>
    <t>P.U. (RD$)</t>
  </si>
  <si>
    <t>VALOR (RD$)</t>
  </si>
  <si>
    <t>CONSTRUCCIÓN DE VÍAS (3,8 KM)</t>
  </si>
  <si>
    <t>REPLANTEO Y CONTROL TOPOGRÁFICO</t>
  </si>
  <si>
    <t>Visitas</t>
  </si>
  <si>
    <t>2</t>
  </si>
  <si>
    <t>2.1</t>
  </si>
  <si>
    <t>Corte material no clasificado c/equipo</t>
  </si>
  <si>
    <t>M³N</t>
  </si>
  <si>
    <t>2.2</t>
  </si>
  <si>
    <t>Bote de  material c/camion dist.5km (incluye esparcimiento en botadero)</t>
  </si>
  <si>
    <t>M³E</t>
  </si>
  <si>
    <t>2.3</t>
  </si>
  <si>
    <t>Suministro de material sub- base e=30 cm dist. aprox 20.00 km</t>
  </si>
  <si>
    <t>2.4</t>
  </si>
  <si>
    <t>Suministro de material base e=20 cm dist. aprox 20.00 km</t>
  </si>
  <si>
    <t>2.5</t>
  </si>
  <si>
    <t>Imprimación simple</t>
  </si>
  <si>
    <t>2.6</t>
  </si>
  <si>
    <t>Suministro y colocación de asfalto e=3" ( incl. Riego de Adherencia)</t>
  </si>
  <si>
    <t>2.7</t>
  </si>
  <si>
    <r>
      <t>Transporte de asfalto, distancia aproximada de 20</t>
    </r>
    <r>
      <rPr>
        <b/>
        <sz val="10"/>
        <color indexed="10"/>
        <rFont val="Arial"/>
        <family val="2"/>
      </rPr>
      <t>.</t>
    </r>
    <r>
      <rPr>
        <sz val="10"/>
        <rFont val="Arial"/>
        <family val="2"/>
      </rPr>
      <t>00 km</t>
    </r>
  </si>
  <si>
    <t>M³/KM</t>
  </si>
  <si>
    <t>3</t>
  </si>
  <si>
    <t>ACERAS Y CONTENES</t>
  </si>
  <si>
    <t>3.1</t>
  </si>
  <si>
    <t>Construcción de aceras</t>
  </si>
  <si>
    <t>3.2</t>
  </si>
  <si>
    <t>Construcción de contenes</t>
  </si>
  <si>
    <t>3.3</t>
  </si>
  <si>
    <t>Barandas de protección</t>
  </si>
  <si>
    <t>4</t>
  </si>
  <si>
    <t>CICLOVÍA</t>
  </si>
  <si>
    <t>4.1</t>
  </si>
  <si>
    <t>4.2</t>
  </si>
  <si>
    <t>4.3</t>
  </si>
  <si>
    <t>4.4</t>
  </si>
  <si>
    <t>Suministro y colocación de asfalto e=2" ( incl. Riego de Adherencia)</t>
  </si>
  <si>
    <t>4.5</t>
  </si>
  <si>
    <t>4.6</t>
  </si>
  <si>
    <t>Construcción de acera</t>
  </si>
  <si>
    <t>4.7</t>
  </si>
  <si>
    <t>Control y Manejo de Tránsito ( incluye uso de letreros, uso de de conos refractarios y hombres con banderolas)</t>
  </si>
  <si>
    <t>Senalización, Manejo de Tránsito y Seguridad en la Vía</t>
  </si>
  <si>
    <t>Limpieza continua y final</t>
  </si>
  <si>
    <t>ILUMINACION VÍAS Y AREA DE RECREACIÓN (3,680 M, AMBOS LADOS)</t>
  </si>
  <si>
    <t>ILUMINACIÓN EXTERNA</t>
  </si>
  <si>
    <t>Postes de aluminio, 35´ 500 dam (para trafo)</t>
  </si>
  <si>
    <t xml:space="preserve">Postes de aluminio, 30´ 300 dam </t>
  </si>
  <si>
    <t>Alambre AAAC No. 1/0</t>
  </si>
  <si>
    <t>Pies</t>
  </si>
  <si>
    <t>Estructura MT-105</t>
  </si>
  <si>
    <t>Estructura F1-BT</t>
  </si>
  <si>
    <t>Estructura F2-BT</t>
  </si>
  <si>
    <t>Estructura TR- 105 (con transformador de distribución tipo poste sumergido en aceite, potencia 15 kva, voltaje 7.2-120/240 v., Ø1)</t>
  </si>
  <si>
    <t xml:space="preserve">Estructura AP-101 (con lámparas Led tipo Cobra de 200 W, 240 V. </t>
  </si>
  <si>
    <t>Alimentador eléctrico para iluminación con alambre triplex no. 2</t>
  </si>
  <si>
    <t>Hoyos para postes</t>
  </si>
  <si>
    <t>Instalación de postes</t>
  </si>
  <si>
    <t>Base de hormigon simple con pernos para instalación de postes</t>
  </si>
  <si>
    <t>Mano de obra (20%) (desde partida 1.3 hasta partida 1.7)</t>
  </si>
  <si>
    <t>SUB-TOTAL GENERAL B</t>
  </si>
  <si>
    <t xml:space="preserve">ENCACHE CAÑADAS EXISTENTES  Y COLOCACIÓN DE ALCANTARILLAS PARA INTERCEPTAR CANAL PRINCIPAL: CANTIDAD DE CAÑADAS A INTERCEPTAR 5, LONGITUD DE ENCACHE 50 M EN CADA UNA, SECCIÓN TRAPEZOIDAL PROMEDIO B=3M B=6 H=1.5M. COLOCACIÓN DE TUBERÍA Ø60” H.A PARA ALCANTARILLAS LONGITUD 200 M </t>
  </si>
  <si>
    <t>ENCACHE</t>
  </si>
  <si>
    <t>PRELIMINARES</t>
  </si>
  <si>
    <t>Replanteo y Control topográfico</t>
  </si>
  <si>
    <t>MOVIMIENTO DE TIERRA.</t>
  </si>
  <si>
    <t>Excavacion de material no clasificado con equipo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</si>
  <si>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N</t>
    </r>
  </si>
  <si>
    <t>Conformación de talud</t>
  </si>
  <si>
    <t>M³C</t>
  </si>
  <si>
    <t xml:space="preserve">Suministro material de mina </t>
  </si>
  <si>
    <t>Relleno compactado con caliche y equipo mecánico</t>
  </si>
  <si>
    <t xml:space="preserve">Bote de material con camión D= 5 km (incluye carguío y esparcimiento en botadero) </t>
  </si>
  <si>
    <t>REVESTIMIENTO  EN TALUD:</t>
  </si>
  <si>
    <t>Encaches  laterales y fondo 20 cm</t>
  </si>
  <si>
    <t>II</t>
  </si>
  <si>
    <t xml:space="preserve">TUBERÍA Ø36” H.A PARA ALCANTARILLAS LONGITUD 200M </t>
  </si>
  <si>
    <t>1.1</t>
  </si>
  <si>
    <t>Replanteo y control topográfico</t>
  </si>
  <si>
    <t>Excavación material no clasificado c/equipo</t>
  </si>
  <si>
    <t>Excavación material roca  c/equipo (incluye extracción)</t>
  </si>
  <si>
    <t>Regularización de fondo zanja</t>
  </si>
  <si>
    <r>
      <t>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</t>
    </r>
  </si>
  <si>
    <t>Relleno compactado con compactador mecánico en capas de 0.20m</t>
  </si>
  <si>
    <t>Bote de  material c/camión dist.5km (incluye esparcimiento en botadero)</t>
  </si>
  <si>
    <t>SUMINISTRO DE TUBERÍA</t>
  </si>
  <si>
    <t>De 60" H.A. Clase II</t>
  </si>
  <si>
    <t>COLOCACIÓN DE TUBERÍA</t>
  </si>
  <si>
    <t>CABEZAL DE DESCARGA</t>
  </si>
  <si>
    <t>CONSTRUCCIÓN DE ÁREAS RECREATIVAS, DEPORTIVAS Y PAISAJISMO</t>
  </si>
  <si>
    <t>D.1</t>
  </si>
  <si>
    <t>ÁREAS DE JUEGOS INFANTILES, PARQUES DE EJERCICIOS Y PAISAJISMO</t>
  </si>
  <si>
    <t>Excavación de material no clasificado c/equipo</t>
  </si>
  <si>
    <t>Relleno de material compactado c/compactador mecánico</t>
  </si>
  <si>
    <t>ÁREAS DE JUEGOS INFANTILES (SEGÚN DISEÑO) (2 UD)</t>
  </si>
  <si>
    <t>Suministro y colocación de arena, e=0.15m</t>
  </si>
  <si>
    <t>Piso de hormigón estampado en accesos internos, e=0.15m</t>
  </si>
  <si>
    <t>Rueda giratoria</t>
  </si>
  <si>
    <t>Balancín</t>
  </si>
  <si>
    <t>Tobogán</t>
  </si>
  <si>
    <t>Columpio triple</t>
  </si>
  <si>
    <t>Barra escaladora o Juego de Pasamanos</t>
  </si>
  <si>
    <t>Módulo de juegos múltiples</t>
  </si>
  <si>
    <t>Tobogán con centro de juegos con deslizador</t>
  </si>
  <si>
    <t>ÁREA DE SENDEROS</t>
  </si>
  <si>
    <t>Camino de hormigón para peatones, Ancho=1.20m</t>
  </si>
  <si>
    <t>EMBELLECIMIENTO Y JARDINERÍA GENERAL (INCLUYE SUMINISTRO, SEMBRADO Y MANTENIMIENTO POR 2 MESES)</t>
  </si>
  <si>
    <t>Grama</t>
  </si>
  <si>
    <t>Grava</t>
  </si>
  <si>
    <t>Árbol Mara</t>
  </si>
  <si>
    <t>Árbol Caoba</t>
  </si>
  <si>
    <t>Árbol Almácigo</t>
  </si>
  <si>
    <t>Árbol Avellano</t>
  </si>
  <si>
    <t>Árbol Caimito cimarrón</t>
  </si>
  <si>
    <t>Árbol Roble criollo</t>
  </si>
  <si>
    <t>Árbol Roblillo</t>
  </si>
  <si>
    <t>Árbol Samán</t>
  </si>
  <si>
    <t>Árbol Frijolito</t>
  </si>
  <si>
    <t>Árbol Penda</t>
  </si>
  <si>
    <t>Árbol Grigrí</t>
  </si>
  <si>
    <t>Árbol Guayacán</t>
  </si>
  <si>
    <t>Árbol Ceiba</t>
  </si>
  <si>
    <t>Árbol Caracolí</t>
  </si>
  <si>
    <t>Árbol Campeche</t>
  </si>
  <si>
    <t>Árbol Copey</t>
  </si>
  <si>
    <t>Árbol Juan Primero</t>
  </si>
  <si>
    <t>Árbol Caya amarilla</t>
  </si>
  <si>
    <t>Árbol Higuero</t>
  </si>
  <si>
    <t>Palma Real</t>
  </si>
  <si>
    <t>Palma Cana</t>
  </si>
  <si>
    <t>Palma Guano</t>
  </si>
  <si>
    <t>Guáyiga</t>
  </si>
  <si>
    <t>Arrayán</t>
  </si>
  <si>
    <t>Busunuco</t>
  </si>
  <si>
    <t>Alelí</t>
  </si>
  <si>
    <t>Saúco amarillo</t>
  </si>
  <si>
    <t>Doña Sanica</t>
  </si>
  <si>
    <t>Oreja de Elefante</t>
  </si>
  <si>
    <t>Costilla de Adán</t>
  </si>
  <si>
    <t>Uva de playa</t>
  </si>
  <si>
    <t>Tierra negra con abono</t>
  </si>
  <si>
    <t>Requilete en áreas verdes</t>
  </si>
  <si>
    <t>Tuberías y piezas de agua potable para regado de áreas verdes</t>
  </si>
  <si>
    <t>P.A.</t>
  </si>
  <si>
    <t>Suministro y colocación de banco de hormigón (Según diseño)</t>
  </si>
  <si>
    <t>Suministro y colocación de zafacones triples de reciclaje</t>
  </si>
  <si>
    <t>Limpieza final y continua</t>
  </si>
  <si>
    <t>SUB-TOTAL FASE  D.1</t>
  </si>
  <si>
    <t>D.2</t>
  </si>
  <si>
    <t>CANCHA MIXTA DE 32.00 M X 19.00 M</t>
  </si>
  <si>
    <t xml:space="preserve">Replanteo </t>
  </si>
  <si>
    <t>Suministro de material de mina</t>
  </si>
  <si>
    <t>Bote de material sobrante c/camión (Incluye esparcimiento en botadero)</t>
  </si>
  <si>
    <t>HORMIGÓN ARMADO F'c 210 KG/CM² EN:</t>
  </si>
  <si>
    <t>Zapata de muros bordillo (0.45m x 0.20m)</t>
  </si>
  <si>
    <t>Zapata columnas soporte (0.80m x 1.70m x 0.50m)</t>
  </si>
  <si>
    <t>Columnas soporte</t>
  </si>
  <si>
    <t>BLOQUES DE HORMIGÓN EN:</t>
  </si>
  <si>
    <t>Bordillo de 0.15 m (B.N.P.)</t>
  </si>
  <si>
    <t>TERMINACIÓN DE SUPERFICIE</t>
  </si>
  <si>
    <t>Pañete en exterior</t>
  </si>
  <si>
    <t>Pañete liso en columnas</t>
  </si>
  <si>
    <t>Fraguache</t>
  </si>
  <si>
    <t>Cantos en general</t>
  </si>
  <si>
    <t>TERMINACIÓN DE PISOS</t>
  </si>
  <si>
    <t>De H.A. con malla electrosoldada 1/4" (H=0.10 m)</t>
  </si>
  <si>
    <t>MISCELANEOS (SUMINISTRO E INSTALACIÓN)</t>
  </si>
  <si>
    <t>Tablero de fibra de vidrio para basketball (incluye aro y malla)</t>
  </si>
  <si>
    <t>Poste volleyball y cajuelas (Tubo 2 1/2" x 10' y Tubo de 3" x 2")</t>
  </si>
  <si>
    <t xml:space="preserve">Malla de volleyball </t>
  </si>
  <si>
    <t>PINTURA</t>
  </si>
  <si>
    <t xml:space="preserve">Pintura acrílica en columnas </t>
  </si>
  <si>
    <t>Pintura a base de aceite especial antideslizante para piso de canchas, color rojo positivo</t>
  </si>
  <si>
    <t>Pintura a base de aceite especial antideslizante para piso de canchas, color verde</t>
  </si>
  <si>
    <t>Pintura a base de aceite especial antideslizante para piso de canchas, color azul</t>
  </si>
  <si>
    <t>Señalización en cancha con líneas 5 cm, color blanco</t>
  </si>
  <si>
    <t>SUB-TOTAL I</t>
  </si>
  <si>
    <t>GRADERÍA EN CANCHA MIXTA</t>
  </si>
  <si>
    <t>Zapata de muro de 6" (0.45m x 0.25m)</t>
  </si>
  <si>
    <t>Viga V1</t>
  </si>
  <si>
    <t>Losa de asiento e=0.13 m</t>
  </si>
  <si>
    <t>MURO DE BLOQUES</t>
  </si>
  <si>
    <t>Bloque de muro de 6" B.N.P.</t>
  </si>
  <si>
    <t>Bloque de muro de 6" S.N.P.</t>
  </si>
  <si>
    <t xml:space="preserve">Pañete en muros </t>
  </si>
  <si>
    <t xml:space="preserve">Pañete en  vigas </t>
  </si>
  <si>
    <t xml:space="preserve">Pañete  pulido en asientos </t>
  </si>
  <si>
    <t>Cantos</t>
  </si>
  <si>
    <t>Pintura de base en muros</t>
  </si>
  <si>
    <t>Pintura acrílica en muros</t>
  </si>
  <si>
    <t>MISCELANEOS</t>
  </si>
  <si>
    <t>Barandas de H.G. sobre muros de bloques</t>
  </si>
  <si>
    <t>Escalones de cemento</t>
  </si>
  <si>
    <t>SUB-TOTAL II</t>
  </si>
  <si>
    <t>SUB-TOTAL FASE  D.2</t>
  </si>
  <si>
    <t>D.3</t>
  </si>
  <si>
    <t>CANCHA VOLEYBALL DE 32.00 M X 19.00 M</t>
  </si>
  <si>
    <t>HORMIGÓN ARMADO F'C 210 KG/CM² EN:</t>
  </si>
  <si>
    <t>GRADERÍA EN CANCHA VOLEYBALL</t>
  </si>
  <si>
    <t>SUB-TOTAL FASE  D.3</t>
  </si>
  <si>
    <t>D.4</t>
  </si>
  <si>
    <t>Excavación de material compacto a mano</t>
  </si>
  <si>
    <t>Zapata de columna (1.00m x 1.00m x 0.30m) - 1.86qq/m³</t>
  </si>
  <si>
    <t>Columna D=0.40m - 2.11 qq/m³</t>
  </si>
  <si>
    <t>Viga Canal VT - 2.50 qq/m³</t>
  </si>
  <si>
    <t>Losa de fondo e=0.15m - 0.82 qq/m³</t>
  </si>
  <si>
    <t xml:space="preserve">Pañete general </t>
  </si>
  <si>
    <t>Pintura en general</t>
  </si>
  <si>
    <t>Capitel decorativo sobre columna de D= 40 cms a base de mezcla cemento-arena 1:3, con un alambron de 1/4″ como refuerzo por temperatura, acabado pulido, incluye: material, mano de obra y herramienten columnas</t>
  </si>
  <si>
    <t xml:space="preserve">Basamento decorativo sobre columna de D= 40 cms a base de mezcla cemento-arena 1:3, con un alambron de 1/4″ como refuerzo por temperatura, acabado pulido, incluye: </t>
  </si>
  <si>
    <t>Gotero</t>
  </si>
  <si>
    <t>Desagüe de techo de Ø3"  (Dseño según detalle de diseño.)</t>
  </si>
  <si>
    <t>Pintura Impermeabilizante en canaleta (3 Manos)</t>
  </si>
  <si>
    <t>SUMINISTRO E INTALACION DE TECHO EN ESTRUCTURA METÁLICA</t>
  </si>
  <si>
    <t>Channell 6" x 2" x 15.10' (vigas)</t>
  </si>
  <si>
    <t>Channell 4" x 2" x 30' (correas)</t>
  </si>
  <si>
    <t xml:space="preserve">HSS 6"x 6" x 3/16'  x 0.70' para unión </t>
  </si>
  <si>
    <t>Cubierta de aluzicn calibre 26 liso (Dseño según detalle de diseño)</t>
  </si>
  <si>
    <t>Cubierta en Tejas Plastica (Dseño según detalle de diseño)</t>
  </si>
  <si>
    <t xml:space="preserve">Cubrefalta techo </t>
  </si>
  <si>
    <t xml:space="preserve">MISCELANEOS </t>
  </si>
  <si>
    <t>Acera perimetral de 1.00  M</t>
  </si>
  <si>
    <t xml:space="preserve">Limpieza final y continual </t>
  </si>
  <si>
    <t>SUB-TOTAL FASE  D.4</t>
  </si>
  <si>
    <t>D.5</t>
  </si>
  <si>
    <t>ESTACIÓN DE POLICIA (14.10 M X 7.50 M)</t>
  </si>
  <si>
    <t>Remoción de capa vegetal 330m²  e=0.20m</t>
  </si>
  <si>
    <t>Charrancha y replateo</t>
  </si>
  <si>
    <t xml:space="preserve">Caseta de Materiales 12' x 32' </t>
  </si>
  <si>
    <t>Fumigación</t>
  </si>
  <si>
    <t>Excavación en material no clasificado a mano</t>
  </si>
  <si>
    <t>Relleno de reposición</t>
  </si>
  <si>
    <t>Zapata para muros - 0.97 qq/m³</t>
  </si>
  <si>
    <t>Zapata para muros - 1.02 qq/m³</t>
  </si>
  <si>
    <t>Zapata para columnas - 1.83 qq/m³</t>
  </si>
  <si>
    <t>Columnas de Amarre 0.15m x 0.20m (10ud) - 4.13 qq/m³</t>
  </si>
  <si>
    <t>Columnas circulares d=0.25m - 4.07 qq/m³</t>
  </si>
  <si>
    <t>Vigas de Amarre 0.15m x 0.20m x 43.00 a nivel de piso - 4.87 qq/m³</t>
  </si>
  <si>
    <t>Vigas de Amarre 0.15m x 0.20m a nivel de techo - 4.87 qq/m³</t>
  </si>
  <si>
    <t>Viga en de carga 0.20m x 0.30m - 4.17 qq/m³</t>
  </si>
  <si>
    <t>Refuerzo plano 0.20m x 0.30m L=6.50m</t>
  </si>
  <si>
    <t>Dinteles (0.15m x 0.50m) - 2.98 qq/m³</t>
  </si>
  <si>
    <t>Losa de Techo e=0.12m -1.21 qq/m³</t>
  </si>
  <si>
    <t>Viga de carga en arco (0.20m x 0.30m) - 4.69 qq/m³</t>
  </si>
  <si>
    <t>Losa en arco convencional e=0.10m -1.34 qq/m³</t>
  </si>
  <si>
    <t>De 6'' Ø3/8" a 0.40 m B.N.P.</t>
  </si>
  <si>
    <t>De 6'' Ø3/8" a 0.80 m S.N.P.</t>
  </si>
  <si>
    <t>De 4'' Ø3/8" a 0.80 m S.N.P.</t>
  </si>
  <si>
    <t>Antepecho en muros de bloques 6" h=1.00m</t>
  </si>
  <si>
    <t>Pañete en muros Interiores</t>
  </si>
  <si>
    <t>Pañete en muros Exteriores</t>
  </si>
  <si>
    <t>Pañete en interior losa de techo</t>
  </si>
  <si>
    <t>Fraguache sobre superficies.</t>
  </si>
  <si>
    <t>Repello</t>
  </si>
  <si>
    <t>Estrias y/o alto relieve en antepecho frontal</t>
  </si>
  <si>
    <t>Mochetas</t>
  </si>
  <si>
    <t>Cantos en general.</t>
  </si>
  <si>
    <t>VENTANAS (SUMINISTRO E INSTALACIÓN)</t>
  </si>
  <si>
    <t>Ventanas corredizas en aluminio y vidrio color plata</t>
  </si>
  <si>
    <t>Ventanas salomonica en aluminio y vidrio martillado</t>
  </si>
  <si>
    <t>PUERTAS</t>
  </si>
  <si>
    <t>Puerta comercial en cristal y aluminio (0.90m x 2.10m)</t>
  </si>
  <si>
    <t>Puerta Polimetal (1.00m x 2.10m)</t>
  </si>
  <si>
    <t>Puerta Polimetal (0.90m x 2.10m)</t>
  </si>
  <si>
    <t>Puerta Polimetal (0.80m x 2.10m)</t>
  </si>
  <si>
    <t>Puerta Polimetal ( 0.70m X 2.10m)</t>
  </si>
  <si>
    <t>Puerta everdoor (0.60m x 2.10m)</t>
  </si>
  <si>
    <t>Puertas en compartimiento de inodoros</t>
  </si>
  <si>
    <t>Piso en cerámica porcelanato chino</t>
  </si>
  <si>
    <t>Piso de cerámica económica en baños</t>
  </si>
  <si>
    <t>Zócalos de piso</t>
  </si>
  <si>
    <t>Quicios en puertas</t>
  </si>
  <si>
    <t>Acera violinada en perimetro edificio</t>
  </si>
  <si>
    <t>Torta de H.A. e=0.10m con acero de Ø1/4"</t>
  </si>
  <si>
    <t>Piso de H.A. e=0.10m  en parqueo con acero de Ø1/4"</t>
  </si>
  <si>
    <t>REVESTIMIENTO DE PARED</t>
  </si>
  <si>
    <t>Cerámica en pared de baños</t>
  </si>
  <si>
    <t>Cerámica en cocina</t>
  </si>
  <si>
    <t>Inodoro blanco</t>
  </si>
  <si>
    <t>Lavamanos blanco</t>
  </si>
  <si>
    <t>Fregadero de acero inoxidable (sencillo)</t>
  </si>
  <si>
    <t>Ducha</t>
  </si>
  <si>
    <t>Accesorios para Baños</t>
  </si>
  <si>
    <t>Desagüe de piso en 2" PVC</t>
  </si>
  <si>
    <t>Ventilacion de 3" PVC</t>
  </si>
  <si>
    <t>Salidas de Desagüe tuberia PVC 2"</t>
  </si>
  <si>
    <t>Desagüe de techo Ø 4" PVC</t>
  </si>
  <si>
    <t>Trampa de Grasa (1.00m x 1.00m x 1.00m)</t>
  </si>
  <si>
    <t xml:space="preserve">Registro Sanitario (0.60m x 0.60m x 0.70m)  </t>
  </si>
  <si>
    <t>Cisterna para 4000 gl (3.6m x 3.00m x 2.00m)</t>
  </si>
  <si>
    <t>Cámara Septica (1.70m x 3.40m x 1.60m)</t>
  </si>
  <si>
    <t>Llave de chorro</t>
  </si>
  <si>
    <t>Tinaco de 500 gls</t>
  </si>
  <si>
    <t>Pozo tubular para agua potable</t>
  </si>
  <si>
    <t>Filtrante en 8"</t>
  </si>
  <si>
    <t>Bomba Myers para cisterna de 2HP</t>
  </si>
  <si>
    <t>Tanque hidroneumatico de 120 gls</t>
  </si>
  <si>
    <t>Suministro e instalación Plafond en PVC en baños</t>
  </si>
  <si>
    <t>Sistema sanitario para cárceles (prevision fondos)</t>
  </si>
  <si>
    <t>Suministro de tuberías y piezas en PVC para aguas residuales</t>
  </si>
  <si>
    <t>Suministro de tuberías y piezas en PVC para agua potable</t>
  </si>
  <si>
    <t>Mano de obra plomero</t>
  </si>
  <si>
    <t>Salidas de luces cenitales</t>
  </si>
  <si>
    <t>Salidas interruptores simples</t>
  </si>
  <si>
    <t>Salidas interruptores dobles</t>
  </si>
  <si>
    <t>Salidas para Tomacorriente 120V</t>
  </si>
  <si>
    <t>Salidas para Tomacorriente 220V</t>
  </si>
  <si>
    <t>Caja de Breakers (8 circuitos)</t>
  </si>
  <si>
    <t>Registros eléctricos</t>
  </si>
  <si>
    <t>Acometida desde transformador hasta medidor</t>
  </si>
  <si>
    <t>Salidas para telefonos.</t>
  </si>
  <si>
    <t>Salidas para red de data y PC</t>
  </si>
  <si>
    <t>Salidas para abanicos de pared</t>
  </si>
  <si>
    <t>Abanicos KDK de pared (suministro y colocación)</t>
  </si>
  <si>
    <t xml:space="preserve">Tuberías y piezas materiales eléctricos                             </t>
  </si>
  <si>
    <t>Mano de obra electricista</t>
  </si>
  <si>
    <t>TERMINACIÓN DE TECHO</t>
  </si>
  <si>
    <t>Fino en techo</t>
  </si>
  <si>
    <t>Zabaleta en techo</t>
  </si>
  <si>
    <t>Impermeabilizante en techo</t>
  </si>
  <si>
    <t>Gotero ranurado</t>
  </si>
  <si>
    <t>TERMINACIÓN DE COCINA</t>
  </si>
  <si>
    <t>Gabinte de piso en pino tratado y plywood</t>
  </si>
  <si>
    <t>Gabinte de pared en pino tratado y plywood</t>
  </si>
  <si>
    <t>Muros de apoyo para tope de granito</t>
  </si>
  <si>
    <t>Tope de marmolite en cocina</t>
  </si>
  <si>
    <t>PINTURA EN GENERAL</t>
  </si>
  <si>
    <t>Acrílica en muros interiores</t>
  </si>
  <si>
    <t>Acrilica en muros exteriores.</t>
  </si>
  <si>
    <t>Acrílica blanca económica en techo</t>
  </si>
  <si>
    <t>Pintura mantenimiento en hierro de cárceles</t>
  </si>
  <si>
    <t>Jardinería</t>
  </si>
  <si>
    <t>Asta para banderas</t>
  </si>
  <si>
    <t>Salida para GLP</t>
  </si>
  <si>
    <t>Escudos</t>
  </si>
  <si>
    <t>Perfiles en fachada  frontal</t>
  </si>
  <si>
    <t>Carpintería metálica en cárceles (rejas de hierro)</t>
  </si>
  <si>
    <t>Limpieza final</t>
  </si>
  <si>
    <t>SUB-TOTAL FASE  D.5</t>
  </si>
  <si>
    <t>D.6</t>
  </si>
  <si>
    <t>Replanteo y charrancha</t>
  </si>
  <si>
    <r>
      <rPr>
        <b/>
        <sz val="10"/>
        <color indexed="8"/>
        <rFont val="Arial"/>
        <family val="2"/>
      </rPr>
      <t>MOVIMIENTO DE TIERRA A MANO</t>
    </r>
    <r>
      <rPr>
        <sz val="10"/>
        <color indexed="8"/>
        <rFont val="Arial"/>
        <family val="2"/>
      </rPr>
      <t xml:space="preserve"> (Incluye excavación de zapatas, reposición de material compactado y bote de material sobrante)</t>
    </r>
  </si>
  <si>
    <t>Zapata de Muro (Incluye Zapata C1)- 0.85 qq/m³</t>
  </si>
  <si>
    <t>Viga de amarre B.N.P. (0.15m x 0.20m) - 3.71 qq/m³</t>
  </si>
  <si>
    <t>Viga de amarre a Nivel de Techo (0.15m x 0.20m) - 3.37 qq/m³</t>
  </si>
  <si>
    <t>Dintel D1 (0.15m x 0.30m)- 2.99 qq/m³</t>
  </si>
  <si>
    <t>Viga Dintel D2 - 2.32 qq/m³</t>
  </si>
  <si>
    <t>Columna (0.30m x0.15m) - 3.03 qq/m³</t>
  </si>
  <si>
    <t>Losa de techo  0.12m - 1.34 qq/m³</t>
  </si>
  <si>
    <t xml:space="preserve">De 6" B.N.P </t>
  </si>
  <si>
    <t>De 6" S.N.P</t>
  </si>
  <si>
    <t xml:space="preserve">Pañete interior </t>
  </si>
  <si>
    <t>Pañete exterior</t>
  </si>
  <si>
    <t xml:space="preserve">Fino de techo </t>
  </si>
  <si>
    <t>Gotero de ranurado</t>
  </si>
  <si>
    <t>Impermeabilizante en techo (tipo sellador)</t>
  </si>
  <si>
    <t>Cerámica  baño</t>
  </si>
  <si>
    <t>Pintura general acrílica (incluye base blanca)</t>
  </si>
  <si>
    <t>Pisos de hormigón con malla electosoldada D2.30x D2.30 (pulido)</t>
  </si>
  <si>
    <t>Acera perimetral de 0.80mt</t>
  </si>
  <si>
    <t>PORTAJE (SUMINISTRO Y COLOCACIÓN)</t>
  </si>
  <si>
    <t xml:space="preserve">Premarco   en puerta y ventanas </t>
  </si>
  <si>
    <t xml:space="preserve">Puerta polimetal inc herraje instalacion y llavin tipo  (2.10x1.00)mt </t>
  </si>
  <si>
    <t>Verja de protección (2.10x1.0)mt</t>
  </si>
  <si>
    <t>VENTANA DE ALUMINIO (INCLUYE COLOCACIÓN)</t>
  </si>
  <si>
    <t>Ventanas  de aluminio  en celosías color blanco, fabricación superior</t>
  </si>
  <si>
    <t>Verja de protección en ventanas</t>
  </si>
  <si>
    <t>INSTALACIÓN SANITARIA</t>
  </si>
  <si>
    <t>Lavamanos sencillos</t>
  </si>
  <si>
    <t>Inodoro</t>
  </si>
  <si>
    <t>Desagüe de piso 3"</t>
  </si>
  <si>
    <t>Columna de ventilación de 3"</t>
  </si>
  <si>
    <t xml:space="preserve">Cámara de inspección </t>
  </si>
  <si>
    <t>Séptico (1.90x1.10) m</t>
  </si>
  <si>
    <t>Tinaco 150gls</t>
  </si>
  <si>
    <t>Pozo Filtrante</t>
  </si>
  <si>
    <t>Barra de cortina baño</t>
  </si>
  <si>
    <t>Tubería 4" PVC  (Drenaje Sanitario) (inc. Movimiento de tierra y colocacion)</t>
  </si>
  <si>
    <t>Mano de obra instalación</t>
  </si>
  <si>
    <t>Entrada general (incluye panel de Braeker de 4/8 circuitos)</t>
  </si>
  <si>
    <t>Salida luces cenitales</t>
  </si>
  <si>
    <t>Salida tomacorrientes Doble 120 V</t>
  </si>
  <si>
    <t>Logo y Letrero de INAPA</t>
  </si>
  <si>
    <t>SUB-TOTAL FASE  D.6</t>
  </si>
  <si>
    <t>D.7</t>
  </si>
  <si>
    <t>CENTRO COMUNAL</t>
  </si>
  <si>
    <t>Excavación material no clasificado a mano</t>
  </si>
  <si>
    <t xml:space="preserve">Relleno de reposición compactado </t>
  </si>
  <si>
    <t>HORMIGÓN ARMADO F'c=280 KG/CM² EN:</t>
  </si>
  <si>
    <t>Zapata de columna Z1 (1.20m x 1.20m) - 2.18 qq/m³</t>
  </si>
  <si>
    <t>Zapata de muros de block de 6" - 0.71 qq/m³</t>
  </si>
  <si>
    <t>Pedestal (0.45m x 0.45m) - 6.94 qq/m³</t>
  </si>
  <si>
    <t>Columna de amarre - 2.97 qq/m³</t>
  </si>
  <si>
    <t>Viga de amarre (0.15m x 0.20m) - 3.66 qq/m³</t>
  </si>
  <si>
    <t>Dintel (0.15m x 0.20m) - 5.47 qq/m³</t>
  </si>
  <si>
    <t>De 6” B.N.P.</t>
  </si>
  <si>
    <t>De 6" S.N.P.</t>
  </si>
  <si>
    <t xml:space="preserve">Fraguache interior elementos de hormigón </t>
  </si>
  <si>
    <t xml:space="preserve">Pañete interior pulido </t>
  </si>
  <si>
    <t xml:space="preserve">Pañete exterior </t>
  </si>
  <si>
    <t xml:space="preserve">Pañete en viga y columna </t>
  </si>
  <si>
    <t>ESTRUCTURA METÁLICA</t>
  </si>
  <si>
    <t>Columna metálica W8x31</t>
  </si>
  <si>
    <t>Lb</t>
  </si>
  <si>
    <t>Viga metálica W10x26</t>
  </si>
  <si>
    <t>Cubierta con plancha de Aluzinc Cal. 26 + Correas en perfiles C8 x 1/16 en H.G. + tillas tensoras en barras HN 1/2"</t>
  </si>
  <si>
    <t>Placa base de 4 3/4" x 9 3/4" x 3/8"</t>
  </si>
  <si>
    <t>Placa base de 3 1/2" x 5 5/8" x 1/2"</t>
  </si>
  <si>
    <t>Placa base de 6" x 9 1/2" x 3/8"</t>
  </si>
  <si>
    <t>Placa base de 5 1/2" x 5 1/2" x 3/4"</t>
  </si>
  <si>
    <t>Pernos de Ø5/8" A325</t>
  </si>
  <si>
    <t>Pernos de Ø3/4" x 10" Hit-HY200+HIT-Z Acero Inoxidable (Incluye resina epóxica para anclajes)</t>
  </si>
  <si>
    <t>Tornillos de Ø1/2" A307</t>
  </si>
  <si>
    <t>Lavamanos</t>
  </si>
  <si>
    <t>Desagüe de piso 2" parrilla acero inoxidable</t>
  </si>
  <si>
    <t xml:space="preserve">Fregadero acero inoxidable doble </t>
  </si>
  <si>
    <t>Trampa de grasa (1.00m x 1.00m x 1.00m)</t>
  </si>
  <si>
    <t>Cámara séptica (1.00m x 2.40m x 1.00m)</t>
  </si>
  <si>
    <t>Registro de inspección (0.60m x 0.60m x 0.75m)</t>
  </si>
  <si>
    <t>Tubería de descarga de Ø4"</t>
  </si>
  <si>
    <t>Tubería de descarga de Ø3"</t>
  </si>
  <si>
    <t>Tubería de descarga de Ø2"</t>
  </si>
  <si>
    <t>Tubería  Ø2" PVC presión (SCH-40)</t>
  </si>
  <si>
    <t>Tubería  Ø1" PVC presión (SCH-40)</t>
  </si>
  <si>
    <t>Tubería  Ø3/4" PVC presión (SCH-40)</t>
  </si>
  <si>
    <t>Tubería  Ø1/2" PVC presión (SCH-40)</t>
  </si>
  <si>
    <t xml:space="preserve">Llave de paso Ø2" </t>
  </si>
  <si>
    <t xml:space="preserve">Llave de paso Ø1/2" </t>
  </si>
  <si>
    <t>Llave de chorro de Ø1/2"</t>
  </si>
  <si>
    <t>Salida interruptor triple</t>
  </si>
  <si>
    <t>Tomacorriente doble 120V</t>
  </si>
  <si>
    <t>Tomacorriente doble 120v sobre meseta</t>
  </si>
  <si>
    <t>Panel distribución 12 espacios con Breaker</t>
  </si>
  <si>
    <t>PISOS Y REVESTIMIENTO</t>
  </si>
  <si>
    <t>Piso de granito (0.30m x 0.30m) fondo gris</t>
  </si>
  <si>
    <t xml:space="preserve">Zócalos de granito (0.07m x 0.30m) fondo gris </t>
  </si>
  <si>
    <t xml:space="preserve">M </t>
  </si>
  <si>
    <t>Cerámica económica cocina</t>
  </si>
  <si>
    <t>Cerámica económica en baños</t>
  </si>
  <si>
    <t xml:space="preserve">Pintura base </t>
  </si>
  <si>
    <t>Pintura acrílica interior</t>
  </si>
  <si>
    <t>Pintura acrílica exterior</t>
  </si>
  <si>
    <t>PUERTA Y VENTANAS</t>
  </si>
  <si>
    <t>Puerta polimetálica blanca 1.20 x 2.10</t>
  </si>
  <si>
    <t>Puerta polimetálica blanca 1.00 x 2.10</t>
  </si>
  <si>
    <t>Puerta polimetálica blanca 0.90 x 2.11</t>
  </si>
  <si>
    <t>Ventana salomónica aluminio</t>
  </si>
  <si>
    <t>MISCELÁNEOS</t>
  </si>
  <si>
    <t>Suministro y colocación de particiones de baños en placa fenólicas con perfilería de anclaje en acero inoxidable.</t>
  </si>
  <si>
    <t>Suministro y colocación de barandas metálica fabricada con perfiles redondo negro de 1 1/2" (incluye pintura anticorrosiva e industrial)</t>
  </si>
  <si>
    <t>Acera de entrada y pasillo de cemento para acero a baños</t>
  </si>
  <si>
    <t>Escalones de cemento pulido con canto reforzado</t>
  </si>
  <si>
    <t>Tope en granito natural para cocina</t>
  </si>
  <si>
    <t>SUB-TOTAL FASE D.7</t>
  </si>
  <si>
    <t>D.8</t>
  </si>
  <si>
    <t>Relleno compactado c/compactador mecánico</t>
  </si>
  <si>
    <t>HORMIGÓN ARMADO F'c= 210 KG/CM² EN:</t>
  </si>
  <si>
    <t>Viga a nivel de piso (0.15m x 0.20m) - 3.70 qq/m³</t>
  </si>
  <si>
    <t>Viga dintel D1 (0.15m x 0.68m) - 2.70 qq/m³</t>
  </si>
  <si>
    <t>Columna CA (0.15m x 0.30m) - 4.88 qq/m³</t>
  </si>
  <si>
    <t>Columna C1 (0.15m x 0.40m) - 5.02 qq/m³</t>
  </si>
  <si>
    <t>Losa de techo e=0.12m - 1.22 qq/m³</t>
  </si>
  <si>
    <t>Losa de piso e=0.10m con malla electro soldada D2.3xD2.3x20x20, (Inc. Rampa de acceso)</t>
  </si>
  <si>
    <t xml:space="preserve">Escalones huella y contra huella redondeada 0.30m  </t>
  </si>
  <si>
    <t xml:space="preserve">Zócalo </t>
  </si>
  <si>
    <t xml:space="preserve">Puerta polimetal (1.00m x 2.10m) (Incluye llavín) </t>
  </si>
  <si>
    <t>Puerta pino tratado (0.55m x 1.50m) (Incluye llavín)</t>
  </si>
  <si>
    <t>Puerta pino tratado (0.85m x 1.50m) (Incluye llavín)</t>
  </si>
  <si>
    <t>VENTANA (SUMINISTRO Y COLOCACIÓN)</t>
  </si>
  <si>
    <t>Ventana de celosías con palanca</t>
  </si>
  <si>
    <t>SUB-TOTAL FASE D.8</t>
  </si>
  <si>
    <t>D.9</t>
  </si>
  <si>
    <t>OFICINA ADMINISTRATIVA</t>
  </si>
  <si>
    <t>HORMIGÓN ARMADO F'C=210 KG/CM² EN:</t>
  </si>
  <si>
    <t>Zapata de muros (0.45m x 0.30m) - 0.67 qq/m³</t>
  </si>
  <si>
    <t>Viga de amarre B.N.P. (0.20m x 0.20m) - 6.60 qq/m³</t>
  </si>
  <si>
    <t>Columna CA (0.15m x 0.30m) - 4.50 qq/m³</t>
  </si>
  <si>
    <t>Dintel Di (0.15m x 0.30m) - 4.31 qq/m³</t>
  </si>
  <si>
    <t>Losa de piso e=0.10m con malla electrosoldada D2.3x2.3x20x20 (Incluye rampa)</t>
  </si>
  <si>
    <t>Losa de techo e=0.12m - 1.80 qq/m³</t>
  </si>
  <si>
    <t>Pintura base</t>
  </si>
  <si>
    <t>Pintura acrílica</t>
  </si>
  <si>
    <t>Tubería y piezas de agua potable</t>
  </si>
  <si>
    <t>Tubería y piezas de agua residuales</t>
  </si>
  <si>
    <t>Mano de obra de plomero</t>
  </si>
  <si>
    <t>PISOS</t>
  </si>
  <si>
    <t>Puerta polimetálica (1.00m x 2.10m) (Incluye llavín)</t>
  </si>
  <si>
    <t>Puerta polimetálica (0.85m x 2.10m) (Incluye llavín)</t>
  </si>
  <si>
    <t>Puerta polimetálica (0.75m x 2.10m) (Incluye llavín)</t>
  </si>
  <si>
    <t>Ventana corrediza de cristal y aluminio (1.20m x 1.00m)</t>
  </si>
  <si>
    <t>Ventana corrediza de cristal y aluminio (1.00m x 1.00m)</t>
  </si>
  <si>
    <t>Ventana corrediza de cristal y aluminio (0.60m x 0.50m)</t>
  </si>
  <si>
    <t>MOBILIARIO</t>
  </si>
  <si>
    <t>Escritorio tope melanina con estructura plateada (28" x 48")</t>
  </si>
  <si>
    <t>Silla operativa en tela con brazos</t>
  </si>
  <si>
    <t>Silla de visita en tela negro con brazos</t>
  </si>
  <si>
    <t>Archivo metálico tipo módulo color aluminio de tres gavetas con ruedas</t>
  </si>
  <si>
    <t>Suministro y colocación de barandas en acero inoxidable en entrada</t>
  </si>
  <si>
    <t>Letrero de Oficina Administrativa en acrílico (0.85m x 0.45m) (Suministro y colocación)</t>
  </si>
  <si>
    <t>SUB-TOTAL FASE D.9</t>
  </si>
  <si>
    <t>D.10</t>
  </si>
  <si>
    <t>ELECTRIFICACIÓN GENERAL</t>
  </si>
  <si>
    <t>ILUMINACIÓN DE CANCHAS DE BASKETBALL Y VOLEYBALL</t>
  </si>
  <si>
    <t>Reflector LED de 150 Watts, 100-240 Volts, 60 HZ,  52,000 LM, IP 65</t>
  </si>
  <si>
    <t>Poste H.A.V 30', 300 DAM</t>
  </si>
  <si>
    <t>Conductor eléctrico de goma No. 6/3 para alimentación de reflectores</t>
  </si>
  <si>
    <t>Salidas Panel de Breakers 2/4 Circuitos para el encendido de reflectores a instalar en poste</t>
  </si>
  <si>
    <t>Tubería PVC de Ø3/4" x 19'</t>
  </si>
  <si>
    <t>Mano de obra eléctrica</t>
  </si>
  <si>
    <t>ELECTRIFICACIÓN DE GAZEBOS</t>
  </si>
  <si>
    <t>Reflector LED tipo campana de 80 Watts, 100-240 Volts, 60 HZ</t>
  </si>
  <si>
    <t>Salidas eléctricas para tomacorrientes dobles 120V</t>
  </si>
  <si>
    <t>Salidas eléctricas para reflector LED en tubería EMT</t>
  </si>
  <si>
    <t>Conductor eléctrico de goma No. 8/3 para alimentación de reflectores</t>
  </si>
  <si>
    <t>ELECTRIFICACIÓN DE BAÑOS PÚBLICOS</t>
  </si>
  <si>
    <t>Salidas para tomacorrientes dobles 120V</t>
  </si>
  <si>
    <t>Conductor eléctrico THW No.10</t>
  </si>
  <si>
    <t>Salidas Panel de Breakers 4/8 circuitos</t>
  </si>
  <si>
    <t>ELECTRIFICACIÓN OFICINA ADMINISTRATIVA</t>
  </si>
  <si>
    <t>Salida interruptor doble</t>
  </si>
  <si>
    <t>Salidas Panel de Breakers 6/12 circuitos</t>
  </si>
  <si>
    <t>Registro metálico N-1R, 6" X 6" X 4"</t>
  </si>
  <si>
    <t>Registro metálico N-1R, 12" X 12" X 6"</t>
  </si>
  <si>
    <t>Conductor eléctrico THW No.8</t>
  </si>
  <si>
    <t xml:space="preserve">Reflector LED de 150 Watts, 100-240 Volts, 60 HZ,  52,000 LM, IP 65 </t>
  </si>
  <si>
    <t xml:space="preserve">Conductor eléctrico de goma No. 6/3 </t>
  </si>
  <si>
    <t>ELECTRIFICACIÓN ÁREA DE JUEGOS INFANTILES</t>
  </si>
  <si>
    <t>SUB-TOTAL FASE  D.12</t>
  </si>
  <si>
    <t>SUB-TOTAL FASE  D</t>
  </si>
  <si>
    <t>Valla anunciando obra 16' x 8' impresión Full Color conteniendo logo de INAPA, nombre de proyecto y contratista. estructura en tubos galvanizados 1.1/2" x 1.1/2" y soportes en tubo cuadrado 4" x 4".</t>
  </si>
  <si>
    <t>Campamento (Incluye oficinas, almacenes, talleres y unidades baños móviles). Sujeto a aprobación de la Supervisión</t>
  </si>
  <si>
    <t>Meses</t>
  </si>
  <si>
    <t>SUB-TOTAL FASE  E</t>
  </si>
  <si>
    <t xml:space="preserve"> GASTOS INDIRECTOS</t>
  </si>
  <si>
    <t>Estudios (Sociales, Ambientales, Geotécnicos, Topográficos y de Calidad, entre otros)</t>
  </si>
  <si>
    <t>Medida de Compensación Ambiental</t>
  </si>
  <si>
    <t>CODIA</t>
  </si>
  <si>
    <t>ITBIS de Honorarios Profesionales (Ley 07-2007)</t>
  </si>
  <si>
    <t>Mantenimiento y Operación Sistemas INAPA</t>
  </si>
  <si>
    <t>Completivo transporte de postes</t>
  </si>
  <si>
    <t>Interconexión con EDENORTE</t>
  </si>
  <si>
    <t>Tramitación de planos electrico</t>
  </si>
  <si>
    <t>SUB-TOTAL GASTOS INDIRECTOS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</si>
  <si>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</si>
  <si>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TOTAL GENERAL RD$</t>
  </si>
  <si>
    <t>TOTAL A CONTRATAR RD$</t>
  </si>
  <si>
    <t>GAZEBO (4 UD)</t>
  </si>
  <si>
    <t>CANCHA MIXTA Y GRADERÍAS (2 UD)</t>
  </si>
  <si>
    <t>CANCHA DE VOLEYBALL Y GRADERÍAS (2 UD)</t>
  </si>
  <si>
    <t>CASETA DE SEGURIDAD (2 UD)</t>
  </si>
  <si>
    <t>BAÑOS PÚBLICOS (4 UD)</t>
  </si>
  <si>
    <t>Descripcion</t>
  </si>
  <si>
    <t>PU+ITBIS</t>
  </si>
  <si>
    <t>ITBIS</t>
  </si>
  <si>
    <t>Rendimiento</t>
  </si>
  <si>
    <t>Valor</t>
  </si>
  <si>
    <t>Materiales</t>
  </si>
  <si>
    <t>Clavos Corrientes</t>
  </si>
  <si>
    <t xml:space="preserve">Cal Hidratada 20 Kilos, "Perla" </t>
  </si>
  <si>
    <t xml:space="preserve">Pino amer. 1"x 4"x12' bruto (4 pt) </t>
  </si>
  <si>
    <t>Hilo de Nylon No. 8</t>
  </si>
  <si>
    <t>Subtotal</t>
  </si>
  <si>
    <t>Mano de obra</t>
  </si>
  <si>
    <t>Brigada topografica (inc. estacion total)</t>
  </si>
  <si>
    <t>Maestro de Carpinteria</t>
  </si>
  <si>
    <t>Ayudante de Cartpinteria</t>
  </si>
  <si>
    <t>Equipos</t>
  </si>
  <si>
    <t>No aplica</t>
  </si>
  <si>
    <t>Herramientas</t>
  </si>
  <si>
    <t>Subtotal Materiales</t>
  </si>
  <si>
    <t>Subtotal Mano de Obra</t>
  </si>
  <si>
    <t>Subtotal Equipos</t>
  </si>
  <si>
    <t>Subtotal Herramientas</t>
  </si>
  <si>
    <t>TOTAL</t>
  </si>
  <si>
    <t xml:space="preserve">Peon </t>
  </si>
  <si>
    <t>Retroexcavadora 320D (Inc. operador, combustible y lubricantes)</t>
  </si>
  <si>
    <t>Tractor (inc operador, combustible y lubricante)</t>
  </si>
  <si>
    <t>Bote a 0-5km</t>
  </si>
  <si>
    <t>Rodillo (inc operador, combustible y lubricante)</t>
  </si>
  <si>
    <t>Material granular</t>
  </si>
  <si>
    <t>Transporte material granular</t>
  </si>
  <si>
    <t>Motoniveladora (inc operador, combustible y lubricante)</t>
  </si>
  <si>
    <t>Camion cisterna (inc operador, combustible y lubricante)</t>
  </si>
  <si>
    <t>Base granular</t>
  </si>
  <si>
    <t>Rc-2, 1 gl/2m2</t>
  </si>
  <si>
    <t>Gravilla</t>
  </si>
  <si>
    <t>Peon Asfalto</t>
  </si>
  <si>
    <t>Capataz de Asfalto</t>
  </si>
  <si>
    <t>Transporte de Gravilla</t>
  </si>
  <si>
    <t>Transporte de Rc-2</t>
  </si>
  <si>
    <t xml:space="preserve">Camion distribuidor, Asfalto </t>
  </si>
  <si>
    <t xml:space="preserve">Rodillo vibrador liso, Asfalto </t>
  </si>
  <si>
    <t xml:space="preserve">Barredora, Asfalto </t>
  </si>
  <si>
    <t>Elaboración y suministro de Hormigon Asfaltico</t>
  </si>
  <si>
    <t>AC-30 (26 gl/m3)</t>
  </si>
  <si>
    <t>Transporte HAC 0-5 KM</t>
  </si>
  <si>
    <t>Transporte HAC 10-5 KM</t>
  </si>
  <si>
    <t>Pavimentadora</t>
  </si>
  <si>
    <t>Rodillo Neumatico</t>
  </si>
  <si>
    <t>Mallaelectrosoldada 23x23 D 100 x 100</t>
  </si>
  <si>
    <t>Hormigon Industrial f'c=210 kg/cm2 + Fibra sintéticas</t>
  </si>
  <si>
    <t>Mortero 1:4 para pañete</t>
  </si>
  <si>
    <t xml:space="preserve">MO Prep. Superficie p/colocar piso </t>
  </si>
  <si>
    <t>MO Const. acera frot., viol., 10m esp., coloc. Horm, rayado con escobillon</t>
  </si>
  <si>
    <t>MO de mallaelectrosoldada</t>
  </si>
  <si>
    <t>Mortero 1:2 p/ Pulido ( Enlucido Impermeable)</t>
  </si>
  <si>
    <t>MO confeccion de bordillo</t>
  </si>
  <si>
    <t>MO pulido de bordillo</t>
  </si>
  <si>
    <t>M/M3</t>
  </si>
  <si>
    <t xml:space="preserve">S/I baranda decorativa tipo pasamanos segun diseño, Incluye: Perfil de 3"x 1 1/2" galvanizado, planchuelas de 2 1/4", placas de anclaje y expanciones tipo hilti, soldadura, disco, pintura anticorrosiva, pintura industrial, fabricacion e instalación. </t>
  </si>
  <si>
    <t xml:space="preserve">Materiales p/ mantenimiento del transito, incluye ( Letreros, Conos Refractarios y Bandoleros) </t>
  </si>
  <si>
    <t xml:space="preserve">Materiales p/ señalización y manejo del transito, incluye (pasarela,letreros metalicos con bases angulares,poste para cinta refractaria, cinta refractaria, luces flash, barreras de peligro.) </t>
  </si>
  <si>
    <t>Escoba</t>
  </si>
  <si>
    <t>Carretilla</t>
  </si>
  <si>
    <t xml:space="preserve">Machete </t>
  </si>
  <si>
    <t xml:space="preserve">Pala </t>
  </si>
  <si>
    <t>Capataz</t>
  </si>
  <si>
    <t>Poste de Aluminio 35', 500 dam</t>
  </si>
  <si>
    <t>Poste de Aluminio 30', 300 dam</t>
  </si>
  <si>
    <t>Alambre AAAC No. 1/10</t>
  </si>
  <si>
    <t>Estructura MT-105, incluye: cableado,grapas, soportes, polimericos y flejes.</t>
  </si>
  <si>
    <t>Estructura F1-BT, incluye: cableado,grapas y soportes.</t>
  </si>
  <si>
    <t>Estructura F2-BT, incluye: cableado,grapas y soportes.</t>
  </si>
  <si>
    <t>Estructura TR-105, incluye: transformador de 25 KVA, cableado,grapas y soportes.</t>
  </si>
  <si>
    <t>Estructura AP-101, incluye: brazo de lampar, lampara led, sensor de luz, cableado, grapas y soportes</t>
  </si>
  <si>
    <t>Instalascion de AP-101</t>
  </si>
  <si>
    <t xml:space="preserve">Alambre Triplexx No.2 </t>
  </si>
  <si>
    <t>M.O Confeccion de Hoyo p/ Poste</t>
  </si>
  <si>
    <t>Izage e Instalación  de Poste</t>
  </si>
  <si>
    <t>S/I Base de Hormigon p/ Poste</t>
  </si>
  <si>
    <t>Partidas</t>
  </si>
  <si>
    <t>%</t>
  </si>
  <si>
    <t>Estacas</t>
  </si>
  <si>
    <t>Caliche</t>
  </si>
  <si>
    <t>Transporte Caliche</t>
  </si>
  <si>
    <t xml:space="preserve">Bote a 5.01-10 km </t>
  </si>
  <si>
    <t>Bote a 10.01-12 km</t>
  </si>
  <si>
    <t>Hormigon Industrial f'c=210 kg/cm2</t>
  </si>
  <si>
    <t>Piedra</t>
  </si>
  <si>
    <t>Brigada de Colocacion de Encache</t>
  </si>
  <si>
    <t>M2/M3</t>
  </si>
  <si>
    <t>Hormigon Industrial f'c=180 kg/cm2</t>
  </si>
  <si>
    <t>m2/m3</t>
  </si>
  <si>
    <t>m2</t>
  </si>
  <si>
    <t>Tuberia de Hormigon 60'</t>
  </si>
  <si>
    <t>Arena azul triturada y lavada</t>
  </si>
  <si>
    <t>Cemento gris</t>
  </si>
  <si>
    <t>Agua</t>
  </si>
  <si>
    <t>Grua 6 ton (inc operador, combustible y lubricantes)</t>
  </si>
  <si>
    <t>Cabezal Alcantarilla</t>
  </si>
  <si>
    <t>Jardineria General, incluye: suministro y siembra de arboles medianos, grama, flores,estaca de soportes de aroboles y rellenos de tierra</t>
  </si>
  <si>
    <t>Sube y baja doble 200x60x60</t>
  </si>
  <si>
    <t>Alfombra en caucho compactado</t>
  </si>
  <si>
    <t>Construcción de Cancha Mixta</t>
  </si>
  <si>
    <t>Señalizacion Vertical y Horizontal</t>
  </si>
  <si>
    <t xml:space="preserve">Letrero de Promoción de Obra  16'X8' Full Color 16, incluye estructura de soporte vertical. </t>
  </si>
  <si>
    <t>Furgon oficina 40'</t>
  </si>
  <si>
    <t>Furgon almacen 40'</t>
  </si>
  <si>
    <t>Baños portatiles</t>
  </si>
  <si>
    <t>Mobiliario de oficina</t>
  </si>
  <si>
    <t>Limpieza del solar</t>
  </si>
  <si>
    <t>Sereno</t>
  </si>
  <si>
    <t>Guardalmacen</t>
  </si>
  <si>
    <t>Generador electrico (inc. combustible y operador)</t>
  </si>
  <si>
    <t>Luminarias</t>
  </si>
  <si>
    <t>PU (Inc ITBIS)</t>
  </si>
  <si>
    <t>Contratista</t>
  </si>
  <si>
    <t>MANO DE OBRA</t>
  </si>
  <si>
    <t>Pa</t>
  </si>
  <si>
    <t>mes</t>
  </si>
  <si>
    <t>dia</t>
  </si>
  <si>
    <t>2 Peones p/ realizacion de Sendero</t>
  </si>
  <si>
    <t>Trabajador no calificado</t>
  </si>
  <si>
    <t>Trabajador calificado</t>
  </si>
  <si>
    <t>Ayudante</t>
  </si>
  <si>
    <t>Operario de tercera categoria</t>
  </si>
  <si>
    <t>Operario de segunda categoria</t>
  </si>
  <si>
    <t>Operario de primera categoria</t>
  </si>
  <si>
    <t>Maestro</t>
  </si>
  <si>
    <t>n/a</t>
  </si>
  <si>
    <t>Mantenimiento Desbroce, Poda, riego, fertilización, control plagas y enfermedades (arborizacion parque lineal domingo savio)</t>
  </si>
  <si>
    <t>Vetiverdom</t>
  </si>
  <si>
    <t>Mantenimiento Desbroce, Poda, riego, fertilización, control plagas y enfermedades (campo de beisbol)</t>
  </si>
  <si>
    <t>Habilitación de terreno: Desbroce, Limpieza, Nivelación y Bote c</t>
  </si>
  <si>
    <t>Excavación para siembra de arboles inc. carguío y bote</t>
  </si>
  <si>
    <t>m3</t>
  </si>
  <si>
    <t>Vaciado y frotado de aceras</t>
  </si>
  <si>
    <t>Corte de juntas</t>
  </si>
  <si>
    <t>ml</t>
  </si>
  <si>
    <t>Suministro y colocacion de sellado de juntas</t>
  </si>
  <si>
    <t>Suministro y colocacion de sellado de juntas e=3/4"</t>
  </si>
  <si>
    <t>Aplicacion de curador</t>
  </si>
  <si>
    <t>Corte ladrillos y adoquines</t>
  </si>
  <si>
    <t>u</t>
  </si>
  <si>
    <t>M.O. Piso Adoquines</t>
  </si>
  <si>
    <t>M.O. Prep. superficie p/colocar piso (Terreno)</t>
  </si>
  <si>
    <t>Aplicacion Hidrofugo tipo Protecsil</t>
  </si>
  <si>
    <t>Aplicacion Oleofugo tipo MFP 38</t>
  </si>
  <si>
    <t>Encofrado TC de bancos</t>
  </si>
  <si>
    <t>ud</t>
  </si>
  <si>
    <t>Terminacion de superficie</t>
  </si>
  <si>
    <t>Excavación a mano</t>
  </si>
  <si>
    <t>Traslado de material</t>
  </si>
  <si>
    <t>Brigada topografica (1 Topografo y ayudante, incl. Estación)</t>
  </si>
  <si>
    <t>MO colocacion de acero en losa</t>
  </si>
  <si>
    <t>qq</t>
  </si>
  <si>
    <t>MO piso hormigon frotado</t>
  </si>
  <si>
    <t>MO piso de hormigon frotado 10 cm espesor</t>
  </si>
  <si>
    <t>Encofrado TC platea de fundacion e=0.20m</t>
  </si>
  <si>
    <t>Encofrado p/ Losa de Piso e=0.10m</t>
  </si>
  <si>
    <t>MO colocacion de acero zapata de muro</t>
  </si>
  <si>
    <t>Encofrado TC losa asiento grada</t>
  </si>
  <si>
    <t>MO vaciado, frotado y pulido de hormigon en gradas</t>
  </si>
  <si>
    <t>MO piso hormigon frotado y pulido</t>
  </si>
  <si>
    <t>Piso pulido con Helicoptero</t>
  </si>
  <si>
    <t>Encofrado TC viga de amarre 20x20</t>
  </si>
  <si>
    <t>MO colocacion de acero dintel y viga de amarre</t>
  </si>
  <si>
    <t>MO corte y amarre de varilla</t>
  </si>
  <si>
    <t>MO llenar hueco bloque a 0.60</t>
  </si>
  <si>
    <t>MO colocacion bloque 8"</t>
  </si>
  <si>
    <t>MO colocacion bloque 6"</t>
  </si>
  <si>
    <t>MO pañete maestreado a plomo</t>
  </si>
  <si>
    <t>Andamios TC para pañete</t>
  </si>
  <si>
    <t>MO fraguache con escoba</t>
  </si>
  <si>
    <t>MO canto</t>
  </si>
  <si>
    <t>MO mocheta</t>
  </si>
  <si>
    <t>MO piedra sobre paredes</t>
  </si>
  <si>
    <t>MO pintura 2 manos + masilla + lija</t>
  </si>
  <si>
    <t>Encofrado TC viga BNP 15x20</t>
  </si>
  <si>
    <t>MO zabaleta de piso</t>
  </si>
  <si>
    <t>M.O. Encof. y desenc. Col. y viga amarre</t>
  </si>
  <si>
    <t>m</t>
  </si>
  <si>
    <t>M.O. Coloc. malla ciclónica  6'</t>
  </si>
  <si>
    <t>M.O. Exc. Tierra a mano  3 m. prof. (Zapata)</t>
  </si>
  <si>
    <t>Soldadura de abrazaderas</t>
  </si>
  <si>
    <t>S/I de Home plate en goma 19"x19"</t>
  </si>
  <si>
    <t>Molino deportivo</t>
  </si>
  <si>
    <t>S/I de juego de bases de beisbol amateur canvas cover 15"x15"x3"</t>
  </si>
  <si>
    <t>Placa de pitcher</t>
  </si>
  <si>
    <t>S/I poste foulball Ø4" de 20' HN (inc. excavacion, zapata y pedestal, placa y tornillos metalicos, reja vertical, punta metalica, pintura epoxica e instalacion con grua)</t>
  </si>
  <si>
    <t xml:space="preserve">Corte de juntas </t>
  </si>
  <si>
    <t>Peon Carpinteria</t>
  </si>
  <si>
    <t xml:space="preserve">Peon p/ Brigada Topografica </t>
  </si>
  <si>
    <t>MO pintura de mantenimiento 2 manos</t>
  </si>
  <si>
    <t>MO pintura de impermeabilizante 2 manos</t>
  </si>
  <si>
    <t>MO pintura de impermeabilizante 1 manos</t>
  </si>
  <si>
    <t>MO Encofrado y desemcofrado metalico</t>
  </si>
  <si>
    <t>MO Ayudante de albañil</t>
  </si>
  <si>
    <t>MO instalación de aparatos sanitarios</t>
  </si>
  <si>
    <t>und</t>
  </si>
  <si>
    <t>Fino en techo horizontal sin incluir subida de material</t>
  </si>
  <si>
    <t>Subida de material</t>
  </si>
  <si>
    <t>P.a</t>
  </si>
  <si>
    <t>MO pañete en techo y vigas</t>
  </si>
  <si>
    <t>Cantos en vigas,columnas,antepecho, y mochetas.</t>
  </si>
  <si>
    <t>MO zabaleta en techo</t>
  </si>
  <si>
    <t>MO piso hormigon semi pulido</t>
  </si>
  <si>
    <t>MO piso de hormigon frotado 20 cm espesor</t>
  </si>
  <si>
    <t>M.O. Col. 20x20 hasta 30x30 cm (Conf. madera)</t>
  </si>
  <si>
    <t>M.O. Col. 20x20 hasta 30x30 cm (Inst. madera)</t>
  </si>
  <si>
    <t>M.O. Desencof. Columnas y Muros (Desencofrado)</t>
  </si>
  <si>
    <t>M.O. Coloc. acero COLUMNA 3/8" ó 1/2", hasta 6 de 1/2"</t>
  </si>
  <si>
    <t>M.O. Falso piso hasta 2.75 m. alto o M.O. Vuelo cont. (Conf. Madera)</t>
  </si>
  <si>
    <t>M.O. Desencof. Falso Piso, hasta 2.75 m. alt. (Desencofrado)</t>
  </si>
  <si>
    <t>M.O. Coloc. acero alta resistencia</t>
  </si>
  <si>
    <t>M.O. Subir acero techo 2do. Nivel (10%) (Subida acero)</t>
  </si>
  <si>
    <t xml:space="preserve">Personal por la casa </t>
  </si>
  <si>
    <t>Colocacion de Geomembrana</t>
  </si>
  <si>
    <t>M .O Inst, Orinal</t>
  </si>
  <si>
    <t>M .O Inst, Inodoro</t>
  </si>
  <si>
    <t>M .O Inst, Ducha</t>
  </si>
  <si>
    <t>M .O Inst, Fregadero Doble</t>
  </si>
  <si>
    <t>M .O Inst, Lavamanos</t>
  </si>
  <si>
    <t>M .O Inst, Lavadero</t>
  </si>
  <si>
    <t>M.O confección de moldes para col. redondas de hasta 0.50 m</t>
  </si>
  <si>
    <t>Instalación de moldes para columnas redondas de hasta 0.50 mts.</t>
  </si>
  <si>
    <t>Encofrado TC bordillo 30x30</t>
  </si>
  <si>
    <t>En vigas, dinteles y arcos (área de contacto entre el forro y el concreto)</t>
  </si>
  <si>
    <t>Encofrado p/ sendero</t>
  </si>
  <si>
    <t>M.O. Desencof. Moldes senderos h= 0.10</t>
  </si>
  <si>
    <t>Varilla trabajada</t>
  </si>
  <si>
    <t>Confección e instalación de moldes para vigas de zapata de más de 0.40 mts. X 0.40 mts. hasta 0.50 mts.  x 0.50 mts.</t>
  </si>
  <si>
    <t xml:space="preserve">ml </t>
  </si>
  <si>
    <t>Pintura en superficies rusticas, 2 manos</t>
  </si>
  <si>
    <t>Colocacion de tuberia arrastre 4"</t>
  </si>
  <si>
    <t>Colocacion de tuberia arrastre 6"</t>
  </si>
  <si>
    <t>Colocacion de tuberia arrastre 10"</t>
  </si>
  <si>
    <t>Colocacion de piezas arrastre 4"</t>
  </si>
  <si>
    <t>MO colocacion de malla</t>
  </si>
  <si>
    <t>Subida de materiales 2do piso</t>
  </si>
  <si>
    <t>Director de obra</t>
  </si>
  <si>
    <t>Ingeniero/arquitecto residente</t>
  </si>
  <si>
    <t>Encargado de Paisajismo</t>
  </si>
  <si>
    <t>Ingeniero asistente del director de proyecto</t>
  </si>
  <si>
    <t>Encargado control y cubicaciones</t>
  </si>
  <si>
    <t>Encargado de seguridad ocupacional</t>
  </si>
  <si>
    <t>Armadura</t>
  </si>
  <si>
    <t>Soldadura</t>
  </si>
  <si>
    <t>Cepillado</t>
  </si>
  <si>
    <t>Colocacion barrera de vapor</t>
  </si>
  <si>
    <t>Colocacion de hormigon en bancos</t>
  </si>
  <si>
    <t>Encofrado metalico TC inc MO</t>
  </si>
  <si>
    <t>Encofrado TC mostrador</t>
  </si>
  <si>
    <t>Encofrado TC losa de techo e=0.12m</t>
  </si>
  <si>
    <t>Guardera para sendero e=0.10m</t>
  </si>
  <si>
    <t>Encofrado TC bordillo</t>
  </si>
  <si>
    <t>Encofrado TC gradas</t>
  </si>
  <si>
    <t xml:space="preserve">m3 </t>
  </si>
  <si>
    <t>INSUMOS / MATERIALES</t>
  </si>
  <si>
    <t>m3s</t>
  </si>
  <si>
    <t>m3e</t>
  </si>
  <si>
    <t>Gls</t>
  </si>
  <si>
    <t>Adoquin tipo Higuey gris Inc transporte (25 ud/m2)</t>
  </si>
  <si>
    <t>Aguayo</t>
  </si>
  <si>
    <t>Adoquin tipo Higuey rojo Inc transporte (25 ud/m2)</t>
  </si>
  <si>
    <t>Adoquin tipo pavigrama gris Inc transporte (7.75 ud/m2)</t>
  </si>
  <si>
    <t>Material de relleno</t>
  </si>
  <si>
    <t>JADER</t>
  </si>
  <si>
    <t>Transporte material de relleno</t>
  </si>
  <si>
    <t>Material clasificado</t>
  </si>
  <si>
    <t>Transporte material clasificado</t>
  </si>
  <si>
    <t>Hormigon Industrial f'c=280 kg/cm2</t>
  </si>
  <si>
    <t>IGNEO</t>
  </si>
  <si>
    <t>Hormigon Industrial f'c=350 kg/cm2</t>
  </si>
  <si>
    <t>Hormigon Industrial f'c=420 kg/cm2 + Fibras sintéticas + aditivos</t>
  </si>
  <si>
    <t>Curador en base acuosa</t>
  </si>
  <si>
    <t>gl</t>
  </si>
  <si>
    <t>Transporte arena azul</t>
  </si>
  <si>
    <t>Hidrofugo</t>
  </si>
  <si>
    <t>Gal</t>
  </si>
  <si>
    <t>Oleofugo</t>
  </si>
  <si>
    <t>Acero</t>
  </si>
  <si>
    <t>Estopa</t>
  </si>
  <si>
    <t>lb</t>
  </si>
  <si>
    <t>Suministro de arena limosa</t>
  </si>
  <si>
    <t>Suministro de limo</t>
  </si>
  <si>
    <t>Transporte arena limosa</t>
  </si>
  <si>
    <t>Clavo corriente, metalizado con cabeza 2 1/2"x10</t>
  </si>
  <si>
    <t>Ferrecentro Comercial Daniel</t>
  </si>
  <si>
    <t>fda</t>
  </si>
  <si>
    <t>pt</t>
  </si>
  <si>
    <t>Casa del Pintor</t>
  </si>
  <si>
    <t>Hilo de "nylon" No. 8, (8 lbr)</t>
  </si>
  <si>
    <t>Bloque liso 8"</t>
  </si>
  <si>
    <t>Bloque liso 6"</t>
  </si>
  <si>
    <t>Transporte de bloques 8"</t>
  </si>
  <si>
    <t>Transporte de bloques 6"</t>
  </si>
  <si>
    <t>Mortero 1:3 para colocar bloques</t>
  </si>
  <si>
    <t>Hormigón 1:3:5</t>
  </si>
  <si>
    <t>Regla para pañete</t>
  </si>
  <si>
    <t>GARCIA SIMO</t>
  </si>
  <si>
    <t>Pintura acrilica</t>
  </si>
  <si>
    <t>Desperdicios</t>
  </si>
  <si>
    <t>Abrazadera redonda 2 1/2"</t>
  </si>
  <si>
    <t>Alambre de púas C-16x110 m, rollo</t>
  </si>
  <si>
    <t>Alambre galv. Calibre 14 (Para reforzar encofrados)</t>
  </si>
  <si>
    <t>Barra tensora de 6', hierro pintado</t>
  </si>
  <si>
    <t>Copa final 2"</t>
  </si>
  <si>
    <t>Hoja de segueta Roja flexible "Bellota" 4601-12</t>
  </si>
  <si>
    <t xml:space="preserve">Palometa 1 1/2"x1 1/4", 3 cuerdas, doble </t>
  </si>
  <si>
    <t xml:space="preserve">Terminal de 1 1/4" </t>
  </si>
  <si>
    <t>Tubo 1"x20', h.g. mamey (para unir tubos de 1 1/4)</t>
  </si>
  <si>
    <t>Tubo 1 1/2"x15', h. galv. ligero</t>
  </si>
  <si>
    <t>Tubo 1 1/4"x20', h. galv. ligero</t>
  </si>
  <si>
    <t>Pañete en muros</t>
  </si>
  <si>
    <t>Hormigón (1:2:4) ligadora en columnas de amarre (.15 x .20 x .80 m.)</t>
  </si>
  <si>
    <t>Zap. muro, 60x25, 1:3:5, 60, 3 de 3/8", 3/8" a .25, lig.</t>
  </si>
  <si>
    <t>Malla ciclónica galv. cal. 9, 6' + 5% desp.</t>
  </si>
  <si>
    <t>pie</t>
  </si>
  <si>
    <t>Bloques horm. 6", 3/8" a .60 m. (4 líneas)</t>
  </si>
  <si>
    <t>Zabaleta de piso (zabaleta doble sin mano de obra)</t>
  </si>
  <si>
    <t>Relleno de reposición muro malla ciclonica</t>
  </si>
  <si>
    <t>INTROCA</t>
  </si>
  <si>
    <t>Tablero 54" acrilico transparente con armazon de acero, aro c/spring y malla all-weather</t>
  </si>
  <si>
    <t>Acero para dovela</t>
  </si>
  <si>
    <t>Resina epóxica "SUPRAFLEX" para junta de piso, 231 pulg.3/gl. (Kits 1 gl.)</t>
  </si>
  <si>
    <t>3 gal</t>
  </si>
  <si>
    <t>Innova Centro</t>
  </si>
  <si>
    <t>Cal Hidratada</t>
  </si>
  <si>
    <t>Madera Bruta ( Pino Americano 1'' x 4'' x 12'), 4 usos</t>
  </si>
  <si>
    <t xml:space="preserve">Pintura Court Coalting </t>
  </si>
  <si>
    <t>rollo</t>
  </si>
  <si>
    <t>Lt</t>
  </si>
  <si>
    <t xml:space="preserve">Gasoil </t>
  </si>
  <si>
    <t>'Inodoro bco., tapa, sin acces, "Simplex", 1-2222</t>
  </si>
  <si>
    <t>Lavamanos ovalado bco., 8" sin mescl. y sin acces, "Saona"</t>
  </si>
  <si>
    <t>Freg. 2B. a. inox, 33"x22"X7" (1H) "Teka"</t>
  </si>
  <si>
    <t>Tubo 4"x19', pvc SDR-41 + 10% desp.</t>
  </si>
  <si>
    <t>Tubo 2"x19', pvc SDR-41 + 10% desp.</t>
  </si>
  <si>
    <t>Yee 4"x4", pvc dren.</t>
  </si>
  <si>
    <t>Yee reducción 4"x2", pvc dren.</t>
  </si>
  <si>
    <t>Codo 4"x45, pvc dren.</t>
  </si>
  <si>
    <t>Codo 2"x45, pvc dren.</t>
  </si>
  <si>
    <t>Codo 4"x90, pvc dren.</t>
  </si>
  <si>
    <t>Codo 2"x90, pvc dren.</t>
  </si>
  <si>
    <t>Cemento pvc criollo, 1/32 gl., pinta, Cano + 10% desp.</t>
  </si>
  <si>
    <t>Tee 1/2", h.g. (fría y cal.)</t>
  </si>
  <si>
    <t>Tubo 1/2"x20', h.g., mamey + 10% desp. (fría y cal.)</t>
  </si>
  <si>
    <t>Codo 1/2"x90, h.g. (fría y cal.)</t>
  </si>
  <si>
    <t>Reduc. "bushing" 1/2"x3/8", h.g. (fría y cal.)</t>
  </si>
  <si>
    <t>Oxido Rojo "Popular" k-09 (en tub.s h.g.)</t>
  </si>
  <si>
    <t>Arandela plástica PVC p/inodoro s/tornillo 4x3"</t>
  </si>
  <si>
    <t>'Mezcl. Lavam., boquilla, "Sayco" Ref. LF400</t>
  </si>
  <si>
    <t>Mezcl. freg. c/puño "Urrea" NIBCO</t>
  </si>
  <si>
    <t>Llave angular 1/2" ó 3/8", "EASTMAN"</t>
  </si>
  <si>
    <t>'Niple niquelado 3/8"x2 1/2", "Aquavita" MN041B</t>
  </si>
  <si>
    <t>Cola ext. fregadero 1 1/2"x6", PVC (Nuevo)</t>
  </si>
  <si>
    <t>Rollo teflón 3/4" + 25% desp.</t>
  </si>
  <si>
    <t>Cemento Bco. 40 kilos, "Titan"</t>
  </si>
  <si>
    <t>Sifón 1 1/2", cromo p/lav., flexible, completo, USA</t>
  </si>
  <si>
    <t>Tubo flexible para lavamanos, tuerca, 1/2"x3/8" 40 cm. EVL-B40</t>
  </si>
  <si>
    <t>Silicone" claro en tubo</t>
  </si>
  <si>
    <t>Tornillos p/bacineta, 1/4"x2 1/2", HP167 R-801AA</t>
  </si>
  <si>
    <t>jgo</t>
  </si>
  <si>
    <t>Junta de cera</t>
  </si>
  <si>
    <t>Tornillos p/bacineta, 1/4"x2 1/4", #40019-21-24 (Nuevo)</t>
  </si>
  <si>
    <t>Cola ext. lavamanos 1 1/4"x6", cromo</t>
  </si>
  <si>
    <t>Boquilla fregadero metal (Ac. Inox.) EZ-FLO + 10% desp.</t>
  </si>
  <si>
    <t>Desagüe fregadero 1 1/2x16", pvc, doble, EASTMAN 35393 + 10% desp.</t>
  </si>
  <si>
    <t>Enlate 1'' x 4 '' x 10'/100 usos</t>
  </si>
  <si>
    <t>Tubo 1 1/2"x19', pvc dren. + 10% desp. (visible.)</t>
  </si>
  <si>
    <t>Sifón 2", pvc dren.</t>
  </si>
  <si>
    <t>Lavadero doble granito, 1.50x0.50 m. (en tub.s h.g.)</t>
  </si>
  <si>
    <t>Boquilla lavadero, ac. Inox., con tapón, 2 7/8" EZ-Flo</t>
  </si>
  <si>
    <t>Rejilla 4 5/8" p/piso, aluminio</t>
  </si>
  <si>
    <t>Llave chorro 1/2", "Urrea" #19N-13</t>
  </si>
  <si>
    <t>Unión univ. 1/2", h.g.</t>
  </si>
  <si>
    <t>Niple 1/2"x4", h.g.</t>
  </si>
  <si>
    <t>Dosificador jabón líquido, Jofel AC70011 niquel (Nuevo)  (1/2)</t>
  </si>
  <si>
    <t>Llave empotrar con puño NIBCO</t>
  </si>
  <si>
    <t>Rejilla 3", de 2" p/piso, redonda, sencilla, cromo</t>
  </si>
  <si>
    <r>
      <t xml:space="preserve">Tuberias </t>
    </r>
    <r>
      <rPr>
        <sz val="12"/>
        <color theme="1"/>
        <rFont val="Calibri"/>
        <family val="2"/>
      </rPr>
      <t>Ø10'' perforada</t>
    </r>
  </si>
  <si>
    <r>
      <t xml:space="preserve">Tuberias </t>
    </r>
    <r>
      <rPr>
        <sz val="12"/>
        <color theme="1"/>
        <rFont val="Calibri"/>
        <family val="2"/>
      </rPr>
      <t>Ø 6'' perforada</t>
    </r>
  </si>
  <si>
    <r>
      <t xml:space="preserve">Tuberias </t>
    </r>
    <r>
      <rPr>
        <sz val="12"/>
        <color theme="1"/>
        <rFont val="Calibri"/>
        <family val="2"/>
      </rPr>
      <t>Ø 4'' perforada</t>
    </r>
  </si>
  <si>
    <t>Grava de 1/2''</t>
  </si>
  <si>
    <t>Transporte grava</t>
  </si>
  <si>
    <t>Geomembrana de 1.5 mm</t>
  </si>
  <si>
    <t>LAKA</t>
  </si>
  <si>
    <t>Georefuerzo (geomalla) inc. colocacion y transporte</t>
  </si>
  <si>
    <r>
      <t xml:space="preserve">Acero </t>
    </r>
    <r>
      <rPr>
        <sz val="12"/>
        <color theme="1"/>
        <rFont val="Calibri"/>
        <family val="2"/>
      </rPr>
      <t>Ø 3/8 f'y: 4,200 kg/cm2, grado 60</t>
    </r>
  </si>
  <si>
    <t>Acero Ø 1/2 f'y: 4,200 kg/cm2, grado 60</t>
  </si>
  <si>
    <t>Alambre galv. Calibre 18</t>
  </si>
  <si>
    <t>Clavos de acero 2 1/2'' (1/4 lb/m)</t>
  </si>
  <si>
    <t>Cubierta translucida ( Incluido Insumo e Instalación)</t>
  </si>
  <si>
    <t>KI Caribbean group Srl</t>
  </si>
  <si>
    <t>Encofrado de Viga todo costo</t>
  </si>
  <si>
    <t>Mallaelectrosoldada D2.1 x 2.1  100 x 100</t>
  </si>
  <si>
    <t>Calzos Plasticos</t>
  </si>
  <si>
    <t>Puertas polimetal lisa-blanca 1.00 m x 2.10 m ( Incl.instalación)</t>
  </si>
  <si>
    <t xml:space="preserve">VIVENECA </t>
  </si>
  <si>
    <t>Encofrado metalico de fondo</t>
  </si>
  <si>
    <t>Encofrado Negativo</t>
  </si>
  <si>
    <t>Puertas polimetal lisa-blanca 1.70 m x 2.10 m ( Incl.instalación)</t>
  </si>
  <si>
    <t>Puertas polimetal lisa-blanca doble batiente 1.200 m x 2.10 m ( Incl.instalación)</t>
  </si>
  <si>
    <t>HCD-CJB</t>
  </si>
  <si>
    <t>Rejilla 4", de 2" p/piso, redonda, sencilla, cromo</t>
  </si>
  <si>
    <t xml:space="preserve">Orinal </t>
  </si>
  <si>
    <t>Mezcladora Orinal, Llave de Cromo Completa</t>
  </si>
  <si>
    <t>Niple niquelado 3/8"x2 1/2", "Aquavita" MN041B</t>
  </si>
  <si>
    <t>Suministro e Instalacion de Puertas Refrigerantes , incl. bisagras en acero inoxidable</t>
  </si>
  <si>
    <t xml:space="preserve">Hormigon Industrial f'c=180 kg/cm2 c/ Fibra </t>
  </si>
  <si>
    <t>HCD</t>
  </si>
  <si>
    <t xml:space="preserve">Molde de enconfrado prefabricado p/ sendero </t>
  </si>
  <si>
    <t>Madera Bruta ( Pino Americano 1'' x 6'' x 12'), 5 usos</t>
  </si>
  <si>
    <t xml:space="preserve">Pintura de alto tráfico </t>
  </si>
  <si>
    <t>Gl</t>
  </si>
  <si>
    <t>Tubo PVC-SDR 3''x 19 SDR-41</t>
  </si>
  <si>
    <t>Piezas 4" HDPE corrugada perforada</t>
  </si>
  <si>
    <t>Construcción de registro fluvial 1.00x1.00x1.20</t>
  </si>
  <si>
    <t>Estacas para geomembrana</t>
  </si>
  <si>
    <t>Transporte de geomembrana</t>
  </si>
  <si>
    <t>Alambre No. 18</t>
  </si>
  <si>
    <t>Llavin doble puño Toledo con llave y seguro</t>
  </si>
  <si>
    <t>Perfil 1"x1"x3/8" horizontal</t>
  </si>
  <si>
    <t>pl</t>
  </si>
  <si>
    <t>Perfil 1"x1"x3/8" vertical</t>
  </si>
  <si>
    <t>Planchuela L 10cmx20cmx1/4"</t>
  </si>
  <si>
    <t>Tornillos 3/8"x2 3/4"</t>
  </si>
  <si>
    <t xml:space="preserve">Madera de pino tratado 1"x2'x14' </t>
  </si>
  <si>
    <t>pza</t>
  </si>
  <si>
    <t xml:space="preserve">Madera de pino tratado 2"x2'x12' </t>
  </si>
  <si>
    <t>Polietileno 40" cal. # 400, negro, rollo=168 lb (plástico)</t>
  </si>
  <si>
    <t>Rollo</t>
  </si>
  <si>
    <t>MERCADO HIGUEY</t>
  </si>
  <si>
    <t>Letrero Acrilico</t>
  </si>
  <si>
    <t>Durmientes p/Framing 2 1/2'', C20</t>
  </si>
  <si>
    <t>Parales p/ Framing 2 1/2', CO</t>
  </si>
  <si>
    <t>Densglass Fiberglass Mat Sheathing</t>
  </si>
  <si>
    <t>plancha</t>
  </si>
  <si>
    <t xml:space="preserve">Tornillo de Plancha Auto-Barrenable Zync- 6x1 </t>
  </si>
  <si>
    <t>Tornillo de Estructura Auto-Barrenable Zync</t>
  </si>
  <si>
    <t>Esquinero Plastico</t>
  </si>
  <si>
    <t>All Pupose joint Compound</t>
  </si>
  <si>
    <t>cub</t>
  </si>
  <si>
    <t>Cementin Mapei Keraflor</t>
  </si>
  <si>
    <t>Cinta de Malla de Fibra de Vidrio</t>
  </si>
  <si>
    <t>Tubo HN. Imp. (102 mm) 4''x20' (6.00 mm)</t>
  </si>
  <si>
    <t>Perfil Negro Estruct. 6''x4''x40', (06.00 mm) (1/4)</t>
  </si>
  <si>
    <t>Pintura Popular Industrial Gris Perla 56 (1/4 gl)</t>
  </si>
  <si>
    <t>Pintura tropical Industrial Gris plata 56 (1 gl)</t>
  </si>
  <si>
    <t>Oxido Gris 1/4 Gln.</t>
  </si>
  <si>
    <t>Oxido Gris Domastur 1 Gln.</t>
  </si>
  <si>
    <t>Disco de Corte de  7''</t>
  </si>
  <si>
    <t>Disco de Pulido de 7''</t>
  </si>
  <si>
    <t xml:space="preserve">Electrodo universal (Soldadura) #7018-1/8 </t>
  </si>
  <si>
    <t xml:space="preserve">Brocha </t>
  </si>
  <si>
    <t>Power Rider, Flex Rex 1/4 Gln.</t>
  </si>
  <si>
    <t>Doblado de Pieza</t>
  </si>
  <si>
    <t>Pie</t>
  </si>
  <si>
    <t>SUBCONTRATOS</t>
  </si>
  <si>
    <t>Arborización</t>
  </si>
  <si>
    <t>S/s grama bermuda</t>
  </si>
  <si>
    <t>S/s Maras (8-10')</t>
  </si>
  <si>
    <t>S/s Javilla (10-12')</t>
  </si>
  <si>
    <t>S/s Penda (6-8')</t>
  </si>
  <si>
    <t>S/s Gri Gri (8-10')</t>
  </si>
  <si>
    <t>S/s Higuero (5-7')</t>
  </si>
  <si>
    <t>S/s Ceiba (10-12')</t>
  </si>
  <si>
    <t>S/s Roble rosado (5-7')</t>
  </si>
  <si>
    <t>S/s Roble blanco (5-7')</t>
  </si>
  <si>
    <t>S/s Roble blanco (8-10')</t>
  </si>
  <si>
    <t>S/s Roble amarillo (8-10')</t>
  </si>
  <si>
    <t>S/s Samán (10-12')</t>
  </si>
  <si>
    <t>S/s Palo de burro (7')</t>
  </si>
  <si>
    <t>S/s Ylag Ylang (5-7')</t>
  </si>
  <si>
    <t>S/s Guasima</t>
  </si>
  <si>
    <t>S/s Alamo</t>
  </si>
  <si>
    <t>S/s Mamey (8-10')</t>
  </si>
  <si>
    <t>S/s Reina De las Flores de (8-10')</t>
  </si>
  <si>
    <t>S/s Bambú (Bambusa textilis )</t>
  </si>
  <si>
    <t>S/s Palma Cola De Zorro (6 pies de tronco)</t>
  </si>
  <si>
    <t>S/s Palma Manila( 7 a 8 de tronco)</t>
  </si>
  <si>
    <t>S/s Palmas Reales (10-12')</t>
  </si>
  <si>
    <t>S/s Pajon Panisetum Morado</t>
  </si>
  <si>
    <t>S/s Pajon Panisetum Blanco</t>
  </si>
  <si>
    <t>S/s Mangle verde ( 8-10')</t>
  </si>
  <si>
    <t>S/s Mangle Plateado (4')</t>
  </si>
  <si>
    <t>S/s Mangle plateado (5-7')</t>
  </si>
  <si>
    <t>S/c Relleno con tierra negra</t>
  </si>
  <si>
    <t>S/I  Estacas de soportes arboles</t>
  </si>
  <si>
    <t>S/c Mulch</t>
  </si>
  <si>
    <t>S/s Doña Sanica</t>
  </si>
  <si>
    <t>S/s Purpurina</t>
  </si>
  <si>
    <t>S/s San Severia o Agave Varegado</t>
  </si>
  <si>
    <t>S/s Guayiga</t>
  </si>
  <si>
    <t>S/s Árbol Chino</t>
  </si>
  <si>
    <t>S/s Alelí (4 pies)</t>
  </si>
  <si>
    <t>S/s Coordelines</t>
  </si>
  <si>
    <t>S/s Cayena rojas y Amarillas</t>
  </si>
  <si>
    <t>S/s Guayacán (de 3 a 4 pies)</t>
  </si>
  <si>
    <t>Framboyán Amarillo ( 12 pies)</t>
  </si>
  <si>
    <t>Suministro e instalación de Estacas de soportes arboles parque las ballenas</t>
  </si>
  <si>
    <t>p2</t>
  </si>
  <si>
    <t>Demarcación lineas de bases</t>
  </si>
  <si>
    <t>Pintura y demarcacion de Linea de Juego cancha completa de baloncesto</t>
  </si>
  <si>
    <t>CARLOS AQUINO</t>
  </si>
  <si>
    <t>Pintura y demarcacion de Linea de Juego media cancha de baloncesto</t>
  </si>
  <si>
    <t>Suministro e Instalación de Paragomas</t>
  </si>
  <si>
    <t>Suministro e instalación de techo traslucido</t>
  </si>
  <si>
    <t>KI Caribbean Group S.R.L</t>
  </si>
  <si>
    <t xml:space="preserve">Suministro e instalación de pergolado 1 1/2''x 1 1/2'' de aluminio y madera sintetica </t>
  </si>
  <si>
    <t>Suministro e instalacion de Deck de madera sintetica marron  2000 x 120 x 22 mm, antideslizante, colocada c/ madera tratada IPE</t>
  </si>
  <si>
    <t>Suministro e instalación de bancos de hormigon monolitico tipo A 140 x 45 cm</t>
  </si>
  <si>
    <t>SANMA</t>
  </si>
  <si>
    <t>Suministro e instalación de bancos de hormigon monolitico tipo A 50 x 50 cm</t>
  </si>
  <si>
    <t>Suministro e instalación de bancos de hormigon monolitico tipo B 140 x 45 cm</t>
  </si>
  <si>
    <t>Suministro e instalación de bancos de hormigon monolitico tipo B 50 x 50 cm</t>
  </si>
  <si>
    <t>Suministro e instalación de bancos de hormigon monolitico tipo C 50 x 50 cm</t>
  </si>
  <si>
    <t>Suministro e instalación de bancos de hormigon monolitico tipo C 140 x 45 cm</t>
  </si>
  <si>
    <t>Suministro e instalación de mesa de hormigon monolitico</t>
  </si>
  <si>
    <t>Suministro e instalación de bancos de hormigon monolitico tipo A 50 x 50 cm para mesas</t>
  </si>
  <si>
    <t>Suministro y colocación de Tuberia de arrastre de 4'', tubo PVC-S presion 4''x 19 SDR-41</t>
  </si>
  <si>
    <t>tubo</t>
  </si>
  <si>
    <t>Descabezado de pilotes TC</t>
  </si>
  <si>
    <t>Movilización de pilotes de hormigón</t>
  </si>
  <si>
    <t>Demolición de muros de bloques</t>
  </si>
  <si>
    <t>Construccion de Totem en hormigon con perfiles de madera, metalicos cuadrados y tubulares, incluye densglass, excavacion, zapata, letras en cintra</t>
  </si>
  <si>
    <t>Suministro y colocacion de pintura termoplastica a=0.10m</t>
  </si>
  <si>
    <t>Suministro y colocacion de señal vertical</t>
  </si>
  <si>
    <t>MO confeccion carpinteria blanca</t>
  </si>
  <si>
    <t>EQUIPOS</t>
  </si>
  <si>
    <t>Barredora</t>
  </si>
  <si>
    <t>hr</t>
  </si>
  <si>
    <t>Camion Distribuidor Asfalto</t>
  </si>
  <si>
    <t>Rodillo Liso</t>
  </si>
  <si>
    <t>Bote a 5km (inc. carguio con paleros)</t>
  </si>
  <si>
    <t>Pala cargadora (inc operador, combustible y lubricante)</t>
  </si>
  <si>
    <t>Compactador manual (inc operador, combustible y lubricantes)</t>
  </si>
  <si>
    <t>Acarreo de 0 - 5 km</t>
  </si>
  <si>
    <t>m3e-km</t>
  </si>
  <si>
    <t>Acarreo de 5.1 - 10 km</t>
  </si>
  <si>
    <t>Acarreo de 10.1 - 20 km</t>
  </si>
  <si>
    <t>Acarreo de &gt; 20 km</t>
  </si>
  <si>
    <t>Bombeo de hormigon</t>
  </si>
  <si>
    <t>Transporte de banco</t>
  </si>
  <si>
    <t>viaje</t>
  </si>
  <si>
    <t>Movimiento Interno</t>
  </si>
  <si>
    <t>Encofrado metalico fondo y laterales</t>
  </si>
  <si>
    <t>Retroexcavadora (Inc.combustible y operador)</t>
  </si>
  <si>
    <t>Instalación Bancos</t>
  </si>
  <si>
    <t>Pulidora tipo  Helicoptero (Incluye equipo y Operador)</t>
  </si>
  <si>
    <t>Camioneta (inc. combustible y lubricantes)</t>
  </si>
  <si>
    <t>Broca Hilti 3/8"</t>
  </si>
  <si>
    <t>Martillo de goma (chapulin)</t>
  </si>
  <si>
    <t>Cargue en patana</t>
  </si>
  <si>
    <t>Camion de bote</t>
  </si>
  <si>
    <t>Camion cama larga (Inc.combustible y operador)</t>
  </si>
  <si>
    <t>Grua 20 ton (inc operador, combustible y lubricantes)</t>
  </si>
  <si>
    <t>Compresor para descabece de pilotes</t>
  </si>
  <si>
    <t>Hr</t>
  </si>
  <si>
    <t>DESCRIPCION</t>
  </si>
  <si>
    <t>Capa vegetal</t>
  </si>
  <si>
    <t>Mat. inservible</t>
  </si>
  <si>
    <t>Mat. no clasificado (zanja)</t>
  </si>
  <si>
    <t>Mat. Triturado (relleno)</t>
  </si>
  <si>
    <t>Roca con riper no reusable</t>
  </si>
  <si>
    <t>Material de Préstamo</t>
  </si>
  <si>
    <t>Material Granular</t>
  </si>
  <si>
    <t>Escarificación (M2)</t>
  </si>
  <si>
    <t>Limp., desm./Ha (A)</t>
  </si>
  <si>
    <t>Limp., desm./Ha (B)</t>
  </si>
  <si>
    <t>Remoc. capa rod.</t>
  </si>
  <si>
    <t>Termi- nacion (M2)</t>
  </si>
  <si>
    <t>Mant. Transito</t>
  </si>
  <si>
    <t>Remoc. Tuberia hasta 30"</t>
  </si>
  <si>
    <t>Remoc. Tuberia mas de 30"</t>
  </si>
  <si>
    <t>Remoc. Cabezal</t>
  </si>
  <si>
    <t xml:space="preserve">Roca </t>
  </si>
  <si>
    <t>TRACTOR D8K CAT.</t>
  </si>
  <si>
    <t>HR/M3N</t>
  </si>
  <si>
    <t>TRACTOR D8H CAT.</t>
  </si>
  <si>
    <t xml:space="preserve"> TRACTOR D5B CAT</t>
  </si>
  <si>
    <t>TRACTOR D65</t>
  </si>
  <si>
    <t>TRACTOR D5</t>
  </si>
  <si>
    <t>PALA   966 CAT.</t>
  </si>
  <si>
    <t>PALA   950  CAT.</t>
  </si>
  <si>
    <t>PALA   955  L CAT.</t>
  </si>
  <si>
    <t>GREADER  12 G</t>
  </si>
  <si>
    <t>HR/M3C</t>
  </si>
  <si>
    <t>GREADER  12 F</t>
  </si>
  <si>
    <t>RETROEXCAVADORA 225</t>
  </si>
  <si>
    <t>RETROEXCAVADORA 320B</t>
  </si>
  <si>
    <t>RETROEXCAVADORA 416</t>
  </si>
  <si>
    <t>RETRO MARTILLO</t>
  </si>
  <si>
    <t>COMPACTADOR MANUAL</t>
  </si>
  <si>
    <t>RODILLO VIBRADOR</t>
  </si>
  <si>
    <t>RODILLO LISO</t>
  </si>
  <si>
    <t>LIGADORA</t>
  </si>
  <si>
    <t>HR/M3</t>
  </si>
  <si>
    <t>CAMION DE AGUA</t>
  </si>
  <si>
    <t>PLANTA ASFALTO</t>
  </si>
  <si>
    <t>FRESADORA</t>
  </si>
  <si>
    <t>EXTENDEDORA DE ASFALTO</t>
  </si>
  <si>
    <t>CORTADORA DE ASFALTO</t>
  </si>
  <si>
    <t>HR/M2</t>
  </si>
  <si>
    <t>CAMON DISTRIBUIDOR DE ASF</t>
  </si>
  <si>
    <t>HR/GL</t>
  </si>
  <si>
    <t>COMPRESOR</t>
  </si>
  <si>
    <t>RETROEXCAVADORA 235</t>
  </si>
  <si>
    <t>A- CONSTRUCCIÓN DE VIAS</t>
  </si>
  <si>
    <t>B- ILUMINACIÓN Y AREA DE RECREACIÓN</t>
  </si>
  <si>
    <t>C- ENCACHE EN CAÑADAS EXISTENTE</t>
  </si>
  <si>
    <t>TUBERIA 36'' H.A P/ ALCANTARILLA</t>
  </si>
  <si>
    <t>D- CONSTRUCCIÓN DE AREA RECREATIVA, DEPORTIVAS Y PAISAJISMO</t>
  </si>
  <si>
    <t>Molde Hormigon Estampa  Piedra</t>
  </si>
  <si>
    <t>Rueda Giratoria</t>
  </si>
  <si>
    <t>Balancin</t>
  </si>
  <si>
    <t>Tobogan</t>
  </si>
  <si>
    <t>Columpio 3 asientos 270x130x200</t>
  </si>
  <si>
    <t xml:space="preserve">Caoba </t>
  </si>
  <si>
    <t>S/s Almacigo</t>
  </si>
  <si>
    <t>S/s Avellano</t>
  </si>
  <si>
    <t>S/s Caimito Cimarron</t>
  </si>
  <si>
    <t>S/s Roble criollo (5-7')</t>
  </si>
  <si>
    <t>S/s Roblillo</t>
  </si>
  <si>
    <t>S/s Arbol Frijolito</t>
  </si>
  <si>
    <t>S/s Caracoli</t>
  </si>
  <si>
    <t>S/s Campeche</t>
  </si>
  <si>
    <t>S/s Copey</t>
  </si>
  <si>
    <t>S/s Arrayan</t>
  </si>
  <si>
    <t>S/s Busunuco</t>
  </si>
  <si>
    <t xml:space="preserve">S/s Sauco Amarillo </t>
  </si>
  <si>
    <t>S/s Oreja de Elefante</t>
  </si>
  <si>
    <t xml:space="preserve">S/s Cosilla de Adam </t>
  </si>
  <si>
    <t>S/s Uva de Playa</t>
  </si>
  <si>
    <t>S/c Rehilete Jardin</t>
  </si>
  <si>
    <t xml:space="preserve">S/c Tuberia de Agua P/Jardin </t>
  </si>
  <si>
    <t>Zafacon Triple reciclaje</t>
  </si>
  <si>
    <t>D.2 - CANCHA MIXTA Y GRADERIA (2UD)</t>
  </si>
  <si>
    <t>M2/ML</t>
  </si>
  <si>
    <t>Suministro tablero de baloncesto Fibra de Vidrio (inc. base movil en hierro y contrapeso + pintura y transporte)</t>
  </si>
  <si>
    <t>Malla Voleyball</t>
  </si>
  <si>
    <t>Poste de Voleyball</t>
  </si>
  <si>
    <t>Pintura Verde Court Colt Alto Trafico</t>
  </si>
  <si>
    <t>Pintura Roja Court Colt Alto Trafico</t>
  </si>
  <si>
    <t>Pintura Azul Court Colt Alto Trafico</t>
  </si>
  <si>
    <t>D.2 - GRADERIA EN CANCHA MIXTA</t>
  </si>
  <si>
    <t>M3N</t>
  </si>
  <si>
    <t xml:space="preserve">MO pulido </t>
  </si>
  <si>
    <t>pin</t>
  </si>
  <si>
    <t>pie2</t>
  </si>
  <si>
    <t>m/m3</t>
  </si>
  <si>
    <t>D.3 - CANCHA VOLEYBALL Y GRADERIA (2UD)</t>
  </si>
  <si>
    <t>D.3 - GRADERIA EN CANCHA VOLEYBALL</t>
  </si>
  <si>
    <t>D.4 - GAZEBO</t>
  </si>
  <si>
    <t xml:space="preserve">Capitel Decorativo </t>
  </si>
  <si>
    <t xml:space="preserve">Basamento Decorativo </t>
  </si>
  <si>
    <t>Confección de Gotero</t>
  </si>
  <si>
    <t>Tubo 3"x19', pvc SDR-41 + 10% desp.</t>
  </si>
  <si>
    <t>Sifón 3", pvc dren. (Sin Invent.)</t>
  </si>
  <si>
    <t>Yee reducción 4"x3", pvc dren.</t>
  </si>
  <si>
    <t>Codo 3"x45, pvc dren.</t>
  </si>
  <si>
    <t>Codo 3"x90, pvc dren.</t>
  </si>
  <si>
    <t>Cemento pvc criollo, 1/32 gl., pinta, Cano + 25% desp.</t>
  </si>
  <si>
    <t>M.O. Desagüe piso 3" y 4", con parrilla</t>
  </si>
  <si>
    <t>mper</t>
  </si>
  <si>
    <t xml:space="preserve">Pintura Impermeabilizante </t>
  </si>
  <si>
    <t>D.5 - ESTACIÓN DE POLICIA</t>
  </si>
  <si>
    <t>S/c Caseta de Materiales</t>
  </si>
  <si>
    <t>Fumigación contra Termita y Comejen</t>
  </si>
  <si>
    <t xml:space="preserve">Refuerzo plano </t>
  </si>
  <si>
    <t>Bloque liso 4''</t>
  </si>
  <si>
    <t>Transporte de bloques 4"</t>
  </si>
  <si>
    <t xml:space="preserve">M.O Repello </t>
  </si>
  <si>
    <t>M.O Estrias</t>
  </si>
  <si>
    <t>M.O Mocheta</t>
  </si>
  <si>
    <t>S/I Ventana Corrediza de Aluminio c/ vidrio gris plata</t>
  </si>
  <si>
    <t>S/I Ventana Corrediza de Aluminio c/ vidrio amartillado</t>
  </si>
  <si>
    <t xml:space="preserve">pie2 </t>
  </si>
  <si>
    <t>S/I Puertal Aluminio y Vidrio Templado (0.90x2.10 m)</t>
  </si>
  <si>
    <t>Puertas polimetal lisa-blanca 0.78 @ 1.20 m x 2.10 m ( Incl.instalación)</t>
  </si>
  <si>
    <t>Puertas polimetal lisa-blanca 0.60 m x 2.10 m ( Incl.instalación)</t>
  </si>
  <si>
    <t>S/I Puerta de Metal Galvanizado p/baño</t>
  </si>
  <si>
    <t>S/c piso de ceramica china</t>
  </si>
  <si>
    <t>s/c Zocalo de Piso</t>
  </si>
  <si>
    <t>S/c Quicios Puertas</t>
  </si>
  <si>
    <t xml:space="preserve">S/c Ceramica en Pared de Baño </t>
  </si>
  <si>
    <t>S/c Ceramica en cocina</t>
  </si>
  <si>
    <t>S/c piso de ceramica economica china</t>
  </si>
  <si>
    <t>S/c Inodoro Blanco</t>
  </si>
  <si>
    <t>S/c Lavamano Blanco</t>
  </si>
  <si>
    <t xml:space="preserve">S/c Fregadero de Acero Inoxidable </t>
  </si>
  <si>
    <t>S/c Ducha</t>
  </si>
  <si>
    <t xml:space="preserve">S/c Accesorios p/ Baños </t>
  </si>
  <si>
    <t>S/c Desague de Piso 2''</t>
  </si>
  <si>
    <t>S/c Columna de Ventilación 3''</t>
  </si>
  <si>
    <t>S/c Salida de Desague 2'' PVC</t>
  </si>
  <si>
    <t>S/c Desague de Techo 4'' PVC</t>
  </si>
  <si>
    <t>S/c Trampa de Grasa 1x1x1 m</t>
  </si>
  <si>
    <t>S/c Registro Sanitario 0.60x0.60x0.60 m</t>
  </si>
  <si>
    <t>S/c Cisterna p/ 4000 gls</t>
  </si>
  <si>
    <t>S/c Camara Septica 1.70x3.40x1.60 m</t>
  </si>
  <si>
    <t>S/c Llave de Chorro</t>
  </si>
  <si>
    <t>S/c Tinaco de 500 gls</t>
  </si>
  <si>
    <t>S/c Filtrante en 8''</t>
  </si>
  <si>
    <t>S/c Pozo Tubular p/ Agua potable</t>
  </si>
  <si>
    <t>S/c Bomba Meyer p/ Cisterna HP</t>
  </si>
  <si>
    <t>S/c Tanque Hidroneumatico 120 gls</t>
  </si>
  <si>
    <t>S/c Plafond PVC en baños</t>
  </si>
  <si>
    <t>S/c Sistema Sanitario p/ Carceles</t>
  </si>
  <si>
    <t>p.a</t>
  </si>
  <si>
    <t>S/c Tuberias y piezas PVC p/ Aguas Residuales</t>
  </si>
  <si>
    <t>S/c Tuberias y piezas PVC p/ Aguas Potable</t>
  </si>
  <si>
    <t>S/c Salida luz cenital</t>
  </si>
  <si>
    <t>S/c Salida Interruptor Simple</t>
  </si>
  <si>
    <t>S/c Salida de Tomacorriente 120 v</t>
  </si>
  <si>
    <t>S/c Saldia Interruptor Doble</t>
  </si>
  <si>
    <t>S/c Salida de Tomacorriente 220 v</t>
  </si>
  <si>
    <t xml:space="preserve">S/c Caja de Breakers (8 Circuitos) </t>
  </si>
  <si>
    <t>S/c Registro Electrico</t>
  </si>
  <si>
    <t>S/c Acometida</t>
  </si>
  <si>
    <t>S/c Salidas p/ Telefonos</t>
  </si>
  <si>
    <t xml:space="preserve">S/c Salidas p/ red de Data </t>
  </si>
  <si>
    <t>S/c Salida Abanico de Pared</t>
  </si>
  <si>
    <t xml:space="preserve">S/c  Abanico de Techo KDK </t>
  </si>
  <si>
    <t>S/c Tuberias y Piezas Electricas</t>
  </si>
  <si>
    <t>S/c Mano de Obra Electrica</t>
  </si>
  <si>
    <t>S/c Gabinete piso pino tratado y plywood</t>
  </si>
  <si>
    <t>S/c Gabinete pared pino tratado y plywood</t>
  </si>
  <si>
    <t>S/c Muro de Apoyo para tope de Granito</t>
  </si>
  <si>
    <t>S/c Marmolite en Cocina</t>
  </si>
  <si>
    <t>S/c Pintura de Mantenimiento de  Hierro</t>
  </si>
  <si>
    <t>S/c Asta p/Bandera</t>
  </si>
  <si>
    <t>S/c Salida de GLP</t>
  </si>
  <si>
    <t>S/c Herreria de Carcel (Rejas de Hierro)</t>
  </si>
  <si>
    <t>S/c Perfil de Fachada Frontal</t>
  </si>
  <si>
    <t>S/c Escudo</t>
  </si>
  <si>
    <t>S/c Verja de Protección 2.10 x 1.00 m</t>
  </si>
  <si>
    <t>S/c Premarco de Puertas y Ventanas</t>
  </si>
  <si>
    <t>S/c Ventanas de Verjas de Aluminio y Celosias</t>
  </si>
  <si>
    <t>S/c Verja de Protección en Ventanas</t>
  </si>
  <si>
    <t>S/c Tinaco de 150 Gls</t>
  </si>
  <si>
    <t>S/c Tuberia 4'' PVC, drenaje Sanitario Incluye Mov. Tierra</t>
  </si>
  <si>
    <t xml:space="preserve">S/c Panel de Breakers de  4/8 </t>
  </si>
  <si>
    <t>M.O Plomero</t>
  </si>
  <si>
    <t>P.a.</t>
  </si>
  <si>
    <t xml:space="preserve">Limpieza Final </t>
  </si>
  <si>
    <t xml:space="preserve">D.6 - CASETA DE SEGURIDAD </t>
  </si>
  <si>
    <t>Movimiento de Tierra a Mano TC</t>
  </si>
  <si>
    <t>ml/m2</t>
  </si>
  <si>
    <t xml:space="preserve">S/c Desague de Techo </t>
  </si>
  <si>
    <t>S/c Desague de piso 3''</t>
  </si>
  <si>
    <t xml:space="preserve">S/C Camara de Inspección </t>
  </si>
  <si>
    <t xml:space="preserve">S/c Barra de Cortina </t>
  </si>
  <si>
    <t>M.o Instalación Sanitaria</t>
  </si>
  <si>
    <t xml:space="preserve">S/c Letrero y Pintura logo INAPA </t>
  </si>
  <si>
    <t>D.7 CENTRO COMUNAL</t>
  </si>
  <si>
    <t>S/c Tuberia de Descarga de 4''</t>
  </si>
  <si>
    <t>S/c Tuberia de Descarga de 3''</t>
  </si>
  <si>
    <t>S/c Tuberia de Descarga de 2''</t>
  </si>
  <si>
    <t>S/c Tuberia  SCH- 40 2'' PVC presion</t>
  </si>
  <si>
    <t>S/c Tuberia  SCH- 40 1'' PVC presion</t>
  </si>
  <si>
    <t>S/c Tuberia  SCH- 40 3/4'' PVC presion</t>
  </si>
  <si>
    <t>S/c Llave de Paso 2''</t>
  </si>
  <si>
    <t>S/c Llave de Paso 1/2''</t>
  </si>
  <si>
    <t>S/c Llave de chorro 1/2''</t>
  </si>
  <si>
    <t>S/c Tuberia  SCH- 40 1/2'' PVC presion</t>
  </si>
  <si>
    <t xml:space="preserve">S/c Interruptor Triple </t>
  </si>
  <si>
    <t>S/c Panel de Breakers de  12</t>
  </si>
  <si>
    <t xml:space="preserve">S/c Piso granito 30x30 cm fondo Gris </t>
  </si>
  <si>
    <t xml:space="preserve">S/c Zocalo granito 30x30 cm fondo Gris </t>
  </si>
  <si>
    <t xml:space="preserve">Primer Pintura </t>
  </si>
  <si>
    <t xml:space="preserve">Gls </t>
  </si>
  <si>
    <t xml:space="preserve">S/c Ventana Salomonica de Aluminio </t>
  </si>
  <si>
    <t>S/c Suministro y colocación de particiones de baños en placa fenólicas con perfilería de anclaje en acero inoxidable.</t>
  </si>
  <si>
    <t>S/c Suministro y colocación de barandas metálica fabricada con perfiles redondo negro de 1 1/2" (incluye pintura anticorrosiva e industrial)</t>
  </si>
  <si>
    <t>D.8 BAÑOS PUBLICOS</t>
  </si>
  <si>
    <t>Pintura acrilica AZUL TURQUEZA</t>
  </si>
  <si>
    <t>S/c piso de ceramica criolla</t>
  </si>
  <si>
    <t>S/c revestimiento de ceramica criolla</t>
  </si>
  <si>
    <t>S/c Orinales</t>
  </si>
  <si>
    <t>S/c Tope de Granito Natural Brasil</t>
  </si>
  <si>
    <t>S/c  Dispensador de Papel</t>
  </si>
  <si>
    <t>S/c Dispensador de Jabon</t>
  </si>
  <si>
    <t>S/c Accesorios p/ Baños en Cristal y Cromado</t>
  </si>
  <si>
    <t>S/c Mampara de Cristal Templado 1m2.33mx 8 mm</t>
  </si>
  <si>
    <t>S/c Barra de Seguridad en Ducha AI</t>
  </si>
  <si>
    <t>S/c Tinaco de 7000 Gls</t>
  </si>
  <si>
    <t xml:space="preserve">Mano de Obra Plomeria General Baños Publicos </t>
  </si>
  <si>
    <t xml:space="preserve">S/c Ventana de Celocia con Palanca </t>
  </si>
  <si>
    <t>S/I Puerta de Pino Tratado  0.55x1.50 m)</t>
  </si>
  <si>
    <t>S/I Puerta de Pino Tratado  0.85x1.50 m)</t>
  </si>
  <si>
    <t>D.9 - OFICINA ADMINISTRATIVA</t>
  </si>
  <si>
    <t>Escritorio Tope Melanina plateado</t>
  </si>
  <si>
    <t xml:space="preserve">Silla Operativa </t>
  </si>
  <si>
    <t>Silla de Visita</t>
  </si>
  <si>
    <t>Archivo Metalico</t>
  </si>
  <si>
    <t>Mano de Obra Electrica</t>
  </si>
  <si>
    <t>Conductor Electrico de Goma 8/3</t>
  </si>
  <si>
    <t xml:space="preserve">S/I Reflector LED 150 WATT </t>
  </si>
  <si>
    <t>S/ Poste H.A 30' 300 DAM</t>
  </si>
  <si>
    <t>S/I Conductor Electrico de Goma 6/3</t>
  </si>
  <si>
    <t xml:space="preserve">S/I Panel de breakers 2 /4 </t>
  </si>
  <si>
    <t>S/I Tuberia PVC 3/4'' X 19'</t>
  </si>
  <si>
    <t>S/I Instalacion de Poste</t>
  </si>
  <si>
    <t xml:space="preserve">S/I Reflector LED 80 WATT </t>
  </si>
  <si>
    <t>S/I Salida Electrica p/ Reflector LED</t>
  </si>
  <si>
    <t>S/I Panel de Breakers 4/8 circuitos</t>
  </si>
  <si>
    <t>S/I Panel de Breakers 6/12 circuitos</t>
  </si>
  <si>
    <t>S/I Registro metálico N-1R, 6" X 6" X 4"</t>
  </si>
  <si>
    <t>D.10 ELECTRICA GENERAL</t>
  </si>
  <si>
    <t xml:space="preserve">Analisis de Costo Unitario </t>
  </si>
  <si>
    <t xml:space="preserve">Señales del caribe </t>
  </si>
  <si>
    <t>Comercializadora</t>
  </si>
  <si>
    <t>Elaboración y suministro de Hormigon Asfaltico 2</t>
  </si>
  <si>
    <t>Elaboración y suministro de Hormigon Asfaltico 3</t>
  </si>
  <si>
    <t>CEMEX</t>
  </si>
  <si>
    <t>edwindoor</t>
  </si>
  <si>
    <t xml:space="preserve">Lona Asfaltica </t>
  </si>
  <si>
    <t>Kinnox</t>
  </si>
  <si>
    <t>Puertas y Ventanas Villa Lopez</t>
  </si>
  <si>
    <t xml:space="preserve">Tope de granito natural </t>
  </si>
  <si>
    <t xml:space="preserve">Tope de Granito Natural </t>
  </si>
  <si>
    <t>Canal 4x2</t>
  </si>
  <si>
    <t>Canal 6x2</t>
  </si>
  <si>
    <t xml:space="preserve">M.O. Canal </t>
  </si>
  <si>
    <t>S/c Cubierta con plancha de Aluzinc Cal. 26 + Correas en perfiles C8 x 1/16 en H.G. + tillas tensoras en barras HN 1/2"</t>
  </si>
  <si>
    <t>Material de Relleno</t>
  </si>
  <si>
    <t>Maestro de carpinteria</t>
  </si>
  <si>
    <t>peon</t>
  </si>
  <si>
    <t>Ayudante de Carpinteria</t>
  </si>
  <si>
    <t>Hormigon Industrial f'c=180 kg/cm3</t>
  </si>
  <si>
    <t>`</t>
  </si>
  <si>
    <t>bloque de 6 + transp</t>
  </si>
  <si>
    <t>******</t>
  </si>
  <si>
    <t>********</t>
  </si>
  <si>
    <t>*************</t>
  </si>
  <si>
    <t>*********</t>
  </si>
  <si>
    <t>*******</t>
  </si>
  <si>
    <t>**********</t>
  </si>
  <si>
    <t>( E.P ACT. No. 1 ) Estudios (Sociales, Ambientales, Geotécnicos, Topográficos y de Calidad, entre otros)</t>
  </si>
  <si>
    <t>( N.P ACT. No. 1) Estudios (Sociales, Ambientales, Geotécnicos, Topográficos y de Calidad, entre otros)</t>
  </si>
  <si>
    <r>
      <t xml:space="preserve">Tuberias </t>
    </r>
    <r>
      <rPr>
        <sz val="12"/>
        <color theme="1" tint="4.9989318521683403E-2"/>
        <rFont val="Calibri"/>
        <family val="2"/>
      </rPr>
      <t>Ø10'' perforada</t>
    </r>
  </si>
  <si>
    <r>
      <t xml:space="preserve">Tuberias </t>
    </r>
    <r>
      <rPr>
        <sz val="12"/>
        <color theme="1" tint="4.9989318521683403E-2"/>
        <rFont val="Calibri"/>
        <family val="2"/>
      </rPr>
      <t>Ø 6'' perforada</t>
    </r>
  </si>
  <si>
    <r>
      <t xml:space="preserve">Tuberias </t>
    </r>
    <r>
      <rPr>
        <sz val="12"/>
        <color theme="1" tint="4.9989318521683403E-2"/>
        <rFont val="Calibri"/>
        <family val="2"/>
      </rPr>
      <t>Ø 4'' perforada</t>
    </r>
  </si>
  <si>
    <r>
      <t xml:space="preserve">Acero </t>
    </r>
    <r>
      <rPr>
        <sz val="12"/>
        <color theme="1" tint="4.9989318521683403E-2"/>
        <rFont val="Calibri"/>
        <family val="2"/>
      </rPr>
      <t>Ø 3/8 f'y: 4,200 kg/cm2, grado 60</t>
    </r>
  </si>
  <si>
    <t>INAPA</t>
  </si>
  <si>
    <t>DIRECCION DE SUPERVISION Y FISCALIZACION DE OBRAS</t>
  </si>
  <si>
    <r>
      <rPr>
        <sz val="11"/>
        <rFont val="Arial"/>
        <family val="2"/>
      </rPr>
      <t>OBRA:</t>
    </r>
    <r>
      <rPr>
        <b/>
        <sz val="11"/>
        <rFont val="Arial"/>
        <family val="2"/>
      </rPr>
      <t xml:space="preserve"> CONSTRUCCION SISTEMA DE SANEAMIENTO ARROYO GURABO Y SU ENTORNO, MUNICIPIO SANTIAGO,  </t>
    </r>
  </si>
  <si>
    <r>
      <rPr>
        <sz val="11"/>
        <rFont val="Arial"/>
        <family val="2"/>
      </rPr>
      <t>CONTRATO</t>
    </r>
    <r>
      <rPr>
        <b/>
        <sz val="11"/>
        <rFont val="Arial"/>
        <family val="2"/>
      </rPr>
      <t>: No.029-2022</t>
    </r>
  </si>
  <si>
    <r>
      <rPr>
        <sz val="11"/>
        <rFont val="Arial"/>
        <family val="2"/>
      </rPr>
      <t>ZONA</t>
    </r>
    <r>
      <rPr>
        <b/>
        <sz val="11"/>
        <rFont val="Arial"/>
        <family val="2"/>
      </rPr>
      <t>: V</t>
    </r>
  </si>
  <si>
    <r>
      <rPr>
        <sz val="11"/>
        <rFont val="Arial"/>
        <family val="2"/>
      </rPr>
      <t>PROVINCIA:</t>
    </r>
    <r>
      <rPr>
        <b/>
        <sz val="11"/>
        <rFont val="Arial"/>
        <family val="2"/>
      </rPr>
      <t xml:space="preserve"> SANTIAGO,</t>
    </r>
  </si>
  <si>
    <t>PRESUPUESTO ACTUALIZADO No. 1 D/F  JULIO/20222</t>
  </si>
  <si>
    <t>NOTAS:</t>
  </si>
  <si>
    <t xml:space="preserve"> 1) ESTE PRESUPUESTO SE ELEBORA SEGÚN INFORMACION SUMINISTRADA MEDIANTE MEMO COORD. 121-2022 D/F 25/07/2022</t>
  </si>
  <si>
    <t xml:space="preserve">                         PREPARADO POR:</t>
  </si>
  <si>
    <t xml:space="preserve">                                                                               REVISADO POR</t>
  </si>
  <si>
    <t xml:space="preserve">         ING. FIOR DALIZA GUILLEN SARANTE</t>
  </si>
  <si>
    <t xml:space="preserve">                                                                          ING.  RAYDI CASTRO JIMENEZ</t>
  </si>
  <si>
    <t xml:space="preserve">                       INGENIERO CIVIL I </t>
  </si>
  <si>
    <t xml:space="preserve">                            ANALISTA DE PROYECTOS</t>
  </si>
  <si>
    <t xml:space="preserve">                  </t>
  </si>
  <si>
    <t xml:space="preserve">                                        VISTO BUENO:</t>
  </si>
  <si>
    <t xml:space="preserve">                                                                          ARQ. RENÈ GARCÌA VILLANUEVA</t>
  </si>
  <si>
    <t xml:space="preserve">                                                 DIRECTOR DE SUPERVISION Y FISCALIZACION DE OBRAS </t>
  </si>
  <si>
    <t>Transporte de asfalto, distancia aproximada de 20.00 km</t>
  </si>
  <si>
    <t>PIES</t>
  </si>
  <si>
    <t xml:space="preserve">M2 </t>
  </si>
  <si>
    <t>MOVIMIENTO DE TIERRA A MANO (Incluye excavación de zapatas, reposición de material compactado y bote de material sobrante)</t>
  </si>
  <si>
    <t>Señalización vertical y horizontal en Vias y Ciclovias</t>
  </si>
  <si>
    <t>PRESUPUESTO EQUILIBRADO No. 1 D/F  OCTUBRE/2022</t>
  </si>
  <si>
    <t>SUB-TOTAL GENERAL BASE</t>
  </si>
  <si>
    <t>SUB-TOTAL GENERAL BASE + EQUILIBRIO</t>
  </si>
  <si>
    <r>
      <rPr>
        <sz val="11"/>
        <rFont val="Arial"/>
        <family val="2"/>
      </rPr>
      <t>CONTRATISTA</t>
    </r>
    <r>
      <rPr>
        <b/>
        <sz val="11"/>
        <rFont val="Arial"/>
        <family val="2"/>
      </rPr>
      <t>: CONPROINA, S.R.L.</t>
    </r>
  </si>
  <si>
    <t xml:space="preserve">SUB-TOTAL GENERAL EQUILIBRIO ECONOMICO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</si>
</sst>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5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#,##0.00\ &quot;€&quot;;\-#,##0.00\ &quot;€&quot;"/>
    <numFmt numFmtId="166" formatCode="#,##0.00\ &quot;€&quot;;[Red]\-#,##0.00\ &quot;€&quot;"/>
    <numFmt numFmtId="167" formatCode="_-* #,##0\ &quot;€&quot;_-;\-* #,##0\ &quot;€&quot;_-;_-* &quot;-&quot;\ &quot;€&quot;_-;_-@_-"/>
    <numFmt numFmtId="168" formatCode="_-* #,##0.00\ &quot;€&quot;_-;\-* #,##0.00\ &quot;€&quot;_-;_-* &quot;-&quot;??\ &quot;€&quot;_-;_-@_-"/>
    <numFmt numFmtId="169" formatCode="_-* #,##0.00_-;\-* #,##0.00_-;_-* &quot;-&quot;??_-;_-@_-"/>
    <numFmt numFmtId="170" formatCode="_-* #,##0\ _€_-;\-* #,##0\ _€_-;_-* &quot;-&quot;\ _€_-;_-@_-"/>
    <numFmt numFmtId="171" formatCode="_-* #,##0.00\ _€_-;\-* #,##0.00\ _€_-;_-* &quot;-&quot;??\ _€_-;_-@_-"/>
    <numFmt numFmtId="172" formatCode="#,##0.00;[Red]#,##0.00"/>
    <numFmt numFmtId="173" formatCode="#,##0.0;\-#,##0.0"/>
    <numFmt numFmtId="174" formatCode="_(* #,##0.0_);_(* \(#,##0.0\);_(* &quot;-&quot;??_);_(@_)"/>
    <numFmt numFmtId="175" formatCode="0.0"/>
    <numFmt numFmtId="176" formatCode="#,##0.00_ ;\-#,##0.00\ "/>
    <numFmt numFmtId="177" formatCode="General_)"/>
    <numFmt numFmtId="178" formatCode="0.000"/>
    <numFmt numFmtId="179" formatCode="[$€]#,##0.00;[Red]\-[$€]#,##0.00"/>
    <numFmt numFmtId="180" formatCode="_([$€]* #,##0.00_);_([$€]* \(#,##0.00\);_([$€]* &quot;-&quot;??_);_(@_)"/>
    <numFmt numFmtId="181" formatCode="_-[$€-2]* #,##0.00_-;\-[$€-2]* #,##0.00_-;_-[$€-2]* &quot;-&quot;??_-"/>
    <numFmt numFmtId="182" formatCode="#."/>
    <numFmt numFmtId="183" formatCode="#.0"/>
    <numFmt numFmtId="184" formatCode="_-* #,##0.00\ &quot;Pts&quot;_-;\-* #,##0.00\ &quot;Pts&quot;_-;_-* &quot;-&quot;??\ &quot;Pts&quot;_-;_-@_-"/>
    <numFmt numFmtId="185" formatCode="&quot;$&quot;#,##0.00;[Red]\-&quot;$&quot;#,##0.00"/>
    <numFmt numFmtId="186" formatCode="_-* #,##0.00\ _P_t_s_-;\-* #,##0.00\ _P_t_s_-;_-* &quot;-&quot;??\ _P_t_s_-;_-@_-"/>
    <numFmt numFmtId="187" formatCode="_(* #,##0.00_);_(* \(#,##0.00\);_(* \-??_);_(@_)"/>
    <numFmt numFmtId="188" formatCode="_-* #,##0.00\ [$€]_-;\-* #,##0.00\ [$€]_-;_-* &quot;-&quot;??\ [$€]_-;_-@_-"/>
    <numFmt numFmtId="189" formatCode="#,##0.0000_);\(#,##0.0000\)"/>
    <numFmt numFmtId="190" formatCode="&quot;Sí&quot;;&quot;Sí&quot;;&quot;No&quot;"/>
    <numFmt numFmtId="191" formatCode="_-&quot;$&quot;* #,##0.00_-;\-&quot;$&quot;* #,##0.00_-;_-&quot;$&quot;* &quot;-&quot;??_-;_-@_-"/>
    <numFmt numFmtId="192" formatCode="0.00_)"/>
    <numFmt numFmtId="193" formatCode="&quot;Activado&quot;;&quot;Activado&quot;;&quot;Desactivado&quot;"/>
    <numFmt numFmtId="194" formatCode="0.00000"/>
    <numFmt numFmtId="195" formatCode="0.0000"/>
    <numFmt numFmtId="196" formatCode="#,##0.0000"/>
    <numFmt numFmtId="197" formatCode="[$$-409]#,##0.00"/>
    <numFmt numFmtId="198" formatCode="0_)"/>
    <numFmt numFmtId="199" formatCode="#,##0.00\ _€"/>
    <numFmt numFmtId="200" formatCode="#,##0.00\ &quot;/m3&quot;"/>
    <numFmt numFmtId="201" formatCode="_-* #,##0.00\ _$_-;_-* #,##0.00\ _$\-;_-* &quot;-&quot;??\ _$_-;_-@_-"/>
    <numFmt numFmtId="202" formatCode="&quot;$&quot;#,##0;\-&quot;$&quot;#,##0"/>
    <numFmt numFmtId="203" formatCode="_([$€-2]* #,##0.00_);_([$€-2]* \(#,##0.00\);_([$€-2]* &quot;-&quot;??_)"/>
    <numFmt numFmtId="204" formatCode="&quot; &quot;#,##0.00&quot; &quot;;&quot; (&quot;#,##0.00&quot;)&quot;;&quot; -&quot;#&quot; &quot;;&quot; &quot;@&quot; &quot;"/>
    <numFmt numFmtId="205" formatCode="[$-409]General"/>
    <numFmt numFmtId="206" formatCode="_-* #,##0.0000_-;\-* #,##0.0000_-;_-* &quot;-&quot;??_-;_-@_-"/>
    <numFmt numFmtId="207" formatCode="#,##0.00\ &quot;M³S&quot;"/>
    <numFmt numFmtId="208" formatCode="#,##0.00\ &quot;KM&quot;"/>
    <numFmt numFmtId="209" formatCode="_-&quot;RD$&quot;* #,##0.00_-;\-&quot;RD$&quot;* #,##0.00_-;_-&quot;RD$&quot;* &quot;-&quot;??_-;_-@_-"/>
    <numFmt numFmtId="210" formatCode="_(* #,##0\ &quot;pta&quot;_);_(* \(#,##0\ &quot;pta&quot;\);_(* &quot;-&quot;??\ &quot;pta&quot;_);_(@_)"/>
    <numFmt numFmtId="211" formatCode="#,##0.000_);\(#,##0.000\)"/>
    <numFmt numFmtId="212" formatCode="_(* #,##0.000_);_(* \(#,##0.000\);_(* &quot;-&quot;??_);_(@_)"/>
    <numFmt numFmtId="213" formatCode="#,##0.0\ _€;\-#,##0.0\ _€"/>
    <numFmt numFmtId="214" formatCode="#,##0.00\ _€;\-#,##0.00\ _€"/>
    <numFmt numFmtId="215" formatCode="#,##0\ _€;\-#,##0\ _€"/>
    <numFmt numFmtId="216" formatCode="#,##0.0_);\(#,##0.0\)"/>
    <numFmt numFmtId="217" formatCode="#,##0.0"/>
    <numFmt numFmtId="218" formatCode="0.0_)"/>
    <numFmt numFmtId="219" formatCode="_-* #,##0\ _€_-;\-* #,##0\ _€_-;_-* &quot;-&quot;??\ _€_-;_-@_-"/>
    <numFmt numFmtId="220" formatCode="_-* #,##0.0\ _€_-;\-* #,##0.0\ _€_-;_-* &quot;-&quot;??\ _€_-;_-@_-"/>
    <numFmt numFmtId="221" formatCode="#,##0.000000"/>
    <numFmt numFmtId="222" formatCode="#,##0.000"/>
    <numFmt numFmtId="223" formatCode="#,##0.0_);[Red]\(#,##0.0\)"/>
  </numFmts>
  <fonts count="12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2"/>
      <name val="Courier"/>
      <family val="3"/>
    </font>
    <font>
      <sz val="10"/>
      <color rgb="FFFF0000"/>
      <name val="Arial"/>
      <family val="2"/>
    </font>
    <font>
      <sz val="10"/>
      <color indexed="8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color indexed="63"/>
      <name val="Arial"/>
      <family val="2"/>
    </font>
    <font>
      <sz val="10"/>
      <name val="Tahoma"/>
      <family val="2"/>
    </font>
    <font>
      <b/>
      <sz val="10"/>
      <color indexed="63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19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Times New Roman"/>
      <family val="1"/>
    </font>
    <font>
      <b/>
      <sz val="11"/>
      <color indexed="8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b/>
      <sz val="1"/>
      <color indexed="16"/>
      <name val="Courier"/>
      <family val="3"/>
    </font>
    <font>
      <sz val="1"/>
      <color indexed="16"/>
      <name val="Courier"/>
      <family val="3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3"/>
      <name val="Calibri"/>
      <family val="2"/>
    </font>
    <font>
      <sz val="11"/>
      <color indexed="19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10"/>
      <name val="Courier"/>
      <family val="3"/>
    </font>
    <font>
      <b/>
      <i/>
      <sz val="16"/>
      <name val="Helv"/>
    </font>
    <font>
      <sz val="10"/>
      <name val="Tms Rmn"/>
    </font>
    <font>
      <sz val="12"/>
      <name val="Courier New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vertAlign val="superscript"/>
      <sz val="10"/>
      <name val="Arial"/>
      <family val="2"/>
    </font>
    <font>
      <sz val="10"/>
      <name val="Cambria"/>
      <family val="1"/>
    </font>
    <font>
      <vertAlign val="superscript"/>
      <sz val="10"/>
      <name val="Cambria"/>
      <family val="1"/>
    </font>
    <font>
      <b/>
      <sz val="12"/>
      <name val="Arial"/>
      <family val="2"/>
    </font>
    <font>
      <b/>
      <sz val="12"/>
      <color theme="1"/>
      <name val="Arial"/>
      <family val="2"/>
    </font>
    <font>
      <sz val="10"/>
      <color indexed="8"/>
      <name val="Verdana"/>
      <family val="2"/>
    </font>
    <font>
      <sz val="10"/>
      <color indexed="9"/>
      <name val="Verdana"/>
      <family val="2"/>
    </font>
    <font>
      <b/>
      <sz val="10"/>
      <color indexed="8"/>
      <name val="Verdana"/>
      <family val="2"/>
    </font>
    <font>
      <sz val="10"/>
      <color theme="1"/>
      <name val="Arial1"/>
    </font>
    <font>
      <u/>
      <sz val="10"/>
      <color indexed="36"/>
      <name val="Arial"/>
      <family val="2"/>
    </font>
    <font>
      <sz val="10"/>
      <color indexed="36"/>
      <name val="MS Sans Serif"/>
      <family val="2"/>
    </font>
    <font>
      <u/>
      <sz val="10"/>
      <color indexed="12"/>
      <name val="Arial"/>
      <family val="2"/>
    </font>
    <font>
      <sz val="10"/>
      <color rgb="FF000000"/>
      <name val="Times New Roman"/>
      <family val="1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64"/>
      <name val="Arial"/>
      <family val="2"/>
    </font>
    <font>
      <sz val="10"/>
      <color indexed="8"/>
      <name val="Times New Roman"/>
      <family val="1"/>
    </font>
    <font>
      <sz val="11"/>
      <color indexed="6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name val="Courie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Calibri"/>
      <family val="2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u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sz val="8"/>
      <color indexed="10"/>
      <name val="Arial"/>
      <family val="2"/>
    </font>
    <font>
      <sz val="7"/>
      <color indexed="8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sz val="12"/>
      <color rgb="FFFF0000"/>
      <name val="Calibri"/>
      <family val="2"/>
    </font>
    <font>
      <sz val="12"/>
      <name val="Calibri"/>
      <family val="2"/>
      <scheme val="minor"/>
    </font>
    <font>
      <sz val="12"/>
      <name val="Calibri"/>
      <family val="2"/>
    </font>
    <font>
      <sz val="8"/>
      <name val="Arial"/>
      <family val="2"/>
    </font>
    <font>
      <sz val="12"/>
      <color rgb="FF00B0F0"/>
      <name val="Calibri"/>
      <family val="2"/>
    </font>
    <font>
      <sz val="12"/>
      <color rgb="FFFF0000"/>
      <name val="Calibri"/>
      <family val="2"/>
      <scheme val="minor"/>
    </font>
    <font>
      <b/>
      <sz val="12"/>
      <color rgb="FF000000"/>
      <name val="Calibri"/>
      <family val="2"/>
    </font>
    <font>
      <sz val="10"/>
      <color theme="1" tint="4.9989318521683403E-2"/>
      <name val="Arial"/>
      <family val="2"/>
    </font>
    <font>
      <sz val="12"/>
      <color theme="1" tint="4.9989318521683403E-2"/>
      <name val="Calibri"/>
      <family val="2"/>
      <scheme val="minor"/>
    </font>
    <font>
      <b/>
      <sz val="14"/>
      <color theme="1" tint="4.9989318521683403E-2"/>
      <name val="Calibri"/>
      <family val="2"/>
      <scheme val="minor"/>
    </font>
    <font>
      <b/>
      <sz val="14"/>
      <color theme="1" tint="4.9989318521683403E-2"/>
      <name val="Calibri"/>
      <family val="2"/>
    </font>
    <font>
      <sz val="10"/>
      <color theme="1" tint="4.9989318521683403E-2"/>
      <name val="Arial"/>
      <family val="2"/>
    </font>
    <font>
      <b/>
      <sz val="12"/>
      <color theme="1" tint="4.9989318521683403E-2"/>
      <name val="Calibri"/>
      <family val="2"/>
      <scheme val="minor"/>
    </font>
    <font>
      <sz val="12"/>
      <color theme="1" tint="4.9989318521683403E-2"/>
      <name val="Calibri"/>
      <family val="2"/>
    </font>
    <font>
      <i/>
      <sz val="12"/>
      <color theme="1" tint="4.9989318521683403E-2"/>
      <name val="Calibri"/>
      <family val="2"/>
      <scheme val="minor"/>
    </font>
    <font>
      <b/>
      <sz val="12"/>
      <color theme="1" tint="4.9989318521683403E-2"/>
      <name val="Calibri"/>
      <family val="2"/>
    </font>
    <font>
      <b/>
      <u/>
      <sz val="12"/>
      <color theme="1" tint="4.9989318521683403E-2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sz val="11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30"/>
        <bgColor indexed="30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3"/>
        <bgColor indexed="53"/>
      </patternFill>
    </fill>
    <fill>
      <patternFill patternType="solid">
        <fgColor indexed="57"/>
      </patternFill>
    </fill>
    <fill>
      <patternFill patternType="solid">
        <fgColor indexed="51"/>
        <bgColor indexed="51"/>
      </patternFill>
    </fill>
    <fill>
      <patternFill patternType="solid">
        <fgColor indexed="45"/>
        <bgColor indexed="45"/>
      </patternFill>
    </fill>
    <fill>
      <patternFill patternType="solid">
        <fgColor indexed="54"/>
        <bgColor indexed="54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29"/>
        <bgColor indexed="29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solid">
        <fgColor indexed="42"/>
        <bgColor indexed="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  <bgColor indexed="31"/>
      </patternFill>
    </fill>
    <fill>
      <patternFill patternType="lightUp">
        <fgColor indexed="9"/>
        <bgColor indexed="2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65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29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30"/>
      </top>
      <bottom style="double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/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/>
      <top/>
      <bottom style="medium">
        <color indexed="8"/>
      </bottom>
      <diagonal/>
    </border>
    <border>
      <left style="hair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theme="1"/>
      </left>
      <right/>
      <top/>
      <bottom style="thin">
        <color indexed="64"/>
      </bottom>
      <diagonal/>
    </border>
  </borders>
  <cellStyleXfs count="1131">
    <xf numFmtId="0" fontId="0" fillId="0" borderId="0"/>
    <xf numFmtId="43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71" fontId="12" fillId="0" borderId="0" applyFont="0" applyFill="0" applyBorder="0" applyAlignment="0" applyProtection="0"/>
    <xf numFmtId="39" fontId="15" fillId="0" borderId="0"/>
    <xf numFmtId="171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12" fillId="0" borderId="0"/>
    <xf numFmtId="0" fontId="12" fillId="0" borderId="0"/>
    <xf numFmtId="0" fontId="20" fillId="0" borderId="0"/>
    <xf numFmtId="169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3" borderId="0" applyNumberFormat="0" applyBorder="0" applyAlignment="0" applyProtection="0"/>
    <xf numFmtId="0" fontId="24" fillId="11" borderId="0" applyNumberFormat="0" applyBorder="0" applyAlignment="0" applyProtection="0"/>
    <xf numFmtId="0" fontId="24" fillId="6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3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9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2" borderId="0" applyNumberFormat="0" applyBorder="0" applyAlignment="0" applyProtection="0"/>
    <xf numFmtId="0" fontId="24" fillId="8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1" borderId="0" applyNumberFormat="0" applyBorder="0" applyAlignment="0" applyProtection="0"/>
    <xf numFmtId="0" fontId="24" fillId="7" borderId="0" applyNumberFormat="0" applyBorder="0" applyAlignment="0" applyProtection="0"/>
    <xf numFmtId="0" fontId="24" fillId="9" borderId="0" applyNumberFormat="0" applyBorder="0" applyAlignment="0" applyProtection="0"/>
    <xf numFmtId="0" fontId="24" fillId="15" borderId="0" applyNumberFormat="0" applyBorder="0" applyAlignment="0" applyProtection="0"/>
    <xf numFmtId="0" fontId="24" fillId="12" borderId="0" applyNumberFormat="0" applyBorder="0" applyAlignment="0" applyProtection="0"/>
    <xf numFmtId="0" fontId="24" fillId="7" borderId="0" applyNumberFormat="0" applyBorder="0" applyAlignment="0" applyProtection="0"/>
    <xf numFmtId="0" fontId="24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9" borderId="0" applyNumberFormat="0" applyBorder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8" borderId="0" applyNumberFormat="0" applyBorder="0" applyAlignment="0" applyProtection="0"/>
    <xf numFmtId="0" fontId="25" fillId="21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9" borderId="0" applyNumberFormat="0" applyBorder="0" applyAlignment="0" applyProtection="0"/>
    <xf numFmtId="0" fontId="25" fillId="18" borderId="0" applyNumberFormat="0" applyBorder="0" applyAlignment="0" applyProtection="0"/>
    <xf numFmtId="0" fontId="25" fillId="9" borderId="0" applyNumberFormat="0" applyBorder="0" applyAlignment="0" applyProtection="0"/>
    <xf numFmtId="0" fontId="25" fillId="15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4" fillId="24" borderId="0" applyNumberFormat="0" applyBorder="0" applyAlignment="0" applyProtection="0"/>
    <xf numFmtId="0" fontId="24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33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30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8" borderId="0" applyNumberFormat="0" applyBorder="0" applyAlignment="0" applyProtection="0"/>
    <xf numFmtId="0" fontId="25" fillId="19" borderId="0" applyNumberFormat="0" applyBorder="0" applyAlignment="0" applyProtection="0"/>
    <xf numFmtId="0" fontId="24" fillId="24" borderId="0" applyNumberFormat="0" applyBorder="0" applyAlignment="0" applyProtection="0"/>
    <xf numFmtId="0" fontId="24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6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12" borderId="0" applyNumberFormat="0" applyBorder="0" applyAlignment="0" applyProtection="0"/>
    <xf numFmtId="0" fontId="28" fillId="10" borderId="0" applyNumberFormat="0" applyBorder="0" applyAlignment="0" applyProtection="0"/>
    <xf numFmtId="0" fontId="29" fillId="42" borderId="10" applyNumberFormat="0" applyAlignment="0" applyProtection="0"/>
    <xf numFmtId="0" fontId="30" fillId="43" borderId="10" applyNumberFormat="0" applyAlignment="0" applyProtection="0"/>
    <xf numFmtId="0" fontId="31" fillId="44" borderId="10" applyNumberFormat="0" applyAlignment="0" applyProtection="0"/>
    <xf numFmtId="0" fontId="29" fillId="42" borderId="10" applyNumberFormat="0" applyAlignment="0" applyProtection="0"/>
    <xf numFmtId="0" fontId="32" fillId="45" borderId="11" applyNumberFormat="0" applyAlignment="0" applyProtection="0"/>
    <xf numFmtId="0" fontId="33" fillId="0" borderId="12" applyNumberFormat="0" applyFill="0" applyAlignment="0" applyProtection="0"/>
    <xf numFmtId="0" fontId="32" fillId="45" borderId="11" applyNumberFormat="0" applyAlignment="0" applyProtection="0"/>
    <xf numFmtId="0" fontId="32" fillId="31" borderId="11" applyNumberFormat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5" fillId="46" borderId="0" applyNumberFormat="0" applyBorder="0" applyAlignment="0" applyProtection="0"/>
    <xf numFmtId="0" fontId="35" fillId="47" borderId="0" applyNumberFormat="0" applyBorder="0" applyAlignment="0" applyProtection="0"/>
    <xf numFmtId="0" fontId="3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23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9" borderId="0" applyNumberFormat="0" applyBorder="0" applyAlignment="0" applyProtection="0"/>
    <xf numFmtId="0" fontId="37" fillId="13" borderId="10" applyNumberFormat="0" applyAlignment="0" applyProtection="0"/>
    <xf numFmtId="179" fontId="38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82" fontId="40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0" fontId="28" fillId="10" borderId="0" applyNumberFormat="0" applyBorder="0" applyAlignment="0" applyProtection="0"/>
    <xf numFmtId="0" fontId="28" fillId="49" borderId="0" applyNumberFormat="0" applyBorder="0" applyAlignment="0" applyProtection="0"/>
    <xf numFmtId="0" fontId="28" fillId="14" borderId="0" applyNumberFormat="0" applyBorder="0" applyAlignment="0" applyProtection="0"/>
    <xf numFmtId="0" fontId="42" fillId="0" borderId="13" applyNumberFormat="0" applyFill="0" applyAlignment="0" applyProtection="0"/>
    <xf numFmtId="0" fontId="43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5" fillId="0" borderId="17" applyNumberFormat="0" applyFill="0" applyAlignment="0" applyProtection="0"/>
    <xf numFmtId="0" fontId="45" fillId="0" borderId="18" applyNumberFormat="0" applyFill="0" applyAlignment="0" applyProtection="0"/>
    <xf numFmtId="0" fontId="36" fillId="0" borderId="19" applyNumberFormat="0" applyFill="0" applyAlignment="0" applyProtection="0"/>
    <xf numFmtId="0" fontId="46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37" fillId="13" borderId="10" applyNumberFormat="0" applyAlignment="0" applyProtection="0"/>
    <xf numFmtId="0" fontId="47" fillId="40" borderId="10" applyNumberFormat="0" applyAlignment="0" applyProtection="0"/>
    <xf numFmtId="0" fontId="37" fillId="16" borderId="10" applyNumberFormat="0" applyAlignment="0" applyProtection="0"/>
    <xf numFmtId="0" fontId="33" fillId="0" borderId="12" applyNumberFormat="0" applyFill="0" applyAlignment="0" applyProtection="0"/>
    <xf numFmtId="0" fontId="48" fillId="0" borderId="21" applyNumberFormat="0" applyFill="0" applyAlignment="0" applyProtection="0"/>
    <xf numFmtId="0" fontId="49" fillId="0" borderId="22" applyNumberFormat="0" applyFill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83" fontId="12" fillId="0" borderId="0" applyFill="0" applyBorder="0" applyAlignment="0" applyProtection="0"/>
    <xf numFmtId="169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7" fontId="12" fillId="0" borderId="0" applyFill="0" applyBorder="0" applyAlignment="0" applyProtection="0"/>
    <xf numFmtId="16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8" fontId="12" fillId="0" borderId="0" applyFill="0" applyBorder="0" applyAlignment="0" applyProtection="0"/>
    <xf numFmtId="188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91" fontId="50" fillId="0" borderId="0" applyFont="0" applyFill="0" applyBorder="0" applyAlignment="0" applyProtection="0"/>
    <xf numFmtId="0" fontId="48" fillId="40" borderId="0" applyNumberFormat="0" applyBorder="0" applyAlignment="0" applyProtection="0"/>
    <xf numFmtId="0" fontId="51" fillId="0" borderId="0"/>
    <xf numFmtId="192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39" fontId="53" fillId="0" borderId="0"/>
    <xf numFmtId="193" fontId="5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177" fontId="51" fillId="0" borderId="0"/>
    <xf numFmtId="0" fontId="24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11" borderId="23" applyNumberFormat="0" applyFont="0" applyAlignment="0" applyProtection="0"/>
    <xf numFmtId="0" fontId="12" fillId="11" borderId="23" applyNumberFormat="0" applyFont="0" applyAlignment="0" applyProtection="0"/>
    <xf numFmtId="0" fontId="12" fillId="39" borderId="23" applyNumberFormat="0" applyFont="0" applyAlignment="0" applyProtection="0"/>
    <xf numFmtId="0" fontId="55" fillId="42" borderId="24" applyNumberFormat="0" applyAlignment="0" applyProtection="0"/>
    <xf numFmtId="0" fontId="55" fillId="43" borderId="24" applyNumberFormat="0" applyAlignment="0" applyProtection="0"/>
    <xf numFmtId="0" fontId="55" fillId="44" borderId="24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5" fillId="42" borderId="24" applyNumberFormat="0" applyAlignment="0" applyProtection="0"/>
    <xf numFmtId="0" fontId="5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2" fillId="0" borderId="13" applyNumberFormat="0" applyFill="0" applyAlignment="0" applyProtection="0"/>
    <xf numFmtId="0" fontId="44" fillId="0" borderId="16" applyNumberFormat="0" applyFill="0" applyAlignment="0" applyProtection="0"/>
    <xf numFmtId="0" fontId="36" fillId="0" borderId="19" applyNumberFormat="0" applyFill="0" applyAlignment="0" applyProtection="0"/>
    <xf numFmtId="0" fontId="5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49" fillId="0" borderId="0" applyNumberFormat="0" applyFill="0" applyBorder="0" applyAlignment="0" applyProtection="0"/>
    <xf numFmtId="165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2" fillId="0" borderId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6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3" borderId="0" applyNumberFormat="0" applyBorder="0" applyAlignment="0" applyProtection="0"/>
    <xf numFmtId="0" fontId="24" fillId="11" borderId="0" applyNumberFormat="0" applyBorder="0" applyAlignment="0" applyProtection="0"/>
    <xf numFmtId="0" fontId="24" fillId="13" borderId="0" applyNumberFormat="0" applyBorder="0" applyAlignment="0" applyProtection="0"/>
    <xf numFmtId="197" fontId="24" fillId="7" borderId="0" applyNumberFormat="0" applyBorder="0" applyAlignment="0" applyProtection="0"/>
    <xf numFmtId="197" fontId="24" fillId="7" borderId="0" applyNumberFormat="0" applyBorder="0" applyAlignment="0" applyProtection="0"/>
    <xf numFmtId="197" fontId="24" fillId="7" borderId="0" applyNumberFormat="0" applyBorder="0" applyAlignment="0" applyProtection="0"/>
    <xf numFmtId="197" fontId="24" fillId="7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3" borderId="0" applyNumberFormat="0" applyBorder="0" applyAlignment="0" applyProtection="0"/>
    <xf numFmtId="197" fontId="24" fillId="13" borderId="0" applyNumberFormat="0" applyBorder="0" applyAlignment="0" applyProtection="0"/>
    <xf numFmtId="197" fontId="24" fillId="13" borderId="0" applyNumberFormat="0" applyBorder="0" applyAlignment="0" applyProtection="0"/>
    <xf numFmtId="197" fontId="24" fillId="13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7" borderId="0" applyNumberFormat="0" applyBorder="0" applyAlignment="0" applyProtection="0"/>
    <xf numFmtId="0" fontId="24" fillId="9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5" borderId="0" applyNumberFormat="0" applyBorder="0" applyAlignment="0" applyProtection="0"/>
    <xf numFmtId="0" fontId="24" fillId="12" borderId="0" applyNumberFormat="0" applyBorder="0" applyAlignment="0" applyProtection="0"/>
    <xf numFmtId="0" fontId="24" fillId="8" borderId="0" applyNumberFormat="0" applyBorder="0" applyAlignment="0" applyProtection="0"/>
    <xf numFmtId="0" fontId="24" fillId="12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7" borderId="0" applyNumberFormat="0" applyBorder="0" applyAlignment="0" applyProtection="0"/>
    <xf numFmtId="0" fontId="24" fillId="17" borderId="0" applyNumberFormat="0" applyBorder="0" applyAlignment="0" applyProtection="0"/>
    <xf numFmtId="0" fontId="24" fillId="11" borderId="0" applyNumberFormat="0" applyBorder="0" applyAlignment="0" applyProtection="0"/>
    <xf numFmtId="0" fontId="24" fillId="17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16" borderId="0" applyNumberFormat="0" applyBorder="0" applyAlignment="0" applyProtection="0"/>
    <xf numFmtId="197" fontId="24" fillId="16" borderId="0" applyNumberFormat="0" applyBorder="0" applyAlignment="0" applyProtection="0"/>
    <xf numFmtId="197" fontId="24" fillId="16" borderId="0" applyNumberFormat="0" applyBorder="0" applyAlignment="0" applyProtection="0"/>
    <xf numFmtId="197" fontId="24" fillId="16" borderId="0" applyNumberFormat="0" applyBorder="0" applyAlignment="0" applyProtection="0"/>
    <xf numFmtId="197" fontId="24" fillId="8" borderId="0" applyNumberFormat="0" applyBorder="0" applyAlignment="0" applyProtection="0"/>
    <xf numFmtId="197" fontId="24" fillId="8" borderId="0" applyNumberFormat="0" applyBorder="0" applyAlignment="0" applyProtection="0"/>
    <xf numFmtId="197" fontId="24" fillId="8" borderId="0" applyNumberFormat="0" applyBorder="0" applyAlignment="0" applyProtection="0"/>
    <xf numFmtId="197" fontId="24" fillId="8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9" borderId="0" applyNumberFormat="0" applyBorder="0" applyAlignment="0" applyProtection="0"/>
    <xf numFmtId="0" fontId="25" fillId="19" borderId="0" applyNumberFormat="0" applyBorder="0" applyAlignment="0" applyProtection="0"/>
    <xf numFmtId="0" fontId="25" fillId="9" borderId="0" applyNumberFormat="0" applyBorder="0" applyAlignment="0" applyProtection="0"/>
    <xf numFmtId="0" fontId="25" fillId="15" borderId="0" applyNumberFormat="0" applyBorder="0" applyAlignment="0" applyProtection="0"/>
    <xf numFmtId="0" fontId="25" fillId="17" borderId="0" applyNumberFormat="0" applyBorder="0" applyAlignment="0" applyProtection="0"/>
    <xf numFmtId="0" fontId="25" fillId="15" borderId="0" applyNumberFormat="0" applyBorder="0" applyAlignment="0" applyProtection="0"/>
    <xf numFmtId="0" fontId="25" fillId="20" borderId="0" applyNumberFormat="0" applyBorder="0" applyAlignment="0" applyProtection="0"/>
    <xf numFmtId="0" fontId="25" fillId="8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4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9" borderId="0" applyNumberFormat="0" applyBorder="0" applyAlignment="0" applyProtection="0"/>
    <xf numFmtId="0" fontId="25" fillId="22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197" fontId="25" fillId="8" borderId="0" applyNumberFormat="0" applyBorder="0" applyAlignment="0" applyProtection="0"/>
    <xf numFmtId="197" fontId="25" fillId="8" borderId="0" applyNumberFormat="0" applyBorder="0" applyAlignment="0" applyProtection="0"/>
    <xf numFmtId="197" fontId="25" fillId="8" borderId="0" applyNumberFormat="0" applyBorder="0" applyAlignment="0" applyProtection="0"/>
    <xf numFmtId="197" fontId="25" fillId="8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9" borderId="0" applyNumberFormat="0" applyBorder="0" applyAlignment="0" applyProtection="0"/>
    <xf numFmtId="197" fontId="25" fillId="9" borderId="0" applyNumberFormat="0" applyBorder="0" applyAlignment="0" applyProtection="0"/>
    <xf numFmtId="197" fontId="25" fillId="9" borderId="0" applyNumberFormat="0" applyBorder="0" applyAlignment="0" applyProtection="0"/>
    <xf numFmtId="197" fontId="25" fillId="9" borderId="0" applyNumberFormat="0" applyBorder="0" applyAlignment="0" applyProtection="0"/>
    <xf numFmtId="0" fontId="24" fillId="52" borderId="0" applyNumberFormat="0" applyBorder="0" applyAlignment="0" applyProtection="0"/>
    <xf numFmtId="0" fontId="63" fillId="24" borderId="0" applyNumberFormat="0" applyBorder="0" applyAlignment="0" applyProtection="0"/>
    <xf numFmtId="0" fontId="24" fillId="52" borderId="0" applyNumberFormat="0" applyBorder="0" applyAlignment="0" applyProtection="0"/>
    <xf numFmtId="0" fontId="63" fillId="25" borderId="0" applyNumberFormat="0" applyBorder="0" applyAlignment="0" applyProtection="0"/>
    <xf numFmtId="0" fontId="25" fillId="25" borderId="0" applyNumberFormat="0" applyBorder="0" applyAlignment="0" applyProtection="0"/>
    <xf numFmtId="0" fontId="64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4" fillId="39" borderId="0" applyNumberFormat="0" applyBorder="0" applyAlignment="0" applyProtection="0"/>
    <xf numFmtId="0" fontId="63" fillId="24" borderId="0" applyNumberFormat="0" applyBorder="0" applyAlignment="0" applyProtection="0"/>
    <xf numFmtId="0" fontId="63" fillId="30" borderId="0" applyNumberFormat="0" applyBorder="0" applyAlignment="0" applyProtection="0"/>
    <xf numFmtId="0" fontId="64" fillId="31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4" fillId="39" borderId="0" applyNumberFormat="0" applyBorder="0" applyAlignment="0" applyProtection="0"/>
    <xf numFmtId="0" fontId="63" fillId="24" borderId="0" applyNumberFormat="0" applyBorder="0" applyAlignment="0" applyProtection="0"/>
    <xf numFmtId="0" fontId="24" fillId="49" borderId="0" applyNumberFormat="0" applyBorder="0" applyAlignment="0" applyProtection="0"/>
    <xf numFmtId="0" fontId="63" fillId="24" borderId="0" applyNumberFormat="0" applyBorder="0" applyAlignment="0" applyProtection="0"/>
    <xf numFmtId="0" fontId="64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4" fillId="52" borderId="0" applyNumberFormat="0" applyBorder="0" applyAlignment="0" applyProtection="0"/>
    <xf numFmtId="0" fontId="63" fillId="24" borderId="0" applyNumberFormat="0" applyBorder="0" applyAlignment="0" applyProtection="0"/>
    <xf numFmtId="0" fontId="63" fillId="30" borderId="0" applyNumberFormat="0" applyBorder="0" applyAlignment="0" applyProtection="0"/>
    <xf numFmtId="0" fontId="25" fillId="30" borderId="0" applyNumberFormat="0" applyBorder="0" applyAlignment="0" applyProtection="0"/>
    <xf numFmtId="0" fontId="64" fillId="35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4" fillId="26" borderId="0" applyNumberFormat="0" applyBorder="0" applyAlignment="0" applyProtection="0"/>
    <xf numFmtId="0" fontId="63" fillId="24" borderId="0" applyNumberFormat="0" applyBorder="0" applyAlignment="0" applyProtection="0"/>
    <xf numFmtId="0" fontId="24" fillId="52" borderId="0" applyNumberFormat="0" applyBorder="0" applyAlignment="0" applyProtection="0"/>
    <xf numFmtId="0" fontId="63" fillId="26" borderId="0" applyNumberFormat="0" applyBorder="0" applyAlignment="0" applyProtection="0"/>
    <xf numFmtId="0" fontId="25" fillId="25" borderId="0" applyNumberFormat="0" applyBorder="0" applyAlignment="0" applyProtection="0"/>
    <xf numFmtId="0" fontId="64" fillId="26" borderId="0" applyNumberFormat="0" applyBorder="0" applyAlignment="0" applyProtection="0"/>
    <xf numFmtId="0" fontId="25" fillId="21" borderId="0" applyNumberFormat="0" applyBorder="0" applyAlignment="0" applyProtection="0"/>
    <xf numFmtId="0" fontId="24" fillId="39" borderId="0" applyNumberFormat="0" applyBorder="0" applyAlignment="0" applyProtection="0"/>
    <xf numFmtId="0" fontId="63" fillId="24" borderId="0" applyNumberFormat="0" applyBorder="0" applyAlignment="0" applyProtection="0"/>
    <xf numFmtId="0" fontId="24" fillId="24" borderId="0" applyNumberFormat="0" applyBorder="0" applyAlignment="0" applyProtection="0"/>
    <xf numFmtId="0" fontId="63" fillId="39" borderId="0" applyNumberFormat="0" applyBorder="0" applyAlignment="0" applyProtection="0"/>
    <xf numFmtId="0" fontId="25" fillId="24" borderId="0" applyNumberFormat="0" applyBorder="0" applyAlignment="0" applyProtection="0"/>
    <xf numFmtId="0" fontId="64" fillId="40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8" borderId="0" applyNumberFormat="0" applyBorder="0" applyAlignment="0" applyProtection="0"/>
    <xf numFmtId="0" fontId="26" fillId="12" borderId="0" applyNumberFormat="0" applyBorder="0" applyAlignment="0" applyProtection="0"/>
    <xf numFmtId="0" fontId="26" fillId="8" borderId="0" applyNumberFormat="0" applyBorder="0" applyAlignment="0" applyProtection="0"/>
    <xf numFmtId="197" fontId="28" fillId="14" borderId="0" applyNumberFormat="0" applyBorder="0" applyAlignment="0" applyProtection="0"/>
    <xf numFmtId="197" fontId="28" fillId="14" borderId="0" applyNumberFormat="0" applyBorder="0" applyAlignment="0" applyProtection="0"/>
    <xf numFmtId="197" fontId="28" fillId="14" borderId="0" applyNumberFormat="0" applyBorder="0" applyAlignment="0" applyProtection="0"/>
    <xf numFmtId="197" fontId="28" fillId="14" borderId="0" applyNumberFormat="0" applyBorder="0" applyAlignment="0" applyProtection="0"/>
    <xf numFmtId="0" fontId="29" fillId="42" borderId="10" applyNumberFormat="0" applyAlignment="0" applyProtection="0"/>
    <xf numFmtId="0" fontId="31" fillId="44" borderId="10" applyNumberFormat="0" applyAlignment="0" applyProtection="0"/>
    <xf numFmtId="0" fontId="29" fillId="42" borderId="10" applyNumberFormat="0" applyAlignment="0" applyProtection="0"/>
    <xf numFmtId="197" fontId="31" fillId="44" borderId="10" applyNumberFormat="0" applyAlignment="0" applyProtection="0"/>
    <xf numFmtId="197" fontId="31" fillId="44" borderId="10" applyNumberFormat="0" applyAlignment="0" applyProtection="0"/>
    <xf numFmtId="197" fontId="31" fillId="44" borderId="10" applyNumberFormat="0" applyAlignment="0" applyProtection="0"/>
    <xf numFmtId="197" fontId="31" fillId="44" borderId="10" applyNumberFormat="0" applyAlignment="0" applyProtection="0"/>
    <xf numFmtId="197" fontId="32" fillId="45" borderId="11" applyNumberFormat="0" applyAlignment="0" applyProtection="0"/>
    <xf numFmtId="197" fontId="32" fillId="45" borderId="11" applyNumberFormat="0" applyAlignment="0" applyProtection="0"/>
    <xf numFmtId="197" fontId="32" fillId="45" borderId="11" applyNumberFormat="0" applyAlignment="0" applyProtection="0"/>
    <xf numFmtId="197" fontId="32" fillId="45" borderId="11" applyNumberFormat="0" applyAlignment="0" applyProtection="0"/>
    <xf numFmtId="197" fontId="49" fillId="0" borderId="22" applyNumberFormat="0" applyFill="0" applyAlignment="0" applyProtection="0"/>
    <xf numFmtId="197" fontId="49" fillId="0" borderId="22" applyNumberFormat="0" applyFill="0" applyAlignment="0" applyProtection="0"/>
    <xf numFmtId="197" fontId="49" fillId="0" borderId="22" applyNumberFormat="0" applyFill="0" applyAlignment="0" applyProtection="0"/>
    <xf numFmtId="197" fontId="49" fillId="0" borderId="22" applyNumberFormat="0" applyFill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02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4" fontId="12" fillId="0" borderId="0" applyFont="0" applyFill="0" applyAlignment="0" applyProtection="0"/>
    <xf numFmtId="19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12" fillId="0" borderId="0" applyFont="0" applyFill="0" applyAlignment="0" applyProtection="0"/>
    <xf numFmtId="5" fontId="12" fillId="0" borderId="0" applyFont="0" applyFill="0" applyBorder="0" applyAlignment="0" applyProtection="0"/>
    <xf numFmtId="44" fontId="12" fillId="0" borderId="0" applyFont="0" applyFill="0" applyAlignment="0" applyProtection="0"/>
    <xf numFmtId="5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2" fontId="38" fillId="0" borderId="0" applyFont="0" applyFill="0" applyBorder="0" applyAlignment="0" applyProtection="0"/>
    <xf numFmtId="164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8" fontId="38" fillId="0" borderId="0" applyFont="0" applyFill="0" applyBorder="0" applyAlignment="0" applyProtection="0"/>
    <xf numFmtId="0" fontId="65" fillId="46" borderId="0" applyNumberFormat="0" applyBorder="0" applyAlignment="0" applyProtection="0"/>
    <xf numFmtId="0" fontId="35" fillId="53" borderId="0" applyNumberFormat="0" applyBorder="0" applyAlignment="0" applyProtection="0"/>
    <xf numFmtId="0" fontId="65" fillId="47" borderId="0" applyNumberFormat="0" applyBorder="0" applyAlignment="0" applyProtection="0"/>
    <xf numFmtId="0" fontId="65" fillId="48" borderId="0" applyNumberFormat="0" applyBorder="0" applyAlignment="0" applyProtection="0"/>
    <xf numFmtId="197" fontId="46" fillId="0" borderId="0" applyNumberFormat="0" applyFill="0" applyBorder="0" applyAlignment="0" applyProtection="0"/>
    <xf numFmtId="197" fontId="46" fillId="0" borderId="0" applyNumberFormat="0" applyFill="0" applyBorder="0" applyAlignment="0" applyProtection="0"/>
    <xf numFmtId="197" fontId="46" fillId="0" borderId="0" applyNumberFormat="0" applyFill="0" applyBorder="0" applyAlignment="0" applyProtection="0"/>
    <xf numFmtId="197" fontId="46" fillId="0" borderId="0" applyNumberFormat="0" applyFill="0" applyBorder="0" applyAlignment="0" applyProtection="0"/>
    <xf numFmtId="0" fontId="35" fillId="46" borderId="0" applyNumberFormat="0" applyBorder="0" applyAlignment="0" applyProtection="0"/>
    <xf numFmtId="0" fontId="35" fillId="53" borderId="0" applyNumberFormat="0" applyBorder="0" applyAlignment="0" applyProtection="0"/>
    <xf numFmtId="0" fontId="35" fillId="48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25" borderId="0" applyNumberFormat="0" applyBorder="0" applyAlignment="0" applyProtection="0"/>
    <xf numFmtId="197" fontId="25" fillId="28" borderId="0" applyNumberFormat="0" applyBorder="0" applyAlignment="0" applyProtection="0"/>
    <xf numFmtId="197" fontId="25" fillId="28" borderId="0" applyNumberFormat="0" applyBorder="0" applyAlignment="0" applyProtection="0"/>
    <xf numFmtId="197" fontId="25" fillId="28" borderId="0" applyNumberFormat="0" applyBorder="0" applyAlignment="0" applyProtection="0"/>
    <xf numFmtId="197" fontId="25" fillId="28" borderId="0" applyNumberFormat="0" applyBorder="0" applyAlignment="0" applyProtection="0"/>
    <xf numFmtId="0" fontId="24" fillId="39" borderId="0" applyNumberFormat="0" applyBorder="0" applyAlignment="0" applyProtection="0"/>
    <xf numFmtId="0" fontId="24" fillId="30" borderId="0" applyNumberFormat="0" applyBorder="0" applyAlignment="0" applyProtection="0"/>
    <xf numFmtId="0" fontId="25" fillId="31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0" fontId="24" fillId="39" borderId="0" applyNumberFormat="0" applyBorder="0" applyAlignment="0" applyProtection="0"/>
    <xf numFmtId="0" fontId="24" fillId="49" borderId="0" applyNumberFormat="0" applyBorder="0" applyAlignment="0" applyProtection="0"/>
    <xf numFmtId="0" fontId="25" fillId="30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0" fontId="24" fillId="52" borderId="0" applyNumberFormat="0" applyBorder="0" applyAlignment="0" applyProtection="0"/>
    <xf numFmtId="0" fontId="24" fillId="30" borderId="0" applyNumberFormat="0" applyBorder="0" applyAlignment="0" applyProtection="0"/>
    <xf numFmtId="0" fontId="25" fillId="30" borderId="0" applyNumberFormat="0" applyBorder="0" applyAlignment="0" applyProtection="0"/>
    <xf numFmtId="197" fontId="25" fillId="37" borderId="0" applyNumberFormat="0" applyBorder="0" applyAlignment="0" applyProtection="0"/>
    <xf numFmtId="197" fontId="25" fillId="37" borderId="0" applyNumberFormat="0" applyBorder="0" applyAlignment="0" applyProtection="0"/>
    <xf numFmtId="197" fontId="25" fillId="37" borderId="0" applyNumberFormat="0" applyBorder="0" applyAlignment="0" applyProtection="0"/>
    <xf numFmtId="197" fontId="25" fillId="37" borderId="0" applyNumberFormat="0" applyBorder="0" applyAlignment="0" applyProtection="0"/>
    <xf numFmtId="0" fontId="24" fillId="26" borderId="0" applyNumberFormat="0" applyBorder="0" applyAlignment="0" applyProtection="0"/>
    <xf numFmtId="0" fontId="24" fillId="52" borderId="0" applyNumberFormat="0" applyBorder="0" applyAlignment="0" applyProtection="0"/>
    <xf numFmtId="0" fontId="25" fillId="25" borderId="0" applyNumberFormat="0" applyBorder="0" applyAlignment="0" applyProtection="0"/>
    <xf numFmtId="197" fontId="25" fillId="21" borderId="0" applyNumberFormat="0" applyBorder="0" applyAlignment="0" applyProtection="0"/>
    <xf numFmtId="197" fontId="25" fillId="21" borderId="0" applyNumberFormat="0" applyBorder="0" applyAlignment="0" applyProtection="0"/>
    <xf numFmtId="197" fontId="25" fillId="21" borderId="0" applyNumberFormat="0" applyBorder="0" applyAlignment="0" applyProtection="0"/>
    <xf numFmtId="197" fontId="25" fillId="21" borderId="0" applyNumberFormat="0" applyBorder="0" applyAlignment="0" applyProtection="0"/>
    <xf numFmtId="0" fontId="24" fillId="39" borderId="0" applyNumberFormat="0" applyBorder="0" applyAlignment="0" applyProtection="0"/>
    <xf numFmtId="0" fontId="24" fillId="24" borderId="0" applyNumberFormat="0" applyBorder="0" applyAlignment="0" applyProtection="0"/>
    <xf numFmtId="0" fontId="25" fillId="24" borderId="0" applyNumberFormat="0" applyBorder="0" applyAlignment="0" applyProtection="0"/>
    <xf numFmtId="197" fontId="25" fillId="29" borderId="0" applyNumberFormat="0" applyBorder="0" applyAlignment="0" applyProtection="0"/>
    <xf numFmtId="197" fontId="25" fillId="29" borderId="0" applyNumberFormat="0" applyBorder="0" applyAlignment="0" applyProtection="0"/>
    <xf numFmtId="197" fontId="25" fillId="29" borderId="0" applyNumberFormat="0" applyBorder="0" applyAlignment="0" applyProtection="0"/>
    <xf numFmtId="197" fontId="25" fillId="29" borderId="0" applyNumberFormat="0" applyBorder="0" applyAlignment="0" applyProtection="0"/>
    <xf numFmtId="197" fontId="37" fillId="16" borderId="10" applyNumberFormat="0" applyAlignment="0" applyProtection="0"/>
    <xf numFmtId="197" fontId="37" fillId="16" borderId="10" applyNumberFormat="0" applyAlignment="0" applyProtection="0"/>
    <xf numFmtId="197" fontId="37" fillId="16" borderId="10" applyNumberFormat="0" applyAlignment="0" applyProtection="0"/>
    <xf numFmtId="197" fontId="37" fillId="16" borderId="10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03" fontId="50" fillId="0" borderId="0" applyFont="0" applyFill="0" applyBorder="0" applyAlignment="0" applyProtection="0"/>
    <xf numFmtId="164" fontId="12" fillId="0" borderId="0" applyFont="0" applyFill="0" applyBorder="0" applyAlignment="0" applyProtection="0"/>
    <xf numFmtId="179" fontId="38" fillId="0" borderId="0" applyFont="0" applyFill="0" applyBorder="0" applyAlignment="0" applyProtection="0"/>
    <xf numFmtId="204" fontId="66" fillId="0" borderId="0"/>
    <xf numFmtId="205" fontId="66" fillId="0" borderId="0"/>
    <xf numFmtId="0" fontId="39" fillId="0" borderId="0" applyNumberFormat="0" applyFill="0" applyBorder="0" applyAlignment="0" applyProtection="0"/>
    <xf numFmtId="182" fontId="40" fillId="0" borderId="0">
      <protection locked="0"/>
    </xf>
    <xf numFmtId="182" fontId="40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42" fillId="0" borderId="13" applyNumberFormat="0" applyFill="0" applyAlignment="0" applyProtection="0"/>
    <xf numFmtId="0" fontId="43" fillId="0" borderId="15" applyNumberFormat="0" applyFill="0" applyAlignment="0" applyProtection="0"/>
    <xf numFmtId="0" fontId="42" fillId="0" borderId="13" applyNumberFormat="0" applyFill="0" applyAlignment="0" applyProtection="0"/>
    <xf numFmtId="0" fontId="44" fillId="0" borderId="16" applyNumberFormat="0" applyFill="0" applyAlignment="0" applyProtection="0"/>
    <xf numFmtId="0" fontId="45" fillId="0" borderId="18" applyNumberFormat="0" applyFill="0" applyAlignment="0" applyProtection="0"/>
    <xf numFmtId="0" fontId="44" fillId="0" borderId="16" applyNumberFormat="0" applyFill="0" applyAlignment="0" applyProtection="0"/>
    <xf numFmtId="0" fontId="36" fillId="0" borderId="19" applyNumberFormat="0" applyFill="0" applyAlignment="0" applyProtection="0"/>
    <xf numFmtId="0" fontId="46" fillId="0" borderId="20" applyNumberFormat="0" applyFill="0" applyAlignment="0" applyProtection="0"/>
    <xf numFmtId="0" fontId="36" fillId="0" borderId="19" applyNumberFormat="0" applyFill="0" applyAlignment="0" applyProtection="0"/>
    <xf numFmtId="0" fontId="4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97" fontId="68" fillId="0" borderId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197" fontId="26" fillId="12" borderId="0" applyNumberFormat="0" applyBorder="0" applyAlignment="0" applyProtection="0"/>
    <xf numFmtId="197" fontId="26" fillId="12" borderId="0" applyNumberFormat="0" applyBorder="0" applyAlignment="0" applyProtection="0"/>
    <xf numFmtId="197" fontId="26" fillId="12" borderId="0" applyNumberFormat="0" applyBorder="0" applyAlignment="0" applyProtection="0"/>
    <xf numFmtId="197" fontId="26" fillId="12" borderId="0" applyNumberFormat="0" applyBorder="0" applyAlignment="0" applyProtection="0"/>
    <xf numFmtId="0" fontId="37" fillId="13" borderId="10" applyNumberFormat="0" applyAlignment="0" applyProtection="0"/>
    <xf numFmtId="0" fontId="37" fillId="13" borderId="10" applyNumberFormat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41" fontId="34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1" fillId="0" borderId="0" applyFont="0" applyFill="0" applyBorder="0" applyAlignment="0" applyProtection="0"/>
    <xf numFmtId="20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206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206" fontId="12" fillId="0" borderId="0" applyFont="0" applyFill="0" applyBorder="0" applyAlignment="0" applyProtection="0"/>
    <xf numFmtId="43" fontId="7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43" fontId="74" fillId="0" borderId="0" applyFont="0" applyFill="0" applyBorder="0" applyAlignment="0" applyProtection="0"/>
    <xf numFmtId="20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8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4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207" fontId="38" fillId="0" borderId="0" applyFont="0" applyFill="0" applyBorder="0" applyAlignment="0" applyProtection="0"/>
    <xf numFmtId="44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208" fontId="38" fillId="0" borderId="0" applyFont="0" applyFill="0" applyBorder="0" applyAlignment="0" applyProtection="0"/>
    <xf numFmtId="206" fontId="12" fillId="0" borderId="0" applyFont="0" applyFill="0" applyBorder="0" applyAlignment="0" applyProtection="0"/>
    <xf numFmtId="208" fontId="38" fillId="0" borderId="0" applyFont="0" applyFill="0" applyBorder="0" applyAlignment="0" applyProtection="0"/>
    <xf numFmtId="206" fontId="12" fillId="0" borderId="0" applyFont="0" applyFill="0" applyBorder="0" applyAlignment="0" applyProtection="0"/>
    <xf numFmtId="164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206" fontId="12" fillId="0" borderId="0" applyFont="0" applyFill="0" applyBorder="0" applyAlignment="0" applyProtection="0"/>
    <xf numFmtId="0" fontId="12" fillId="0" borderId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164" fontId="71" fillId="0" borderId="0" applyFont="0" applyFill="0" applyBorder="0" applyAlignment="0" applyProtection="0"/>
    <xf numFmtId="20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44" fontId="24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75" fillId="16" borderId="0" applyNumberFormat="0" applyBorder="0" applyAlignment="0" applyProtection="0"/>
    <xf numFmtId="197" fontId="48" fillId="16" borderId="0" applyNumberFormat="0" applyBorder="0" applyAlignment="0" applyProtection="0"/>
    <xf numFmtId="197" fontId="48" fillId="16" borderId="0" applyNumberFormat="0" applyBorder="0" applyAlignment="0" applyProtection="0"/>
    <xf numFmtId="197" fontId="48" fillId="16" borderId="0" applyNumberFormat="0" applyBorder="0" applyAlignment="0" applyProtection="0"/>
    <xf numFmtId="197" fontId="48" fillId="16" borderId="0" applyNumberFormat="0" applyBorder="0" applyAlignment="0" applyProtection="0"/>
    <xf numFmtId="0" fontId="51" fillId="0" borderId="0"/>
    <xf numFmtId="0" fontId="12" fillId="0" borderId="0"/>
    <xf numFmtId="0" fontId="12" fillId="0" borderId="0"/>
    <xf numFmtId="211" fontId="50" fillId="0" borderId="0"/>
    <xf numFmtId="0" fontId="38" fillId="0" borderId="0"/>
    <xf numFmtId="0" fontId="12" fillId="0" borderId="0"/>
    <xf numFmtId="197" fontId="24" fillId="0" borderId="0"/>
    <xf numFmtId="39" fontId="53" fillId="0" borderId="0"/>
    <xf numFmtId="0" fontId="12" fillId="0" borderId="0"/>
    <xf numFmtId="211" fontId="50" fillId="0" borderId="0"/>
    <xf numFmtId="197" fontId="24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24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24" fillId="0" borderId="0"/>
    <xf numFmtId="197" fontId="24" fillId="0" borderId="0"/>
    <xf numFmtId="197" fontId="24" fillId="0" borderId="0"/>
    <xf numFmtId="0" fontId="38" fillId="0" borderId="0"/>
    <xf numFmtId="0" fontId="70" fillId="0" borderId="0"/>
    <xf numFmtId="197" fontId="24" fillId="0" borderId="0"/>
    <xf numFmtId="197" fontId="24" fillId="0" borderId="0"/>
    <xf numFmtId="0" fontId="70" fillId="0" borderId="0"/>
    <xf numFmtId="197" fontId="24" fillId="0" borderId="0"/>
    <xf numFmtId="197" fontId="24" fillId="0" borderId="0"/>
    <xf numFmtId="197" fontId="24" fillId="0" borderId="0"/>
    <xf numFmtId="197" fontId="9" fillId="0" borderId="0"/>
    <xf numFmtId="0" fontId="70" fillId="0" borderId="0"/>
    <xf numFmtId="197" fontId="9" fillId="0" borderId="0"/>
    <xf numFmtId="0" fontId="12" fillId="0" borderId="0"/>
    <xf numFmtId="0" fontId="73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71" fillId="0" borderId="0"/>
    <xf numFmtId="0" fontId="73" fillId="0" borderId="0"/>
    <xf numFmtId="0" fontId="71" fillId="0" borderId="0"/>
    <xf numFmtId="0" fontId="50" fillId="0" borderId="0"/>
    <xf numFmtId="0" fontId="9" fillId="0" borderId="0"/>
    <xf numFmtId="0" fontId="12" fillId="0" borderId="0"/>
    <xf numFmtId="0" fontId="9" fillId="0" borderId="0"/>
    <xf numFmtId="0" fontId="72" fillId="0" borderId="0"/>
    <xf numFmtId="0" fontId="7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9" fillId="0" borderId="0"/>
    <xf numFmtId="0" fontId="9" fillId="0" borderId="0"/>
    <xf numFmtId="0" fontId="70" fillId="0" borderId="0"/>
    <xf numFmtId="197" fontId="9" fillId="0" borderId="0"/>
    <xf numFmtId="197" fontId="12" fillId="0" borderId="0"/>
    <xf numFmtId="0" fontId="70" fillId="0" borderId="0"/>
    <xf numFmtId="197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12" fillId="0" borderId="0"/>
    <xf numFmtId="192" fontId="50" fillId="0" borderId="0"/>
    <xf numFmtId="0" fontId="71" fillId="0" borderId="0"/>
    <xf numFmtId="0" fontId="38" fillId="0" borderId="0"/>
    <xf numFmtId="0" fontId="20" fillId="0" borderId="0"/>
    <xf numFmtId="0" fontId="71" fillId="0" borderId="0"/>
    <xf numFmtId="211" fontId="50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34" fillId="0" borderId="0"/>
    <xf numFmtId="0" fontId="24" fillId="0" borderId="0"/>
    <xf numFmtId="0" fontId="9" fillId="0" borderId="0"/>
    <xf numFmtId="0" fontId="5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211" fontId="50" fillId="0" borderId="0"/>
    <xf numFmtId="0" fontId="12" fillId="0" borderId="0"/>
    <xf numFmtId="0" fontId="71" fillId="0" borderId="0"/>
    <xf numFmtId="0" fontId="73" fillId="0" borderId="0"/>
    <xf numFmtId="0" fontId="12" fillId="0" borderId="0"/>
    <xf numFmtId="0" fontId="12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97" fontId="38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24" fillId="0" borderId="0"/>
    <xf numFmtId="197" fontId="38" fillId="0" borderId="0"/>
    <xf numFmtId="0" fontId="74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0" fontId="12" fillId="0" borderId="0"/>
    <xf numFmtId="0" fontId="12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206" fontId="50" fillId="0" borderId="0"/>
    <xf numFmtId="0" fontId="12" fillId="0" borderId="0"/>
    <xf numFmtId="0" fontId="9" fillId="0" borderId="0"/>
    <xf numFmtId="197" fontId="38" fillId="0" borderId="0"/>
    <xf numFmtId="0" fontId="24" fillId="0" borderId="0"/>
    <xf numFmtId="197" fontId="38" fillId="0" borderId="0"/>
    <xf numFmtId="197" fontId="38" fillId="0" borderId="0"/>
    <xf numFmtId="0" fontId="9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0" fontId="15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212" fontId="24" fillId="0" borderId="0"/>
    <xf numFmtId="0" fontId="74" fillId="0" borderId="0"/>
    <xf numFmtId="0" fontId="12" fillId="0" borderId="0"/>
    <xf numFmtId="197" fontId="24" fillId="0" borderId="0"/>
    <xf numFmtId="0" fontId="9" fillId="0" borderId="0"/>
    <xf numFmtId="197" fontId="12" fillId="0" borderId="0"/>
    <xf numFmtId="0" fontId="12" fillId="11" borderId="23" applyNumberFormat="0" applyFont="0" applyAlignment="0" applyProtection="0"/>
    <xf numFmtId="197" fontId="38" fillId="11" borderId="23" applyNumberFormat="0" applyFont="0" applyAlignment="0" applyProtection="0"/>
    <xf numFmtId="197" fontId="38" fillId="11" borderId="23" applyNumberFormat="0" applyFont="0" applyAlignment="0" applyProtection="0"/>
    <xf numFmtId="197" fontId="38" fillId="11" borderId="23" applyNumberFormat="0" applyFont="0" applyAlignment="0" applyProtection="0"/>
    <xf numFmtId="197" fontId="38" fillId="11" borderId="23" applyNumberFormat="0" applyFont="0" applyAlignment="0" applyProtection="0"/>
    <xf numFmtId="0" fontId="12" fillId="11" borderId="23" applyNumberFormat="0" applyFont="0" applyAlignment="0" applyProtection="0"/>
    <xf numFmtId="0" fontId="12" fillId="11" borderId="23" applyNumberFormat="0" applyFont="0" applyAlignment="0" applyProtection="0"/>
    <xf numFmtId="0" fontId="38" fillId="11" borderId="23" applyNumberFormat="0" applyFont="0" applyAlignment="0" applyProtection="0"/>
    <xf numFmtId="0" fontId="12" fillId="11" borderId="23" applyNumberFormat="0" applyFont="0" applyAlignment="0" applyProtection="0"/>
    <xf numFmtId="0" fontId="55" fillId="42" borderId="24" applyNumberFormat="0" applyAlignment="0" applyProtection="0"/>
    <xf numFmtId="0" fontId="55" fillId="44" borderId="24" applyNumberFormat="0" applyAlignment="0" applyProtection="0"/>
    <xf numFmtId="0" fontId="55" fillId="42" borderId="24" applyNumberFormat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2" fillId="0" borderId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4" fillId="0" borderId="0" applyFont="0" applyFill="0" applyBorder="0" applyAlignment="0" applyProtection="0"/>
    <xf numFmtId="197" fontId="55" fillId="44" borderId="24" applyNumberFormat="0" applyAlignment="0" applyProtection="0"/>
    <xf numFmtId="197" fontId="55" fillId="44" borderId="24" applyNumberFormat="0" applyAlignment="0" applyProtection="0"/>
    <xf numFmtId="197" fontId="55" fillId="44" borderId="24" applyNumberFormat="0" applyAlignment="0" applyProtection="0"/>
    <xf numFmtId="197" fontId="55" fillId="44" borderId="24" applyNumberFormat="0" applyAlignment="0" applyProtection="0"/>
    <xf numFmtId="197" fontId="49" fillId="0" borderId="0" applyNumberFormat="0" applyFill="0" applyBorder="0" applyAlignment="0" applyProtection="0"/>
    <xf numFmtId="197" fontId="49" fillId="0" borderId="0" applyNumberFormat="0" applyFill="0" applyBorder="0" applyAlignment="0" applyProtection="0"/>
    <xf numFmtId="197" fontId="49" fillId="0" borderId="0" applyNumberFormat="0" applyFill="0" applyBorder="0" applyAlignment="0" applyProtection="0"/>
    <xf numFmtId="197" fontId="49" fillId="0" borderId="0" applyNumberFormat="0" applyFill="0" applyBorder="0" applyAlignment="0" applyProtection="0"/>
    <xf numFmtId="197" fontId="39" fillId="0" borderId="0" applyNumberFormat="0" applyFill="0" applyBorder="0" applyAlignment="0" applyProtection="0"/>
    <xf numFmtId="197" fontId="39" fillId="0" borderId="0" applyNumberFormat="0" applyFill="0" applyBorder="0" applyAlignment="0" applyProtection="0"/>
    <xf numFmtId="197" fontId="39" fillId="0" borderId="0" applyNumberFormat="0" applyFill="0" applyBorder="0" applyAlignment="0" applyProtection="0"/>
    <xf numFmtId="197" fontId="39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97" fontId="43" fillId="0" borderId="15" applyNumberFormat="0" applyFill="0" applyAlignment="0" applyProtection="0"/>
    <xf numFmtId="197" fontId="43" fillId="0" borderId="15" applyNumberFormat="0" applyFill="0" applyAlignment="0" applyProtection="0"/>
    <xf numFmtId="197" fontId="43" fillId="0" borderId="15" applyNumberFormat="0" applyFill="0" applyAlignment="0" applyProtection="0"/>
    <xf numFmtId="197" fontId="43" fillId="0" borderId="15" applyNumberFormat="0" applyFill="0" applyAlignment="0" applyProtection="0"/>
    <xf numFmtId="197" fontId="45" fillId="0" borderId="18" applyNumberFormat="0" applyFill="0" applyAlignment="0" applyProtection="0"/>
    <xf numFmtId="197" fontId="45" fillId="0" borderId="18" applyNumberFormat="0" applyFill="0" applyAlignment="0" applyProtection="0"/>
    <xf numFmtId="197" fontId="45" fillId="0" borderId="18" applyNumberFormat="0" applyFill="0" applyAlignment="0" applyProtection="0"/>
    <xf numFmtId="197" fontId="45" fillId="0" borderId="18" applyNumberFormat="0" applyFill="0" applyAlignment="0" applyProtection="0"/>
    <xf numFmtId="197" fontId="46" fillId="0" borderId="20" applyNumberFormat="0" applyFill="0" applyAlignment="0" applyProtection="0"/>
    <xf numFmtId="197" fontId="46" fillId="0" borderId="20" applyNumberFormat="0" applyFill="0" applyAlignment="0" applyProtection="0"/>
    <xf numFmtId="197" fontId="46" fillId="0" borderId="20" applyNumberFormat="0" applyFill="0" applyAlignment="0" applyProtection="0"/>
    <xf numFmtId="197" fontId="46" fillId="0" borderId="20" applyNumberFormat="0" applyFill="0" applyAlignment="0" applyProtection="0"/>
    <xf numFmtId="197" fontId="56" fillId="0" borderId="0" applyNumberFormat="0" applyFill="0" applyBorder="0" applyAlignment="0" applyProtection="0"/>
    <xf numFmtId="197" fontId="56" fillId="0" borderId="0" applyNumberFormat="0" applyFill="0" applyBorder="0" applyAlignment="0" applyProtection="0"/>
    <xf numFmtId="197" fontId="56" fillId="0" borderId="0" applyNumberFormat="0" applyFill="0" applyBorder="0" applyAlignment="0" applyProtection="0"/>
    <xf numFmtId="197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5" fillId="0" borderId="26" applyNumberFormat="0" applyFill="0" applyAlignment="0" applyProtection="0"/>
    <xf numFmtId="197" fontId="35" fillId="0" borderId="27" applyNumberFormat="0" applyFill="0" applyAlignment="0" applyProtection="0"/>
    <xf numFmtId="197" fontId="35" fillId="0" borderId="27" applyNumberFormat="0" applyFill="0" applyAlignment="0" applyProtection="0"/>
    <xf numFmtId="197" fontId="35" fillId="0" borderId="27" applyNumberFormat="0" applyFill="0" applyAlignment="0" applyProtection="0"/>
    <xf numFmtId="197" fontId="35" fillId="0" borderId="27" applyNumberFormat="0" applyFill="0" applyAlignment="0" applyProtection="0"/>
    <xf numFmtId="210" fontId="1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9" fillId="0" borderId="0"/>
    <xf numFmtId="0" fontId="8" fillId="0" borderId="0"/>
    <xf numFmtId="171" fontId="8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171" fontId="24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12" fillId="0" borderId="0"/>
    <xf numFmtId="171" fontId="12" fillId="0" borderId="0" applyFont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178" fontId="50" fillId="0" borderId="0"/>
    <xf numFmtId="39" fontId="15" fillId="0" borderId="0"/>
    <xf numFmtId="43" fontId="12" fillId="0" borderId="0" applyFont="0" applyFill="0" applyBorder="0" applyAlignment="0" applyProtection="0"/>
    <xf numFmtId="39" fontId="15" fillId="0" borderId="0"/>
    <xf numFmtId="0" fontId="3" fillId="0" borderId="0"/>
    <xf numFmtId="43" fontId="3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3" fillId="0" borderId="0"/>
    <xf numFmtId="0" fontId="2" fillId="0" borderId="0"/>
    <xf numFmtId="0" fontId="20" fillId="0" borderId="0"/>
    <xf numFmtId="0" fontId="12" fillId="0" borderId="0"/>
    <xf numFmtId="0" fontId="12" fillId="0" borderId="0"/>
    <xf numFmtId="43" fontId="1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</cellStyleXfs>
  <cellXfs count="1446">
    <xf numFmtId="0" fontId="0" fillId="0" borderId="0" xfId="0"/>
    <xf numFmtId="43" fontId="12" fillId="0" borderId="0" xfId="1" applyFont="1" applyFill="1" applyAlignment="1">
      <alignment vertical="top" wrapText="1"/>
    </xf>
    <xf numFmtId="0" fontId="12" fillId="0" borderId="0" xfId="0" applyFont="1" applyAlignment="1">
      <alignment vertical="top" wrapText="1"/>
    </xf>
    <xf numFmtId="0" fontId="11" fillId="2" borderId="0" xfId="0" applyFont="1" applyFill="1" applyAlignment="1">
      <alignment horizontal="center" vertical="top" wrapText="1"/>
    </xf>
    <xf numFmtId="0" fontId="11" fillId="2" borderId="0" xfId="0" applyFont="1" applyFill="1" applyAlignment="1">
      <alignment horizontal="right" vertical="top" wrapText="1"/>
    </xf>
    <xf numFmtId="0" fontId="12" fillId="2" borderId="0" xfId="0" applyFont="1" applyFill="1" applyAlignment="1">
      <alignment vertical="top"/>
    </xf>
    <xf numFmtId="0" fontId="11" fillId="0" borderId="0" xfId="0" applyFont="1" applyAlignment="1">
      <alignment vertical="top"/>
    </xf>
    <xf numFmtId="43" fontId="11" fillId="0" borderId="0" xfId="1" applyFont="1" applyFill="1" applyAlignment="1">
      <alignment vertical="top" wrapText="1"/>
    </xf>
    <xf numFmtId="0" fontId="11" fillId="0" borderId="0" xfId="0" applyFont="1" applyAlignment="1">
      <alignment vertical="top" wrapText="1"/>
    </xf>
    <xf numFmtId="0" fontId="12" fillId="2" borderId="0" xfId="0" applyFont="1" applyFill="1" applyAlignment="1">
      <alignment vertical="top" wrapText="1"/>
    </xf>
    <xf numFmtId="0" fontId="12" fillId="2" borderId="0" xfId="0" applyFont="1" applyFill="1" applyAlignment="1">
      <alignment horizontal="right" vertical="top" wrapText="1"/>
    </xf>
    <xf numFmtId="0" fontId="11" fillId="3" borderId="1" xfId="0" applyFont="1" applyFill="1" applyBorder="1" applyAlignment="1">
      <alignment horizontal="center" vertical="center" wrapText="1"/>
    </xf>
    <xf numFmtId="43" fontId="12" fillId="3" borderId="0" xfId="1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11" fillId="2" borderId="2" xfId="0" applyFont="1" applyFill="1" applyBorder="1" applyAlignment="1">
      <alignment horizontal="right" vertical="top" wrapText="1"/>
    </xf>
    <xf numFmtId="0" fontId="11" fillId="2" borderId="2" xfId="0" applyFont="1" applyFill="1" applyBorder="1" applyAlignment="1">
      <alignment horizontal="left" vertical="top" wrapText="1"/>
    </xf>
    <xf numFmtId="172" fontId="11" fillId="2" borderId="2" xfId="0" applyNumberFormat="1" applyFont="1" applyFill="1" applyBorder="1" applyAlignment="1">
      <alignment horizontal="right" vertical="top" wrapText="1"/>
    </xf>
    <xf numFmtId="172" fontId="11" fillId="2" borderId="2" xfId="0" applyNumberFormat="1" applyFont="1" applyFill="1" applyBorder="1" applyAlignment="1">
      <alignment horizontal="center" vertical="top" wrapText="1"/>
    </xf>
    <xf numFmtId="0" fontId="11" fillId="0" borderId="2" xfId="0" applyFont="1" applyBorder="1" applyAlignment="1">
      <alignment vertical="top" wrapText="1"/>
    </xf>
    <xf numFmtId="173" fontId="13" fillId="2" borderId="3" xfId="0" applyNumberFormat="1" applyFont="1" applyFill="1" applyBorder="1" applyAlignment="1">
      <alignment horizontal="center" vertical="center"/>
    </xf>
    <xf numFmtId="0" fontId="11" fillId="2" borderId="3" xfId="3" applyFont="1" applyFill="1" applyBorder="1" applyAlignment="1">
      <alignment horizontal="left" vertical="top" wrapText="1"/>
    </xf>
    <xf numFmtId="4" fontId="14" fillId="2" borderId="3" xfId="4" applyNumberFormat="1" applyFont="1" applyFill="1" applyBorder="1" applyAlignment="1">
      <alignment horizontal="right" vertical="center" wrapText="1"/>
    </xf>
    <xf numFmtId="4" fontId="14" fillId="2" borderId="3" xfId="4" applyNumberFormat="1" applyFont="1" applyFill="1" applyBorder="1" applyAlignment="1">
      <alignment horizontal="center" vertical="center"/>
    </xf>
    <xf numFmtId="0" fontId="11" fillId="0" borderId="3" xfId="0" applyFont="1" applyBorder="1" applyAlignment="1">
      <alignment vertical="top" wrapText="1"/>
    </xf>
    <xf numFmtId="173" fontId="13" fillId="2" borderId="3" xfId="0" applyNumberFormat="1" applyFont="1" applyFill="1" applyBorder="1" applyAlignment="1">
      <alignment horizontal="right" vertical="center"/>
    </xf>
    <xf numFmtId="37" fontId="14" fillId="2" borderId="3" xfId="0" applyNumberFormat="1" applyFont="1" applyFill="1" applyBorder="1" applyAlignment="1">
      <alignment horizontal="right" vertical="center"/>
    </xf>
    <xf numFmtId="0" fontId="12" fillId="2" borderId="3" xfId="3" applyFill="1" applyBorder="1" applyAlignment="1">
      <alignment horizontal="left" vertical="top" wrapText="1"/>
    </xf>
    <xf numFmtId="4" fontId="12" fillId="2" borderId="3" xfId="0" applyNumberFormat="1" applyFont="1" applyFill="1" applyBorder="1" applyAlignment="1">
      <alignment vertical="top" wrapText="1"/>
    </xf>
    <xf numFmtId="4" fontId="14" fillId="0" borderId="3" xfId="4" applyNumberFormat="1" applyFont="1" applyFill="1" applyBorder="1" applyAlignment="1">
      <alignment horizontal="right" vertical="center" wrapText="1"/>
    </xf>
    <xf numFmtId="37" fontId="13" fillId="2" borderId="3" xfId="0" applyNumberFormat="1" applyFont="1" applyFill="1" applyBorder="1" applyAlignment="1">
      <alignment horizontal="right" vertical="center"/>
    </xf>
    <xf numFmtId="173" fontId="12" fillId="2" borderId="3" xfId="5" applyNumberFormat="1" applyFont="1" applyFill="1" applyBorder="1" applyAlignment="1">
      <alignment horizontal="right" vertical="top"/>
    </xf>
    <xf numFmtId="0" fontId="12" fillId="2" borderId="3" xfId="0" applyFont="1" applyFill="1" applyBorder="1" applyAlignment="1">
      <alignment horizontal="left" vertical="justify" wrapText="1"/>
    </xf>
    <xf numFmtId="4" fontId="12" fillId="2" borderId="3" xfId="4" applyNumberFormat="1" applyFont="1" applyFill="1" applyBorder="1" applyAlignment="1" applyProtection="1">
      <alignment horizontal="right" wrapText="1"/>
    </xf>
    <xf numFmtId="4" fontId="12" fillId="2" borderId="3" xfId="0" applyNumberFormat="1" applyFont="1" applyFill="1" applyBorder="1" applyAlignment="1">
      <alignment horizontal="center"/>
    </xf>
    <xf numFmtId="4" fontId="12" fillId="0" borderId="3" xfId="4" applyNumberFormat="1" applyFont="1" applyFill="1" applyBorder="1" applyAlignment="1" applyProtection="1">
      <alignment horizontal="right" wrapText="1"/>
      <protection locked="0"/>
    </xf>
    <xf numFmtId="173" fontId="12" fillId="2" borderId="3" xfId="0" applyNumberFormat="1" applyFont="1" applyFill="1" applyBorder="1" applyAlignment="1">
      <alignment horizontal="right" vertical="justify" wrapText="1"/>
    </xf>
    <xf numFmtId="0" fontId="12" fillId="2" borderId="3" xfId="0" applyFont="1" applyFill="1" applyBorder="1" applyAlignment="1">
      <alignment horizontal="left"/>
    </xf>
    <xf numFmtId="173" fontId="14" fillId="2" borderId="3" xfId="0" applyNumberFormat="1" applyFont="1" applyFill="1" applyBorder="1" applyAlignment="1">
      <alignment horizontal="right" vertical="center"/>
    </xf>
    <xf numFmtId="37" fontId="11" fillId="2" borderId="3" xfId="0" applyNumberFormat="1" applyFont="1" applyFill="1" applyBorder="1" applyAlignment="1">
      <alignment horizontal="right"/>
    </xf>
    <xf numFmtId="0" fontId="11" fillId="2" borderId="3" xfId="0" applyFont="1" applyFill="1" applyBorder="1" applyAlignment="1">
      <alignment horizontal="left"/>
    </xf>
    <xf numFmtId="43" fontId="11" fillId="2" borderId="0" xfId="1" applyFont="1" applyFill="1" applyAlignment="1">
      <alignment vertical="top" wrapText="1"/>
    </xf>
    <xf numFmtId="0" fontId="11" fillId="2" borderId="0" xfId="0" applyFont="1" applyFill="1" applyAlignment="1">
      <alignment vertical="top" wrapText="1"/>
    </xf>
    <xf numFmtId="4" fontId="12" fillId="2" borderId="3" xfId="4" applyNumberFormat="1" applyFont="1" applyFill="1" applyBorder="1" applyAlignment="1" applyProtection="1">
      <alignment horizontal="right" wrapText="1"/>
      <protection locked="0"/>
    </xf>
    <xf numFmtId="4" fontId="12" fillId="2" borderId="3" xfId="0" applyNumberFormat="1" applyFont="1" applyFill="1" applyBorder="1" applyAlignment="1">
      <alignment wrapText="1"/>
    </xf>
    <xf numFmtId="0" fontId="14" fillId="2" borderId="3" xfId="0" applyFont="1" applyFill="1" applyBorder="1" applyAlignment="1">
      <alignment vertical="top" wrapText="1"/>
    </xf>
    <xf numFmtId="0" fontId="12" fillId="2" borderId="3" xfId="0" applyFont="1" applyFill="1" applyBorder="1" applyAlignment="1">
      <alignment vertical="top" wrapText="1"/>
    </xf>
    <xf numFmtId="4" fontId="14" fillId="2" borderId="3" xfId="0" applyNumberFormat="1" applyFont="1" applyFill="1" applyBorder="1" applyAlignment="1">
      <alignment vertical="top"/>
    </xf>
    <xf numFmtId="4" fontId="14" fillId="2" borderId="3" xfId="0" applyNumberFormat="1" applyFont="1" applyFill="1" applyBorder="1" applyAlignment="1">
      <alignment horizontal="center" vertical="top"/>
    </xf>
    <xf numFmtId="172" fontId="12" fillId="2" borderId="3" xfId="0" applyNumberFormat="1" applyFont="1" applyFill="1" applyBorder="1" applyAlignment="1">
      <alignment vertical="top"/>
    </xf>
    <xf numFmtId="172" fontId="14" fillId="2" borderId="3" xfId="0" applyNumberFormat="1" applyFont="1" applyFill="1" applyBorder="1" applyAlignment="1">
      <alignment horizontal="right" vertical="top"/>
    </xf>
    <xf numFmtId="171" fontId="12" fillId="0" borderId="0" xfId="6" applyFont="1" applyFill="1" applyBorder="1" applyAlignment="1">
      <alignment vertical="top" wrapText="1"/>
    </xf>
    <xf numFmtId="0" fontId="12" fillId="2" borderId="0" xfId="0" applyFont="1" applyFill="1"/>
    <xf numFmtId="0" fontId="12" fillId="2" borderId="3" xfId="0" applyFont="1" applyFill="1" applyBorder="1" applyAlignment="1">
      <alignment horizontal="left" vertical="justify"/>
    </xf>
    <xf numFmtId="37" fontId="11" fillId="2" borderId="3" xfId="5" applyNumberFormat="1" applyFont="1" applyFill="1" applyBorder="1" applyAlignment="1">
      <alignment horizontal="right" vertical="top"/>
    </xf>
    <xf numFmtId="173" fontId="14" fillId="2" borderId="3" xfId="0" applyNumberFormat="1" applyFont="1" applyFill="1" applyBorder="1" applyAlignment="1">
      <alignment horizontal="right" vertical="top"/>
    </xf>
    <xf numFmtId="4" fontId="14" fillId="2" borderId="3" xfId="4" applyNumberFormat="1" applyFont="1" applyFill="1" applyBorder="1" applyAlignment="1">
      <alignment horizontal="right" vertical="top" wrapText="1"/>
    </xf>
    <xf numFmtId="4" fontId="14" fillId="2" borderId="3" xfId="4" applyNumberFormat="1" applyFont="1" applyFill="1" applyBorder="1" applyAlignment="1">
      <alignment horizontal="center" vertical="top"/>
    </xf>
    <xf numFmtId="4" fontId="14" fillId="2" borderId="3" xfId="4" applyNumberFormat="1" applyFont="1" applyFill="1" applyBorder="1" applyAlignment="1">
      <alignment horizontal="right" wrapText="1"/>
    </xf>
    <xf numFmtId="4" fontId="14" fillId="2" borderId="3" xfId="4" applyNumberFormat="1" applyFont="1" applyFill="1" applyBorder="1" applyAlignment="1">
      <alignment horizontal="center"/>
    </xf>
    <xf numFmtId="4" fontId="12" fillId="2" borderId="3" xfId="4" applyNumberFormat="1" applyFont="1" applyFill="1" applyBorder="1" applyAlignment="1">
      <alignment horizontal="right" wrapText="1"/>
    </xf>
    <xf numFmtId="0" fontId="11" fillId="2" borderId="3" xfId="0" applyFont="1" applyFill="1" applyBorder="1" applyAlignment="1">
      <alignment horizontal="left" wrapText="1"/>
    </xf>
    <xf numFmtId="0" fontId="12" fillId="2" borderId="3" xfId="0" applyFont="1" applyFill="1" applyBorder="1" applyAlignment="1">
      <alignment wrapText="1"/>
    </xf>
    <xf numFmtId="4" fontId="12" fillId="2" borderId="3" xfId="0" applyNumberFormat="1" applyFont="1" applyFill="1" applyBorder="1" applyAlignment="1">
      <alignment horizontal="right" vertical="top" wrapText="1"/>
    </xf>
    <xf numFmtId="37" fontId="12" fillId="2" borderId="3" xfId="0" applyNumberFormat="1" applyFont="1" applyFill="1" applyBorder="1" applyAlignment="1">
      <alignment horizontal="right" wrapText="1"/>
    </xf>
    <xf numFmtId="4" fontId="12" fillId="2" borderId="3" xfId="0" applyNumberFormat="1" applyFont="1" applyFill="1" applyBorder="1" applyAlignment="1">
      <alignment horizontal="center" wrapText="1"/>
    </xf>
    <xf numFmtId="0" fontId="12" fillId="0" borderId="3" xfId="0" applyFont="1" applyBorder="1" applyAlignment="1">
      <alignment horizontal="right" vertical="top"/>
    </xf>
    <xf numFmtId="0" fontId="12" fillId="2" borderId="3" xfId="0" applyFont="1" applyFill="1" applyBorder="1" applyAlignment="1">
      <alignment horizontal="left" vertical="top" wrapText="1"/>
    </xf>
    <xf numFmtId="4" fontId="14" fillId="2" borderId="3" xfId="0" applyNumberFormat="1" applyFont="1" applyFill="1" applyBorder="1" applyAlignment="1">
      <alignment horizontal="right"/>
    </xf>
    <xf numFmtId="4" fontId="14" fillId="2" borderId="3" xfId="0" applyNumberFormat="1" applyFont="1" applyFill="1" applyBorder="1" applyAlignment="1">
      <alignment horizontal="center"/>
    </xf>
    <xf numFmtId="4" fontId="12" fillId="2" borderId="3" xfId="7" applyNumberFormat="1" applyFont="1" applyFill="1" applyBorder="1" applyAlignment="1" applyProtection="1"/>
    <xf numFmtId="39" fontId="12" fillId="0" borderId="3" xfId="0" applyNumberFormat="1" applyFont="1" applyBorder="1" applyProtection="1">
      <protection locked="0"/>
    </xf>
    <xf numFmtId="4" fontId="12" fillId="2" borderId="4" xfId="0" applyNumberFormat="1" applyFont="1" applyFill="1" applyBorder="1" applyAlignment="1">
      <alignment vertical="top"/>
    </xf>
    <xf numFmtId="0" fontId="0" fillId="2" borderId="0" xfId="0" applyFill="1"/>
    <xf numFmtId="43" fontId="16" fillId="2" borderId="0" xfId="8" applyFont="1" applyFill="1" applyBorder="1"/>
    <xf numFmtId="4" fontId="12" fillId="2" borderId="0" xfId="0" applyNumberFormat="1" applyFont="1" applyFill="1" applyAlignment="1">
      <alignment vertical="top"/>
    </xf>
    <xf numFmtId="173" fontId="14" fillId="3" borderId="3" xfId="0" applyNumberFormat="1" applyFont="1" applyFill="1" applyBorder="1" applyAlignment="1">
      <alignment horizontal="right" vertical="center"/>
    </xf>
    <xf numFmtId="0" fontId="11" fillId="3" borderId="3" xfId="3" applyFont="1" applyFill="1" applyBorder="1" applyAlignment="1">
      <alignment horizontal="center" vertical="top" wrapText="1"/>
    </xf>
    <xf numFmtId="4" fontId="14" fillId="3" borderId="3" xfId="4" applyNumberFormat="1" applyFont="1" applyFill="1" applyBorder="1" applyAlignment="1">
      <alignment horizontal="right" vertical="center" wrapText="1"/>
    </xf>
    <xf numFmtId="4" fontId="14" fillId="3" borderId="3" xfId="4" applyNumberFormat="1" applyFont="1" applyFill="1" applyBorder="1" applyAlignment="1">
      <alignment horizontal="center" vertical="center"/>
    </xf>
    <xf numFmtId="4" fontId="12" fillId="3" borderId="3" xfId="4" applyNumberFormat="1" applyFont="1" applyFill="1" applyBorder="1" applyAlignment="1">
      <alignment horizontal="right" vertical="center" wrapText="1"/>
    </xf>
    <xf numFmtId="4" fontId="11" fillId="3" borderId="3" xfId="4" applyNumberFormat="1" applyFont="1" applyFill="1" applyBorder="1" applyAlignment="1">
      <alignment horizontal="right" vertical="center" wrapText="1"/>
    </xf>
    <xf numFmtId="43" fontId="11" fillId="3" borderId="0" xfId="1" applyFont="1" applyFill="1" applyAlignment="1">
      <alignment vertical="top" wrapText="1"/>
    </xf>
    <xf numFmtId="0" fontId="11" fillId="3" borderId="0" xfId="0" applyFont="1" applyFill="1" applyAlignment="1">
      <alignment vertical="top" wrapText="1"/>
    </xf>
    <xf numFmtId="39" fontId="12" fillId="2" borderId="3" xfId="0" applyNumberFormat="1" applyFont="1" applyFill="1" applyBorder="1" applyAlignment="1">
      <alignment horizontal="right" vertical="top" wrapText="1"/>
    </xf>
    <xf numFmtId="4" fontId="12" fillId="0" borderId="3" xfId="0" applyNumberFormat="1" applyFont="1" applyBorder="1" applyAlignment="1">
      <alignment horizontal="center"/>
    </xf>
    <xf numFmtId="173" fontId="12" fillId="2" borderId="5" xfId="5" applyNumberFormat="1" applyFont="1" applyFill="1" applyBorder="1" applyAlignment="1">
      <alignment horizontal="right" vertical="top"/>
    </xf>
    <xf numFmtId="0" fontId="12" fillId="2" borderId="5" xfId="0" applyFont="1" applyFill="1" applyBorder="1" applyAlignment="1">
      <alignment horizontal="left" vertical="justify" wrapText="1"/>
    </xf>
    <xf numFmtId="4" fontId="12" fillId="2" borderId="5" xfId="4" applyNumberFormat="1" applyFont="1" applyFill="1" applyBorder="1" applyAlignment="1" applyProtection="1">
      <alignment horizontal="right" wrapText="1"/>
    </xf>
    <xf numFmtId="4" fontId="12" fillId="2" borderId="5" xfId="0" applyNumberFormat="1" applyFont="1" applyFill="1" applyBorder="1" applyAlignment="1">
      <alignment horizontal="center"/>
    </xf>
    <xf numFmtId="4" fontId="12" fillId="2" borderId="5" xfId="4" applyNumberFormat="1" applyFont="1" applyFill="1" applyBorder="1" applyAlignment="1" applyProtection="1">
      <alignment horizontal="right" wrapText="1"/>
      <protection locked="0"/>
    </xf>
    <xf numFmtId="4" fontId="12" fillId="2" borderId="5" xfId="0" applyNumberFormat="1" applyFont="1" applyFill="1" applyBorder="1" applyAlignment="1">
      <alignment wrapText="1"/>
    </xf>
    <xf numFmtId="43" fontId="11" fillId="0" borderId="6" xfId="1" applyFont="1" applyFill="1" applyBorder="1" applyAlignment="1">
      <alignment vertical="top" wrapText="1"/>
    </xf>
    <xf numFmtId="0" fontId="11" fillId="0" borderId="6" xfId="0" applyFont="1" applyBorder="1" applyAlignment="1">
      <alignment vertical="top" wrapText="1"/>
    </xf>
    <xf numFmtId="173" fontId="11" fillId="2" borderId="3" xfId="5" applyNumberFormat="1" applyFont="1" applyFill="1" applyBorder="1" applyAlignment="1">
      <alignment horizontal="right" vertical="top"/>
    </xf>
    <xf numFmtId="4" fontId="12" fillId="2" borderId="3" xfId="4" applyNumberFormat="1" applyFont="1" applyFill="1" applyBorder="1" applyAlignment="1">
      <alignment horizontal="right" vertical="top" wrapText="1"/>
    </xf>
    <xf numFmtId="4" fontId="12" fillId="2" borderId="3" xfId="4" applyNumberFormat="1" applyFont="1" applyFill="1" applyBorder="1" applyAlignment="1" applyProtection="1">
      <alignment horizontal="right" vertical="top" wrapText="1"/>
    </xf>
    <xf numFmtId="4" fontId="12" fillId="2" borderId="3" xfId="0" applyNumberFormat="1" applyFont="1" applyFill="1" applyBorder="1" applyAlignment="1">
      <alignment horizontal="center" vertical="top" wrapText="1"/>
    </xf>
    <xf numFmtId="173" fontId="12" fillId="2" borderId="3" xfId="0" applyNumberFormat="1" applyFont="1" applyFill="1" applyBorder="1" applyAlignment="1">
      <alignment horizontal="right" vertical="top"/>
    </xf>
    <xf numFmtId="0" fontId="11" fillId="2" borderId="3" xfId="0" applyFont="1" applyFill="1" applyBorder="1" applyAlignment="1">
      <alignment horizontal="right" vertical="top" wrapText="1"/>
    </xf>
    <xf numFmtId="173" fontId="11" fillId="2" borderId="3" xfId="0" applyNumberFormat="1" applyFont="1" applyFill="1" applyBorder="1" applyAlignment="1">
      <alignment horizontal="center" vertical="top"/>
    </xf>
    <xf numFmtId="37" fontId="12" fillId="2" borderId="3" xfId="0" applyNumberFormat="1" applyFont="1" applyFill="1" applyBorder="1" applyAlignment="1">
      <alignment horizontal="right"/>
    </xf>
    <xf numFmtId="4" fontId="12" fillId="2" borderId="3" xfId="0" applyNumberFormat="1" applyFont="1" applyFill="1" applyBorder="1" applyAlignment="1">
      <alignment horizontal="center" vertical="top"/>
    </xf>
    <xf numFmtId="4" fontId="12" fillId="2" borderId="3" xfId="4" applyNumberFormat="1" applyFont="1" applyFill="1" applyBorder="1" applyAlignment="1" applyProtection="1">
      <alignment horizontal="right" vertical="top" wrapText="1"/>
      <protection locked="0"/>
    </xf>
    <xf numFmtId="173" fontId="12" fillId="2" borderId="3" xfId="0" applyNumberFormat="1" applyFont="1" applyFill="1" applyBorder="1" applyAlignment="1">
      <alignment horizontal="right"/>
    </xf>
    <xf numFmtId="4" fontId="12" fillId="2" borderId="3" xfId="4" applyNumberFormat="1" applyFont="1" applyFill="1" applyBorder="1" applyAlignment="1">
      <alignment horizontal="right" vertical="center" wrapText="1"/>
    </xf>
    <xf numFmtId="173" fontId="12" fillId="2" borderId="5" xfId="0" applyNumberFormat="1" applyFont="1" applyFill="1" applyBorder="1" applyAlignment="1">
      <alignment horizontal="right"/>
    </xf>
    <xf numFmtId="4" fontId="12" fillId="2" borderId="5" xfId="4" applyNumberFormat="1" applyFont="1" applyFill="1" applyBorder="1" applyAlignment="1" applyProtection="1">
      <alignment horizontal="right" vertical="top" wrapText="1"/>
    </xf>
    <xf numFmtId="4" fontId="12" fillId="2" borderId="5" xfId="0" applyNumberFormat="1" applyFont="1" applyFill="1" applyBorder="1" applyAlignment="1">
      <alignment horizontal="center" vertical="top" wrapText="1"/>
    </xf>
    <xf numFmtId="4" fontId="12" fillId="2" borderId="5" xfId="0" applyNumberFormat="1" applyFont="1" applyFill="1" applyBorder="1" applyAlignment="1">
      <alignment horizontal="right" vertical="top" wrapText="1"/>
    </xf>
    <xf numFmtId="4" fontId="12" fillId="2" borderId="5" xfId="0" applyNumberFormat="1" applyFont="1" applyFill="1" applyBorder="1" applyAlignment="1">
      <alignment vertical="top" wrapText="1"/>
    </xf>
    <xf numFmtId="174" fontId="14" fillId="3" borderId="3" xfId="9" applyNumberFormat="1" applyFont="1" applyFill="1" applyBorder="1" applyAlignment="1" applyProtection="1">
      <alignment horizontal="right" vertical="center"/>
    </xf>
    <xf numFmtId="0" fontId="11" fillId="3" borderId="3" xfId="0" applyFont="1" applyFill="1" applyBorder="1" applyAlignment="1">
      <alignment horizontal="center" vertical="top" wrapText="1"/>
    </xf>
    <xf numFmtId="174" fontId="14" fillId="2" borderId="3" xfId="9" applyNumberFormat="1" applyFont="1" applyFill="1" applyBorder="1" applyAlignment="1" applyProtection="1">
      <alignment horizontal="right" vertical="center"/>
    </xf>
    <xf numFmtId="0" fontId="11" fillId="2" borderId="3" xfId="3" applyFont="1" applyFill="1" applyBorder="1" applyAlignment="1">
      <alignment horizontal="center" vertical="top" wrapText="1"/>
    </xf>
    <xf numFmtId="173" fontId="11" fillId="2" borderId="3" xfId="0" applyNumberFormat="1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vertical="center" wrapText="1"/>
    </xf>
    <xf numFmtId="4" fontId="11" fillId="2" borderId="3" xfId="0" applyNumberFormat="1" applyFont="1" applyFill="1" applyBorder="1" applyAlignment="1">
      <alignment horizontal="right" wrapText="1"/>
    </xf>
    <xf numFmtId="4" fontId="11" fillId="2" borderId="3" xfId="0" applyNumberFormat="1" applyFont="1" applyFill="1" applyBorder="1" applyAlignment="1">
      <alignment horizontal="center"/>
    </xf>
    <xf numFmtId="43" fontId="12" fillId="0" borderId="0" xfId="1" applyFont="1"/>
    <xf numFmtId="0" fontId="12" fillId="0" borderId="0" xfId="0" applyFont="1"/>
    <xf numFmtId="37" fontId="12" fillId="2" borderId="3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vertical="center"/>
    </xf>
    <xf numFmtId="4" fontId="12" fillId="2" borderId="3" xfId="0" applyNumberFormat="1" applyFont="1" applyFill="1" applyBorder="1" applyAlignment="1">
      <alignment horizontal="right" vertical="center" wrapText="1"/>
    </xf>
    <xf numFmtId="4" fontId="12" fillId="2" borderId="3" xfId="0" applyNumberFormat="1" applyFont="1" applyFill="1" applyBorder="1" applyAlignment="1">
      <alignment horizontal="center" vertical="center"/>
    </xf>
    <xf numFmtId="4" fontId="12" fillId="2" borderId="3" xfId="0" applyNumberFormat="1" applyFont="1" applyFill="1" applyBorder="1" applyAlignment="1">
      <alignment horizontal="right" wrapText="1"/>
    </xf>
    <xf numFmtId="4" fontId="14" fillId="0" borderId="3" xfId="4" applyNumberFormat="1" applyFont="1" applyFill="1" applyBorder="1" applyAlignment="1">
      <alignment horizontal="right" wrapText="1"/>
    </xf>
    <xf numFmtId="37" fontId="11" fillId="2" borderId="3" xfId="0" applyNumberFormat="1" applyFont="1" applyFill="1" applyBorder="1" applyAlignment="1">
      <alignment horizontal="right" vertical="center"/>
    </xf>
    <xf numFmtId="0" fontId="11" fillId="2" borderId="3" xfId="0" applyFont="1" applyFill="1" applyBorder="1" applyAlignment="1">
      <alignment horizontal="justify" vertical="center" wrapText="1"/>
    </xf>
    <xf numFmtId="4" fontId="12" fillId="0" borderId="3" xfId="0" applyNumberFormat="1" applyFont="1" applyBorder="1" applyAlignment="1">
      <alignment horizontal="right" wrapText="1"/>
    </xf>
    <xf numFmtId="0" fontId="12" fillId="2" borderId="3" xfId="0" applyFont="1" applyFill="1" applyBorder="1" applyAlignment="1">
      <alignment vertical="center" wrapText="1"/>
    </xf>
    <xf numFmtId="173" fontId="12" fillId="2" borderId="3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justify" vertical="center" wrapText="1"/>
    </xf>
    <xf numFmtId="37" fontId="11" fillId="2" borderId="3" xfId="0" applyNumberFormat="1" applyFont="1" applyFill="1" applyBorder="1" applyAlignment="1">
      <alignment horizontal="right" vertical="top"/>
    </xf>
    <xf numFmtId="37" fontId="12" fillId="2" borderId="3" xfId="0" applyNumberFormat="1" applyFont="1" applyFill="1" applyBorder="1" applyAlignment="1">
      <alignment horizontal="right" vertical="top"/>
    </xf>
    <xf numFmtId="37" fontId="12" fillId="2" borderId="3" xfId="0" applyNumberFormat="1" applyFont="1" applyFill="1" applyBorder="1" applyAlignment="1">
      <alignment horizontal="right" vertical="center"/>
    </xf>
    <xf numFmtId="4" fontId="11" fillId="2" borderId="3" xfId="0" applyNumberFormat="1" applyFont="1" applyFill="1" applyBorder="1" applyAlignment="1">
      <alignment horizontal="right" vertical="center" wrapText="1"/>
    </xf>
    <xf numFmtId="173" fontId="12" fillId="2" borderId="3" xfId="0" applyNumberFormat="1" applyFont="1" applyFill="1" applyBorder="1" applyAlignment="1">
      <alignment horizontal="right" vertical="center"/>
    </xf>
    <xf numFmtId="0" fontId="11" fillId="2" borderId="3" xfId="0" applyFont="1" applyFill="1" applyBorder="1" applyAlignment="1">
      <alignment horizontal="center"/>
    </xf>
    <xf numFmtId="4" fontId="12" fillId="0" borderId="5" xfId="4" applyNumberFormat="1" applyFont="1" applyFill="1" applyBorder="1" applyAlignment="1" applyProtection="1">
      <alignment horizontal="right" wrapText="1"/>
      <protection locked="0"/>
    </xf>
    <xf numFmtId="0" fontId="11" fillId="3" borderId="3" xfId="0" applyFont="1" applyFill="1" applyBorder="1" applyAlignment="1">
      <alignment horizontal="right" vertical="top"/>
    </xf>
    <xf numFmtId="4" fontId="12" fillId="3" borderId="3" xfId="10" applyNumberFormat="1" applyFill="1" applyBorder="1" applyAlignment="1">
      <alignment horizontal="right" wrapText="1"/>
    </xf>
    <xf numFmtId="4" fontId="12" fillId="3" borderId="3" xfId="10" applyNumberFormat="1" applyFill="1" applyBorder="1" applyAlignment="1">
      <alignment horizontal="center"/>
    </xf>
    <xf numFmtId="4" fontId="12" fillId="3" borderId="3" xfId="10" applyNumberFormat="1" applyFill="1" applyBorder="1" applyAlignment="1">
      <alignment horizontal="right" vertical="top" wrapText="1"/>
    </xf>
    <xf numFmtId="43" fontId="12" fillId="3" borderId="0" xfId="1" applyFont="1" applyFill="1"/>
    <xf numFmtId="0" fontId="12" fillId="3" borderId="0" xfId="0" applyFont="1" applyFill="1"/>
    <xf numFmtId="0" fontId="11" fillId="2" borderId="3" xfId="0" applyFont="1" applyFill="1" applyBorder="1" applyAlignment="1">
      <alignment horizontal="right" vertical="top"/>
    </xf>
    <xf numFmtId="0" fontId="11" fillId="2" borderId="3" xfId="0" applyFont="1" applyFill="1" applyBorder="1" applyAlignment="1">
      <alignment horizontal="center" vertical="top" wrapText="1"/>
    </xf>
    <xf numFmtId="4" fontId="12" fillId="2" borderId="3" xfId="10" applyNumberFormat="1" applyFill="1" applyBorder="1" applyAlignment="1">
      <alignment horizontal="right" wrapText="1"/>
    </xf>
    <xf numFmtId="4" fontId="12" fillId="2" borderId="3" xfId="10" applyNumberFormat="1" applyFill="1" applyBorder="1" applyAlignment="1">
      <alignment horizontal="center"/>
    </xf>
    <xf numFmtId="4" fontId="12" fillId="2" borderId="3" xfId="10" applyNumberFormat="1" applyFill="1" applyBorder="1" applyAlignment="1">
      <alignment horizontal="right" vertical="top" wrapText="1"/>
    </xf>
    <xf numFmtId="4" fontId="12" fillId="0" borderId="3" xfId="0" applyNumberFormat="1" applyFont="1" applyBorder="1" applyAlignment="1">
      <alignment horizontal="right" vertical="center" wrapText="1"/>
    </xf>
    <xf numFmtId="173" fontId="12" fillId="2" borderId="5" xfId="0" applyNumberFormat="1" applyFont="1" applyFill="1" applyBorder="1" applyAlignment="1">
      <alignment horizontal="right" vertical="top"/>
    </xf>
    <xf numFmtId="0" fontId="12" fillId="2" borderId="5" xfId="0" applyFont="1" applyFill="1" applyBorder="1" applyAlignment="1">
      <alignment horizontal="justify" vertical="center" wrapText="1"/>
    </xf>
    <xf numFmtId="4" fontId="12" fillId="2" borderId="5" xfId="0" applyNumberFormat="1" applyFont="1" applyFill="1" applyBorder="1" applyAlignment="1">
      <alignment horizontal="right" wrapText="1"/>
    </xf>
    <xf numFmtId="43" fontId="12" fillId="0" borderId="6" xfId="1" applyFont="1" applyBorder="1"/>
    <xf numFmtId="0" fontId="12" fillId="0" borderId="6" xfId="0" applyFont="1" applyBorder="1"/>
    <xf numFmtId="37" fontId="14" fillId="2" borderId="3" xfId="0" applyNumberFormat="1" applyFont="1" applyFill="1" applyBorder="1" applyAlignment="1">
      <alignment vertical="center"/>
    </xf>
    <xf numFmtId="37" fontId="13" fillId="2" borderId="3" xfId="0" applyNumberFormat="1" applyFont="1" applyFill="1" applyBorder="1" applyAlignment="1">
      <alignment vertical="center"/>
    </xf>
    <xf numFmtId="37" fontId="12" fillId="2" borderId="3" xfId="0" applyNumberFormat="1" applyFont="1" applyFill="1" applyBorder="1" applyAlignment="1">
      <alignment vertical="center"/>
    </xf>
    <xf numFmtId="37" fontId="11" fillId="2" borderId="3" xfId="0" applyNumberFormat="1" applyFont="1" applyFill="1" applyBorder="1" applyAlignment="1">
      <alignment vertical="center"/>
    </xf>
    <xf numFmtId="173" fontId="12" fillId="2" borderId="3" xfId="0" applyNumberFormat="1" applyFont="1" applyFill="1" applyBorder="1" applyAlignment="1">
      <alignment vertical="center"/>
    </xf>
    <xf numFmtId="37" fontId="11" fillId="2" borderId="3" xfId="0" applyNumberFormat="1" applyFont="1" applyFill="1" applyBorder="1" applyAlignment="1">
      <alignment vertical="top"/>
    </xf>
    <xf numFmtId="37" fontId="12" fillId="2" borderId="3" xfId="0" applyNumberFormat="1" applyFont="1" applyFill="1" applyBorder="1"/>
    <xf numFmtId="0" fontId="12" fillId="2" borderId="3" xfId="0" applyFont="1" applyFill="1" applyBorder="1" applyAlignment="1">
      <alignment horizontal="justify" wrapText="1"/>
    </xf>
    <xf numFmtId="0" fontId="11" fillId="2" borderId="3" xfId="0" applyFont="1" applyFill="1" applyBorder="1" applyAlignment="1">
      <alignment horizontal="right" vertical="center" wrapText="1"/>
    </xf>
    <xf numFmtId="37" fontId="12" fillId="2" borderId="3" xfId="0" applyNumberFormat="1" applyFont="1" applyFill="1" applyBorder="1" applyAlignment="1">
      <alignment wrapText="1"/>
    </xf>
    <xf numFmtId="0" fontId="12" fillId="0" borderId="3" xfId="0" applyFont="1" applyBorder="1" applyAlignment="1">
      <alignment vertical="top"/>
    </xf>
    <xf numFmtId="0" fontId="12" fillId="2" borderId="3" xfId="0" applyFont="1" applyFill="1" applyBorder="1"/>
    <xf numFmtId="4" fontId="12" fillId="2" borderId="3" xfId="0" applyNumberFormat="1" applyFont="1" applyFill="1" applyBorder="1"/>
    <xf numFmtId="37" fontId="14" fillId="2" borderId="5" xfId="0" applyNumberFormat="1" applyFont="1" applyFill="1" applyBorder="1" applyAlignment="1">
      <alignment horizontal="right" vertical="center"/>
    </xf>
    <xf numFmtId="0" fontId="12" fillId="2" borderId="5" xfId="3" applyFill="1" applyBorder="1" applyAlignment="1">
      <alignment horizontal="left" vertical="top" wrapText="1"/>
    </xf>
    <xf numFmtId="4" fontId="12" fillId="2" borderId="5" xfId="0" applyNumberFormat="1" applyFont="1" applyFill="1" applyBorder="1" applyAlignment="1">
      <alignment horizontal="right" vertical="center" wrapText="1"/>
    </xf>
    <xf numFmtId="4" fontId="14" fillId="2" borderId="5" xfId="4" applyNumberFormat="1" applyFont="1" applyFill="1" applyBorder="1" applyAlignment="1">
      <alignment horizontal="center" vertical="center"/>
    </xf>
    <xf numFmtId="4" fontId="14" fillId="2" borderId="5" xfId="4" applyNumberFormat="1" applyFont="1" applyFill="1" applyBorder="1" applyAlignment="1">
      <alignment horizontal="right" vertical="center" wrapText="1"/>
    </xf>
    <xf numFmtId="4" fontId="12" fillId="2" borderId="3" xfId="0" applyNumberFormat="1" applyFont="1" applyFill="1" applyBorder="1" applyAlignment="1">
      <alignment horizontal="right"/>
    </xf>
    <xf numFmtId="4" fontId="12" fillId="0" borderId="3" xfId="0" applyNumberFormat="1" applyFont="1" applyBorder="1" applyAlignment="1">
      <alignment horizontal="right"/>
    </xf>
    <xf numFmtId="43" fontId="12" fillId="3" borderId="6" xfId="1" applyFont="1" applyFill="1" applyBorder="1"/>
    <xf numFmtId="0" fontId="12" fillId="3" borderId="6" xfId="0" applyFont="1" applyFill="1" applyBorder="1"/>
    <xf numFmtId="173" fontId="12" fillId="2" borderId="5" xfId="0" applyNumberFormat="1" applyFont="1" applyFill="1" applyBorder="1" applyAlignment="1">
      <alignment horizontal="right" vertical="center"/>
    </xf>
    <xf numFmtId="4" fontId="12" fillId="2" borderId="5" xfId="0" applyNumberFormat="1" applyFont="1" applyFill="1" applyBorder="1" applyAlignment="1">
      <alignment horizontal="right"/>
    </xf>
    <xf numFmtId="4" fontId="12" fillId="2" borderId="3" xfId="0" applyNumberFormat="1" applyFont="1" applyFill="1" applyBorder="1" applyAlignment="1">
      <alignment horizontal="right" vertical="center"/>
    </xf>
    <xf numFmtId="0" fontId="11" fillId="0" borderId="3" xfId="0" applyFont="1" applyBorder="1" applyAlignment="1">
      <alignment horizontal="right" vertical="top"/>
    </xf>
    <xf numFmtId="0" fontId="11" fillId="0" borderId="3" xfId="0" applyFont="1" applyBorder="1" applyAlignment="1">
      <alignment horizontal="center" vertical="top" wrapText="1"/>
    </xf>
    <xf numFmtId="4" fontId="12" fillId="0" borderId="3" xfId="10" applyNumberFormat="1" applyBorder="1" applyAlignment="1">
      <alignment horizontal="right"/>
    </xf>
    <xf numFmtId="4" fontId="12" fillId="0" borderId="3" xfId="10" applyNumberFormat="1" applyBorder="1" applyAlignment="1">
      <alignment horizontal="center"/>
    </xf>
    <xf numFmtId="43" fontId="12" fillId="0" borderId="0" xfId="1" applyFont="1" applyFill="1"/>
    <xf numFmtId="175" fontId="11" fillId="2" borderId="3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left" wrapText="1"/>
    </xf>
    <xf numFmtId="4" fontId="12" fillId="2" borderId="3" xfId="0" applyNumberFormat="1" applyFont="1" applyFill="1" applyBorder="1" applyAlignment="1">
      <alignment vertical="top"/>
    </xf>
    <xf numFmtId="0" fontId="12" fillId="2" borderId="3" xfId="0" applyFont="1" applyFill="1" applyBorder="1" applyAlignment="1">
      <alignment horizontal="center" vertical="top"/>
    </xf>
    <xf numFmtId="175" fontId="11" fillId="2" borderId="3" xfId="0" applyNumberFormat="1" applyFont="1" applyFill="1" applyBorder="1" applyAlignment="1">
      <alignment horizontal="right"/>
    </xf>
    <xf numFmtId="172" fontId="14" fillId="2" borderId="3" xfId="0" applyNumberFormat="1" applyFont="1" applyFill="1" applyBorder="1" applyAlignment="1">
      <alignment horizontal="right"/>
    </xf>
    <xf numFmtId="1" fontId="12" fillId="2" borderId="3" xfId="0" applyNumberFormat="1" applyFont="1" applyFill="1" applyBorder="1" applyAlignment="1">
      <alignment horizontal="right"/>
    </xf>
    <xf numFmtId="1" fontId="11" fillId="2" borderId="3" xfId="0" applyNumberFormat="1" applyFont="1" applyFill="1" applyBorder="1" applyAlignment="1">
      <alignment horizontal="right"/>
    </xf>
    <xf numFmtId="0" fontId="13" fillId="2" borderId="3" xfId="0" applyFont="1" applyFill="1" applyBorder="1" applyAlignment="1">
      <alignment vertical="top" wrapText="1"/>
    </xf>
    <xf numFmtId="175" fontId="12" fillId="2" borderId="3" xfId="0" applyNumberFormat="1" applyFont="1" applyFill="1" applyBorder="1" applyAlignment="1">
      <alignment horizontal="right" vertical="top"/>
    </xf>
    <xf numFmtId="4" fontId="14" fillId="2" borderId="3" xfId="0" applyNumberFormat="1" applyFont="1" applyFill="1" applyBorder="1"/>
    <xf numFmtId="4" fontId="14" fillId="2" borderId="3" xfId="0" applyNumberFormat="1" applyFont="1" applyFill="1" applyBorder="1" applyAlignment="1">
      <alignment vertical="center"/>
    </xf>
    <xf numFmtId="4" fontId="14" fillId="2" borderId="3" xfId="0" applyNumberFormat="1" applyFont="1" applyFill="1" applyBorder="1" applyAlignment="1">
      <alignment horizontal="center" vertical="center"/>
    </xf>
    <xf numFmtId="172" fontId="12" fillId="2" borderId="3" xfId="0" applyNumberFormat="1" applyFont="1" applyFill="1" applyBorder="1" applyAlignment="1">
      <alignment vertical="center"/>
    </xf>
    <xf numFmtId="172" fontId="14" fillId="2" borderId="3" xfId="0" applyNumberFormat="1" applyFont="1" applyFill="1" applyBorder="1" applyAlignment="1">
      <alignment horizontal="right" vertical="center"/>
    </xf>
    <xf numFmtId="0" fontId="14" fillId="0" borderId="3" xfId="0" applyFont="1" applyBorder="1" applyAlignment="1">
      <alignment vertical="top" wrapText="1"/>
    </xf>
    <xf numFmtId="0" fontId="12" fillId="0" borderId="3" xfId="0" applyFont="1" applyBorder="1" applyAlignment="1">
      <alignment horizontal="left" vertical="justify" wrapText="1"/>
    </xf>
    <xf numFmtId="4" fontId="12" fillId="0" borderId="3" xfId="0" applyNumberFormat="1" applyFont="1" applyBorder="1" applyAlignment="1">
      <alignment vertical="top" wrapText="1"/>
    </xf>
    <xf numFmtId="175" fontId="12" fillId="0" borderId="3" xfId="0" applyNumberFormat="1" applyFont="1" applyBorder="1" applyAlignment="1">
      <alignment horizontal="right" vertical="top"/>
    </xf>
    <xf numFmtId="0" fontId="12" fillId="0" borderId="3" xfId="0" applyFont="1" applyBorder="1" applyAlignment="1">
      <alignment horizontal="left" vertical="justify"/>
    </xf>
    <xf numFmtId="175" fontId="12" fillId="2" borderId="3" xfId="0" applyNumberFormat="1" applyFont="1" applyFill="1" applyBorder="1" applyAlignment="1">
      <alignment horizontal="right"/>
    </xf>
    <xf numFmtId="43" fontId="12" fillId="2" borderId="0" xfId="1" applyFont="1" applyFill="1"/>
    <xf numFmtId="1" fontId="11" fillId="2" borderId="3" xfId="0" applyNumberFormat="1" applyFont="1" applyFill="1" applyBorder="1" applyAlignment="1">
      <alignment horizontal="right" vertical="center"/>
    </xf>
    <xf numFmtId="0" fontId="13" fillId="2" borderId="3" xfId="0" applyFont="1" applyFill="1" applyBorder="1" applyAlignment="1">
      <alignment vertical="center" wrapText="1"/>
    </xf>
    <xf numFmtId="2" fontId="12" fillId="2" borderId="3" xfId="0" applyNumberFormat="1" applyFont="1" applyFill="1" applyBorder="1" applyAlignment="1">
      <alignment horizontal="right"/>
    </xf>
    <xf numFmtId="1" fontId="18" fillId="2" borderId="3" xfId="0" applyNumberFormat="1" applyFont="1" applyFill="1" applyBorder="1" applyAlignment="1">
      <alignment horizontal="right" vertical="center"/>
    </xf>
    <xf numFmtId="0" fontId="18" fillId="2" borderId="3" xfId="0" applyFont="1" applyFill="1" applyBorder="1" applyAlignment="1">
      <alignment vertical="top" wrapText="1"/>
    </xf>
    <xf numFmtId="0" fontId="19" fillId="2" borderId="3" xfId="0" applyFont="1" applyFill="1" applyBorder="1"/>
    <xf numFmtId="4" fontId="19" fillId="2" borderId="3" xfId="0" applyNumberFormat="1" applyFont="1" applyFill="1" applyBorder="1" applyAlignment="1">
      <alignment horizontal="center" vertical="top"/>
    </xf>
    <xf numFmtId="172" fontId="19" fillId="2" borderId="3" xfId="0" applyNumberFormat="1" applyFont="1" applyFill="1" applyBorder="1" applyAlignment="1">
      <alignment vertical="top"/>
    </xf>
    <xf numFmtId="172" fontId="19" fillId="2" borderId="3" xfId="0" applyNumberFormat="1" applyFont="1" applyFill="1" applyBorder="1" applyAlignment="1">
      <alignment horizontal="right"/>
    </xf>
    <xf numFmtId="175" fontId="19" fillId="2" borderId="3" xfId="0" applyNumberFormat="1" applyFont="1" applyFill="1" applyBorder="1" applyAlignment="1">
      <alignment horizontal="right"/>
    </xf>
    <xf numFmtId="4" fontId="19" fillId="2" borderId="3" xfId="0" applyNumberFormat="1" applyFont="1" applyFill="1" applyBorder="1" applyAlignment="1">
      <alignment vertical="top"/>
    </xf>
    <xf numFmtId="1" fontId="18" fillId="2" borderId="3" xfId="0" applyNumberFormat="1" applyFont="1" applyFill="1" applyBorder="1" applyAlignment="1">
      <alignment horizontal="right"/>
    </xf>
    <xf numFmtId="0" fontId="12" fillId="2" borderId="3" xfId="0" applyFont="1" applyFill="1" applyBorder="1" applyAlignment="1">
      <alignment vertical="top"/>
    </xf>
    <xf numFmtId="0" fontId="12" fillId="2" borderId="3" xfId="0" applyFont="1" applyFill="1" applyBorder="1" applyAlignment="1">
      <alignment horizontal="right"/>
    </xf>
    <xf numFmtId="2" fontId="12" fillId="2" borderId="3" xfId="0" applyNumberFormat="1" applyFont="1" applyFill="1" applyBorder="1" applyAlignment="1">
      <alignment vertical="top" wrapText="1"/>
    </xf>
    <xf numFmtId="172" fontId="12" fillId="2" borderId="3" xfId="0" applyNumberFormat="1" applyFont="1" applyFill="1" applyBorder="1" applyAlignment="1">
      <alignment horizontal="center" vertical="top" wrapText="1"/>
    </xf>
    <xf numFmtId="172" fontId="12" fillId="2" borderId="3" xfId="9" applyNumberFormat="1" applyFont="1" applyFill="1" applyBorder="1" applyAlignment="1">
      <alignment horizontal="right" vertical="top" wrapText="1"/>
    </xf>
    <xf numFmtId="172" fontId="12" fillId="2" borderId="0" xfId="0" applyNumberFormat="1" applyFont="1" applyFill="1"/>
    <xf numFmtId="1" fontId="12" fillId="2" borderId="3" xfId="0" applyNumberFormat="1" applyFont="1" applyFill="1" applyBorder="1" applyAlignment="1">
      <alignment horizontal="right" vertical="top"/>
    </xf>
    <xf numFmtId="2" fontId="12" fillId="2" borderId="3" xfId="0" applyNumberFormat="1" applyFont="1" applyFill="1" applyBorder="1" applyAlignment="1">
      <alignment vertical="center" wrapText="1"/>
    </xf>
    <xf numFmtId="172" fontId="12" fillId="2" borderId="3" xfId="0" applyNumberFormat="1" applyFont="1" applyFill="1" applyBorder="1" applyAlignment="1">
      <alignment horizontal="center" vertical="center" wrapText="1"/>
    </xf>
    <xf numFmtId="172" fontId="12" fillId="2" borderId="3" xfId="9" applyNumberFormat="1" applyFont="1" applyFill="1" applyBorder="1" applyAlignment="1">
      <alignment horizontal="right" vertical="center" wrapText="1"/>
    </xf>
    <xf numFmtId="0" fontId="12" fillId="2" borderId="3" xfId="0" applyFont="1" applyFill="1" applyBorder="1" applyAlignment="1">
      <alignment horizontal="right" vertical="center"/>
    </xf>
    <xf numFmtId="169" fontId="12" fillId="2" borderId="3" xfId="11" applyFont="1" applyFill="1" applyBorder="1" applyAlignment="1">
      <alignment vertical="center"/>
    </xf>
    <xf numFmtId="4" fontId="12" fillId="3" borderId="3" xfId="10" applyNumberFormat="1" applyFill="1" applyBorder="1" applyAlignment="1">
      <alignment horizontal="right"/>
    </xf>
    <xf numFmtId="4" fontId="14" fillId="3" borderId="3" xfId="10" applyNumberFormat="1" applyFont="1" applyFill="1" applyBorder="1" applyAlignment="1">
      <alignment horizontal="right" vertical="top" wrapText="1"/>
    </xf>
    <xf numFmtId="0" fontId="11" fillId="2" borderId="3" xfId="0" applyFont="1" applyFill="1" applyBorder="1" applyAlignment="1">
      <alignment horizontal="right" vertical="center"/>
    </xf>
    <xf numFmtId="173" fontId="13" fillId="0" borderId="3" xfId="0" applyNumberFormat="1" applyFont="1" applyBorder="1" applyAlignment="1">
      <alignment horizontal="center" vertical="center"/>
    </xf>
    <xf numFmtId="0" fontId="11" fillId="0" borderId="3" xfId="3" applyFont="1" applyBorder="1" applyAlignment="1">
      <alignment horizontal="left" vertical="top" wrapText="1"/>
    </xf>
    <xf numFmtId="4" fontId="14" fillId="0" borderId="3" xfId="4" applyNumberFormat="1" applyFont="1" applyFill="1" applyBorder="1" applyAlignment="1">
      <alignment horizontal="center" vertical="center"/>
    </xf>
    <xf numFmtId="43" fontId="11" fillId="4" borderId="0" xfId="1" applyFont="1" applyFill="1" applyAlignment="1">
      <alignment vertical="top" wrapText="1"/>
    </xf>
    <xf numFmtId="0" fontId="11" fillId="4" borderId="0" xfId="0" applyFont="1" applyFill="1" applyAlignment="1">
      <alignment vertical="top" wrapText="1"/>
    </xf>
    <xf numFmtId="173" fontId="13" fillId="0" borderId="3" xfId="0" applyNumberFormat="1" applyFont="1" applyBorder="1" applyAlignment="1">
      <alignment horizontal="right" vertical="center"/>
    </xf>
    <xf numFmtId="37" fontId="14" fillId="0" borderId="3" xfId="0" applyNumberFormat="1" applyFont="1" applyBorder="1" applyAlignment="1">
      <alignment horizontal="right" vertical="center"/>
    </xf>
    <xf numFmtId="0" fontId="12" fillId="0" borderId="3" xfId="3" applyBorder="1" applyAlignment="1">
      <alignment horizontal="left" vertical="top" wrapText="1"/>
    </xf>
    <xf numFmtId="37" fontId="13" fillId="0" borderId="3" xfId="0" applyNumberFormat="1" applyFont="1" applyBorder="1" applyAlignment="1">
      <alignment horizontal="right" vertical="center"/>
    </xf>
    <xf numFmtId="173" fontId="12" fillId="0" borderId="5" xfId="5" applyNumberFormat="1" applyFont="1" applyBorder="1" applyAlignment="1">
      <alignment horizontal="right" vertical="top"/>
    </xf>
    <xf numFmtId="0" fontId="12" fillId="0" borderId="5" xfId="0" applyFont="1" applyBorder="1" applyAlignment="1">
      <alignment horizontal="left" vertical="justify" wrapText="1"/>
    </xf>
    <xf numFmtId="4" fontId="12" fillId="0" borderId="5" xfId="4" applyNumberFormat="1" applyFont="1" applyFill="1" applyBorder="1" applyAlignment="1" applyProtection="1">
      <alignment horizontal="right" wrapText="1"/>
    </xf>
    <xf numFmtId="4" fontId="12" fillId="0" borderId="5" xfId="0" applyNumberFormat="1" applyFont="1" applyBorder="1" applyAlignment="1">
      <alignment horizontal="center"/>
    </xf>
    <xf numFmtId="4" fontId="12" fillId="0" borderId="5" xfId="0" applyNumberFormat="1" applyFont="1" applyBorder="1" applyAlignment="1">
      <alignment vertical="top" wrapText="1"/>
    </xf>
    <xf numFmtId="173" fontId="12" fillId="0" borderId="3" xfId="0" applyNumberFormat="1" applyFont="1" applyBorder="1" applyAlignment="1">
      <alignment horizontal="right" vertical="justify" wrapText="1"/>
    </xf>
    <xf numFmtId="0" fontId="12" fillId="0" borderId="3" xfId="0" applyFont="1" applyBorder="1" applyAlignment="1">
      <alignment horizontal="left"/>
    </xf>
    <xf numFmtId="4" fontId="12" fillId="0" borderId="3" xfId="4" applyNumberFormat="1" applyFont="1" applyFill="1" applyBorder="1" applyAlignment="1" applyProtection="1">
      <alignment horizontal="right" wrapText="1"/>
    </xf>
    <xf numFmtId="173" fontId="12" fillId="0" borderId="3" xfId="5" applyNumberFormat="1" applyFont="1" applyBorder="1" applyAlignment="1">
      <alignment horizontal="right" vertical="top"/>
    </xf>
    <xf numFmtId="173" fontId="14" fillId="0" borderId="3" xfId="0" applyNumberFormat="1" applyFont="1" applyBorder="1" applyAlignment="1">
      <alignment horizontal="right" vertical="center"/>
    </xf>
    <xf numFmtId="37" fontId="11" fillId="0" borderId="3" xfId="0" applyNumberFormat="1" applyFont="1" applyBorder="1" applyAlignment="1">
      <alignment horizontal="right"/>
    </xf>
    <xf numFmtId="0" fontId="11" fillId="0" borderId="3" xfId="0" applyFont="1" applyBorder="1" applyAlignment="1">
      <alignment horizontal="left"/>
    </xf>
    <xf numFmtId="4" fontId="12" fillId="0" borderId="3" xfId="0" applyNumberFormat="1" applyFont="1" applyBorder="1" applyAlignment="1">
      <alignment wrapText="1"/>
    </xf>
    <xf numFmtId="37" fontId="11" fillId="0" borderId="3" xfId="5" applyNumberFormat="1" applyFont="1" applyBorder="1" applyAlignment="1">
      <alignment horizontal="right" vertical="top"/>
    </xf>
    <xf numFmtId="173" fontId="14" fillId="0" borderId="3" xfId="0" applyNumberFormat="1" applyFont="1" applyBorder="1" applyAlignment="1">
      <alignment horizontal="right" vertical="top"/>
    </xf>
    <xf numFmtId="4" fontId="12" fillId="0" borderId="3" xfId="0" applyNumberFormat="1" applyFont="1" applyBorder="1" applyAlignment="1">
      <alignment vertical="center" wrapText="1"/>
    </xf>
    <xf numFmtId="4" fontId="12" fillId="0" borderId="3" xfId="4" applyNumberFormat="1" applyFont="1" applyFill="1" applyBorder="1" applyAlignment="1">
      <alignment horizontal="right" vertical="center" wrapText="1"/>
    </xf>
    <xf numFmtId="0" fontId="11" fillId="0" borderId="3" xfId="0" applyFont="1" applyBorder="1" applyAlignment="1">
      <alignment horizontal="left" wrapText="1"/>
    </xf>
    <xf numFmtId="37" fontId="12" fillId="0" borderId="3" xfId="0" applyNumberFormat="1" applyFont="1" applyBorder="1" applyAlignment="1">
      <alignment horizontal="right" wrapText="1"/>
    </xf>
    <xf numFmtId="0" fontId="12" fillId="0" borderId="3" xfId="0" applyFont="1" applyBorder="1" applyAlignment="1">
      <alignment wrapText="1"/>
    </xf>
    <xf numFmtId="4" fontId="12" fillId="0" borderId="3" xfId="0" applyNumberFormat="1" applyFont="1" applyBorder="1" applyAlignment="1">
      <alignment horizontal="center" wrapText="1"/>
    </xf>
    <xf numFmtId="0" fontId="12" fillId="0" borderId="3" xfId="0" applyFont="1" applyBorder="1" applyAlignment="1">
      <alignment horizontal="left" vertical="top" wrapText="1"/>
    </xf>
    <xf numFmtId="4" fontId="14" fillId="0" borderId="3" xfId="0" applyNumberFormat="1" applyFont="1" applyBorder="1" applyAlignment="1">
      <alignment horizontal="right"/>
    </xf>
    <xf numFmtId="4" fontId="14" fillId="0" borderId="3" xfId="0" applyNumberFormat="1" applyFont="1" applyBorder="1" applyAlignment="1">
      <alignment horizontal="center"/>
    </xf>
    <xf numFmtId="4" fontId="12" fillId="0" borderId="3" xfId="7" applyNumberFormat="1" applyFont="1" applyFill="1" applyBorder="1" applyAlignment="1" applyProtection="1"/>
    <xf numFmtId="173" fontId="12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4" fontId="14" fillId="0" borderId="3" xfId="4" applyNumberFormat="1" applyFont="1" applyFill="1" applyBorder="1" applyAlignment="1">
      <alignment horizontal="right" vertical="top" wrapText="1"/>
    </xf>
    <xf numFmtId="4" fontId="14" fillId="0" borderId="3" xfId="4" applyNumberFormat="1" applyFont="1" applyFill="1" applyBorder="1" applyAlignment="1">
      <alignment horizontal="center" vertical="top"/>
    </xf>
    <xf numFmtId="173" fontId="14" fillId="0" borderId="5" xfId="0" applyNumberFormat="1" applyFont="1" applyBorder="1" applyAlignment="1">
      <alignment horizontal="right" vertical="top"/>
    </xf>
    <xf numFmtId="0" fontId="12" fillId="0" borderId="5" xfId="3" applyBorder="1" applyAlignment="1">
      <alignment horizontal="left" wrapText="1"/>
    </xf>
    <xf numFmtId="4" fontId="14" fillId="0" borderId="5" xfId="4" applyNumberFormat="1" applyFont="1" applyFill="1" applyBorder="1" applyAlignment="1">
      <alignment horizontal="right" wrapText="1"/>
    </xf>
    <xf numFmtId="4" fontId="14" fillId="0" borderId="5" xfId="4" applyNumberFormat="1" applyFont="1" applyFill="1" applyBorder="1" applyAlignment="1">
      <alignment horizontal="center"/>
    </xf>
    <xf numFmtId="4" fontId="12" fillId="0" borderId="5" xfId="4" applyNumberFormat="1" applyFont="1" applyFill="1" applyBorder="1" applyAlignment="1">
      <alignment horizontal="right" wrapText="1"/>
    </xf>
    <xf numFmtId="4" fontId="12" fillId="0" borderId="5" xfId="0" applyNumberFormat="1" applyFont="1" applyBorder="1" applyAlignment="1">
      <alignment wrapText="1"/>
    </xf>
    <xf numFmtId="43" fontId="11" fillId="4" borderId="6" xfId="1" applyFont="1" applyFill="1" applyBorder="1" applyAlignment="1">
      <alignment vertical="top" wrapText="1"/>
    </xf>
    <xf numFmtId="0" fontId="11" fillId="4" borderId="6" xfId="0" applyFont="1" applyFill="1" applyBorder="1" applyAlignment="1">
      <alignment vertical="top" wrapText="1"/>
    </xf>
    <xf numFmtId="0" fontId="12" fillId="0" borderId="3" xfId="3" applyBorder="1" applyAlignment="1">
      <alignment horizontal="left" wrapText="1"/>
    </xf>
    <xf numFmtId="4" fontId="14" fillId="0" borderId="3" xfId="4" applyNumberFormat="1" applyFont="1" applyFill="1" applyBorder="1" applyAlignment="1">
      <alignment horizontal="center"/>
    </xf>
    <xf numFmtId="4" fontId="12" fillId="0" borderId="3" xfId="4" applyNumberFormat="1" applyFont="1" applyFill="1" applyBorder="1" applyAlignment="1">
      <alignment horizontal="right" wrapText="1"/>
    </xf>
    <xf numFmtId="174" fontId="14" fillId="0" borderId="3" xfId="9" applyNumberFormat="1" applyFont="1" applyFill="1" applyBorder="1" applyAlignment="1" applyProtection="1">
      <alignment horizontal="right" vertical="center"/>
    </xf>
    <xf numFmtId="173" fontId="12" fillId="0" borderId="3" xfId="0" applyNumberFormat="1" applyFont="1" applyBorder="1" applyAlignment="1">
      <alignment horizontal="right"/>
    </xf>
    <xf numFmtId="43" fontId="12" fillId="2" borderId="7" xfId="1" applyFont="1" applyFill="1" applyBorder="1" applyAlignment="1">
      <alignment horizontal="left" vertical="justify" wrapText="1"/>
    </xf>
    <xf numFmtId="0" fontId="11" fillId="0" borderId="3" xfId="0" applyFont="1" applyBorder="1" applyAlignment="1">
      <alignment horizontal="left" vertical="justify" wrapText="1"/>
    </xf>
    <xf numFmtId="4" fontId="12" fillId="0" borderId="3" xfId="0" applyNumberFormat="1" applyFont="1" applyBorder="1" applyAlignment="1">
      <alignment horizontal="right" vertical="top" wrapText="1"/>
    </xf>
    <xf numFmtId="0" fontId="12" fillId="0" borderId="5" xfId="0" applyFont="1" applyBorder="1" applyAlignment="1">
      <alignment vertical="top"/>
    </xf>
    <xf numFmtId="0" fontId="12" fillId="0" borderId="5" xfId="0" applyFont="1" applyBorder="1" applyAlignment="1">
      <alignment horizontal="left" vertical="top" wrapText="1"/>
    </xf>
    <xf numFmtId="4" fontId="14" fillId="0" borderId="5" xfId="0" applyNumberFormat="1" applyFont="1" applyBorder="1" applyAlignment="1">
      <alignment horizontal="right"/>
    </xf>
    <xf numFmtId="4" fontId="14" fillId="0" borderId="5" xfId="0" applyNumberFormat="1" applyFont="1" applyBorder="1" applyAlignment="1">
      <alignment horizontal="center"/>
    </xf>
    <xf numFmtId="4" fontId="12" fillId="0" borderId="5" xfId="7" applyNumberFormat="1" applyFont="1" applyFill="1" applyBorder="1" applyAlignment="1" applyProtection="1"/>
    <xf numFmtId="39" fontId="12" fillId="0" borderId="5" xfId="0" applyNumberFormat="1" applyFont="1" applyBorder="1" applyProtection="1">
      <protection locked="0"/>
    </xf>
    <xf numFmtId="4" fontId="12" fillId="2" borderId="8" xfId="0" applyNumberFormat="1" applyFont="1" applyFill="1" applyBorder="1" applyAlignment="1">
      <alignment vertical="top"/>
    </xf>
    <xf numFmtId="0" fontId="0" fillId="2" borderId="6" xfId="0" applyFill="1" applyBorder="1"/>
    <xf numFmtId="43" fontId="16" fillId="2" borderId="6" xfId="8" applyFont="1" applyFill="1" applyBorder="1"/>
    <xf numFmtId="0" fontId="12" fillId="2" borderId="6" xfId="0" applyFont="1" applyFill="1" applyBorder="1"/>
    <xf numFmtId="0" fontId="11" fillId="2" borderId="3" xfId="0" applyFont="1" applyFill="1" applyBorder="1" applyAlignment="1">
      <alignment horizontal="left" vertical="top" wrapText="1"/>
    </xf>
    <xf numFmtId="43" fontId="12" fillId="2" borderId="3" xfId="9" applyFont="1" applyFill="1" applyBorder="1" applyAlignment="1">
      <alignment horizontal="right" vertical="top" wrapText="1"/>
    </xf>
    <xf numFmtId="176" fontId="12" fillId="2" borderId="3" xfId="12" applyNumberFormat="1" applyFont="1" applyFill="1" applyBorder="1" applyAlignment="1">
      <alignment vertical="top" wrapText="1"/>
    </xf>
    <xf numFmtId="0" fontId="12" fillId="2" borderId="3" xfId="13" applyFill="1" applyBorder="1" applyAlignment="1">
      <alignment vertical="top" wrapText="1"/>
    </xf>
    <xf numFmtId="176" fontId="12" fillId="2" borderId="3" xfId="13" applyNumberFormat="1" applyFill="1" applyBorder="1" applyAlignment="1">
      <alignment vertical="top" wrapText="1"/>
    </xf>
    <xf numFmtId="176" fontId="12" fillId="2" borderId="3" xfId="0" applyNumberFormat="1" applyFont="1" applyFill="1" applyBorder="1" applyAlignment="1">
      <alignment vertical="top" wrapText="1"/>
    </xf>
    <xf numFmtId="0" fontId="20" fillId="5" borderId="0" xfId="0" applyFont="1" applyFill="1" applyAlignment="1">
      <alignment vertical="top"/>
    </xf>
    <xf numFmtId="172" fontId="12" fillId="2" borderId="3" xfId="0" applyNumberFormat="1" applyFont="1" applyFill="1" applyBorder="1" applyAlignment="1">
      <alignment horizontal="center" vertical="top"/>
    </xf>
    <xf numFmtId="169" fontId="12" fillId="2" borderId="3" xfId="12" applyNumberFormat="1" applyFont="1" applyFill="1" applyBorder="1" applyAlignment="1">
      <alignment horizontal="right" vertical="top" wrapText="1"/>
    </xf>
    <xf numFmtId="0" fontId="21" fillId="0" borderId="0" xfId="0" applyFont="1" applyAlignment="1">
      <alignment vertical="top"/>
    </xf>
    <xf numFmtId="0" fontId="21" fillId="2" borderId="0" xfId="0" applyFont="1" applyFill="1" applyAlignment="1">
      <alignment vertical="top"/>
    </xf>
    <xf numFmtId="39" fontId="12" fillId="0" borderId="3" xfId="0" applyNumberFormat="1" applyFont="1" applyBorder="1" applyAlignment="1">
      <alignment horizontal="right"/>
    </xf>
    <xf numFmtId="0" fontId="12" fillId="2" borderId="3" xfId="14" applyFill="1" applyBorder="1" applyAlignment="1">
      <alignment vertical="top" wrapText="1"/>
    </xf>
    <xf numFmtId="177" fontId="22" fillId="2" borderId="0" xfId="0" applyNumberFormat="1" applyFont="1" applyFill="1" applyAlignment="1">
      <alignment vertical="top" wrapText="1"/>
    </xf>
    <xf numFmtId="0" fontId="12" fillId="2" borderId="0" xfId="14" applyFill="1" applyAlignment="1">
      <alignment vertical="top"/>
    </xf>
    <xf numFmtId="0" fontId="11" fillId="0" borderId="3" xfId="0" applyFont="1" applyBorder="1" applyAlignment="1">
      <alignment horizontal="left" vertical="center" wrapText="1"/>
    </xf>
    <xf numFmtId="0" fontId="12" fillId="0" borderId="3" xfId="0" applyFont="1" applyBorder="1"/>
    <xf numFmtId="0" fontId="11" fillId="0" borderId="3" xfId="0" applyFont="1" applyBorder="1" applyAlignment="1">
      <alignment horizontal="right" vertical="top" wrapText="1"/>
    </xf>
    <xf numFmtId="0" fontId="11" fillId="0" borderId="3" xfId="0" applyFont="1" applyBorder="1" applyAlignment="1">
      <alignment horizontal="left" vertical="top" wrapText="1"/>
    </xf>
    <xf numFmtId="172" fontId="11" fillId="0" borderId="3" xfId="0" applyNumberFormat="1" applyFont="1" applyBorder="1" applyAlignment="1">
      <alignment horizontal="right" vertical="top" wrapText="1"/>
    </xf>
    <xf numFmtId="172" fontId="11" fillId="0" borderId="3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horizontal="right" vertical="top" wrapText="1"/>
    </xf>
    <xf numFmtId="174" fontId="13" fillId="0" borderId="3" xfId="9" applyNumberFormat="1" applyFont="1" applyFill="1" applyBorder="1" applyAlignment="1" applyProtection="1">
      <alignment horizontal="right" vertical="center"/>
    </xf>
    <xf numFmtId="4" fontId="11" fillId="0" borderId="3" xfId="4" applyNumberFormat="1" applyFont="1" applyFill="1" applyBorder="1" applyAlignment="1" applyProtection="1">
      <alignment horizontal="right" wrapText="1"/>
    </xf>
    <xf numFmtId="4" fontId="11" fillId="0" borderId="3" xfId="0" applyNumberFormat="1" applyFont="1" applyBorder="1" applyAlignment="1">
      <alignment horizontal="center"/>
    </xf>
    <xf numFmtId="4" fontId="11" fillId="0" borderId="3" xfId="4" applyNumberFormat="1" applyFont="1" applyFill="1" applyBorder="1" applyAlignment="1" applyProtection="1">
      <alignment horizontal="right" wrapText="1"/>
      <protection locked="0"/>
    </xf>
    <xf numFmtId="173" fontId="11" fillId="0" borderId="3" xfId="0" applyNumberFormat="1" applyFont="1" applyBorder="1" applyAlignment="1">
      <alignment horizontal="right"/>
    </xf>
    <xf numFmtId="43" fontId="11" fillId="2" borderId="7" xfId="1" applyFont="1" applyFill="1" applyBorder="1" applyAlignment="1">
      <alignment horizontal="left" vertical="justify" wrapText="1"/>
    </xf>
    <xf numFmtId="4" fontId="11" fillId="2" borderId="3" xfId="4" applyNumberFormat="1" applyFont="1" applyFill="1" applyBorder="1" applyAlignment="1" applyProtection="1">
      <alignment horizontal="right" wrapText="1"/>
    </xf>
    <xf numFmtId="0" fontId="11" fillId="0" borderId="0" xfId="0" applyFont="1"/>
    <xf numFmtId="0" fontId="11" fillId="0" borderId="3" xfId="15" applyFont="1" applyBorder="1" applyAlignment="1">
      <alignment horizontal="center" vertical="top" wrapText="1"/>
    </xf>
    <xf numFmtId="0" fontId="11" fillId="0" borderId="3" xfId="15" applyFont="1" applyBorder="1" applyAlignment="1">
      <alignment vertical="top" wrapText="1"/>
    </xf>
    <xf numFmtId="4" fontId="12" fillId="0" borderId="3" xfId="16" applyNumberFormat="1" applyFont="1" applyFill="1" applyBorder="1" applyAlignment="1">
      <alignment vertical="top"/>
    </xf>
    <xf numFmtId="4" fontId="12" fillId="0" borderId="3" xfId="15" applyNumberFormat="1" applyFont="1" applyBorder="1" applyAlignment="1">
      <alignment horizontal="center" vertical="top"/>
    </xf>
    <xf numFmtId="172" fontId="12" fillId="0" borderId="3" xfId="15" applyNumberFormat="1" applyFont="1" applyBorder="1" applyAlignment="1">
      <alignment vertical="top"/>
    </xf>
    <xf numFmtId="4" fontId="12" fillId="0" borderId="3" xfId="17" applyNumberFormat="1" applyFont="1" applyFill="1" applyBorder="1" applyAlignment="1">
      <alignment vertical="top" wrapText="1"/>
    </xf>
    <xf numFmtId="37" fontId="11" fillId="0" borderId="3" xfId="0" applyNumberFormat="1" applyFont="1" applyBorder="1" applyAlignment="1">
      <alignment horizontal="right" vertical="top"/>
    </xf>
    <xf numFmtId="4" fontId="12" fillId="0" borderId="3" xfId="4" applyNumberFormat="1" applyFont="1" applyFill="1" applyBorder="1" applyAlignment="1">
      <alignment horizontal="right" vertical="top" wrapText="1"/>
    </xf>
    <xf numFmtId="4" fontId="12" fillId="0" borderId="3" xfId="4" applyNumberFormat="1" applyFont="1" applyFill="1" applyBorder="1" applyAlignment="1">
      <alignment horizontal="center" vertical="top"/>
    </xf>
    <xf numFmtId="172" fontId="12" fillId="0" borderId="3" xfId="4" applyNumberFormat="1" applyFont="1" applyFill="1" applyBorder="1" applyAlignment="1">
      <alignment horizontal="right" vertical="top" wrapText="1"/>
    </xf>
    <xf numFmtId="4" fontId="12" fillId="0" borderId="3" xfId="9" applyNumberFormat="1" applyFont="1" applyFill="1" applyBorder="1" applyAlignment="1">
      <alignment horizontal="right" vertical="top" wrapText="1"/>
    </xf>
    <xf numFmtId="173" fontId="11" fillId="0" borderId="3" xfId="0" applyNumberFormat="1" applyFont="1" applyBorder="1" applyAlignment="1">
      <alignment horizontal="right" vertical="top"/>
    </xf>
    <xf numFmtId="173" fontId="12" fillId="0" borderId="3" xfId="0" applyNumberFormat="1" applyFont="1" applyBorder="1" applyAlignment="1">
      <alignment horizontal="right" vertical="top"/>
    </xf>
    <xf numFmtId="0" fontId="12" fillId="0" borderId="3" xfId="0" applyFont="1" applyBorder="1" applyAlignment="1">
      <alignment vertical="top" wrapText="1"/>
    </xf>
    <xf numFmtId="4" fontId="12" fillId="0" borderId="3" xfId="0" applyNumberFormat="1" applyFont="1" applyBorder="1" applyAlignment="1">
      <alignment horizontal="right" vertical="top"/>
    </xf>
    <xf numFmtId="4" fontId="12" fillId="0" borderId="3" xfId="0" applyNumberFormat="1" applyFont="1" applyBorder="1" applyAlignment="1">
      <alignment horizontal="center" vertical="top"/>
    </xf>
    <xf numFmtId="172" fontId="12" fillId="0" borderId="3" xfId="4" applyNumberFormat="1" applyFont="1" applyFill="1" applyBorder="1" applyAlignment="1" applyProtection="1">
      <alignment horizontal="right" vertical="top" wrapText="1"/>
      <protection locked="0"/>
    </xf>
    <xf numFmtId="39" fontId="12" fillId="0" borderId="3" xfId="0" applyNumberFormat="1" applyFont="1" applyBorder="1" applyAlignment="1" applyProtection="1">
      <alignment vertical="top"/>
      <protection locked="0"/>
    </xf>
    <xf numFmtId="173" fontId="12" fillId="0" borderId="5" xfId="0" applyNumberFormat="1" applyFont="1" applyBorder="1" applyAlignment="1">
      <alignment horizontal="right" vertical="top"/>
    </xf>
    <xf numFmtId="0" fontId="12" fillId="0" borderId="5" xfId="0" applyFont="1" applyBorder="1" applyAlignment="1">
      <alignment vertical="top" wrapText="1"/>
    </xf>
    <xf numFmtId="4" fontId="12" fillId="0" borderId="5" xfId="0" applyNumberFormat="1" applyFont="1" applyBorder="1" applyAlignment="1">
      <alignment horizontal="right" vertical="top"/>
    </xf>
    <xf numFmtId="4" fontId="12" fillId="0" borderId="5" xfId="0" applyNumberFormat="1" applyFont="1" applyBorder="1" applyAlignment="1">
      <alignment horizontal="center" vertical="top"/>
    </xf>
    <xf numFmtId="172" fontId="12" fillId="0" borderId="5" xfId="4" applyNumberFormat="1" applyFont="1" applyFill="1" applyBorder="1" applyAlignment="1" applyProtection="1">
      <alignment horizontal="right" vertical="top" wrapText="1"/>
      <protection locked="0"/>
    </xf>
    <xf numFmtId="39" fontId="12" fillId="0" borderId="5" xfId="0" applyNumberFormat="1" applyFont="1" applyBorder="1" applyAlignment="1" applyProtection="1">
      <alignment vertical="top"/>
      <protection locked="0"/>
    </xf>
    <xf numFmtId="43" fontId="11" fillId="2" borderId="9" xfId="1" applyFont="1" applyFill="1" applyBorder="1" applyAlignment="1">
      <alignment horizontal="left" vertical="justify" wrapText="1"/>
    </xf>
    <xf numFmtId="4" fontId="11" fillId="2" borderId="5" xfId="4" applyNumberFormat="1" applyFont="1" applyFill="1" applyBorder="1" applyAlignment="1" applyProtection="1">
      <alignment horizontal="right" wrapText="1"/>
    </xf>
    <xf numFmtId="0" fontId="11" fillId="0" borderId="6" xfId="0" applyFont="1" applyBorder="1"/>
    <xf numFmtId="4" fontId="11" fillId="0" borderId="3" xfId="0" applyNumberFormat="1" applyFont="1" applyBorder="1" applyAlignment="1">
      <alignment horizontal="right" vertical="top"/>
    </xf>
    <xf numFmtId="4" fontId="11" fillId="0" borderId="3" xfId="0" applyNumberFormat="1" applyFont="1" applyBorder="1" applyAlignment="1">
      <alignment horizontal="center" vertical="top"/>
    </xf>
    <xf numFmtId="172" fontId="11" fillId="0" borderId="3" xfId="4" applyNumberFormat="1" applyFont="1" applyFill="1" applyBorder="1" applyAlignment="1" applyProtection="1">
      <alignment horizontal="right" vertical="top" wrapText="1"/>
      <protection locked="0"/>
    </xf>
    <xf numFmtId="0" fontId="21" fillId="0" borderId="3" xfId="0" applyFont="1" applyBorder="1"/>
    <xf numFmtId="4" fontId="12" fillId="0" borderId="3" xfId="17" applyNumberFormat="1" applyFont="1" applyFill="1" applyBorder="1" applyAlignment="1">
      <alignment horizontal="center" vertical="top" wrapText="1"/>
    </xf>
    <xf numFmtId="172" fontId="12" fillId="0" borderId="3" xfId="17" applyNumberFormat="1" applyFont="1" applyFill="1" applyBorder="1" applyAlignment="1">
      <alignment vertical="top" wrapText="1"/>
    </xf>
    <xf numFmtId="43" fontId="11" fillId="2" borderId="0" xfId="1" applyFont="1" applyFill="1" applyBorder="1" applyAlignment="1">
      <alignment horizontal="left" vertical="justify" wrapText="1"/>
    </xf>
    <xf numFmtId="4" fontId="11" fillId="2" borderId="0" xfId="4" applyNumberFormat="1" applyFont="1" applyFill="1" applyBorder="1" applyAlignment="1" applyProtection="1">
      <alignment horizontal="right" wrapText="1"/>
    </xf>
    <xf numFmtId="0" fontId="11" fillId="0" borderId="3" xfId="0" quotePrefix="1" applyFont="1" applyBorder="1" applyAlignment="1">
      <alignment horizontal="right" vertical="top"/>
    </xf>
    <xf numFmtId="0" fontId="11" fillId="0" borderId="3" xfId="0" applyFont="1" applyBorder="1" applyAlignment="1">
      <alignment horizontal="left" vertical="top"/>
    </xf>
    <xf numFmtId="39" fontId="12" fillId="0" borderId="3" xfId="0" applyNumberFormat="1" applyFont="1" applyBorder="1" applyAlignment="1">
      <alignment horizontal="right" vertical="top"/>
    </xf>
    <xf numFmtId="43" fontId="12" fillId="0" borderId="3" xfId="8" applyFont="1" applyFill="1" applyBorder="1" applyAlignment="1" applyProtection="1">
      <alignment vertical="top"/>
      <protection locked="0"/>
    </xf>
    <xf numFmtId="43" fontId="12" fillId="0" borderId="0" xfId="1" applyFont="1" applyFill="1" applyBorder="1" applyAlignment="1">
      <alignment vertical="top"/>
    </xf>
    <xf numFmtId="0" fontId="12" fillId="0" borderId="0" xfId="0" applyFont="1" applyAlignment="1">
      <alignment vertical="top"/>
    </xf>
    <xf numFmtId="39" fontId="12" fillId="0" borderId="3" xfId="0" applyNumberFormat="1" applyFont="1" applyBorder="1" applyAlignment="1" applyProtection="1">
      <alignment horizontal="right" vertical="top"/>
      <protection locked="0"/>
    </xf>
    <xf numFmtId="39" fontId="12" fillId="0" borderId="3" xfId="0" applyNumberFormat="1" applyFont="1" applyBorder="1" applyAlignment="1">
      <alignment horizontal="right" vertical="center"/>
    </xf>
    <xf numFmtId="4" fontId="12" fillId="0" borderId="3" xfId="0" applyNumberFormat="1" applyFont="1" applyBorder="1" applyAlignment="1">
      <alignment horizontal="center" vertical="center"/>
    </xf>
    <xf numFmtId="43" fontId="12" fillId="0" borderId="3" xfId="8" applyFont="1" applyFill="1" applyBorder="1" applyAlignment="1" applyProtection="1">
      <alignment vertical="center"/>
      <protection locked="0"/>
    </xf>
    <xf numFmtId="39" fontId="12" fillId="0" borderId="3" xfId="0" applyNumberFormat="1" applyFont="1" applyBorder="1" applyAlignment="1" applyProtection="1">
      <alignment horizontal="right" vertical="center"/>
      <protection locked="0"/>
    </xf>
    <xf numFmtId="37" fontId="12" fillId="0" borderId="3" xfId="0" applyNumberFormat="1" applyFont="1" applyBorder="1" applyAlignment="1">
      <alignment horizontal="right" vertical="top"/>
    </xf>
    <xf numFmtId="39" fontId="12" fillId="0" borderId="3" xfId="0" applyNumberFormat="1" applyFont="1" applyBorder="1" applyAlignment="1">
      <alignment vertical="top"/>
    </xf>
    <xf numFmtId="43" fontId="12" fillId="0" borderId="3" xfId="8" applyFont="1" applyFill="1" applyBorder="1" applyAlignment="1">
      <alignment vertical="top"/>
    </xf>
    <xf numFmtId="43" fontId="11" fillId="0" borderId="0" xfId="1" applyFont="1" applyFill="1" applyBorder="1" applyAlignment="1">
      <alignment vertical="top"/>
    </xf>
    <xf numFmtId="1" fontId="12" fillId="0" borderId="3" xfId="0" applyNumberFormat="1" applyFont="1" applyBorder="1" applyAlignment="1">
      <alignment horizontal="right" vertical="top"/>
    </xf>
    <xf numFmtId="172" fontId="12" fillId="0" borderId="3" xfId="0" applyNumberFormat="1" applyFont="1" applyBorder="1" applyAlignment="1">
      <alignment vertical="top" wrapText="1"/>
    </xf>
    <xf numFmtId="172" fontId="12" fillId="0" borderId="3" xfId="0" applyNumberFormat="1" applyFont="1" applyBorder="1" applyAlignment="1">
      <alignment horizontal="center" vertical="top" wrapText="1"/>
    </xf>
    <xf numFmtId="40" fontId="12" fillId="0" borderId="3" xfId="18" applyNumberFormat="1" applyFont="1" applyFill="1" applyBorder="1" applyAlignment="1">
      <alignment vertical="top" wrapText="1"/>
    </xf>
    <xf numFmtId="172" fontId="12" fillId="0" borderId="3" xfId="0" applyNumberFormat="1" applyFont="1" applyBorder="1" applyAlignment="1">
      <alignment vertical="center" wrapText="1"/>
    </xf>
    <xf numFmtId="172" fontId="12" fillId="0" borderId="3" xfId="0" applyNumberFormat="1" applyFont="1" applyBorder="1" applyAlignment="1">
      <alignment horizontal="center" vertical="center" wrapText="1"/>
    </xf>
    <xf numFmtId="40" fontId="12" fillId="0" borderId="3" xfId="18" applyNumberFormat="1" applyFont="1" applyFill="1" applyBorder="1" applyAlignment="1">
      <alignment vertical="center" wrapText="1"/>
    </xf>
    <xf numFmtId="174" fontId="12" fillId="3" borderId="3" xfId="9" applyNumberFormat="1" applyFont="1" applyFill="1" applyBorder="1" applyAlignment="1" applyProtection="1">
      <alignment horizontal="right" vertical="center"/>
    </xf>
    <xf numFmtId="4" fontId="12" fillId="3" borderId="3" xfId="4" applyNumberFormat="1" applyFont="1" applyFill="1" applyBorder="1" applyAlignment="1">
      <alignment horizontal="center" vertical="center"/>
    </xf>
    <xf numFmtId="43" fontId="11" fillId="3" borderId="3" xfId="9" applyFont="1" applyFill="1" applyBorder="1" applyAlignment="1">
      <alignment horizontal="right" vertical="center" wrapText="1"/>
    </xf>
    <xf numFmtId="0" fontId="11" fillId="0" borderId="3" xfId="0" applyFont="1" applyBorder="1" applyAlignment="1">
      <alignment horizontal="right"/>
    </xf>
    <xf numFmtId="0" fontId="12" fillId="0" borderId="3" xfId="0" applyFont="1" applyBorder="1" applyAlignment="1">
      <alignment horizontal="right" wrapText="1"/>
    </xf>
    <xf numFmtId="0" fontId="12" fillId="0" borderId="3" xfId="0" applyFont="1" applyBorder="1" applyAlignment="1">
      <alignment horizontal="right"/>
    </xf>
    <xf numFmtId="10" fontId="12" fillId="0" borderId="3" xfId="2" applyNumberFormat="1" applyFont="1" applyFill="1" applyBorder="1" applyAlignment="1">
      <alignment horizontal="right" wrapText="1"/>
    </xf>
    <xf numFmtId="43" fontId="12" fillId="0" borderId="3" xfId="9" applyFont="1" applyFill="1" applyBorder="1"/>
    <xf numFmtId="43" fontId="12" fillId="0" borderId="3" xfId="1" applyFont="1" applyFill="1" applyBorder="1" applyAlignment="1">
      <alignment horizontal="right" wrapText="1"/>
    </xf>
    <xf numFmtId="0" fontId="12" fillId="0" borderId="3" xfId="0" applyFont="1" applyBorder="1" applyAlignment="1">
      <alignment horizontal="center"/>
    </xf>
    <xf numFmtId="174" fontId="12" fillId="3" borderId="5" xfId="9" applyNumberFormat="1" applyFont="1" applyFill="1" applyBorder="1" applyAlignment="1" applyProtection="1">
      <alignment horizontal="right" vertical="center"/>
    </xf>
    <xf numFmtId="0" fontId="11" fillId="3" borderId="5" xfId="0" applyFont="1" applyFill="1" applyBorder="1" applyAlignment="1">
      <alignment horizontal="center" vertical="top" wrapText="1"/>
    </xf>
    <xf numFmtId="4" fontId="12" fillId="3" borderId="5" xfId="4" applyNumberFormat="1" applyFont="1" applyFill="1" applyBorder="1" applyAlignment="1">
      <alignment horizontal="right" vertical="center" wrapText="1"/>
    </xf>
    <xf numFmtId="4" fontId="12" fillId="3" borderId="5" xfId="4" applyNumberFormat="1" applyFont="1" applyFill="1" applyBorder="1" applyAlignment="1">
      <alignment horizontal="center" vertical="center"/>
    </xf>
    <xf numFmtId="4" fontId="11" fillId="3" borderId="5" xfId="4" applyNumberFormat="1" applyFont="1" applyFill="1" applyBorder="1" applyAlignment="1">
      <alignment horizontal="right" vertical="center" wrapText="1"/>
    </xf>
    <xf numFmtId="0" fontId="12" fillId="2" borderId="0" xfId="0" applyFont="1" applyFill="1" applyAlignment="1">
      <alignment horizontal="right" wrapText="1"/>
    </xf>
    <xf numFmtId="0" fontId="21" fillId="2" borderId="0" xfId="0" applyFont="1" applyFill="1"/>
    <xf numFmtId="0" fontId="23" fillId="2" borderId="0" xfId="0" applyFont="1" applyFill="1"/>
    <xf numFmtId="4" fontId="21" fillId="2" borderId="0" xfId="0" applyNumberFormat="1" applyFont="1" applyFill="1" applyAlignment="1">
      <alignment horizontal="right" wrapText="1"/>
    </xf>
    <xf numFmtId="4" fontId="21" fillId="2" borderId="0" xfId="0" applyNumberFormat="1" applyFont="1" applyFill="1" applyAlignment="1">
      <alignment horizontal="center"/>
    </xf>
    <xf numFmtId="4" fontId="23" fillId="2" borderId="0" xfId="0" applyNumberFormat="1" applyFont="1" applyFill="1" applyAlignment="1">
      <alignment horizontal="right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2" fillId="0" borderId="0" xfId="0" applyFont="1" applyAlignment="1">
      <alignment horizontal="right" wrapText="1"/>
    </xf>
    <xf numFmtId="4" fontId="16" fillId="2" borderId="3" xfId="4" applyNumberFormat="1" applyFont="1" applyFill="1" applyBorder="1" applyAlignment="1" applyProtection="1">
      <alignment horizontal="right" wrapText="1"/>
    </xf>
    <xf numFmtId="173" fontId="16" fillId="2" borderId="3" xfId="5" applyNumberFormat="1" applyFont="1" applyFill="1" applyBorder="1" applyAlignment="1">
      <alignment horizontal="right" vertical="top"/>
    </xf>
    <xf numFmtId="0" fontId="16" fillId="2" borderId="3" xfId="0" applyFont="1" applyFill="1" applyBorder="1" applyAlignment="1">
      <alignment horizontal="left" vertical="justify" wrapText="1"/>
    </xf>
    <xf numFmtId="4" fontId="16" fillId="2" borderId="3" xfId="0" applyNumberFormat="1" applyFont="1" applyFill="1" applyBorder="1" applyAlignment="1">
      <alignment horizontal="center"/>
    </xf>
    <xf numFmtId="173" fontId="16" fillId="2" borderId="3" xfId="0" applyNumberFormat="1" applyFont="1" applyFill="1" applyBorder="1" applyAlignment="1">
      <alignment horizontal="right" vertical="top"/>
    </xf>
    <xf numFmtId="0" fontId="16" fillId="2" borderId="3" xfId="3" applyFont="1" applyFill="1" applyBorder="1" applyAlignment="1">
      <alignment horizontal="left" vertical="top" wrapText="1"/>
    </xf>
    <xf numFmtId="4" fontId="16" fillId="2" borderId="3" xfId="4" applyNumberFormat="1" applyFont="1" applyFill="1" applyBorder="1" applyAlignment="1">
      <alignment horizontal="right" vertical="top" wrapText="1"/>
    </xf>
    <xf numFmtId="4" fontId="16" fillId="2" borderId="3" xfId="4" applyNumberFormat="1" applyFont="1" applyFill="1" applyBorder="1" applyAlignment="1">
      <alignment horizontal="center" vertical="top"/>
    </xf>
    <xf numFmtId="4" fontId="16" fillId="2" borderId="3" xfId="4" applyNumberFormat="1" applyFont="1" applyFill="1" applyBorder="1" applyAlignment="1">
      <alignment horizontal="right" wrapText="1"/>
    </xf>
    <xf numFmtId="4" fontId="16" fillId="2" borderId="3" xfId="4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50" borderId="0" xfId="0" applyFill="1"/>
    <xf numFmtId="0" fontId="62" fillId="51" borderId="1" xfId="0" applyFont="1" applyFill="1" applyBorder="1" applyAlignment="1">
      <alignment horizontal="center" vertical="center"/>
    </xf>
    <xf numFmtId="0" fontId="11" fillId="50" borderId="1" xfId="0" applyFont="1" applyFill="1" applyBorder="1"/>
    <xf numFmtId="0" fontId="0" fillId="50" borderId="1" xfId="0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12" fillId="0" borderId="1" xfId="0" applyFont="1" applyBorder="1"/>
    <xf numFmtId="173" fontId="12" fillId="2" borderId="1" xfId="5" applyNumberFormat="1" applyFont="1" applyFill="1" applyBorder="1" applyAlignment="1">
      <alignment horizontal="right" vertical="top"/>
    </xf>
    <xf numFmtId="0" fontId="12" fillId="2" borderId="1" xfId="0" applyFont="1" applyFill="1" applyBorder="1" applyAlignment="1">
      <alignment horizontal="left" vertical="justify" wrapText="1"/>
    </xf>
    <xf numFmtId="0" fontId="14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vertical="top" wrapText="1"/>
    </xf>
    <xf numFmtId="173" fontId="12" fillId="2" borderId="1" xfId="0" applyNumberFormat="1" applyFont="1" applyFill="1" applyBorder="1" applyAlignment="1">
      <alignment horizontal="right" vertical="justify" wrapText="1"/>
    </xf>
    <xf numFmtId="0" fontId="12" fillId="2" borderId="1" xfId="0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justify"/>
    </xf>
    <xf numFmtId="37" fontId="11" fillId="50" borderId="1" xfId="5" applyNumberFormat="1" applyFont="1" applyFill="1" applyBorder="1" applyAlignment="1">
      <alignment horizontal="right" vertical="top"/>
    </xf>
    <xf numFmtId="0" fontId="11" fillId="50" borderId="1" xfId="0" applyFont="1" applyFill="1" applyBorder="1" applyAlignment="1">
      <alignment horizontal="left"/>
    </xf>
    <xf numFmtId="173" fontId="16" fillId="2" borderId="1" xfId="0" applyNumberFormat="1" applyFont="1" applyFill="1" applyBorder="1" applyAlignment="1">
      <alignment horizontal="right" vertical="top"/>
    </xf>
    <xf numFmtId="0" fontId="16" fillId="2" borderId="1" xfId="3" applyFont="1" applyFill="1" applyBorder="1" applyAlignment="1">
      <alignment horizontal="left" vertical="top" wrapText="1"/>
    </xf>
    <xf numFmtId="173" fontId="14" fillId="2" borderId="1" xfId="0" applyNumberFormat="1" applyFont="1" applyFill="1" applyBorder="1" applyAlignment="1">
      <alignment horizontal="right" vertical="center"/>
    </xf>
    <xf numFmtId="0" fontId="11" fillId="2" borderId="1" xfId="3" applyFont="1" applyFill="1" applyBorder="1" applyAlignment="1">
      <alignment horizontal="left" vertical="top" wrapText="1"/>
    </xf>
    <xf numFmtId="37" fontId="13" fillId="50" borderId="1" xfId="0" applyNumberFormat="1" applyFont="1" applyFill="1" applyBorder="1" applyAlignment="1">
      <alignment horizontal="right" vertical="center"/>
    </xf>
    <xf numFmtId="0" fontId="11" fillId="50" borderId="1" xfId="3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wrapText="1"/>
    </xf>
    <xf numFmtId="173" fontId="16" fillId="2" borderId="1" xfId="0" applyNumberFormat="1" applyFont="1" applyFill="1" applyBorder="1" applyAlignment="1">
      <alignment horizontal="right" vertical="center"/>
    </xf>
    <xf numFmtId="0" fontId="16" fillId="2" borderId="1" xfId="3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wrapText="1"/>
    </xf>
    <xf numFmtId="0" fontId="16" fillId="2" borderId="1" xfId="0" applyFont="1" applyFill="1" applyBorder="1" applyAlignment="1">
      <alignment horizontal="left" vertical="justify" wrapText="1"/>
    </xf>
    <xf numFmtId="0" fontId="12" fillId="2" borderId="1" xfId="0" applyFont="1" applyFill="1" applyBorder="1" applyAlignment="1">
      <alignment wrapText="1"/>
    </xf>
    <xf numFmtId="169" fontId="12" fillId="2" borderId="1" xfId="179" applyFont="1" applyFill="1" applyBorder="1" applyAlignment="1">
      <alignment horizontal="right" vertical="top" wrapText="1"/>
    </xf>
    <xf numFmtId="0" fontId="12" fillId="2" borderId="1" xfId="14" applyFill="1" applyBorder="1" applyAlignment="1">
      <alignment vertical="top"/>
    </xf>
    <xf numFmtId="0" fontId="12" fillId="2" borderId="1" xfId="14" applyFill="1" applyBorder="1" applyAlignment="1">
      <alignment horizontal="left" vertical="top"/>
    </xf>
    <xf numFmtId="0" fontId="12" fillId="2" borderId="1" xfId="14" applyFill="1" applyBorder="1" applyAlignment="1">
      <alignment horizontal="left" vertical="top" wrapText="1"/>
    </xf>
    <xf numFmtId="169" fontId="11" fillId="50" borderId="1" xfId="179" applyFont="1" applyFill="1" applyBorder="1" applyAlignment="1">
      <alignment horizontal="right" vertical="top" wrapText="1"/>
    </xf>
    <xf numFmtId="0" fontId="11" fillId="50" borderId="1" xfId="14" applyFont="1" applyFill="1" applyBorder="1" applyAlignment="1">
      <alignment vertical="top"/>
    </xf>
    <xf numFmtId="0" fontId="11" fillId="50" borderId="1" xfId="0" applyFont="1" applyFill="1" applyBorder="1" applyAlignment="1">
      <alignment horizontal="right" vertical="top"/>
    </xf>
    <xf numFmtId="0" fontId="11" fillId="50" borderId="1" xfId="0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right" vertical="top"/>
    </xf>
    <xf numFmtId="0" fontId="12" fillId="2" borderId="1" xfId="0" applyFont="1" applyFill="1" applyBorder="1" applyAlignment="1">
      <alignment horizontal="left" vertical="top" wrapText="1"/>
    </xf>
    <xf numFmtId="0" fontId="0" fillId="50" borderId="1" xfId="0" applyFill="1" applyBorder="1" applyAlignment="1">
      <alignment horizontal="center"/>
    </xf>
    <xf numFmtId="0" fontId="11" fillId="5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21" fillId="0" borderId="0" xfId="1111" applyFont="1" applyAlignment="1">
      <alignment vertical="top" wrapText="1"/>
    </xf>
    <xf numFmtId="0" fontId="23" fillId="0" borderId="0" xfId="1111" applyFont="1" applyAlignment="1">
      <alignment horizontal="center" vertical="top" wrapText="1"/>
    </xf>
    <xf numFmtId="49" fontId="12" fillId="0" borderId="0" xfId="0" applyNumberFormat="1" applyFont="1" applyAlignment="1">
      <alignment vertical="top"/>
    </xf>
    <xf numFmtId="4" fontId="12" fillId="0" borderId="0" xfId="0" applyNumberFormat="1" applyFont="1" applyAlignment="1">
      <alignment vertical="top"/>
    </xf>
    <xf numFmtId="49" fontId="11" fillId="54" borderId="28" xfId="0" applyNumberFormat="1" applyFont="1" applyFill="1" applyBorder="1" applyAlignment="1" applyProtection="1">
      <alignment horizontal="center" vertical="center"/>
      <protection locked="0"/>
    </xf>
    <xf numFmtId="0" fontId="11" fillId="54" borderId="28" xfId="0" applyFont="1" applyFill="1" applyBorder="1" applyAlignment="1" applyProtection="1">
      <alignment horizontal="center" vertical="center"/>
      <protection locked="0"/>
    </xf>
    <xf numFmtId="4" fontId="11" fillId="54" borderId="28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>
      <alignment vertical="center"/>
    </xf>
    <xf numFmtId="4" fontId="12" fillId="2" borderId="29" xfId="0" applyNumberFormat="1" applyFont="1" applyFill="1" applyBorder="1" applyAlignment="1">
      <alignment horizontal="right" vertical="top" wrapText="1"/>
    </xf>
    <xf numFmtId="0" fontId="12" fillId="2" borderId="29" xfId="0" applyFont="1" applyFill="1" applyBorder="1" applyAlignment="1">
      <alignment horizontal="center" vertical="top"/>
    </xf>
    <xf numFmtId="4" fontId="12" fillId="2" borderId="29" xfId="0" applyNumberFormat="1" applyFont="1" applyFill="1" applyBorder="1" applyAlignment="1">
      <alignment vertical="top"/>
    </xf>
    <xf numFmtId="172" fontId="12" fillId="2" borderId="29" xfId="0" applyNumberFormat="1" applyFont="1" applyFill="1" applyBorder="1" applyAlignment="1">
      <alignment horizontal="right" vertical="top"/>
    </xf>
    <xf numFmtId="4" fontId="12" fillId="2" borderId="29" xfId="0" applyNumberFormat="1" applyFont="1" applyFill="1" applyBorder="1" applyAlignment="1">
      <alignment horizontal="right" vertical="top"/>
    </xf>
    <xf numFmtId="49" fontId="12" fillId="2" borderId="29" xfId="0" applyNumberFormat="1" applyFont="1" applyFill="1" applyBorder="1" applyAlignment="1">
      <alignment horizontal="right" vertical="top"/>
    </xf>
    <xf numFmtId="0" fontId="12" fillId="2" borderId="29" xfId="0" applyFont="1" applyFill="1" applyBorder="1" applyAlignment="1">
      <alignment vertical="top" wrapText="1"/>
    </xf>
    <xf numFmtId="4" fontId="12" fillId="2" borderId="29" xfId="0" applyNumberFormat="1" applyFont="1" applyFill="1" applyBorder="1" applyAlignment="1" applyProtection="1">
      <alignment vertical="top"/>
      <protection locked="0"/>
    </xf>
    <xf numFmtId="0" fontId="12" fillId="2" borderId="29" xfId="0" applyFont="1" applyFill="1" applyBorder="1" applyAlignment="1">
      <alignment horizontal="justify" vertical="top" wrapText="1"/>
    </xf>
    <xf numFmtId="4" fontId="12" fillId="2" borderId="29" xfId="0" applyNumberFormat="1" applyFont="1" applyFill="1" applyBorder="1" applyAlignment="1">
      <alignment vertical="top" wrapText="1"/>
    </xf>
    <xf numFmtId="172" fontId="12" fillId="2" borderId="29" xfId="0" applyNumberFormat="1" applyFont="1" applyFill="1" applyBorder="1" applyAlignment="1">
      <alignment horizontal="center" vertical="top" wrapText="1"/>
    </xf>
    <xf numFmtId="0" fontId="12" fillId="2" borderId="29" xfId="0" applyFont="1" applyFill="1" applyBorder="1" applyAlignment="1">
      <alignment vertical="top"/>
    </xf>
    <xf numFmtId="0" fontId="12" fillId="2" borderId="29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vertical="top"/>
    </xf>
    <xf numFmtId="4" fontId="12" fillId="2" borderId="29" xfId="0" applyNumberFormat="1" applyFont="1" applyFill="1" applyBorder="1" applyAlignment="1" applyProtection="1">
      <alignment horizontal="right" vertical="top" wrapText="1"/>
      <protection locked="0"/>
    </xf>
    <xf numFmtId="49" fontId="12" fillId="55" borderId="31" xfId="0" applyNumberFormat="1" applyFont="1" applyFill="1" applyBorder="1" applyAlignment="1">
      <alignment horizontal="right" vertical="top"/>
    </xf>
    <xf numFmtId="0" fontId="11" fillId="55" borderId="31" xfId="0" applyFont="1" applyFill="1" applyBorder="1" applyAlignment="1">
      <alignment horizontal="center" vertical="top" wrapText="1"/>
    </xf>
    <xf numFmtId="4" fontId="12" fillId="55" borderId="31" xfId="0" applyNumberFormat="1" applyFont="1" applyFill="1" applyBorder="1" applyAlignment="1">
      <alignment horizontal="right" vertical="top" wrapText="1"/>
    </xf>
    <xf numFmtId="0" fontId="12" fillId="55" borderId="31" xfId="0" applyFont="1" applyFill="1" applyBorder="1" applyAlignment="1">
      <alignment horizontal="center" vertical="top"/>
    </xf>
    <xf numFmtId="4" fontId="12" fillId="55" borderId="31" xfId="0" applyNumberFormat="1" applyFont="1" applyFill="1" applyBorder="1" applyAlignment="1" applyProtection="1">
      <alignment vertical="top"/>
      <protection locked="0"/>
    </xf>
    <xf numFmtId="4" fontId="12" fillId="2" borderId="29" xfId="0" applyNumberFormat="1" applyFont="1" applyFill="1" applyBorder="1" applyAlignment="1" applyProtection="1">
      <alignment horizontal="right" vertical="top"/>
      <protection locked="0"/>
    </xf>
    <xf numFmtId="217" fontId="12" fillId="2" borderId="29" xfId="228" applyNumberFormat="1" applyFill="1" applyBorder="1" applyAlignment="1">
      <alignment horizontal="right" vertical="top"/>
    </xf>
    <xf numFmtId="172" fontId="12" fillId="2" borderId="29" xfId="228" applyNumberFormat="1" applyFill="1" applyBorder="1" applyAlignment="1">
      <alignment vertical="top"/>
    </xf>
    <xf numFmtId="172" fontId="12" fillId="2" borderId="29" xfId="228" applyNumberFormat="1" applyFill="1" applyBorder="1" applyAlignment="1">
      <alignment horizontal="center" vertical="top"/>
    </xf>
    <xf numFmtId="172" fontId="12" fillId="2" borderId="29" xfId="228" applyNumberFormat="1" applyFill="1" applyBorder="1" applyAlignment="1" applyProtection="1">
      <alignment vertical="top"/>
      <protection locked="0"/>
    </xf>
    <xf numFmtId="0" fontId="11" fillId="2" borderId="29" xfId="0" applyFont="1" applyFill="1" applyBorder="1" applyAlignment="1">
      <alignment horizontal="justify" vertical="top" wrapText="1"/>
    </xf>
    <xf numFmtId="37" fontId="11" fillId="2" borderId="29" xfId="0" applyNumberFormat="1" applyFont="1" applyFill="1" applyBorder="1" applyAlignment="1">
      <alignment horizontal="right" vertical="top" wrapText="1"/>
    </xf>
    <xf numFmtId="37" fontId="11" fillId="2" borderId="29" xfId="0" applyNumberFormat="1" applyFont="1" applyFill="1" applyBorder="1" applyAlignment="1">
      <alignment horizontal="right" vertical="top"/>
    </xf>
    <xf numFmtId="0" fontId="11" fillId="2" borderId="29" xfId="0" applyFont="1" applyFill="1" applyBorder="1" applyAlignment="1">
      <alignment horizontal="center" vertical="top" wrapText="1"/>
    </xf>
    <xf numFmtId="0" fontId="12" fillId="55" borderId="0" xfId="0" applyFont="1" applyFill="1" applyAlignment="1">
      <alignment vertical="top"/>
    </xf>
    <xf numFmtId="172" fontId="11" fillId="2" borderId="29" xfId="0" applyNumberFormat="1" applyFont="1" applyFill="1" applyBorder="1" applyAlignment="1">
      <alignment horizontal="right" vertical="top"/>
    </xf>
    <xf numFmtId="1" fontId="11" fillId="2" borderId="29" xfId="0" applyNumberFormat="1" applyFont="1" applyFill="1" applyBorder="1" applyAlignment="1">
      <alignment horizontal="center" vertical="top"/>
    </xf>
    <xf numFmtId="0" fontId="11" fillId="0" borderId="29" xfId="0" applyFont="1" applyBorder="1" applyAlignment="1">
      <alignment horizontal="center" vertical="top" wrapText="1"/>
    </xf>
    <xf numFmtId="0" fontId="11" fillId="2" borderId="29" xfId="0" applyFont="1" applyFill="1" applyBorder="1" applyAlignment="1">
      <alignment horizontal="left" vertical="top" wrapText="1"/>
    </xf>
    <xf numFmtId="4" fontId="12" fillId="0" borderId="29" xfId="0" applyNumberFormat="1" applyFont="1" applyBorder="1" applyAlignment="1">
      <alignment horizontal="right" vertical="top" wrapText="1"/>
    </xf>
    <xf numFmtId="4" fontId="12" fillId="0" borderId="29" xfId="0" applyNumberFormat="1" applyFont="1" applyBorder="1" applyAlignment="1">
      <alignment horizontal="center" vertical="top" wrapText="1"/>
    </xf>
    <xf numFmtId="4" fontId="12" fillId="0" borderId="29" xfId="0" applyNumberFormat="1" applyFont="1" applyBorder="1" applyAlignment="1" applyProtection="1">
      <alignment horizontal="right" vertical="top" wrapText="1"/>
      <protection locked="0"/>
    </xf>
    <xf numFmtId="0" fontId="12" fillId="2" borderId="29" xfId="0" applyFont="1" applyFill="1" applyBorder="1" applyAlignment="1">
      <alignment horizontal="right" vertical="top" wrapText="1"/>
    </xf>
    <xf numFmtId="0" fontId="12" fillId="2" borderId="29" xfId="0" applyFont="1" applyFill="1" applyBorder="1" applyAlignment="1">
      <alignment horizontal="left" vertical="top"/>
    </xf>
    <xf numFmtId="4" fontId="12" fillId="2" borderId="29" xfId="188" applyNumberFormat="1" applyFont="1" applyFill="1" applyBorder="1" applyAlignment="1" applyProtection="1">
      <alignment horizontal="right" vertical="top" wrapText="1"/>
    </xf>
    <xf numFmtId="4" fontId="12" fillId="2" borderId="29" xfId="0" applyNumberFormat="1" applyFont="1" applyFill="1" applyBorder="1" applyAlignment="1">
      <alignment horizontal="center" vertical="top"/>
    </xf>
    <xf numFmtId="37" fontId="11" fillId="0" borderId="29" xfId="0" applyNumberFormat="1" applyFont="1" applyBorder="1" applyAlignment="1">
      <alignment vertical="top"/>
    </xf>
    <xf numFmtId="0" fontId="11" fillId="0" borderId="29" xfId="0" applyFont="1" applyBorder="1" applyAlignment="1">
      <alignment vertical="top" wrapText="1"/>
    </xf>
    <xf numFmtId="43" fontId="12" fillId="0" borderId="29" xfId="192" applyNumberFormat="1" applyFont="1" applyFill="1" applyBorder="1" applyAlignment="1" applyProtection="1">
      <alignment vertical="top"/>
      <protection locked="0"/>
    </xf>
    <xf numFmtId="4" fontId="12" fillId="0" borderId="29" xfId="0" applyNumberFormat="1" applyFont="1" applyBorder="1" applyAlignment="1" applyProtection="1">
      <alignment vertical="top"/>
      <protection locked="0"/>
    </xf>
    <xf numFmtId="216" fontId="12" fillId="0" borderId="29" xfId="0" applyNumberFormat="1" applyFont="1" applyBorder="1" applyAlignment="1">
      <alignment vertical="top"/>
    </xf>
    <xf numFmtId="0" fontId="12" fillId="0" borderId="29" xfId="0" applyFont="1" applyBorder="1" applyAlignment="1">
      <alignment vertical="top" wrapText="1"/>
    </xf>
    <xf numFmtId="0" fontId="12" fillId="0" borderId="29" xfId="0" applyFont="1" applyBorder="1" applyAlignment="1">
      <alignment vertical="top"/>
    </xf>
    <xf numFmtId="4" fontId="12" fillId="0" borderId="29" xfId="0" applyNumberFormat="1" applyFont="1" applyBorder="1" applyAlignment="1">
      <alignment vertical="top"/>
    </xf>
    <xf numFmtId="4" fontId="12" fillId="0" borderId="29" xfId="0" applyNumberFormat="1" applyFont="1" applyBorder="1" applyAlignment="1">
      <alignment horizontal="center" vertical="top"/>
    </xf>
    <xf numFmtId="4" fontId="12" fillId="0" borderId="29" xfId="192" applyNumberFormat="1" applyFont="1" applyFill="1" applyBorder="1" applyAlignment="1" applyProtection="1">
      <alignment vertical="top"/>
      <protection locked="0"/>
    </xf>
    <xf numFmtId="0" fontId="12" fillId="0" borderId="29" xfId="0" applyFont="1" applyBorder="1" applyAlignment="1" applyProtection="1">
      <alignment vertical="top"/>
      <protection locked="0"/>
    </xf>
    <xf numFmtId="37" fontId="11" fillId="0" borderId="29" xfId="0" applyNumberFormat="1" applyFont="1" applyBorder="1" applyAlignment="1">
      <alignment horizontal="right" vertical="top" wrapText="1"/>
    </xf>
    <xf numFmtId="216" fontId="12" fillId="0" borderId="29" xfId="0" applyNumberFormat="1" applyFont="1" applyBorder="1" applyAlignment="1">
      <alignment horizontal="right" vertical="top" wrapText="1"/>
    </xf>
    <xf numFmtId="0" fontId="12" fillId="0" borderId="29" xfId="0" applyFont="1" applyBorder="1" applyAlignment="1">
      <alignment horizontal="left" vertical="top" wrapText="1"/>
    </xf>
    <xf numFmtId="172" fontId="12" fillId="0" borderId="29" xfId="0" applyNumberFormat="1" applyFont="1" applyBorder="1" applyAlignment="1">
      <alignment horizontal="center" vertical="top"/>
    </xf>
    <xf numFmtId="218" fontId="12" fillId="0" borderId="29" xfId="1115" applyNumberFormat="1" applyFont="1" applyBorder="1" applyAlignment="1">
      <alignment horizontal="right" vertical="top"/>
    </xf>
    <xf numFmtId="4" fontId="16" fillId="0" borderId="29" xfId="0" applyNumberFormat="1" applyFont="1" applyBorder="1" applyAlignment="1" applyProtection="1">
      <alignment horizontal="right" vertical="top" wrapText="1"/>
      <protection locked="0"/>
    </xf>
    <xf numFmtId="4" fontId="16" fillId="0" borderId="29" xfId="192" applyNumberFormat="1" applyFont="1" applyFill="1" applyBorder="1" applyAlignment="1" applyProtection="1">
      <alignment vertical="top"/>
      <protection locked="0"/>
    </xf>
    <xf numFmtId="2" fontId="12" fillId="0" borderId="29" xfId="0" applyNumberFormat="1" applyFont="1" applyBorder="1" applyAlignment="1">
      <alignment horizontal="right" vertical="top" wrapText="1"/>
    </xf>
    <xf numFmtId="216" fontId="12" fillId="2" borderId="29" xfId="0" applyNumberFormat="1" applyFont="1" applyFill="1" applyBorder="1" applyAlignment="1">
      <alignment horizontal="right" vertical="top"/>
    </xf>
    <xf numFmtId="43" fontId="12" fillId="2" borderId="29" xfId="197" applyFont="1" applyFill="1" applyBorder="1" applyAlignment="1" applyProtection="1">
      <alignment horizontal="right" vertical="top" wrapText="1"/>
    </xf>
    <xf numFmtId="171" fontId="12" fillId="2" borderId="29" xfId="1112" applyFont="1" applyFill="1" applyBorder="1" applyAlignment="1" applyProtection="1">
      <alignment horizontal="center" vertical="top" wrapText="1"/>
    </xf>
    <xf numFmtId="0" fontId="12" fillId="2" borderId="29" xfId="0" applyFont="1" applyFill="1" applyBorder="1" applyAlignment="1">
      <alignment horizontal="right" vertical="top"/>
    </xf>
    <xf numFmtId="216" fontId="12" fillId="0" borderId="29" xfId="0" applyNumberFormat="1" applyFont="1" applyBorder="1" applyAlignment="1">
      <alignment horizontal="right" vertical="top"/>
    </xf>
    <xf numFmtId="43" fontId="12" fillId="0" borderId="29" xfId="197" applyFont="1" applyFill="1" applyBorder="1" applyAlignment="1" applyProtection="1">
      <alignment horizontal="right" vertical="top" wrapText="1"/>
    </xf>
    <xf numFmtId="171" fontId="12" fillId="0" borderId="29" xfId="1112" applyFont="1" applyFill="1" applyBorder="1" applyAlignment="1" applyProtection="1">
      <alignment horizontal="center" vertical="top" wrapText="1"/>
    </xf>
    <xf numFmtId="0" fontId="12" fillId="0" borderId="29" xfId="0" applyFont="1" applyBorder="1" applyAlignment="1">
      <alignment horizontal="right" vertical="top" wrapText="1"/>
    </xf>
    <xf numFmtId="4" fontId="12" fillId="0" borderId="29" xfId="0" applyNumberFormat="1" applyFont="1" applyBorder="1" applyAlignment="1" applyProtection="1">
      <alignment horizontal="right" vertical="top"/>
      <protection locked="0"/>
    </xf>
    <xf numFmtId="0" fontId="12" fillId="0" borderId="0" xfId="0" applyFont="1" applyAlignment="1">
      <alignment horizontal="right" vertical="top" wrapText="1"/>
    </xf>
    <xf numFmtId="4" fontId="12" fillId="0" borderId="29" xfId="192" applyNumberFormat="1" applyFont="1" applyFill="1" applyBorder="1" applyAlignment="1" applyProtection="1">
      <alignment horizontal="right" vertical="top"/>
      <protection locked="0"/>
    </xf>
    <xf numFmtId="174" fontId="12" fillId="3" borderId="29" xfId="194" applyNumberFormat="1" applyFont="1" applyFill="1" applyBorder="1" applyAlignment="1" applyProtection="1">
      <alignment horizontal="right" vertical="top"/>
    </xf>
    <xf numFmtId="0" fontId="11" fillId="3" borderId="29" xfId="0" applyFont="1" applyFill="1" applyBorder="1" applyAlignment="1">
      <alignment horizontal="center" vertical="top" wrapText="1"/>
    </xf>
    <xf numFmtId="4" fontId="12" fillId="3" borderId="29" xfId="4" applyNumberFormat="1" applyFont="1" applyFill="1" applyBorder="1" applyAlignment="1" applyProtection="1">
      <alignment horizontal="right" vertical="top" wrapText="1"/>
    </xf>
    <xf numFmtId="0" fontId="12" fillId="3" borderId="29" xfId="4" applyNumberFormat="1" applyFont="1" applyFill="1" applyBorder="1" applyAlignment="1" applyProtection="1">
      <alignment horizontal="center" vertical="top"/>
    </xf>
    <xf numFmtId="4" fontId="12" fillId="3" borderId="29" xfId="4" applyNumberFormat="1" applyFont="1" applyFill="1" applyBorder="1" applyAlignment="1" applyProtection="1">
      <alignment horizontal="right" vertical="top" wrapText="1"/>
      <protection locked="0"/>
    </xf>
    <xf numFmtId="4" fontId="11" fillId="3" borderId="29" xfId="4" applyNumberFormat="1" applyFont="1" applyFill="1" applyBorder="1" applyAlignment="1" applyProtection="1">
      <alignment horizontal="right" vertical="top" wrapText="1"/>
      <protection locked="0"/>
    </xf>
    <xf numFmtId="1" fontId="11" fillId="0" borderId="29" xfId="224" applyNumberFormat="1" applyFont="1" applyBorder="1" applyAlignment="1">
      <alignment horizontal="center" vertical="top"/>
    </xf>
    <xf numFmtId="0" fontId="13" fillId="0" borderId="29" xfId="224" applyFont="1" applyBorder="1" applyAlignment="1">
      <alignment horizontal="left" vertical="top"/>
    </xf>
    <xf numFmtId="49" fontId="11" fillId="0" borderId="29" xfId="224" applyNumberFormat="1" applyFont="1" applyBorder="1" applyAlignment="1">
      <alignment horizontal="left" vertical="top"/>
    </xf>
    <xf numFmtId="0" fontId="13" fillId="0" borderId="29" xfId="224" applyFont="1" applyBorder="1" applyAlignment="1">
      <alignment vertical="top"/>
    </xf>
    <xf numFmtId="4" fontId="19" fillId="0" borderId="29" xfId="8" applyNumberFormat="1" applyFont="1" applyFill="1" applyBorder="1" applyAlignment="1" applyProtection="1">
      <alignment vertical="top"/>
    </xf>
    <xf numFmtId="4" fontId="19" fillId="0" borderId="29" xfId="224" applyNumberFormat="1" applyFont="1" applyBorder="1" applyAlignment="1">
      <alignment horizontal="center" vertical="top"/>
    </xf>
    <xf numFmtId="216" fontId="12" fillId="2" borderId="29" xfId="0" applyNumberFormat="1" applyFont="1" applyFill="1" applyBorder="1" applyAlignment="1">
      <alignment horizontal="right" vertical="top" wrapText="1"/>
    </xf>
    <xf numFmtId="0" fontId="19" fillId="0" borderId="29" xfId="224" applyFont="1" applyBorder="1" applyAlignment="1">
      <alignment vertical="top"/>
    </xf>
    <xf numFmtId="43" fontId="19" fillId="0" borderId="29" xfId="8" applyFont="1" applyFill="1" applyBorder="1" applyAlignment="1" applyProtection="1">
      <alignment vertical="top"/>
    </xf>
    <xf numFmtId="43" fontId="12" fillId="0" borderId="29" xfId="8" applyFont="1" applyFill="1" applyBorder="1" applyAlignment="1" applyProtection="1">
      <alignment horizontal="center" vertical="top"/>
    </xf>
    <xf numFmtId="174" fontId="19" fillId="0" borderId="29" xfId="197" applyNumberFormat="1" applyFont="1" applyFill="1" applyBorder="1" applyAlignment="1" applyProtection="1">
      <alignment vertical="top"/>
    </xf>
    <xf numFmtId="43" fontId="19" fillId="0" borderId="29" xfId="8" applyFont="1" applyFill="1" applyBorder="1" applyAlignment="1" applyProtection="1">
      <alignment horizontal="center" vertical="top"/>
    </xf>
    <xf numFmtId="0" fontId="19" fillId="0" borderId="29" xfId="224" applyFont="1" applyBorder="1" applyAlignment="1">
      <alignment vertical="top" wrapText="1"/>
    </xf>
    <xf numFmtId="0" fontId="11" fillId="0" borderId="29" xfId="224" applyFont="1" applyBorder="1" applyAlignment="1">
      <alignment vertical="top"/>
    </xf>
    <xf numFmtId="0" fontId="12" fillId="0" borderId="29" xfId="224" applyBorder="1" applyAlignment="1">
      <alignment vertical="top"/>
    </xf>
    <xf numFmtId="0" fontId="18" fillId="0" borderId="29" xfId="224" applyFont="1" applyBorder="1" applyAlignment="1">
      <alignment vertical="top"/>
    </xf>
    <xf numFmtId="174" fontId="19" fillId="55" borderId="29" xfId="197" applyNumberFormat="1" applyFont="1" applyFill="1" applyBorder="1" applyAlignment="1" applyProtection="1">
      <alignment vertical="top"/>
    </xf>
    <xf numFmtId="49" fontId="77" fillId="55" borderId="29" xfId="224" applyNumberFormat="1" applyFont="1" applyFill="1" applyBorder="1" applyAlignment="1">
      <alignment horizontal="center" vertical="top" wrapText="1"/>
    </xf>
    <xf numFmtId="43" fontId="19" fillId="55" borderId="29" xfId="8" applyFont="1" applyFill="1" applyBorder="1" applyAlignment="1" applyProtection="1">
      <alignment horizontal="right" vertical="top"/>
    </xf>
    <xf numFmtId="43" fontId="13" fillId="55" borderId="29" xfId="8" applyFont="1" applyFill="1" applyBorder="1" applyAlignment="1" applyProtection="1">
      <alignment horizontal="center" vertical="top"/>
    </xf>
    <xf numFmtId="4" fontId="12" fillId="55" borderId="29" xfId="0" applyNumberFormat="1" applyFont="1" applyFill="1" applyBorder="1" applyAlignment="1" applyProtection="1">
      <alignment horizontal="right" vertical="top" wrapText="1"/>
      <protection locked="0"/>
    </xf>
    <xf numFmtId="4" fontId="11" fillId="55" borderId="29" xfId="0" applyNumberFormat="1" applyFont="1" applyFill="1" applyBorder="1" applyAlignment="1" applyProtection="1">
      <alignment horizontal="right" vertical="top" wrapText="1"/>
      <protection locked="0"/>
    </xf>
    <xf numFmtId="174" fontId="12" fillId="0" borderId="29" xfId="197" applyNumberFormat="1" applyFont="1" applyFill="1" applyBorder="1" applyAlignment="1" applyProtection="1">
      <alignment vertical="top"/>
    </xf>
    <xf numFmtId="4" fontId="12" fillId="0" borderId="29" xfId="224" applyNumberFormat="1" applyBorder="1" applyAlignment="1">
      <alignment vertical="top"/>
    </xf>
    <xf numFmtId="4" fontId="12" fillId="0" borderId="29" xfId="224" applyNumberFormat="1" applyBorder="1" applyAlignment="1">
      <alignment horizontal="center" vertical="top"/>
    </xf>
    <xf numFmtId="49" fontId="11" fillId="0" borderId="29" xfId="224" applyNumberFormat="1" applyFont="1" applyBorder="1" applyAlignment="1">
      <alignment vertical="top"/>
    </xf>
    <xf numFmtId="174" fontId="11" fillId="0" borderId="29" xfId="197" applyNumberFormat="1" applyFont="1" applyFill="1" applyBorder="1" applyAlignment="1" applyProtection="1">
      <alignment vertical="top"/>
    </xf>
    <xf numFmtId="43" fontId="11" fillId="0" borderId="29" xfId="8" applyFont="1" applyFill="1" applyBorder="1" applyAlignment="1" applyProtection="1">
      <alignment vertical="top"/>
    </xf>
    <xf numFmtId="43" fontId="12" fillId="0" borderId="29" xfId="8" applyFont="1" applyFill="1" applyBorder="1" applyAlignment="1" applyProtection="1">
      <alignment vertical="top"/>
    </xf>
    <xf numFmtId="4" fontId="11" fillId="0" borderId="29" xfId="224" applyNumberFormat="1" applyFont="1" applyBorder="1" applyAlignment="1">
      <alignment vertical="top"/>
    </xf>
    <xf numFmtId="4" fontId="11" fillId="0" borderId="29" xfId="224" applyNumberFormat="1" applyFont="1" applyBorder="1" applyAlignment="1">
      <alignment horizontal="right" vertical="top"/>
    </xf>
    <xf numFmtId="0" fontId="12" fillId="0" borderId="29" xfId="224" applyBorder="1" applyAlignment="1">
      <alignment vertical="top" wrapText="1"/>
    </xf>
    <xf numFmtId="43" fontId="19" fillId="0" borderId="29" xfId="8" applyFont="1" applyFill="1" applyBorder="1" applyAlignment="1" applyProtection="1">
      <alignment horizontal="right" vertical="top"/>
    </xf>
    <xf numFmtId="0" fontId="12" fillId="0" borderId="0" xfId="15" applyFont="1" applyAlignment="1">
      <alignment horizontal="center" vertical="top"/>
    </xf>
    <xf numFmtId="174" fontId="12" fillId="2" borderId="29" xfId="194" applyNumberFormat="1" applyFont="1" applyFill="1" applyBorder="1" applyAlignment="1" applyProtection="1">
      <alignment horizontal="right" vertical="top"/>
    </xf>
    <xf numFmtId="4" fontId="12" fillId="2" borderId="29" xfId="4" applyNumberFormat="1" applyFont="1" applyFill="1" applyBorder="1" applyAlignment="1" applyProtection="1">
      <alignment horizontal="right" vertical="top" wrapText="1"/>
    </xf>
    <xf numFmtId="0" fontId="12" fillId="2" borderId="29" xfId="4" applyNumberFormat="1" applyFont="1" applyFill="1" applyBorder="1" applyAlignment="1" applyProtection="1">
      <alignment horizontal="center" vertical="top"/>
    </xf>
    <xf numFmtId="4" fontId="12" fillId="2" borderId="29" xfId="4" applyNumberFormat="1" applyFont="1" applyFill="1" applyBorder="1" applyAlignment="1" applyProtection="1">
      <alignment horizontal="right" vertical="top" wrapText="1"/>
      <protection locked="0"/>
    </xf>
    <xf numFmtId="4" fontId="11" fillId="2" borderId="29" xfId="4" applyNumberFormat="1" applyFont="1" applyFill="1" applyBorder="1" applyAlignment="1" applyProtection="1">
      <alignment horizontal="right" vertical="top" wrapText="1"/>
      <protection locked="0"/>
    </xf>
    <xf numFmtId="0" fontId="11" fillId="0" borderId="29" xfId="224" applyFont="1" applyBorder="1" applyAlignment="1">
      <alignment horizontal="right" vertical="top"/>
    </xf>
    <xf numFmtId="0" fontId="11" fillId="0" borderId="29" xfId="809" applyFont="1" applyBorder="1" applyAlignment="1">
      <alignment horizontal="left" vertical="top" wrapText="1"/>
    </xf>
    <xf numFmtId="0" fontId="12" fillId="0" borderId="29" xfId="224" applyBorder="1" applyAlignment="1">
      <alignment horizontal="right" vertical="top"/>
    </xf>
    <xf numFmtId="0" fontId="12" fillId="0" borderId="29" xfId="809" applyBorder="1" applyAlignment="1">
      <alignment horizontal="left" vertical="top" wrapText="1"/>
    </xf>
    <xf numFmtId="43" fontId="12" fillId="0" borderId="29" xfId="197" applyFont="1" applyFill="1" applyBorder="1" applyAlignment="1" applyProtection="1">
      <alignment horizontal="center" vertical="top"/>
    </xf>
    <xf numFmtId="2" fontId="12" fillId="0" borderId="29" xfId="224" applyNumberFormat="1" applyBorder="1" applyAlignment="1">
      <alignment horizontal="right" vertical="top"/>
    </xf>
    <xf numFmtId="4" fontId="12" fillId="0" borderId="29" xfId="809" quotePrefix="1" applyNumberFormat="1" applyBorder="1" applyAlignment="1">
      <alignment horizontal="left" vertical="top"/>
    </xf>
    <xf numFmtId="4" fontId="12" fillId="0" borderId="29" xfId="809" applyNumberFormat="1" applyBorder="1" applyAlignment="1">
      <alignment horizontal="left" vertical="top"/>
    </xf>
    <xf numFmtId="2" fontId="12" fillId="0" borderId="29" xfId="809" applyNumberFormat="1" applyBorder="1" applyAlignment="1">
      <alignment horizontal="right" vertical="top" wrapText="1"/>
    </xf>
    <xf numFmtId="4" fontId="12" fillId="0" borderId="29" xfId="188" applyNumberFormat="1" applyFont="1" applyFill="1" applyBorder="1" applyAlignment="1" applyProtection="1">
      <alignment horizontal="right" vertical="top" wrapText="1"/>
    </xf>
    <xf numFmtId="0" fontId="11" fillId="2" borderId="29" xfId="0" applyFont="1" applyFill="1" applyBorder="1" applyAlignment="1">
      <alignment horizontal="left" vertical="top"/>
    </xf>
    <xf numFmtId="215" fontId="18" fillId="0" borderId="29" xfId="0" applyNumberFormat="1" applyFont="1" applyBorder="1" applyAlignment="1">
      <alignment horizontal="right" vertical="top" wrapText="1"/>
    </xf>
    <xf numFmtId="0" fontId="18" fillId="0" borderId="29" xfId="0" applyFont="1" applyBorder="1" applyAlignment="1">
      <alignment horizontal="left" vertical="top"/>
    </xf>
    <xf numFmtId="4" fontId="19" fillId="0" borderId="29" xfId="0" applyNumberFormat="1" applyFont="1" applyBorder="1" applyAlignment="1">
      <alignment vertical="top" wrapText="1"/>
    </xf>
    <xf numFmtId="0" fontId="19" fillId="0" borderId="29" xfId="0" applyFont="1" applyBorder="1" applyAlignment="1">
      <alignment horizontal="center" vertical="top"/>
    </xf>
    <xf numFmtId="171" fontId="19" fillId="0" borderId="29" xfId="1112" applyFont="1" applyFill="1" applyBorder="1" applyAlignment="1" applyProtection="1">
      <alignment horizontal="right" vertical="top" wrapText="1"/>
      <protection locked="0"/>
    </xf>
    <xf numFmtId="213" fontId="19" fillId="0" borderId="29" xfId="0" applyNumberFormat="1" applyFont="1" applyBorder="1" applyAlignment="1">
      <alignment horizontal="right" vertical="top" wrapText="1"/>
    </xf>
    <xf numFmtId="0" fontId="19" fillId="0" borderId="29" xfId="0" applyFont="1" applyBorder="1" applyAlignment="1">
      <alignment horizontal="left" vertical="top"/>
    </xf>
    <xf numFmtId="213" fontId="18" fillId="0" borderId="29" xfId="0" applyNumberFormat="1" applyFont="1" applyBorder="1" applyAlignment="1">
      <alignment horizontal="right" vertical="top" wrapText="1"/>
    </xf>
    <xf numFmtId="171" fontId="19" fillId="0" borderId="29" xfId="1112" applyFont="1" applyFill="1" applyBorder="1" applyAlignment="1" applyProtection="1">
      <alignment vertical="top" wrapText="1"/>
      <protection locked="0"/>
    </xf>
    <xf numFmtId="216" fontId="11" fillId="0" borderId="29" xfId="0" applyNumberFormat="1" applyFont="1" applyBorder="1" applyAlignment="1">
      <alignment horizontal="right" vertical="top" wrapText="1"/>
    </xf>
    <xf numFmtId="0" fontId="12" fillId="0" borderId="29" xfId="0" applyFont="1" applyBorder="1" applyAlignment="1">
      <alignment horizontal="left" vertical="top"/>
    </xf>
    <xf numFmtId="4" fontId="12" fillId="0" borderId="29" xfId="0" applyNumberFormat="1" applyFont="1" applyBorder="1" applyAlignment="1">
      <alignment vertical="top" wrapText="1"/>
    </xf>
    <xf numFmtId="0" fontId="12" fillId="0" borderId="29" xfId="0" applyFont="1" applyBorder="1" applyAlignment="1">
      <alignment horizontal="center" vertical="top"/>
    </xf>
    <xf numFmtId="171" fontId="12" fillId="0" borderId="29" xfId="1112" applyFont="1" applyFill="1" applyBorder="1" applyAlignment="1" applyProtection="1">
      <alignment vertical="top" wrapText="1"/>
      <protection locked="0"/>
    </xf>
    <xf numFmtId="215" fontId="11" fillId="0" borderId="29" xfId="0" applyNumberFormat="1" applyFont="1" applyBorder="1" applyAlignment="1">
      <alignment horizontal="right" vertical="top" wrapText="1"/>
    </xf>
    <xf numFmtId="0" fontId="11" fillId="0" borderId="29" xfId="0" applyFont="1" applyBorder="1" applyAlignment="1">
      <alignment horizontal="left" vertical="top"/>
    </xf>
    <xf numFmtId="0" fontId="12" fillId="56" borderId="29" xfId="0" applyFont="1" applyFill="1" applyBorder="1" applyAlignment="1">
      <alignment vertical="top"/>
    </xf>
    <xf numFmtId="177" fontId="12" fillId="2" borderId="29" xfId="0" applyNumberFormat="1" applyFont="1" applyFill="1" applyBorder="1" applyAlignment="1">
      <alignment horizontal="center" vertical="top"/>
    </xf>
    <xf numFmtId="171" fontId="12" fillId="2" borderId="29" xfId="1112" applyFont="1" applyFill="1" applyBorder="1" applyAlignment="1" applyProtection="1">
      <alignment horizontal="right" vertical="top" wrapText="1"/>
      <protection locked="0"/>
    </xf>
    <xf numFmtId="0" fontId="12" fillId="56" borderId="29" xfId="0" applyFont="1" applyFill="1" applyBorder="1" applyAlignment="1">
      <alignment vertical="top" wrapText="1"/>
    </xf>
    <xf numFmtId="171" fontId="12" fillId="2" borderId="29" xfId="1112" applyFont="1" applyFill="1" applyBorder="1" applyAlignment="1" applyProtection="1">
      <alignment vertical="top" wrapText="1"/>
      <protection locked="0"/>
    </xf>
    <xf numFmtId="177" fontId="14" fillId="2" borderId="29" xfId="0" applyNumberFormat="1" applyFont="1" applyFill="1" applyBorder="1" applyAlignment="1">
      <alignment horizontal="center" vertical="top"/>
    </xf>
    <xf numFmtId="171" fontId="12" fillId="2" borderId="32" xfId="1112" applyFont="1" applyFill="1" applyBorder="1" applyAlignment="1" applyProtection="1">
      <alignment horizontal="right" vertical="top" wrapText="1"/>
      <protection locked="0"/>
    </xf>
    <xf numFmtId="171" fontId="12" fillId="0" borderId="29" xfId="1112" applyFont="1" applyFill="1" applyBorder="1" applyAlignment="1" applyProtection="1">
      <alignment horizontal="right" vertical="top" wrapText="1"/>
      <protection locked="0"/>
    </xf>
    <xf numFmtId="0" fontId="11" fillId="56" borderId="29" xfId="0" applyFont="1" applyFill="1" applyBorder="1" applyAlignment="1">
      <alignment vertical="top" wrapText="1"/>
    </xf>
    <xf numFmtId="0" fontId="76" fillId="56" borderId="29" xfId="0" applyFont="1" applyFill="1" applyBorder="1" applyAlignment="1">
      <alignment vertical="top"/>
    </xf>
    <xf numFmtId="4" fontId="14" fillId="57" borderId="29" xfId="0" applyNumberFormat="1" applyFont="1" applyFill="1" applyBorder="1" applyAlignment="1">
      <alignment horizontal="right" vertical="top"/>
    </xf>
    <xf numFmtId="4" fontId="14" fillId="2" borderId="29" xfId="0" applyNumberFormat="1" applyFont="1" applyFill="1" applyBorder="1" applyAlignment="1">
      <alignment horizontal="center" vertical="top"/>
    </xf>
    <xf numFmtId="0" fontId="11" fillId="57" borderId="29" xfId="0" quotePrefix="1" applyFont="1" applyFill="1" applyBorder="1" applyAlignment="1">
      <alignment horizontal="left" vertical="top"/>
    </xf>
    <xf numFmtId="171" fontId="80" fillId="2" borderId="29" xfId="1112" applyFont="1" applyFill="1" applyBorder="1" applyAlignment="1" applyProtection="1">
      <alignment horizontal="right" vertical="top" wrapText="1"/>
      <protection locked="0"/>
    </xf>
    <xf numFmtId="0" fontId="11" fillId="0" borderId="29" xfId="0" quotePrefix="1" applyFont="1" applyBorder="1" applyAlignment="1">
      <alignment horizontal="left" vertical="top"/>
    </xf>
    <xf numFmtId="216" fontId="14" fillId="2" borderId="29" xfId="0" applyNumberFormat="1" applyFont="1" applyFill="1" applyBorder="1" applyAlignment="1">
      <alignment horizontal="right" vertical="top" wrapText="1"/>
    </xf>
    <xf numFmtId="4" fontId="14" fillId="2" borderId="29" xfId="0" applyNumberFormat="1" applyFont="1" applyFill="1" applyBorder="1" applyAlignment="1">
      <alignment horizontal="right" vertical="top"/>
    </xf>
    <xf numFmtId="0" fontId="14" fillId="2" borderId="29" xfId="0" applyFont="1" applyFill="1" applyBorder="1" applyAlignment="1">
      <alignment horizontal="right" vertical="top" wrapText="1"/>
    </xf>
    <xf numFmtId="0" fontId="14" fillId="2" borderId="29" xfId="0" applyFont="1" applyFill="1" applyBorder="1" applyAlignment="1">
      <alignment horizontal="left" vertical="top"/>
    </xf>
    <xf numFmtId="171" fontId="12" fillId="2" borderId="29" xfId="1112" applyFont="1" applyFill="1" applyBorder="1" applyAlignment="1" applyProtection="1">
      <alignment vertical="top"/>
      <protection locked="0"/>
    </xf>
    <xf numFmtId="2" fontId="12" fillId="0" borderId="29" xfId="0" applyNumberFormat="1" applyFont="1" applyBorder="1" applyAlignment="1">
      <alignment vertical="top" wrapText="1"/>
    </xf>
    <xf numFmtId="37" fontId="11" fillId="2" borderId="29" xfId="0" quotePrefix="1" applyNumberFormat="1" applyFont="1" applyFill="1" applyBorder="1" applyAlignment="1">
      <alignment horizontal="right" vertical="top"/>
    </xf>
    <xf numFmtId="0" fontId="11" fillId="2" borderId="29" xfId="809" applyFont="1" applyFill="1" applyBorder="1" applyAlignment="1">
      <alignment vertical="top" wrapText="1"/>
    </xf>
    <xf numFmtId="171" fontId="12" fillId="2" borderId="29" xfId="1112" applyFont="1" applyFill="1" applyBorder="1" applyAlignment="1" applyProtection="1">
      <alignment horizontal="right" vertical="top" wrapText="1"/>
    </xf>
    <xf numFmtId="4" fontId="12" fillId="2" borderId="29" xfId="1116" applyNumberFormat="1" applyFont="1" applyFill="1" applyBorder="1" applyAlignment="1" applyProtection="1">
      <alignment horizontal="right" vertical="top"/>
      <protection locked="0"/>
    </xf>
    <xf numFmtId="0" fontId="16" fillId="2" borderId="29" xfId="226" applyFont="1" applyFill="1" applyBorder="1" applyAlignment="1">
      <alignment horizontal="left" vertical="top" wrapText="1"/>
    </xf>
    <xf numFmtId="171" fontId="12" fillId="2" borderId="29" xfId="1112" applyFont="1" applyFill="1" applyBorder="1" applyAlignment="1" applyProtection="1">
      <alignment vertical="top" wrapText="1"/>
    </xf>
    <xf numFmtId="175" fontId="12" fillId="2" borderId="29" xfId="0" applyNumberFormat="1" applyFont="1" applyFill="1" applyBorder="1" applyAlignment="1">
      <alignment horizontal="right" vertical="top"/>
    </xf>
    <xf numFmtId="0" fontId="12" fillId="2" borderId="29" xfId="809" applyFill="1" applyBorder="1" applyAlignment="1">
      <alignment vertical="top" wrapText="1"/>
    </xf>
    <xf numFmtId="219" fontId="11" fillId="2" borderId="29" xfId="1112" applyNumberFormat="1" applyFont="1" applyFill="1" applyBorder="1" applyAlignment="1" applyProtection="1">
      <alignment horizontal="right" vertical="top" wrapText="1"/>
    </xf>
    <xf numFmtId="39" fontId="11" fillId="2" borderId="29" xfId="809" applyNumberFormat="1" applyFont="1" applyFill="1" applyBorder="1" applyAlignment="1">
      <alignment horizontal="left" vertical="top" wrapText="1"/>
    </xf>
    <xf numFmtId="171" fontId="12" fillId="2" borderId="29" xfId="1112" applyFont="1" applyFill="1" applyBorder="1" applyAlignment="1" applyProtection="1">
      <alignment horizontal="center" vertical="top"/>
    </xf>
    <xf numFmtId="171" fontId="12" fillId="2" borderId="29" xfId="1112" applyFont="1" applyFill="1" applyBorder="1" applyAlignment="1" applyProtection="1">
      <alignment horizontal="center" vertical="top" wrapText="1"/>
      <protection locked="0"/>
    </xf>
    <xf numFmtId="220" fontId="12" fillId="2" borderId="29" xfId="1112" applyNumberFormat="1" applyFont="1" applyFill="1" applyBorder="1" applyAlignment="1" applyProtection="1">
      <alignment horizontal="right" vertical="top" wrapText="1"/>
    </xf>
    <xf numFmtId="0" fontId="12" fillId="2" borderId="29" xfId="226" applyFill="1" applyBorder="1" applyAlignment="1">
      <alignment horizontal="left" vertical="top" wrapText="1"/>
    </xf>
    <xf numFmtId="216" fontId="12" fillId="2" borderId="32" xfId="0" applyNumberFormat="1" applyFont="1" applyFill="1" applyBorder="1" applyAlignment="1">
      <alignment horizontal="right" vertical="top"/>
    </xf>
    <xf numFmtId="4" fontId="12" fillId="2" borderId="32" xfId="1116" applyNumberFormat="1" applyFont="1" applyFill="1" applyBorder="1" applyAlignment="1" applyProtection="1">
      <alignment horizontal="right" vertical="top"/>
      <protection locked="0"/>
    </xf>
    <xf numFmtId="2" fontId="12" fillId="2" borderId="29" xfId="0" applyNumberFormat="1" applyFont="1" applyFill="1" applyBorder="1" applyAlignment="1">
      <alignment horizontal="right" vertical="top"/>
    </xf>
    <xf numFmtId="37" fontId="11" fillId="0" borderId="29" xfId="0" applyNumberFormat="1" applyFont="1" applyBorder="1" applyAlignment="1">
      <alignment horizontal="right" vertical="top"/>
    </xf>
    <xf numFmtId="0" fontId="11" fillId="0" borderId="29" xfId="809" applyFont="1" applyBorder="1" applyAlignment="1">
      <alignment vertical="top" wrapText="1"/>
    </xf>
    <xf numFmtId="171" fontId="12" fillId="0" borderId="29" xfId="1112" applyFont="1" applyFill="1" applyBorder="1" applyAlignment="1" applyProtection="1">
      <alignment horizontal="right" vertical="top" wrapText="1"/>
    </xf>
    <xf numFmtId="4" fontId="12" fillId="0" borderId="29" xfId="1116" applyNumberFormat="1" applyFont="1" applyBorder="1" applyAlignment="1" applyProtection="1">
      <alignment horizontal="right" vertical="top"/>
      <protection locked="0"/>
    </xf>
    <xf numFmtId="172" fontId="12" fillId="0" borderId="29" xfId="0" applyNumberFormat="1" applyFont="1" applyBorder="1" applyAlignment="1">
      <alignment horizontal="center" vertical="top" wrapText="1"/>
    </xf>
    <xf numFmtId="39" fontId="12" fillId="2" borderId="29" xfId="809" applyNumberFormat="1" applyFill="1" applyBorder="1" applyAlignment="1">
      <alignment vertical="top" wrapText="1"/>
    </xf>
    <xf numFmtId="43" fontId="12" fillId="2" borderId="29" xfId="0" applyNumberFormat="1" applyFont="1" applyFill="1" applyBorder="1" applyAlignment="1">
      <alignment vertical="top"/>
    </xf>
    <xf numFmtId="37" fontId="14" fillId="0" borderId="29" xfId="0" applyNumberFormat="1" applyFont="1" applyBorder="1" applyAlignment="1">
      <alignment horizontal="right" vertical="top"/>
    </xf>
    <xf numFmtId="0" fontId="14" fillId="0" borderId="29" xfId="0" applyFont="1" applyBorder="1" applyAlignment="1">
      <alignment horizontal="left" vertical="top"/>
    </xf>
    <xf numFmtId="172" fontId="14" fillId="0" borderId="29" xfId="0" applyNumberFormat="1" applyFont="1" applyBorder="1" applyAlignment="1">
      <alignment horizontal="right" vertical="top"/>
    </xf>
    <xf numFmtId="4" fontId="12" fillId="0" borderId="29" xfId="4" applyNumberFormat="1" applyFont="1" applyFill="1" applyBorder="1" applyAlignment="1" applyProtection="1">
      <alignment horizontal="center" vertical="top"/>
    </xf>
    <xf numFmtId="172" fontId="14" fillId="0" borderId="29" xfId="0" applyNumberFormat="1" applyFont="1" applyBorder="1" applyAlignment="1" applyProtection="1">
      <alignment horizontal="right" vertical="top"/>
      <protection locked="0"/>
    </xf>
    <xf numFmtId="4" fontId="14" fillId="0" borderId="29" xfId="0" applyNumberFormat="1" applyFont="1" applyBorder="1" applyAlignment="1" applyProtection="1">
      <alignment horizontal="right" vertical="top"/>
      <protection locked="0"/>
    </xf>
    <xf numFmtId="213" fontId="13" fillId="0" borderId="29" xfId="0" applyNumberFormat="1" applyFont="1" applyBorder="1" applyAlignment="1">
      <alignment horizontal="right" vertical="top"/>
    </xf>
    <xf numFmtId="172" fontId="14" fillId="0" borderId="29" xfId="0" applyNumberFormat="1" applyFont="1" applyBorder="1" applyAlignment="1">
      <alignment horizontal="center" vertical="top"/>
    </xf>
    <xf numFmtId="37" fontId="13" fillId="0" borderId="29" xfId="0" applyNumberFormat="1" applyFont="1" applyBorder="1" applyAlignment="1">
      <alignment horizontal="right" vertical="top"/>
    </xf>
    <xf numFmtId="0" fontId="13" fillId="0" borderId="29" xfId="0" applyFont="1" applyBorder="1" applyAlignment="1">
      <alignment horizontal="left" vertical="top"/>
    </xf>
    <xf numFmtId="173" fontId="14" fillId="0" borderId="29" xfId="0" applyNumberFormat="1" applyFont="1" applyBorder="1" applyAlignment="1">
      <alignment horizontal="right" vertical="top"/>
    </xf>
    <xf numFmtId="0" fontId="14" fillId="0" borderId="29" xfId="0" applyFont="1" applyBorder="1" applyAlignment="1">
      <alignment horizontal="right" vertical="top"/>
    </xf>
    <xf numFmtId="4" fontId="14" fillId="0" borderId="29" xfId="660" applyNumberFormat="1" applyFont="1" applyFill="1" applyBorder="1" applyAlignment="1" applyProtection="1">
      <alignment vertical="top"/>
      <protection locked="0"/>
    </xf>
    <xf numFmtId="0" fontId="14" fillId="0" borderId="29" xfId="0" applyFont="1" applyBorder="1" applyAlignment="1">
      <alignment horizontal="left" vertical="top" wrapText="1"/>
    </xf>
    <xf numFmtId="213" fontId="14" fillId="0" borderId="29" xfId="0" applyNumberFormat="1" applyFont="1" applyBorder="1" applyAlignment="1">
      <alignment horizontal="right" vertical="top"/>
    </xf>
    <xf numFmtId="37" fontId="13" fillId="0" borderId="29" xfId="0" applyNumberFormat="1" applyFont="1" applyBorder="1" applyAlignment="1">
      <alignment vertical="top"/>
    </xf>
    <xf numFmtId="213" fontId="14" fillId="0" borderId="29" xfId="0" applyNumberFormat="1" applyFont="1" applyBorder="1" applyAlignment="1">
      <alignment vertical="top" wrapText="1"/>
    </xf>
    <xf numFmtId="0" fontId="14" fillId="0" borderId="29" xfId="0" applyFont="1" applyBorder="1" applyAlignment="1">
      <alignment vertical="top"/>
    </xf>
    <xf numFmtId="4" fontId="14" fillId="0" borderId="29" xfId="0" applyNumberFormat="1" applyFont="1" applyBorder="1" applyAlignment="1">
      <alignment horizontal="right" vertical="top"/>
    </xf>
    <xf numFmtId="172" fontId="12" fillId="0" borderId="29" xfId="0" applyNumberFormat="1" applyFont="1" applyBorder="1" applyAlignment="1" applyProtection="1">
      <alignment horizontal="right" vertical="top"/>
      <protection locked="0"/>
    </xf>
    <xf numFmtId="214" fontId="14" fillId="0" borderId="29" xfId="0" applyNumberFormat="1" applyFont="1" applyBorder="1" applyAlignment="1">
      <alignment vertical="top" wrapText="1"/>
    </xf>
    <xf numFmtId="0" fontId="19" fillId="0" borderId="29" xfId="0" applyFont="1" applyBorder="1" applyAlignment="1">
      <alignment vertical="top" wrapText="1"/>
    </xf>
    <xf numFmtId="0" fontId="77" fillId="0" borderId="29" xfId="0" applyFont="1" applyBorder="1" applyAlignment="1">
      <alignment vertical="top"/>
    </xf>
    <xf numFmtId="213" fontId="14" fillId="0" borderId="29" xfId="0" applyNumberFormat="1" applyFont="1" applyBorder="1" applyAlignment="1">
      <alignment horizontal="right" vertical="top" wrapText="1"/>
    </xf>
    <xf numFmtId="214" fontId="14" fillId="0" borderId="29" xfId="0" applyNumberFormat="1" applyFont="1" applyBorder="1" applyAlignment="1">
      <alignment horizontal="right" vertical="top" wrapText="1"/>
    </xf>
    <xf numFmtId="171" fontId="12" fillId="0" borderId="29" xfId="12" applyFont="1" applyFill="1" applyBorder="1" applyAlignment="1" applyProtection="1">
      <alignment horizontal="right" vertical="top" wrapText="1"/>
      <protection locked="0"/>
    </xf>
    <xf numFmtId="213" fontId="12" fillId="0" borderId="29" xfId="0" applyNumberFormat="1" applyFont="1" applyBorder="1" applyAlignment="1">
      <alignment horizontal="right" vertical="top" wrapText="1"/>
    </xf>
    <xf numFmtId="172" fontId="12" fillId="0" borderId="29" xfId="0" applyNumberFormat="1" applyFont="1" applyBorder="1" applyAlignment="1">
      <alignment horizontal="right" vertical="top"/>
    </xf>
    <xf numFmtId="0" fontId="16" fillId="0" borderId="29" xfId="0" applyFont="1" applyBorder="1" applyAlignment="1">
      <alignment horizontal="right" vertical="top"/>
    </xf>
    <xf numFmtId="0" fontId="16" fillId="0" borderId="29" xfId="0" applyFont="1" applyBorder="1" applyAlignment="1">
      <alignment vertical="top" wrapText="1"/>
    </xf>
    <xf numFmtId="213" fontId="16" fillId="0" borderId="29" xfId="0" applyNumberFormat="1" applyFont="1" applyBorder="1" applyAlignment="1">
      <alignment horizontal="right" vertical="top" wrapText="1"/>
    </xf>
    <xf numFmtId="0" fontId="16" fillId="0" borderId="29" xfId="0" applyFont="1" applyBorder="1" applyAlignment="1">
      <alignment horizontal="left" vertical="top"/>
    </xf>
    <xf numFmtId="171" fontId="12" fillId="2" borderId="32" xfId="1112" applyFont="1" applyFill="1" applyBorder="1" applyAlignment="1" applyProtection="1">
      <alignment horizontal="center" vertical="top" wrapText="1"/>
    </xf>
    <xf numFmtId="1" fontId="11" fillId="0" borderId="29" xfId="1118" applyNumberFormat="1" applyFont="1" applyBorder="1" applyAlignment="1">
      <alignment horizontal="right" vertical="top" wrapText="1"/>
    </xf>
    <xf numFmtId="39" fontId="11" fillId="0" borderId="29" xfId="1118" applyFont="1" applyBorder="1" applyAlignment="1">
      <alignment vertical="top" wrapText="1"/>
    </xf>
    <xf numFmtId="172" fontId="12" fillId="0" borderId="29" xfId="1118" applyNumberFormat="1" applyFont="1" applyBorder="1" applyAlignment="1">
      <alignment vertical="top"/>
    </xf>
    <xf numFmtId="39" fontId="12" fillId="0" borderId="29" xfId="1118" applyFont="1" applyBorder="1" applyAlignment="1">
      <alignment vertical="top"/>
    </xf>
    <xf numFmtId="172" fontId="12" fillId="0" borderId="29" xfId="1118" applyNumberFormat="1" applyFont="1" applyBorder="1" applyAlignment="1" applyProtection="1">
      <alignment vertical="top"/>
      <protection locked="0"/>
    </xf>
    <xf numFmtId="4" fontId="12" fillId="0" borderId="29" xfId="1118" applyNumberFormat="1" applyFont="1" applyBorder="1" applyAlignment="1" applyProtection="1">
      <alignment vertical="top"/>
      <protection locked="0"/>
    </xf>
    <xf numFmtId="175" fontId="12" fillId="0" borderId="29" xfId="15" applyNumberFormat="1" applyFont="1" applyBorder="1" applyAlignment="1">
      <alignment vertical="top" wrapText="1"/>
    </xf>
    <xf numFmtId="0" fontId="12" fillId="0" borderId="29" xfId="15" applyFont="1" applyBorder="1" applyAlignment="1">
      <alignment vertical="top" wrapText="1"/>
    </xf>
    <xf numFmtId="0" fontId="12" fillId="0" borderId="29" xfId="15" applyFont="1" applyBorder="1" applyAlignment="1">
      <alignment horizontal="center" vertical="top"/>
    </xf>
    <xf numFmtId="172" fontId="12" fillId="0" borderId="29" xfId="1118" applyNumberFormat="1" applyFont="1" applyBorder="1" applyAlignment="1" applyProtection="1">
      <alignment horizontal="right" vertical="top"/>
      <protection locked="0"/>
    </xf>
    <xf numFmtId="0" fontId="12" fillId="0" borderId="29" xfId="15" applyFont="1" applyBorder="1" applyAlignment="1">
      <alignment vertical="top"/>
    </xf>
    <xf numFmtId="172" fontId="12" fillId="0" borderId="29" xfId="16" applyNumberFormat="1" applyFont="1" applyFill="1" applyBorder="1" applyAlignment="1" applyProtection="1">
      <alignment vertical="top"/>
    </xf>
    <xf numFmtId="37" fontId="11" fillId="0" borderId="29" xfId="15" applyNumberFormat="1" applyFont="1" applyBorder="1" applyAlignment="1">
      <alignment horizontal="right" vertical="top" wrapText="1"/>
    </xf>
    <xf numFmtId="0" fontId="11" fillId="0" borderId="29" xfId="15" applyFont="1" applyBorder="1" applyAlignment="1">
      <alignment vertical="top"/>
    </xf>
    <xf numFmtId="216" fontId="12" fillId="0" borderId="29" xfId="15" applyNumberFormat="1" applyFont="1" applyBorder="1" applyAlignment="1">
      <alignment vertical="top" wrapText="1"/>
    </xf>
    <xf numFmtId="37" fontId="11" fillId="0" borderId="29" xfId="15" applyNumberFormat="1" applyFont="1" applyBorder="1" applyAlignment="1">
      <alignment vertical="top" wrapText="1"/>
    </xf>
    <xf numFmtId="0" fontId="11" fillId="0" borderId="29" xfId="0" applyFont="1" applyBorder="1" applyAlignment="1">
      <alignment vertical="top"/>
    </xf>
    <xf numFmtId="0" fontId="12" fillId="0" borderId="29" xfId="0" applyFont="1" applyBorder="1" applyAlignment="1">
      <alignment horizontal="justify" vertical="top" wrapText="1"/>
    </xf>
    <xf numFmtId="172" fontId="12" fillId="0" borderId="29" xfId="11" applyNumberFormat="1" applyFont="1" applyFill="1" applyBorder="1" applyAlignment="1" applyProtection="1">
      <alignment vertical="top"/>
    </xf>
    <xf numFmtId="172" fontId="12" fillId="0" borderId="29" xfId="11" applyNumberFormat="1" applyFont="1" applyFill="1" applyBorder="1" applyAlignment="1" applyProtection="1">
      <alignment vertical="top" wrapText="1"/>
    </xf>
    <xf numFmtId="0" fontId="14" fillId="0" borderId="29" xfId="0" applyFont="1" applyBorder="1" applyAlignment="1">
      <alignment vertical="top" wrapText="1"/>
    </xf>
    <xf numFmtId="0" fontId="13" fillId="0" borderId="29" xfId="0" applyFont="1" applyBorder="1" applyAlignment="1">
      <alignment horizontal="center" vertical="top"/>
    </xf>
    <xf numFmtId="172" fontId="14" fillId="0" borderId="29" xfId="0" applyNumberFormat="1" applyFont="1" applyBorder="1" applyAlignment="1">
      <alignment vertical="top"/>
    </xf>
    <xf numFmtId="4" fontId="14" fillId="0" borderId="29" xfId="0" applyNumberFormat="1" applyFont="1" applyBorder="1" applyAlignment="1">
      <alignment horizontal="center" vertical="top"/>
    </xf>
    <xf numFmtId="172" fontId="12" fillId="0" borderId="29" xfId="0" applyNumberFormat="1" applyFont="1" applyBorder="1" applyAlignment="1" applyProtection="1">
      <alignment vertical="top"/>
      <protection locked="0"/>
    </xf>
    <xf numFmtId="172" fontId="12" fillId="2" borderId="29" xfId="0" applyNumberFormat="1" applyFont="1" applyFill="1" applyBorder="1" applyAlignment="1">
      <alignment vertical="top" wrapText="1"/>
    </xf>
    <xf numFmtId="43" fontId="12" fillId="2" borderId="29" xfId="8" applyFont="1" applyFill="1" applyBorder="1" applyAlignment="1" applyProtection="1">
      <alignment horizontal="right" vertical="top" wrapText="1"/>
      <protection locked="0"/>
    </xf>
    <xf numFmtId="1" fontId="12" fillId="2" borderId="29" xfId="0" applyNumberFormat="1" applyFont="1" applyFill="1" applyBorder="1" applyAlignment="1">
      <alignment horizontal="right" vertical="top"/>
    </xf>
    <xf numFmtId="37" fontId="12" fillId="2" borderId="29" xfId="0" applyNumberFormat="1" applyFont="1" applyFill="1" applyBorder="1" applyAlignment="1">
      <alignment vertical="top"/>
    </xf>
    <xf numFmtId="49" fontId="12" fillId="54" borderId="32" xfId="0" applyNumberFormat="1" applyFont="1" applyFill="1" applyBorder="1" applyAlignment="1">
      <alignment horizontal="right" vertical="top"/>
    </xf>
    <xf numFmtId="0" fontId="11" fillId="54" borderId="32" xfId="224" applyFont="1" applyFill="1" applyBorder="1" applyAlignment="1">
      <alignment horizontal="center" vertical="top"/>
    </xf>
    <xf numFmtId="0" fontId="11" fillId="54" borderId="32" xfId="224" quotePrefix="1" applyFont="1" applyFill="1" applyBorder="1" applyAlignment="1">
      <alignment horizontal="center" vertical="top"/>
    </xf>
    <xf numFmtId="0" fontId="12" fillId="54" borderId="32" xfId="224" applyFill="1" applyBorder="1" applyAlignment="1">
      <alignment vertical="top"/>
    </xf>
    <xf numFmtId="0" fontId="12" fillId="54" borderId="32" xfId="224" applyFill="1" applyBorder="1" applyAlignment="1" applyProtection="1">
      <alignment horizontal="center" vertical="top"/>
      <protection locked="0"/>
    </xf>
    <xf numFmtId="4" fontId="11" fillId="54" borderId="32" xfId="224" applyNumberFormat="1" applyFont="1" applyFill="1" applyBorder="1" applyAlignment="1">
      <alignment vertical="top"/>
    </xf>
    <xf numFmtId="49" fontId="12" fillId="54" borderId="31" xfId="0" applyNumberFormat="1" applyFont="1" applyFill="1" applyBorder="1" applyAlignment="1">
      <alignment horizontal="right" vertical="top"/>
    </xf>
    <xf numFmtId="0" fontId="11" fillId="54" borderId="31" xfId="224" applyFont="1" applyFill="1" applyBorder="1" applyAlignment="1">
      <alignment horizontal="center" vertical="top"/>
    </xf>
    <xf numFmtId="0" fontId="11" fillId="54" borderId="31" xfId="224" quotePrefix="1" applyFont="1" applyFill="1" applyBorder="1" applyAlignment="1">
      <alignment horizontal="center" vertical="top"/>
    </xf>
    <xf numFmtId="0" fontId="12" fillId="54" borderId="31" xfId="224" applyFill="1" applyBorder="1" applyAlignment="1">
      <alignment vertical="top"/>
    </xf>
    <xf numFmtId="0" fontId="12" fillId="54" borderId="31" xfId="224" applyFill="1" applyBorder="1" applyAlignment="1" applyProtection="1">
      <alignment horizontal="center" vertical="top"/>
      <protection locked="0"/>
    </xf>
    <xf numFmtId="4" fontId="11" fillId="54" borderId="31" xfId="224" applyNumberFormat="1" applyFont="1" applyFill="1" applyBorder="1" applyAlignment="1">
      <alignment vertical="top"/>
    </xf>
    <xf numFmtId="49" fontId="12" fillId="0" borderId="29" xfId="0" applyNumberFormat="1" applyFont="1" applyBorder="1" applyAlignment="1">
      <alignment horizontal="right" vertical="top"/>
    </xf>
    <xf numFmtId="0" fontId="11" fillId="0" borderId="29" xfId="0" applyFont="1" applyBorder="1" applyAlignment="1">
      <alignment horizontal="right" vertical="top"/>
    </xf>
    <xf numFmtId="4" fontId="12" fillId="0" borderId="29" xfId="0" applyNumberFormat="1" applyFont="1" applyBorder="1" applyAlignment="1">
      <alignment horizontal="right" vertical="top"/>
    </xf>
    <xf numFmtId="0" fontId="12" fillId="56" borderId="29" xfId="0" applyFont="1" applyFill="1" applyBorder="1" applyAlignment="1">
      <alignment horizontal="right" vertical="top" wrapText="1"/>
    </xf>
    <xf numFmtId="10" fontId="12" fillId="2" borderId="29" xfId="258" applyNumberFormat="1" applyFont="1" applyFill="1" applyBorder="1" applyAlignment="1">
      <alignment vertical="top" wrapText="1"/>
    </xf>
    <xf numFmtId="43" fontId="12" fillId="2" borderId="29" xfId="8" applyFont="1" applyFill="1" applyBorder="1" applyAlignment="1" applyProtection="1">
      <alignment horizontal="center" vertical="top" wrapText="1"/>
      <protection locked="0"/>
    </xf>
    <xf numFmtId="4" fontId="12" fillId="2" borderId="29" xfId="0" applyNumberFormat="1" applyFont="1" applyFill="1" applyBorder="1" applyAlignment="1">
      <alignment horizontal="center" vertical="top" wrapText="1"/>
    </xf>
    <xf numFmtId="10" fontId="12" fillId="2" borderId="29" xfId="258" applyNumberFormat="1" applyFont="1" applyFill="1" applyBorder="1" applyAlignment="1">
      <alignment horizontal="right" vertical="top" wrapText="1"/>
    </xf>
    <xf numFmtId="172" fontId="12" fillId="2" borderId="29" xfId="1096" applyNumberFormat="1" applyFill="1" applyBorder="1" applyAlignment="1">
      <alignment horizontal="center" vertical="top"/>
    </xf>
    <xf numFmtId="43" fontId="12" fillId="2" borderId="29" xfId="8" applyFont="1" applyFill="1" applyBorder="1" applyAlignment="1" applyProtection="1">
      <alignment horizontal="center" vertical="top"/>
      <protection locked="0"/>
    </xf>
    <xf numFmtId="10" fontId="12" fillId="2" borderId="29" xfId="259" applyNumberFormat="1" applyFont="1" applyFill="1" applyBorder="1" applyAlignment="1">
      <alignment vertical="top"/>
    </xf>
    <xf numFmtId="4" fontId="12" fillId="2" borderId="29" xfId="1096" applyNumberFormat="1" applyFill="1" applyBorder="1" applyAlignment="1">
      <alignment horizontal="center" vertical="top" wrapText="1"/>
    </xf>
    <xf numFmtId="10" fontId="12" fillId="2" borderId="29" xfId="228" applyNumberFormat="1" applyFill="1" applyBorder="1" applyAlignment="1">
      <alignment vertical="top"/>
    </xf>
    <xf numFmtId="175" fontId="11" fillId="2" borderId="29" xfId="228" applyNumberFormat="1" applyFont="1" applyFill="1" applyBorder="1" applyAlignment="1">
      <alignment horizontal="right" vertical="top"/>
    </xf>
    <xf numFmtId="43" fontId="11" fillId="2" borderId="29" xfId="8" applyFont="1" applyFill="1" applyBorder="1" applyAlignment="1" applyProtection="1">
      <alignment horizontal="center" vertical="top"/>
      <protection locked="0"/>
    </xf>
    <xf numFmtId="4" fontId="12" fillId="0" borderId="29" xfId="2" applyNumberFormat="1" applyFont="1" applyFill="1" applyBorder="1" applyAlignment="1" applyProtection="1">
      <alignment horizontal="right" vertical="top"/>
    </xf>
    <xf numFmtId="0" fontId="11" fillId="2" borderId="29" xfId="0" applyFont="1" applyFill="1" applyBorder="1" applyAlignment="1">
      <alignment horizontal="right" vertical="top"/>
    </xf>
    <xf numFmtId="10" fontId="12" fillId="2" borderId="29" xfId="2" applyNumberFormat="1" applyFont="1" applyFill="1" applyBorder="1" applyAlignment="1">
      <alignment horizontal="right" vertical="top"/>
    </xf>
    <xf numFmtId="4" fontId="11" fillId="2" borderId="29" xfId="0" applyNumberFormat="1" applyFont="1" applyFill="1" applyBorder="1" applyAlignment="1">
      <alignment vertical="top"/>
    </xf>
    <xf numFmtId="10" fontId="12" fillId="0" borderId="29" xfId="2" applyNumberFormat="1" applyFont="1" applyFill="1" applyBorder="1" applyAlignment="1">
      <alignment horizontal="right" vertical="top"/>
    </xf>
    <xf numFmtId="49" fontId="12" fillId="58" borderId="31" xfId="0" applyNumberFormat="1" applyFont="1" applyFill="1" applyBorder="1" applyAlignment="1">
      <alignment horizontal="right" vertical="top"/>
    </xf>
    <xf numFmtId="0" fontId="11" fillId="58" borderId="31" xfId="0" applyFont="1" applyFill="1" applyBorder="1" applyAlignment="1">
      <alignment horizontal="right" vertical="top"/>
    </xf>
    <xf numFmtId="4" fontId="12" fillId="58" borderId="31" xfId="0" applyNumberFormat="1" applyFont="1" applyFill="1" applyBorder="1" applyAlignment="1">
      <alignment horizontal="right" vertical="top"/>
    </xf>
    <xf numFmtId="0" fontId="12" fillId="58" borderId="31" xfId="0" applyFont="1" applyFill="1" applyBorder="1" applyAlignment="1">
      <alignment horizontal="center" vertical="top"/>
    </xf>
    <xf numFmtId="4" fontId="12" fillId="58" borderId="31" xfId="0" applyNumberFormat="1" applyFont="1" applyFill="1" applyBorder="1" applyAlignment="1">
      <alignment vertical="top"/>
    </xf>
    <xf numFmtId="4" fontId="11" fillId="58" borderId="31" xfId="0" applyNumberFormat="1" applyFont="1" applyFill="1" applyBorder="1" applyAlignment="1">
      <alignment vertical="top"/>
    </xf>
    <xf numFmtId="0" fontId="12" fillId="0" borderId="29" xfId="0" applyFont="1" applyBorder="1" applyAlignment="1">
      <alignment horizontal="right" vertical="top"/>
    </xf>
    <xf numFmtId="10" fontId="12" fillId="0" borderId="29" xfId="2" applyNumberFormat="1" applyFont="1" applyFill="1" applyBorder="1" applyAlignment="1" applyProtection="1">
      <alignment horizontal="right" vertical="top"/>
    </xf>
    <xf numFmtId="49" fontId="12" fillId="58" borderId="32" xfId="0" applyNumberFormat="1" applyFont="1" applyFill="1" applyBorder="1" applyAlignment="1">
      <alignment horizontal="right" vertical="top"/>
    </xf>
    <xf numFmtId="0" fontId="11" fillId="58" borderId="32" xfId="0" applyFont="1" applyFill="1" applyBorder="1" applyAlignment="1">
      <alignment horizontal="right" vertical="top"/>
    </xf>
    <xf numFmtId="4" fontId="12" fillId="58" borderId="32" xfId="0" applyNumberFormat="1" applyFont="1" applyFill="1" applyBorder="1" applyAlignment="1">
      <alignment horizontal="right" vertical="top"/>
    </xf>
    <xf numFmtId="0" fontId="12" fillId="58" borderId="32" xfId="0" applyFont="1" applyFill="1" applyBorder="1" applyAlignment="1">
      <alignment horizontal="center" vertical="top"/>
    </xf>
    <xf numFmtId="4" fontId="12" fillId="58" borderId="32" xfId="0" applyNumberFormat="1" applyFont="1" applyFill="1" applyBorder="1" applyAlignment="1">
      <alignment vertical="top"/>
    </xf>
    <xf numFmtId="4" fontId="11" fillId="58" borderId="32" xfId="0" applyNumberFormat="1" applyFont="1" applyFill="1" applyBorder="1" applyAlignment="1">
      <alignment vertical="top"/>
    </xf>
    <xf numFmtId="49" fontId="12" fillId="0" borderId="0" xfId="0" applyNumberFormat="1" applyFont="1" applyAlignment="1">
      <alignment horizontal="right" vertical="top"/>
    </xf>
    <xf numFmtId="4" fontId="12" fillId="0" borderId="0" xfId="0" applyNumberFormat="1" applyFont="1" applyAlignment="1">
      <alignment horizontal="right" vertical="top"/>
    </xf>
    <xf numFmtId="0" fontId="12" fillId="0" borderId="0" xfId="0" applyFont="1" applyAlignment="1">
      <alignment horizontal="center" vertical="top"/>
    </xf>
    <xf numFmtId="4" fontId="19" fillId="0" borderId="29" xfId="0" applyNumberFormat="1" applyFont="1" applyBorder="1" applyAlignment="1" applyProtection="1">
      <alignment horizontal="right" vertical="top" wrapText="1"/>
      <protection locked="0"/>
    </xf>
    <xf numFmtId="4" fontId="12" fillId="2" borderId="29" xfId="1112" applyNumberFormat="1" applyFont="1" applyFill="1" applyBorder="1" applyAlignment="1" applyProtection="1">
      <alignment vertical="top"/>
      <protection locked="0"/>
    </xf>
    <xf numFmtId="4" fontId="11" fillId="55" borderId="31" xfId="0" applyNumberFormat="1" applyFont="1" applyFill="1" applyBorder="1" applyAlignment="1">
      <alignment horizontal="right" vertical="top"/>
    </xf>
    <xf numFmtId="0" fontId="11" fillId="0" borderId="29" xfId="0" applyFont="1" applyBorder="1" applyAlignment="1">
      <alignment horizontal="left" vertical="top" wrapText="1"/>
    </xf>
    <xf numFmtId="0" fontId="14" fillId="0" borderId="29" xfId="0" applyFont="1" applyBorder="1" applyAlignment="1" applyProtection="1">
      <alignment horizontal="right" vertical="top" wrapText="1"/>
      <protection locked="0"/>
    </xf>
    <xf numFmtId="4" fontId="14" fillId="0" borderId="29" xfId="0" applyNumberFormat="1" applyFont="1" applyBorder="1" applyAlignment="1" applyProtection="1">
      <alignment horizontal="right" vertical="top" wrapText="1"/>
      <protection locked="0"/>
    </xf>
    <xf numFmtId="0" fontId="11" fillId="0" borderId="29" xfId="0" applyFont="1" applyBorder="1" applyAlignment="1">
      <alignment horizontal="right" vertical="top" wrapText="1"/>
    </xf>
    <xf numFmtId="175" fontId="12" fillId="0" borderId="29" xfId="228" applyNumberFormat="1" applyBorder="1" applyAlignment="1">
      <alignment horizontal="right" vertical="top"/>
    </xf>
    <xf numFmtId="43" fontId="12" fillId="0" borderId="0" xfId="1" applyFont="1" applyAlignment="1">
      <alignment vertical="top"/>
    </xf>
    <xf numFmtId="43" fontId="12" fillId="0" borderId="0" xfId="1" applyFont="1" applyBorder="1" applyAlignment="1">
      <alignment vertical="top"/>
    </xf>
    <xf numFmtId="43" fontId="12" fillId="0" borderId="0" xfId="0" applyNumberFormat="1" applyFont="1" applyAlignment="1">
      <alignment vertical="top"/>
    </xf>
    <xf numFmtId="43" fontId="12" fillId="0" borderId="0" xfId="1" applyFont="1" applyAlignment="1">
      <alignment horizontal="right" vertical="top" wrapText="1"/>
    </xf>
    <xf numFmtId="217" fontId="12" fillId="0" borderId="29" xfId="228" applyNumberFormat="1" applyBorder="1" applyAlignment="1">
      <alignment horizontal="right" vertical="top"/>
    </xf>
    <xf numFmtId="172" fontId="12" fillId="0" borderId="29" xfId="228" applyNumberFormat="1" applyBorder="1" applyAlignment="1">
      <alignment vertical="top"/>
    </xf>
    <xf numFmtId="172" fontId="12" fillId="0" borderId="29" xfId="228" applyNumberFormat="1" applyBorder="1" applyAlignment="1">
      <alignment horizontal="center" vertical="top"/>
    </xf>
    <xf numFmtId="172" fontId="12" fillId="0" borderId="29" xfId="228" applyNumberFormat="1" applyBorder="1" applyAlignment="1" applyProtection="1">
      <alignment vertical="top"/>
      <protection locked="0"/>
    </xf>
    <xf numFmtId="173" fontId="13" fillId="0" borderId="29" xfId="0" applyNumberFormat="1" applyFont="1" applyBorder="1" applyAlignment="1">
      <alignment horizontal="center" vertical="top"/>
    </xf>
    <xf numFmtId="0" fontId="11" fillId="0" borderId="29" xfId="0" applyFont="1" applyBorder="1" applyAlignment="1">
      <alignment horizontal="justify" vertical="top" wrapText="1"/>
    </xf>
    <xf numFmtId="176" fontId="14" fillId="0" borderId="29" xfId="0" applyNumberFormat="1" applyFont="1" applyBorder="1" applyAlignment="1">
      <alignment vertical="top"/>
    </xf>
    <xf numFmtId="0" fontId="14" fillId="0" borderId="29" xfId="0" applyFont="1" applyBorder="1" applyAlignment="1">
      <alignment horizontal="center" vertical="top"/>
    </xf>
    <xf numFmtId="4" fontId="12" fillId="0" borderId="29" xfId="695" applyNumberFormat="1" applyFont="1" applyFill="1" applyBorder="1" applyAlignment="1">
      <alignment vertical="top"/>
    </xf>
    <xf numFmtId="43" fontId="12" fillId="0" borderId="29" xfId="695" applyFont="1" applyFill="1" applyBorder="1" applyAlignment="1">
      <alignment horizontal="center" vertical="top"/>
    </xf>
    <xf numFmtId="4" fontId="12" fillId="0" borderId="29" xfId="15" applyNumberFormat="1" applyFont="1" applyBorder="1" applyAlignment="1" applyProtection="1">
      <alignment vertical="top"/>
      <protection locked="0"/>
    </xf>
    <xf numFmtId="172" fontId="12" fillId="0" borderId="29" xfId="0" applyNumberFormat="1" applyFont="1" applyBorder="1" applyAlignment="1">
      <alignment horizontal="center"/>
    </xf>
    <xf numFmtId="4" fontId="12" fillId="0" borderId="29" xfId="1112" applyNumberFormat="1" applyFont="1" applyFill="1" applyBorder="1" applyAlignment="1" applyProtection="1">
      <alignment horizontal="right" vertical="top"/>
      <protection locked="0"/>
    </xf>
    <xf numFmtId="4" fontId="12" fillId="0" borderId="30" xfId="0" applyNumberFormat="1" applyFont="1" applyBorder="1" applyAlignment="1" applyProtection="1">
      <alignment vertical="top"/>
      <protection locked="0"/>
    </xf>
    <xf numFmtId="49" fontId="11" fillId="0" borderId="29" xfId="0" applyNumberFormat="1" applyFont="1" applyBorder="1" applyAlignment="1">
      <alignment horizontal="center" vertical="top"/>
    </xf>
    <xf numFmtId="49" fontId="12" fillId="0" borderId="29" xfId="228" applyNumberFormat="1" applyBorder="1" applyAlignment="1">
      <alignment horizontal="right" vertical="top"/>
    </xf>
    <xf numFmtId="0" fontId="12" fillId="0" borderId="29" xfId="228" applyBorder="1" applyAlignment="1">
      <alignment vertical="top"/>
    </xf>
    <xf numFmtId="0" fontId="11" fillId="0" borderId="29" xfId="1113" applyFont="1" applyBorder="1" applyAlignment="1">
      <alignment horizontal="right" vertical="top" wrapText="1"/>
    </xf>
    <xf numFmtId="0" fontId="11" fillId="0" borderId="29" xfId="228" applyFont="1" applyBorder="1" applyAlignment="1">
      <alignment vertical="top"/>
    </xf>
    <xf numFmtId="49" fontId="12" fillId="0" borderId="29" xfId="226" applyNumberFormat="1" applyBorder="1" applyAlignment="1">
      <alignment horizontal="right" vertical="top"/>
    </xf>
    <xf numFmtId="172" fontId="12" fillId="0" borderId="29" xfId="226" applyNumberFormat="1" applyBorder="1" applyAlignment="1">
      <alignment vertical="top"/>
    </xf>
    <xf numFmtId="172" fontId="12" fillId="0" borderId="29" xfId="226" applyNumberFormat="1" applyBorder="1" applyAlignment="1">
      <alignment horizontal="center" vertical="top"/>
    </xf>
    <xf numFmtId="4" fontId="12" fillId="0" borderId="29" xfId="1114" applyNumberFormat="1" applyFont="1" applyFill="1" applyBorder="1" applyAlignment="1" applyProtection="1">
      <alignment vertical="top"/>
      <protection locked="0"/>
    </xf>
    <xf numFmtId="0" fontId="76" fillId="0" borderId="29" xfId="0" applyFont="1" applyBorder="1" applyAlignment="1">
      <alignment vertical="top"/>
    </xf>
    <xf numFmtId="4" fontId="12" fillId="0" borderId="29" xfId="1114" applyNumberFormat="1" applyFont="1" applyFill="1" applyBorder="1" applyAlignment="1" applyProtection="1">
      <alignment horizontal="right" vertical="top" wrapText="1"/>
      <protection locked="0"/>
    </xf>
    <xf numFmtId="172" fontId="12" fillId="0" borderId="29" xfId="217" applyNumberFormat="1" applyBorder="1" applyAlignment="1" applyProtection="1">
      <alignment vertical="top"/>
      <protection locked="0"/>
    </xf>
    <xf numFmtId="175" fontId="12" fillId="0" borderId="29" xfId="228" applyNumberFormat="1" applyBorder="1" applyAlignment="1">
      <alignment vertical="top"/>
    </xf>
    <xf numFmtId="0" fontId="11" fillId="0" borderId="29" xfId="0" applyFont="1" applyBorder="1" applyAlignment="1">
      <alignment horizontal="center" vertical="center"/>
    </xf>
    <xf numFmtId="2" fontId="12" fillId="0" borderId="29" xfId="8" applyNumberFormat="1" applyFont="1" applyFill="1" applyBorder="1" applyAlignment="1">
      <alignment horizontal="center" vertical="top"/>
    </xf>
    <xf numFmtId="37" fontId="11" fillId="0" borderId="29" xfId="0" applyNumberFormat="1" applyFont="1" applyBorder="1" applyAlignment="1">
      <alignment horizontal="right"/>
    </xf>
    <xf numFmtId="0" fontId="11" fillId="0" borderId="29" xfId="0" applyFont="1" applyBorder="1"/>
    <xf numFmtId="4" fontId="12" fillId="0" borderId="29" xfId="4" applyNumberFormat="1" applyFont="1" applyFill="1" applyBorder="1" applyAlignment="1">
      <alignment horizontal="right" vertical="center" wrapText="1"/>
    </xf>
    <xf numFmtId="4" fontId="12" fillId="0" borderId="29" xfId="0" applyNumberFormat="1" applyFont="1" applyBorder="1" applyAlignment="1">
      <alignment horizontal="center" vertical="center"/>
    </xf>
    <xf numFmtId="4" fontId="12" fillId="0" borderId="29" xfId="0" applyNumberFormat="1" applyFont="1" applyBorder="1" applyProtection="1">
      <protection locked="0"/>
    </xf>
    <xf numFmtId="0" fontId="12" fillId="0" borderId="29" xfId="0" applyFont="1" applyBorder="1"/>
    <xf numFmtId="216" fontId="12" fillId="0" borderId="29" xfId="0" applyNumberFormat="1" applyFont="1" applyBorder="1" applyAlignment="1">
      <alignment vertical="top" wrapText="1"/>
    </xf>
    <xf numFmtId="39" fontId="12" fillId="0" borderId="29" xfId="0" applyNumberFormat="1" applyFont="1" applyBorder="1" applyAlignment="1">
      <alignment vertical="top" wrapText="1"/>
    </xf>
    <xf numFmtId="49" fontId="11" fillId="0" borderId="28" xfId="0" applyNumberFormat="1" applyFont="1" applyBorder="1" applyAlignment="1">
      <alignment horizontal="center" vertical="top"/>
    </xf>
    <xf numFmtId="0" fontId="11" fillId="0" borderId="28" xfId="0" applyFont="1" applyBorder="1" applyAlignment="1">
      <alignment horizontal="center" vertical="top"/>
    </xf>
    <xf numFmtId="4" fontId="11" fillId="0" borderId="28" xfId="0" applyNumberFormat="1" applyFont="1" applyBorder="1" applyAlignment="1">
      <alignment horizontal="center" vertical="top"/>
    </xf>
    <xf numFmtId="49" fontId="11" fillId="0" borderId="29" xfId="0" applyNumberFormat="1" applyFont="1" applyBorder="1" applyAlignment="1">
      <alignment horizontal="right" vertical="top"/>
    </xf>
    <xf numFmtId="4" fontId="12" fillId="0" borderId="29" xfId="0" applyNumberFormat="1" applyFont="1" applyBorder="1" applyAlignment="1">
      <alignment vertical="center" wrapText="1"/>
    </xf>
    <xf numFmtId="172" fontId="12" fillId="0" borderId="29" xfId="0" applyNumberFormat="1" applyFont="1" applyBorder="1" applyAlignment="1">
      <alignment horizontal="center" vertical="center" wrapText="1"/>
    </xf>
    <xf numFmtId="4" fontId="12" fillId="0" borderId="29" xfId="0" applyNumberFormat="1" applyFont="1" applyBorder="1" applyAlignment="1" applyProtection="1">
      <alignment vertical="center" wrapText="1"/>
      <protection locked="0"/>
    </xf>
    <xf numFmtId="4" fontId="12" fillId="0" borderId="29" xfId="0" applyNumberFormat="1" applyFont="1" applyBorder="1" applyAlignment="1" applyProtection="1">
      <alignment vertical="top" wrapText="1"/>
      <protection locked="0"/>
    </xf>
    <xf numFmtId="4" fontId="11" fillId="0" borderId="29" xfId="0" applyNumberFormat="1" applyFont="1" applyBorder="1" applyAlignment="1">
      <alignment horizontal="right" vertical="top" wrapText="1"/>
    </xf>
    <xf numFmtId="0" fontId="11" fillId="0" borderId="29" xfId="0" applyFont="1" applyBorder="1" applyAlignment="1">
      <alignment horizontal="center" vertical="top"/>
    </xf>
    <xf numFmtId="4" fontId="11" fillId="0" borderId="29" xfId="0" applyNumberFormat="1" applyFont="1" applyBorder="1" applyAlignment="1" applyProtection="1">
      <alignment vertical="top"/>
      <protection locked="0"/>
    </xf>
    <xf numFmtId="37" fontId="11" fillId="0" borderId="29" xfId="0" applyNumberFormat="1" applyFont="1" applyBorder="1" applyAlignment="1">
      <alignment vertical="top" wrapText="1"/>
    </xf>
    <xf numFmtId="4" fontId="12" fillId="0" borderId="29" xfId="0" applyNumberFormat="1" applyFont="1" applyBorder="1" applyAlignment="1" applyProtection="1">
      <alignment horizontal="right" vertical="center" wrapText="1"/>
      <protection locked="0"/>
    </xf>
    <xf numFmtId="43" fontId="12" fillId="0" borderId="0" xfId="0" applyNumberFormat="1" applyFont="1" applyAlignment="1">
      <alignment horizontal="right" vertical="top" wrapText="1"/>
    </xf>
    <xf numFmtId="43" fontId="12" fillId="0" borderId="29" xfId="1" applyFont="1" applyFill="1" applyBorder="1" applyAlignment="1" applyProtection="1">
      <alignment vertical="top"/>
    </xf>
    <xf numFmtId="43" fontId="12" fillId="0" borderId="29" xfId="1" applyFont="1" applyFill="1" applyBorder="1" applyAlignment="1" applyProtection="1">
      <alignment vertical="top" wrapText="1"/>
    </xf>
    <xf numFmtId="1" fontId="11" fillId="0" borderId="29" xfId="0" applyNumberFormat="1" applyFont="1" applyBorder="1" applyAlignment="1">
      <alignment horizontal="center" vertical="top"/>
    </xf>
    <xf numFmtId="49" fontId="11" fillId="0" borderId="29" xfId="224" applyNumberFormat="1" applyFont="1" applyBorder="1" applyAlignment="1">
      <alignment horizontal="center" vertical="top"/>
    </xf>
    <xf numFmtId="49" fontId="12" fillId="55" borderId="29" xfId="0" applyNumberFormat="1" applyFont="1" applyFill="1" applyBorder="1" applyAlignment="1">
      <alignment horizontal="right" vertical="top"/>
    </xf>
    <xf numFmtId="0" fontId="11" fillId="55" borderId="29" xfId="0" applyFont="1" applyFill="1" applyBorder="1" applyAlignment="1">
      <alignment horizontal="center" vertical="top" wrapText="1"/>
    </xf>
    <xf numFmtId="4" fontId="12" fillId="55" borderId="29" xfId="0" applyNumberFormat="1" applyFont="1" applyFill="1" applyBorder="1" applyAlignment="1">
      <alignment horizontal="right" vertical="top" wrapText="1"/>
    </xf>
    <xf numFmtId="0" fontId="12" fillId="55" borderId="29" xfId="0" applyFont="1" applyFill="1" applyBorder="1" applyAlignment="1">
      <alignment horizontal="center" vertical="top"/>
    </xf>
    <xf numFmtId="4" fontId="12" fillId="55" borderId="29" xfId="0" applyNumberFormat="1" applyFont="1" applyFill="1" applyBorder="1" applyAlignment="1" applyProtection="1">
      <alignment vertical="top"/>
      <protection locked="0"/>
    </xf>
    <xf numFmtId="172" fontId="11" fillId="55" borderId="29" xfId="0" applyNumberFormat="1" applyFont="1" applyFill="1" applyBorder="1" applyAlignment="1">
      <alignment horizontal="right" vertical="top"/>
    </xf>
    <xf numFmtId="172" fontId="14" fillId="0" borderId="31" xfId="0" applyNumberFormat="1" applyFont="1" applyBorder="1" applyAlignment="1">
      <alignment horizontal="right" vertical="top"/>
    </xf>
    <xf numFmtId="4" fontId="14" fillId="0" borderId="31" xfId="0" applyNumberFormat="1" applyFont="1" applyBorder="1" applyAlignment="1" applyProtection="1">
      <alignment horizontal="right" vertical="top"/>
      <protection locked="0"/>
    </xf>
    <xf numFmtId="4" fontId="12" fillId="0" borderId="29" xfId="660" applyNumberFormat="1" applyFont="1" applyFill="1" applyBorder="1" applyAlignment="1" applyProtection="1">
      <alignment vertical="top"/>
      <protection locked="0"/>
    </xf>
    <xf numFmtId="4" fontId="11" fillId="55" borderId="29" xfId="0" applyNumberFormat="1" applyFont="1" applyFill="1" applyBorder="1" applyAlignment="1">
      <alignment horizontal="right" vertical="top"/>
    </xf>
    <xf numFmtId="0" fontId="12" fillId="0" borderId="31" xfId="0" applyFont="1" applyBorder="1" applyAlignment="1">
      <alignment horizontal="left" vertical="top" wrapText="1"/>
    </xf>
    <xf numFmtId="4" fontId="12" fillId="0" borderId="31" xfId="0" applyNumberFormat="1" applyFont="1" applyBorder="1" applyAlignment="1" applyProtection="1">
      <alignment horizontal="right" vertical="top" wrapText="1"/>
      <protection locked="0"/>
    </xf>
    <xf numFmtId="4" fontId="12" fillId="2" borderId="28" xfId="0" applyNumberFormat="1" applyFont="1" applyFill="1" applyBorder="1" applyAlignment="1" applyProtection="1">
      <alignment horizontal="right" vertical="top" wrapText="1"/>
      <protection locked="0"/>
    </xf>
    <xf numFmtId="37" fontId="11" fillId="2" borderId="28" xfId="0" applyNumberFormat="1" applyFont="1" applyFill="1" applyBorder="1" applyAlignment="1">
      <alignment horizontal="right" vertical="top" wrapText="1"/>
    </xf>
    <xf numFmtId="0" fontId="13" fillId="0" borderId="28" xfId="224" applyFont="1" applyBorder="1" applyAlignment="1">
      <alignment vertical="top"/>
    </xf>
    <xf numFmtId="43" fontId="19" fillId="0" borderId="28" xfId="8" applyFont="1" applyFill="1" applyBorder="1" applyAlignment="1" applyProtection="1">
      <alignment vertical="top"/>
    </xf>
    <xf numFmtId="43" fontId="19" fillId="0" borderId="28" xfId="8" applyFont="1" applyFill="1" applyBorder="1" applyAlignment="1" applyProtection="1">
      <alignment horizontal="center" vertical="top"/>
    </xf>
    <xf numFmtId="0" fontId="12" fillId="0" borderId="32" xfId="224" applyBorder="1" applyAlignment="1">
      <alignment vertical="top"/>
    </xf>
    <xf numFmtId="43" fontId="12" fillId="0" borderId="32" xfId="8" applyFont="1" applyFill="1" applyBorder="1" applyAlignment="1" applyProtection="1">
      <alignment horizontal="center" vertical="top"/>
    </xf>
    <xf numFmtId="4" fontId="12" fillId="2" borderId="32" xfId="0" applyNumberFormat="1" applyFont="1" applyFill="1" applyBorder="1" applyAlignment="1" applyProtection="1">
      <alignment horizontal="right" vertical="top" wrapText="1"/>
      <protection locked="0"/>
    </xf>
    <xf numFmtId="4" fontId="12" fillId="2" borderId="32" xfId="0" applyNumberFormat="1" applyFont="1" applyFill="1" applyBorder="1" applyAlignment="1" applyProtection="1">
      <alignment vertical="top"/>
      <protection locked="0"/>
    </xf>
    <xf numFmtId="0" fontId="12" fillId="0" borderId="31" xfId="0" applyFont="1" applyBorder="1" applyAlignment="1">
      <alignment horizontal="right" vertical="top" wrapText="1"/>
    </xf>
    <xf numFmtId="4" fontId="12" fillId="0" borderId="31" xfId="0" applyNumberFormat="1" applyFont="1" applyBorder="1" applyAlignment="1">
      <alignment horizontal="right" vertical="top" wrapText="1"/>
    </xf>
    <xf numFmtId="4" fontId="12" fillId="0" borderId="31" xfId="0" applyNumberFormat="1" applyFont="1" applyBorder="1" applyAlignment="1">
      <alignment horizontal="center" vertical="top" wrapText="1"/>
    </xf>
    <xf numFmtId="4" fontId="14" fillId="0" borderId="31" xfId="0" applyNumberFormat="1" applyFont="1" applyBorder="1" applyAlignment="1" applyProtection="1">
      <alignment horizontal="right" vertical="top" wrapText="1"/>
      <protection locked="0"/>
    </xf>
    <xf numFmtId="175" fontId="12" fillId="0" borderId="32" xfId="809" applyNumberFormat="1" applyBorder="1" applyAlignment="1">
      <alignment horizontal="left" vertical="top" wrapText="1"/>
    </xf>
    <xf numFmtId="0" fontId="12" fillId="0" borderId="32" xfId="809" applyBorder="1" applyAlignment="1">
      <alignment horizontal="left" vertical="top" wrapText="1"/>
    </xf>
    <xf numFmtId="4" fontId="12" fillId="2" borderId="32" xfId="188" applyNumberFormat="1" applyFont="1" applyFill="1" applyBorder="1" applyAlignment="1" applyProtection="1">
      <alignment horizontal="right" vertical="top" wrapText="1"/>
    </xf>
    <xf numFmtId="4" fontId="12" fillId="2" borderId="32" xfId="0" applyNumberFormat="1" applyFont="1" applyFill="1" applyBorder="1" applyAlignment="1">
      <alignment horizontal="center" vertical="top"/>
    </xf>
    <xf numFmtId="216" fontId="12" fillId="0" borderId="32" xfId="0" applyNumberFormat="1" applyFont="1" applyBorder="1" applyAlignment="1">
      <alignment horizontal="right" vertical="top" wrapText="1"/>
    </xf>
    <xf numFmtId="0" fontId="12" fillId="0" borderId="32" xfId="0" applyFont="1" applyBorder="1" applyAlignment="1">
      <alignment horizontal="left" vertical="top"/>
    </xf>
    <xf numFmtId="2" fontId="12" fillId="0" borderId="32" xfId="0" applyNumberFormat="1" applyFont="1" applyBorder="1" applyAlignment="1">
      <alignment vertical="top" wrapText="1"/>
    </xf>
    <xf numFmtId="0" fontId="12" fillId="0" borderId="32" xfId="0" applyFont="1" applyBorder="1" applyAlignment="1">
      <alignment horizontal="center" vertical="top"/>
    </xf>
    <xf numFmtId="4" fontId="12" fillId="0" borderId="32" xfId="0" applyNumberFormat="1" applyFont="1" applyBorder="1" applyAlignment="1" applyProtection="1">
      <alignment horizontal="right" vertical="top" wrapText="1"/>
      <protection locked="0"/>
    </xf>
    <xf numFmtId="171" fontId="12" fillId="2" borderId="32" xfId="1112" applyFont="1" applyFill="1" applyBorder="1" applyAlignment="1" applyProtection="1">
      <alignment horizontal="right" vertical="top" wrapText="1"/>
    </xf>
    <xf numFmtId="49" fontId="12" fillId="55" borderId="32" xfId="0" applyNumberFormat="1" applyFont="1" applyFill="1" applyBorder="1" applyAlignment="1">
      <alignment horizontal="right" vertical="top"/>
    </xf>
    <xf numFmtId="0" fontId="11" fillId="55" borderId="32" xfId="0" applyFont="1" applyFill="1" applyBorder="1" applyAlignment="1">
      <alignment horizontal="center" vertical="top" wrapText="1"/>
    </xf>
    <xf numFmtId="4" fontId="12" fillId="55" borderId="32" xfId="0" applyNumberFormat="1" applyFont="1" applyFill="1" applyBorder="1" applyAlignment="1">
      <alignment horizontal="right" vertical="top" wrapText="1"/>
    </xf>
    <xf numFmtId="0" fontId="12" fillId="55" borderId="32" xfId="0" applyFont="1" applyFill="1" applyBorder="1" applyAlignment="1">
      <alignment horizontal="center" vertical="top"/>
    </xf>
    <xf numFmtId="4" fontId="12" fillId="55" borderId="32" xfId="0" applyNumberFormat="1" applyFont="1" applyFill="1" applyBorder="1" applyAlignment="1" applyProtection="1">
      <alignment vertical="top"/>
      <protection locked="0"/>
    </xf>
    <xf numFmtId="172" fontId="11" fillId="55" borderId="32" xfId="0" applyNumberFormat="1" applyFont="1" applyFill="1" applyBorder="1" applyAlignment="1">
      <alignment horizontal="right" vertical="top"/>
    </xf>
    <xf numFmtId="1" fontId="11" fillId="0" borderId="29" xfId="228" applyNumberFormat="1" applyFont="1" applyBorder="1" applyAlignment="1">
      <alignment vertical="top"/>
    </xf>
    <xf numFmtId="0" fontId="12" fillId="0" borderId="29" xfId="228" applyBorder="1" applyAlignment="1">
      <alignment horizontal="center" vertical="top"/>
    </xf>
    <xf numFmtId="0" fontId="12" fillId="0" borderId="32" xfId="0" applyFont="1" applyBorder="1" applyAlignment="1">
      <alignment vertical="top" wrapText="1"/>
    </xf>
    <xf numFmtId="4" fontId="12" fillId="0" borderId="32" xfId="0" applyNumberFormat="1" applyFont="1" applyBorder="1" applyAlignment="1">
      <alignment horizontal="right" vertical="top" wrapText="1"/>
    </xf>
    <xf numFmtId="4" fontId="12" fillId="0" borderId="32" xfId="0" applyNumberFormat="1" applyFont="1" applyBorder="1" applyAlignment="1">
      <alignment horizontal="center" vertical="top"/>
    </xf>
    <xf numFmtId="4" fontId="16" fillId="0" borderId="32" xfId="192" applyNumberFormat="1" applyFont="1" applyFill="1" applyBorder="1" applyAlignment="1" applyProtection="1">
      <alignment vertical="top"/>
      <protection locked="0"/>
    </xf>
    <xf numFmtId="4" fontId="12" fillId="0" borderId="32" xfId="0" applyNumberFormat="1" applyFont="1" applyBorder="1" applyAlignment="1" applyProtection="1">
      <alignment vertical="top"/>
      <protection locked="0"/>
    </xf>
    <xf numFmtId="0" fontId="11" fillId="0" borderId="28" xfId="0" applyFont="1" applyBorder="1" applyAlignment="1">
      <alignment horizontal="right" vertical="top" wrapText="1"/>
    </xf>
    <xf numFmtId="0" fontId="12" fillId="0" borderId="28" xfId="0" applyFont="1" applyBorder="1" applyAlignment="1">
      <alignment vertical="top" wrapText="1"/>
    </xf>
    <xf numFmtId="4" fontId="12" fillId="0" borderId="28" xfId="0" applyNumberFormat="1" applyFont="1" applyBorder="1" applyAlignment="1">
      <alignment horizontal="right" vertical="top" wrapText="1"/>
    </xf>
    <xf numFmtId="4" fontId="12" fillId="0" borderId="28" xfId="0" applyNumberFormat="1" applyFont="1" applyBorder="1" applyAlignment="1">
      <alignment horizontal="center" vertical="top"/>
    </xf>
    <xf numFmtId="4" fontId="16" fillId="0" borderId="28" xfId="192" applyNumberFormat="1" applyFont="1" applyFill="1" applyBorder="1" applyAlignment="1" applyProtection="1">
      <alignment vertical="top"/>
      <protection locked="0"/>
    </xf>
    <xf numFmtId="4" fontId="12" fillId="0" borderId="28" xfId="0" applyNumberFormat="1" applyFont="1" applyBorder="1" applyAlignment="1" applyProtection="1">
      <alignment vertical="top"/>
      <protection locked="0"/>
    </xf>
    <xf numFmtId="174" fontId="12" fillId="0" borderId="32" xfId="197" applyNumberFormat="1" applyFont="1" applyFill="1" applyBorder="1" applyAlignment="1" applyProtection="1">
      <alignment vertical="top"/>
    </xf>
    <xf numFmtId="174" fontId="12" fillId="3" borderId="32" xfId="194" applyNumberFormat="1" applyFont="1" applyFill="1" applyBorder="1" applyAlignment="1" applyProtection="1">
      <alignment horizontal="right" vertical="top"/>
    </xf>
    <xf numFmtId="0" fontId="11" fillId="3" borderId="32" xfId="0" applyFont="1" applyFill="1" applyBorder="1" applyAlignment="1">
      <alignment horizontal="center" vertical="top" wrapText="1"/>
    </xf>
    <xf numFmtId="4" fontId="12" fillId="3" borderId="32" xfId="4" applyNumberFormat="1" applyFont="1" applyFill="1" applyBorder="1" applyAlignment="1" applyProtection="1">
      <alignment horizontal="right" vertical="top" wrapText="1"/>
    </xf>
    <xf numFmtId="0" fontId="12" fillId="3" borderId="32" xfId="4" applyNumberFormat="1" applyFont="1" applyFill="1" applyBorder="1" applyAlignment="1" applyProtection="1">
      <alignment horizontal="center" vertical="top"/>
    </xf>
    <xf numFmtId="4" fontId="12" fillId="3" borderId="32" xfId="4" applyNumberFormat="1" applyFont="1" applyFill="1" applyBorder="1" applyAlignment="1" applyProtection="1">
      <alignment horizontal="right" vertical="top" wrapText="1"/>
      <protection locked="0"/>
    </xf>
    <xf numFmtId="4" fontId="11" fillId="3" borderId="32" xfId="4" applyNumberFormat="1" applyFont="1" applyFill="1" applyBorder="1" applyAlignment="1" applyProtection="1">
      <alignment horizontal="right" vertical="top" wrapText="1"/>
      <protection locked="0"/>
    </xf>
    <xf numFmtId="2" fontId="12" fillId="0" borderId="32" xfId="809" applyNumberFormat="1" applyBorder="1" applyAlignment="1">
      <alignment horizontal="right" vertical="top" wrapText="1"/>
    </xf>
    <xf numFmtId="215" fontId="18" fillId="0" borderId="32" xfId="0" applyNumberFormat="1" applyFont="1" applyBorder="1" applyAlignment="1">
      <alignment horizontal="right" vertical="top" wrapText="1"/>
    </xf>
    <xf numFmtId="0" fontId="19" fillId="2" borderId="32" xfId="0" applyFont="1" applyFill="1" applyBorder="1" applyAlignment="1">
      <alignment horizontal="left" vertical="top" wrapText="1"/>
    </xf>
    <xf numFmtId="4" fontId="19" fillId="2" borderId="32" xfId="0" applyNumberFormat="1" applyFont="1" applyFill="1" applyBorder="1" applyAlignment="1">
      <alignment vertical="top" wrapText="1"/>
    </xf>
    <xf numFmtId="0" fontId="19" fillId="2" borderId="32" xfId="0" applyFont="1" applyFill="1" applyBorder="1" applyAlignment="1">
      <alignment horizontal="center" vertical="top"/>
    </xf>
    <xf numFmtId="4" fontId="19" fillId="2" borderId="32" xfId="0" applyNumberFormat="1" applyFont="1" applyFill="1" applyBorder="1" applyAlignment="1" applyProtection="1">
      <alignment horizontal="right" vertical="top" wrapText="1"/>
      <protection locked="0"/>
    </xf>
    <xf numFmtId="2" fontId="12" fillId="2" borderId="32" xfId="0" applyNumberFormat="1" applyFont="1" applyFill="1" applyBorder="1" applyAlignment="1">
      <alignment horizontal="right" vertical="top"/>
    </xf>
    <xf numFmtId="0" fontId="12" fillId="2" borderId="32" xfId="0" applyFont="1" applyFill="1" applyBorder="1" applyAlignment="1">
      <alignment horizontal="left" vertical="top" wrapText="1"/>
    </xf>
    <xf numFmtId="172" fontId="12" fillId="2" borderId="32" xfId="0" applyNumberFormat="1" applyFont="1" applyFill="1" applyBorder="1" applyAlignment="1">
      <alignment horizontal="center" vertical="top" wrapText="1"/>
    </xf>
    <xf numFmtId="214" fontId="14" fillId="0" borderId="31" xfId="0" applyNumberFormat="1" applyFont="1" applyBorder="1" applyAlignment="1">
      <alignment horizontal="right" vertical="top" wrapText="1"/>
    </xf>
    <xf numFmtId="0" fontId="14" fillId="0" borderId="31" xfId="0" applyFont="1" applyBorder="1" applyAlignment="1">
      <alignment horizontal="left" vertical="top" wrapText="1"/>
    </xf>
    <xf numFmtId="4" fontId="12" fillId="0" borderId="31" xfId="4" applyNumberFormat="1" applyFont="1" applyFill="1" applyBorder="1" applyAlignment="1" applyProtection="1">
      <alignment horizontal="center" vertical="top"/>
    </xf>
    <xf numFmtId="172" fontId="14" fillId="0" borderId="31" xfId="0" applyNumberFormat="1" applyFont="1" applyBorder="1" applyAlignment="1" applyProtection="1">
      <alignment horizontal="right" vertical="top"/>
      <protection locked="0"/>
    </xf>
    <xf numFmtId="0" fontId="12" fillId="2" borderId="32" xfId="0" applyFont="1" applyFill="1" applyBorder="1" applyAlignment="1">
      <alignment vertical="top" wrapText="1"/>
    </xf>
    <xf numFmtId="171" fontId="12" fillId="0" borderId="32" xfId="1112" applyFont="1" applyFill="1" applyBorder="1" applyAlignment="1" applyProtection="1">
      <alignment horizontal="right" vertical="top" wrapText="1"/>
    </xf>
    <xf numFmtId="216" fontId="12" fillId="0" borderId="32" xfId="15" applyNumberFormat="1" applyFont="1" applyBorder="1" applyAlignment="1">
      <alignment vertical="top" wrapText="1"/>
    </xf>
    <xf numFmtId="0" fontId="12" fillId="0" borderId="32" xfId="15" applyFont="1" applyBorder="1" applyAlignment="1">
      <alignment vertical="top" wrapText="1"/>
    </xf>
    <xf numFmtId="172" fontId="12" fillId="0" borderId="32" xfId="11" applyNumberFormat="1" applyFont="1" applyFill="1" applyBorder="1" applyAlignment="1" applyProtection="1">
      <alignment vertical="top" wrapText="1"/>
    </xf>
    <xf numFmtId="0" fontId="12" fillId="0" borderId="32" xfId="15" applyFont="1" applyBorder="1" applyAlignment="1">
      <alignment horizontal="center" vertical="top"/>
    </xf>
    <xf numFmtId="172" fontId="12" fillId="0" borderId="32" xfId="1118" applyNumberFormat="1" applyFont="1" applyBorder="1" applyAlignment="1" applyProtection="1">
      <alignment vertical="top"/>
      <protection locked="0"/>
    </xf>
    <xf numFmtId="4" fontId="12" fillId="0" borderId="32" xfId="0" applyNumberFormat="1" applyFont="1" applyBorder="1" applyAlignment="1" applyProtection="1">
      <alignment horizontal="right" vertical="top"/>
      <protection locked="0"/>
    </xf>
    <xf numFmtId="4" fontId="12" fillId="0" borderId="3" xfId="0" applyNumberFormat="1" applyFont="1" applyBorder="1" applyAlignment="1" applyProtection="1">
      <alignment horizontal="right" vertical="top" wrapText="1"/>
      <protection locked="0"/>
    </xf>
    <xf numFmtId="171" fontId="19" fillId="2" borderId="32" xfId="1112" applyFont="1" applyFill="1" applyBorder="1" applyAlignment="1" applyProtection="1">
      <alignment horizontal="right" vertical="top" wrapText="1"/>
      <protection locked="0"/>
    </xf>
    <xf numFmtId="171" fontId="12" fillId="2" borderId="3" xfId="1112" applyFont="1" applyFill="1" applyBorder="1" applyAlignment="1" applyProtection="1">
      <alignment horizontal="right" vertical="top" wrapText="1"/>
      <protection locked="0"/>
    </xf>
    <xf numFmtId="4" fontId="12" fillId="0" borderId="3" xfId="0" applyNumberFormat="1" applyFont="1" applyBorder="1" applyAlignment="1" applyProtection="1">
      <alignment vertical="top"/>
      <protection locked="0"/>
    </xf>
    <xf numFmtId="171" fontId="12" fillId="0" borderId="3" xfId="1112" applyFont="1" applyFill="1" applyBorder="1" applyAlignment="1" applyProtection="1">
      <alignment horizontal="right" vertical="top" wrapText="1"/>
      <protection locked="0"/>
    </xf>
    <xf numFmtId="171" fontId="12" fillId="0" borderId="32" xfId="1112" applyFont="1" applyFill="1" applyBorder="1" applyAlignment="1" applyProtection="1">
      <alignment horizontal="right" vertical="top" wrapText="1"/>
      <protection locked="0"/>
    </xf>
    <xf numFmtId="172" fontId="12" fillId="2" borderId="3" xfId="0" applyNumberFormat="1" applyFont="1" applyFill="1" applyBorder="1" applyAlignment="1" applyProtection="1">
      <alignment horizontal="right" vertical="top"/>
      <protection locked="0"/>
    </xf>
    <xf numFmtId="171" fontId="19" fillId="0" borderId="3" xfId="1112" applyFont="1" applyFill="1" applyBorder="1" applyAlignment="1" applyProtection="1">
      <alignment horizontal="right" vertical="top" wrapText="1"/>
      <protection locked="0"/>
    </xf>
    <xf numFmtId="4" fontId="14" fillId="0" borderId="3" xfId="8" applyNumberFormat="1" applyFont="1" applyFill="1" applyBorder="1" applyProtection="1">
      <protection locked="0"/>
    </xf>
    <xf numFmtId="0" fontId="12" fillId="0" borderId="0" xfId="0" applyFont="1" applyAlignment="1" applyProtection="1">
      <alignment horizontal="right" vertical="top" wrapText="1"/>
      <protection locked="0"/>
    </xf>
    <xf numFmtId="0" fontId="81" fillId="0" borderId="33" xfId="903" applyFont="1" applyBorder="1"/>
    <xf numFmtId="4" fontId="81" fillId="0" borderId="33" xfId="903" applyNumberFormat="1" applyFont="1" applyBorder="1"/>
    <xf numFmtId="0" fontId="81" fillId="0" borderId="33" xfId="903" applyFont="1" applyBorder="1" applyAlignment="1">
      <alignment horizontal="center"/>
    </xf>
    <xf numFmtId="171" fontId="81" fillId="0" borderId="33" xfId="6" applyFont="1" applyBorder="1"/>
    <xf numFmtId="0" fontId="82" fillId="0" borderId="0" xfId="903" applyFont="1" applyAlignment="1">
      <alignment horizontal="center"/>
    </xf>
    <xf numFmtId="4" fontId="82" fillId="0" borderId="0" xfId="903" applyNumberFormat="1" applyFont="1" applyAlignment="1">
      <alignment horizontal="center"/>
    </xf>
    <xf numFmtId="0" fontId="82" fillId="0" borderId="7" xfId="903" applyFont="1" applyBorder="1" applyAlignment="1">
      <alignment horizontal="center"/>
    </xf>
    <xf numFmtId="39" fontId="83" fillId="60" borderId="33" xfId="903" applyNumberFormat="1" applyFont="1" applyFill="1" applyBorder="1" applyAlignment="1">
      <alignment vertical="top" wrapText="1"/>
    </xf>
    <xf numFmtId="4" fontId="83" fillId="60" borderId="33" xfId="903" applyNumberFormat="1" applyFont="1" applyFill="1" applyBorder="1" applyAlignment="1">
      <alignment vertical="top"/>
    </xf>
    <xf numFmtId="0" fontId="83" fillId="60" borderId="33" xfId="903" applyFont="1" applyFill="1" applyBorder="1" applyAlignment="1">
      <alignment horizontal="center" vertical="top"/>
    </xf>
    <xf numFmtId="171" fontId="83" fillId="60" borderId="33" xfId="6" applyFont="1" applyFill="1" applyBorder="1" applyAlignment="1">
      <alignment vertical="top"/>
    </xf>
    <xf numFmtId="0" fontId="83" fillId="0" borderId="33" xfId="903" applyFont="1" applyBorder="1" applyAlignment="1">
      <alignment horizontal="center" vertical="top" wrapText="1"/>
    </xf>
    <xf numFmtId="4" fontId="83" fillId="0" borderId="33" xfId="132" applyNumberFormat="1" applyFont="1" applyBorder="1" applyAlignment="1">
      <alignment horizontal="center" vertical="top"/>
    </xf>
    <xf numFmtId="0" fontId="83" fillId="0" borderId="33" xfId="903" applyFont="1" applyBorder="1" applyAlignment="1">
      <alignment horizontal="center" vertical="top"/>
    </xf>
    <xf numFmtId="171" fontId="83" fillId="0" borderId="33" xfId="6" applyFont="1" applyBorder="1" applyAlignment="1">
      <alignment horizontal="center" vertical="top"/>
    </xf>
    <xf numFmtId="0" fontId="84" fillId="0" borderId="33" xfId="903" applyFont="1" applyBorder="1" applyAlignment="1">
      <alignment vertical="top" wrapText="1"/>
    </xf>
    <xf numFmtId="4" fontId="85" fillId="0" borderId="33" xfId="132" applyNumberFormat="1" applyFont="1" applyBorder="1" applyAlignment="1">
      <alignment vertical="top"/>
    </xf>
    <xf numFmtId="0" fontId="81" fillId="0" borderId="33" xfId="903" applyFont="1" applyBorder="1" applyAlignment="1">
      <alignment horizontal="center" vertical="top"/>
    </xf>
    <xf numFmtId="171" fontId="85" fillId="0" borderId="33" xfId="6" applyFont="1" applyBorder="1" applyAlignment="1">
      <alignment vertical="top"/>
    </xf>
    <xf numFmtId="0" fontId="81" fillId="0" borderId="33" xfId="903" applyFont="1" applyBorder="1" applyAlignment="1">
      <alignment vertical="top" wrapText="1"/>
    </xf>
    <xf numFmtId="167" fontId="85" fillId="0" borderId="33" xfId="132" applyFont="1" applyFill="1" applyBorder="1" applyAlignment="1">
      <alignment horizontal="center" vertical="top"/>
    </xf>
    <xf numFmtId="0" fontId="83" fillId="0" borderId="33" xfId="903" applyFont="1" applyBorder="1" applyAlignment="1">
      <alignment vertical="top" wrapText="1"/>
    </xf>
    <xf numFmtId="171" fontId="83" fillId="0" borderId="33" xfId="6" applyFont="1" applyBorder="1" applyAlignment="1">
      <alignment vertical="top"/>
    </xf>
    <xf numFmtId="4" fontId="85" fillId="0" borderId="33" xfId="132" applyNumberFormat="1" applyFont="1" applyFill="1" applyBorder="1" applyAlignment="1">
      <alignment vertical="top"/>
    </xf>
    <xf numFmtId="167" fontId="85" fillId="0" borderId="33" xfId="132" applyFont="1" applyBorder="1" applyAlignment="1">
      <alignment horizontal="center" vertical="top"/>
    </xf>
    <xf numFmtId="171" fontId="85" fillId="0" borderId="34" xfId="6" applyFont="1" applyBorder="1" applyAlignment="1">
      <alignment vertical="top"/>
    </xf>
    <xf numFmtId="0" fontId="86" fillId="0" borderId="33" xfId="903" applyFont="1" applyBorder="1" applyAlignment="1">
      <alignment vertical="top" wrapText="1"/>
    </xf>
    <xf numFmtId="4" fontId="87" fillId="0" borderId="33" xfId="132" applyNumberFormat="1" applyFont="1" applyBorder="1" applyAlignment="1">
      <alignment vertical="top"/>
    </xf>
    <xf numFmtId="0" fontId="88" fillId="0" borderId="33" xfId="903" applyFont="1" applyBorder="1" applyAlignment="1">
      <alignment horizontal="center" vertical="top"/>
    </xf>
    <xf numFmtId="171" fontId="88" fillId="0" borderId="33" xfId="6" applyFont="1" applyBorder="1" applyAlignment="1">
      <alignment vertical="top"/>
    </xf>
    <xf numFmtId="4" fontId="83" fillId="0" borderId="33" xfId="132" applyNumberFormat="1" applyFont="1" applyBorder="1" applyAlignment="1">
      <alignment vertical="top"/>
    </xf>
    <xf numFmtId="4" fontId="0" fillId="0" borderId="0" xfId="0" applyNumberFormat="1"/>
    <xf numFmtId="39" fontId="83" fillId="60" borderId="33" xfId="903" applyNumberFormat="1" applyFont="1" applyFill="1" applyBorder="1" applyAlignment="1">
      <alignment horizontal="center" vertical="top"/>
    </xf>
    <xf numFmtId="171" fontId="89" fillId="0" borderId="33" xfId="6" applyFont="1" applyBorder="1" applyAlignment="1">
      <alignment vertical="top"/>
    </xf>
    <xf numFmtId="0" fontId="81" fillId="0" borderId="33" xfId="903" applyFont="1" applyBorder="1" applyAlignment="1">
      <alignment horizontal="left" vertical="top" wrapText="1"/>
    </xf>
    <xf numFmtId="4" fontId="85" fillId="0" borderId="33" xfId="132" applyNumberFormat="1" applyFont="1" applyBorder="1" applyAlignment="1">
      <alignment horizontal="center" vertical="top"/>
    </xf>
    <xf numFmtId="43" fontId="85" fillId="0" borderId="33" xfId="6" applyNumberFormat="1" applyFont="1" applyBorder="1" applyAlignment="1">
      <alignment vertical="top"/>
    </xf>
    <xf numFmtId="4" fontId="89" fillId="0" borderId="33" xfId="132" applyNumberFormat="1" applyFont="1" applyBorder="1" applyAlignment="1">
      <alignment vertical="top"/>
    </xf>
    <xf numFmtId="0" fontId="83" fillId="0" borderId="0" xfId="903" applyFont="1" applyAlignment="1">
      <alignment vertical="top" wrapText="1"/>
    </xf>
    <xf numFmtId="4" fontId="89" fillId="0" borderId="0" xfId="132" applyNumberFormat="1" applyFont="1" applyBorder="1" applyAlignment="1">
      <alignment vertical="top"/>
    </xf>
    <xf numFmtId="0" fontId="83" fillId="0" borderId="0" xfId="903" applyFont="1" applyAlignment="1">
      <alignment horizontal="center" vertical="top"/>
    </xf>
    <xf numFmtId="171" fontId="89" fillId="0" borderId="0" xfId="6" applyFont="1" applyBorder="1" applyAlignment="1">
      <alignment vertical="top"/>
    </xf>
    <xf numFmtId="0" fontId="90" fillId="0" borderId="0" xfId="0" applyFont="1"/>
    <xf numFmtId="4" fontId="90" fillId="0" borderId="0" xfId="0" applyNumberFormat="1" applyFont="1"/>
    <xf numFmtId="0" fontId="90" fillId="0" borderId="0" xfId="0" applyFont="1" applyAlignment="1">
      <alignment horizontal="center"/>
    </xf>
    <xf numFmtId="39" fontId="83" fillId="0" borderId="33" xfId="903" applyNumberFormat="1" applyFont="1" applyBorder="1" applyAlignment="1">
      <alignment horizontal="center" vertical="top"/>
    </xf>
    <xf numFmtId="0" fontId="91" fillId="0" borderId="33" xfId="903" applyFont="1" applyBorder="1" applyAlignment="1">
      <alignment horizontal="center" vertical="center"/>
    </xf>
    <xf numFmtId="0" fontId="93" fillId="62" borderId="33" xfId="903" applyFont="1" applyFill="1" applyBorder="1" applyAlignment="1">
      <alignment vertical="top" wrapText="1"/>
    </xf>
    <xf numFmtId="0" fontId="94" fillId="62" borderId="33" xfId="903" applyFont="1" applyFill="1" applyBorder="1" applyAlignment="1">
      <alignment horizontal="center" vertical="top"/>
    </xf>
    <xf numFmtId="0" fontId="81" fillId="0" borderId="33" xfId="903" quotePrefix="1" applyFont="1" applyBorder="1" applyAlignment="1">
      <alignment vertical="top" wrapText="1"/>
    </xf>
    <xf numFmtId="0" fontId="96" fillId="0" borderId="33" xfId="903" applyFont="1" applyBorder="1" applyAlignment="1">
      <alignment vertical="top" wrapText="1"/>
    </xf>
    <xf numFmtId="0" fontId="96" fillId="0" borderId="33" xfId="903" applyFont="1" applyBorder="1" applyAlignment="1">
      <alignment horizontal="center" vertical="top"/>
    </xf>
    <xf numFmtId="0" fontId="81" fillId="0" borderId="33" xfId="903" applyFont="1" applyBorder="1" applyAlignment="1">
      <alignment vertical="top"/>
    </xf>
    <xf numFmtId="0" fontId="98" fillId="0" borderId="33" xfId="903" applyFont="1" applyBorder="1" applyAlignment="1">
      <alignment vertical="top" wrapText="1"/>
    </xf>
    <xf numFmtId="0" fontId="2" fillId="0" borderId="0" xfId="1123"/>
    <xf numFmtId="39" fontId="20" fillId="0" borderId="0" xfId="1124" applyNumberFormat="1"/>
    <xf numFmtId="0" fontId="11" fillId="0" borderId="35" xfId="1124" applyFont="1" applyBorder="1" applyAlignment="1">
      <alignment horizontal="center" vertical="center"/>
    </xf>
    <xf numFmtId="0" fontId="11" fillId="0" borderId="35" xfId="1124" applyFont="1" applyBorder="1" applyAlignment="1">
      <alignment horizontal="center" vertical="center" wrapText="1"/>
    </xf>
    <xf numFmtId="0" fontId="99" fillId="0" borderId="35" xfId="1124" applyFont="1" applyBorder="1" applyAlignment="1">
      <alignment horizontal="center" wrapText="1"/>
    </xf>
    <xf numFmtId="0" fontId="100" fillId="0" borderId="36" xfId="1124" applyFont="1" applyBorder="1" applyAlignment="1">
      <alignment horizontal="center"/>
    </xf>
    <xf numFmtId="0" fontId="100" fillId="0" borderId="37" xfId="1124" applyFont="1" applyBorder="1" applyAlignment="1">
      <alignment horizontal="center"/>
    </xf>
    <xf numFmtId="39" fontId="100" fillId="0" borderId="37" xfId="1124" applyNumberFormat="1" applyFont="1" applyBorder="1"/>
    <xf numFmtId="39" fontId="20" fillId="0" borderId="37" xfId="1124" applyNumberFormat="1" applyBorder="1"/>
    <xf numFmtId="0" fontId="20" fillId="0" borderId="37" xfId="1124" applyBorder="1"/>
    <xf numFmtId="43" fontId="20" fillId="0" borderId="37" xfId="716" applyFont="1" applyBorder="1"/>
    <xf numFmtId="43" fontId="20" fillId="0" borderId="38" xfId="716" applyFont="1" applyBorder="1"/>
    <xf numFmtId="43" fontId="20" fillId="0" borderId="39" xfId="716" applyFont="1" applyBorder="1"/>
    <xf numFmtId="0" fontId="100" fillId="0" borderId="40" xfId="1124" applyFont="1" applyBorder="1" applyAlignment="1">
      <alignment horizontal="center"/>
    </xf>
    <xf numFmtId="0" fontId="100" fillId="0" borderId="41" xfId="1124" applyFont="1" applyBorder="1" applyAlignment="1">
      <alignment horizontal="center"/>
    </xf>
    <xf numFmtId="211" fontId="100" fillId="0" borderId="41" xfId="1124" applyNumberFormat="1" applyFont="1" applyBorder="1"/>
    <xf numFmtId="39" fontId="100" fillId="0" borderId="41" xfId="1124" applyNumberFormat="1" applyFont="1" applyBorder="1"/>
    <xf numFmtId="39" fontId="20" fillId="0" borderId="41" xfId="1124" applyNumberFormat="1" applyBorder="1"/>
    <xf numFmtId="0" fontId="20" fillId="0" borderId="41" xfId="1124" applyBorder="1"/>
    <xf numFmtId="43" fontId="20" fillId="0" borderId="41" xfId="716" applyFont="1" applyBorder="1"/>
    <xf numFmtId="43" fontId="20" fillId="0" borderId="42" xfId="716" applyFont="1" applyBorder="1"/>
    <xf numFmtId="43" fontId="20" fillId="0" borderId="43" xfId="716" applyFont="1" applyBorder="1"/>
    <xf numFmtId="2" fontId="20" fillId="0" borderId="41" xfId="1124" applyNumberFormat="1" applyBorder="1"/>
    <xf numFmtId="0" fontId="20" fillId="0" borderId="42" xfId="1124" applyBorder="1"/>
    <xf numFmtId="0" fontId="20" fillId="0" borderId="43" xfId="1124" applyBorder="1"/>
    <xf numFmtId="189" fontId="100" fillId="0" borderId="41" xfId="1124" applyNumberFormat="1" applyFont="1" applyBorder="1"/>
    <xf numFmtId="0" fontId="100" fillId="0" borderId="40" xfId="1124" applyFont="1" applyBorder="1" applyAlignment="1">
      <alignment horizontal="left"/>
    </xf>
    <xf numFmtId="0" fontId="20" fillId="0" borderId="0" xfId="1124"/>
    <xf numFmtId="0" fontId="20" fillId="0" borderId="40" xfId="1124" applyBorder="1" applyAlignment="1">
      <alignment horizontal="center"/>
    </xf>
    <xf numFmtId="0" fontId="20" fillId="0" borderId="40" xfId="1124" applyBorder="1" applyAlignment="1">
      <alignment horizontal="left"/>
    </xf>
    <xf numFmtId="0" fontId="101" fillId="0" borderId="41" xfId="1124" applyFont="1" applyBorder="1"/>
    <xf numFmtId="0" fontId="102" fillId="0" borderId="40" xfId="1124" applyFont="1" applyBorder="1" applyAlignment="1">
      <alignment horizontal="left"/>
    </xf>
    <xf numFmtId="0" fontId="20" fillId="0" borderId="40" xfId="1124" applyBorder="1"/>
    <xf numFmtId="0" fontId="20" fillId="0" borderId="41" xfId="1124" applyBorder="1" applyAlignment="1">
      <alignment horizontal="center"/>
    </xf>
    <xf numFmtId="0" fontId="20" fillId="0" borderId="44" xfId="1124" applyBorder="1"/>
    <xf numFmtId="0" fontId="20" fillId="0" borderId="45" xfId="1124" applyBorder="1"/>
    <xf numFmtId="39" fontId="20" fillId="0" borderId="45" xfId="1124" applyNumberFormat="1" applyBorder="1"/>
    <xf numFmtId="0" fontId="20" fillId="0" borderId="46" xfId="1124" applyBorder="1"/>
    <xf numFmtId="0" fontId="20" fillId="0" borderId="47" xfId="1124" applyBorder="1"/>
    <xf numFmtId="0" fontId="12" fillId="0" borderId="0" xfId="1125"/>
    <xf numFmtId="0" fontId="103" fillId="6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60" borderId="0" xfId="0" applyFont="1" applyFill="1" applyAlignment="1">
      <alignment horizontal="center"/>
    </xf>
    <xf numFmtId="2" fontId="81" fillId="0" borderId="33" xfId="903" applyNumberFormat="1" applyFont="1" applyBorder="1"/>
    <xf numFmtId="2" fontId="82" fillId="0" borderId="0" xfId="903" applyNumberFormat="1" applyFont="1" applyAlignment="1">
      <alignment horizontal="center"/>
    </xf>
    <xf numFmtId="2" fontId="83" fillId="60" borderId="33" xfId="903" applyNumberFormat="1" applyFont="1" applyFill="1" applyBorder="1" applyAlignment="1">
      <alignment vertical="top"/>
    </xf>
    <xf numFmtId="2" fontId="83" fillId="0" borderId="33" xfId="132" applyNumberFormat="1" applyFont="1" applyBorder="1" applyAlignment="1">
      <alignment horizontal="center" vertical="top"/>
    </xf>
    <xf numFmtId="2" fontId="85" fillId="0" borderId="33" xfId="132" applyNumberFormat="1" applyFont="1" applyBorder="1" applyAlignment="1">
      <alignment vertical="top"/>
    </xf>
    <xf numFmtId="2" fontId="87" fillId="0" borderId="33" xfId="132" applyNumberFormat="1" applyFont="1" applyBorder="1" applyAlignment="1">
      <alignment vertical="top"/>
    </xf>
    <xf numFmtId="2" fontId="83" fillId="0" borderId="33" xfId="132" applyNumberFormat="1" applyFont="1" applyBorder="1" applyAlignment="1">
      <alignment vertical="top"/>
    </xf>
    <xf numFmtId="2" fontId="89" fillId="0" borderId="33" xfId="132" applyNumberFormat="1" applyFont="1" applyBorder="1" applyAlignment="1">
      <alignment vertical="top"/>
    </xf>
    <xf numFmtId="2" fontId="89" fillId="0" borderId="0" xfId="132" applyNumberFormat="1" applyFont="1" applyBorder="1" applyAlignment="1">
      <alignment vertical="top"/>
    </xf>
    <xf numFmtId="2" fontId="90" fillId="0" borderId="0" xfId="0" applyNumberFormat="1" applyFont="1"/>
    <xf numFmtId="2" fontId="0" fillId="0" borderId="0" xfId="0" applyNumberFormat="1"/>
    <xf numFmtId="0" fontId="11" fillId="60" borderId="0" xfId="0" applyFont="1" applyFill="1" applyAlignment="1">
      <alignment horizontal="center" vertical="center"/>
    </xf>
    <xf numFmtId="2" fontId="85" fillId="0" borderId="34" xfId="132" applyNumberFormat="1" applyFont="1" applyBorder="1" applyAlignment="1">
      <alignment vertical="top"/>
    </xf>
    <xf numFmtId="2" fontId="11" fillId="60" borderId="0" xfId="0" applyNumberFormat="1" applyFont="1" applyFill="1" applyAlignment="1">
      <alignment horizontal="center" vertical="center"/>
    </xf>
    <xf numFmtId="175" fontId="11" fillId="60" borderId="0" xfId="0" applyNumberFormat="1" applyFont="1" applyFill="1" applyAlignment="1">
      <alignment horizontal="center" vertical="center"/>
    </xf>
    <xf numFmtId="4" fontId="92" fillId="0" borderId="33" xfId="132" applyNumberFormat="1" applyFont="1" applyFill="1" applyBorder="1" applyAlignment="1">
      <alignment horizontal="center" vertical="center"/>
    </xf>
    <xf numFmtId="4" fontId="91" fillId="0" borderId="33" xfId="903" applyNumberFormat="1" applyFont="1" applyBorder="1" applyAlignment="1">
      <alignment horizontal="center" vertical="center" wrapText="1"/>
    </xf>
    <xf numFmtId="4" fontId="94" fillId="62" borderId="33" xfId="132" applyNumberFormat="1" applyFont="1" applyFill="1" applyBorder="1" applyAlignment="1">
      <alignment horizontal="center" vertical="top"/>
    </xf>
    <xf numFmtId="4" fontId="94" fillId="62" borderId="33" xfId="903" applyNumberFormat="1" applyFont="1" applyFill="1" applyBorder="1" applyAlignment="1">
      <alignment vertical="top" wrapText="1"/>
    </xf>
    <xf numFmtId="4" fontId="95" fillId="0" borderId="33" xfId="132" applyNumberFormat="1" applyFont="1" applyFill="1" applyBorder="1" applyAlignment="1">
      <alignment horizontal="center" vertical="top"/>
    </xf>
    <xf numFmtId="4" fontId="81" fillId="0" borderId="33" xfId="903" applyNumberFormat="1" applyFont="1" applyBorder="1" applyAlignment="1">
      <alignment vertical="top" wrapText="1"/>
    </xf>
    <xf numFmtId="4" fontId="95" fillId="0" borderId="33" xfId="132" applyNumberFormat="1" applyFont="1" applyFill="1" applyBorder="1" applyAlignment="1">
      <alignment vertical="top"/>
    </xf>
    <xf numFmtId="4" fontId="95" fillId="0" borderId="33" xfId="6" applyNumberFormat="1" applyFont="1" applyFill="1" applyBorder="1" applyAlignment="1">
      <alignment horizontal="center" vertical="top"/>
    </xf>
    <xf numFmtId="4" fontId="95" fillId="61" borderId="33" xfId="6" applyNumberFormat="1" applyFont="1" applyFill="1" applyBorder="1" applyAlignment="1">
      <alignment horizontal="center" vertical="top"/>
    </xf>
    <xf numFmtId="4" fontId="95" fillId="0" borderId="33" xfId="132" applyNumberFormat="1" applyFont="1" applyFill="1" applyBorder="1" applyAlignment="1">
      <alignment vertical="top" wrapText="1"/>
    </xf>
    <xf numFmtId="4" fontId="95" fillId="4" borderId="33" xfId="132" applyNumberFormat="1" applyFont="1" applyFill="1" applyBorder="1" applyAlignment="1">
      <alignment horizontal="center" vertical="top"/>
    </xf>
    <xf numFmtId="4" fontId="12" fillId="0" borderId="33" xfId="132" applyNumberFormat="1" applyFont="1" applyFill="1" applyBorder="1" applyAlignment="1">
      <alignment horizontal="center" vertical="top"/>
    </xf>
    <xf numFmtId="217" fontId="85" fillId="0" borderId="33" xfId="132" applyNumberFormat="1" applyFont="1" applyBorder="1" applyAlignment="1">
      <alignment vertical="top"/>
    </xf>
    <xf numFmtId="0" fontId="81" fillId="63" borderId="33" xfId="903" applyFont="1" applyFill="1" applyBorder="1" applyAlignment="1">
      <alignment vertical="top" wrapText="1"/>
    </xf>
    <xf numFmtId="217" fontId="95" fillId="0" borderId="33" xfId="132" applyNumberFormat="1" applyFont="1" applyFill="1" applyBorder="1" applyAlignment="1">
      <alignment horizontal="center" vertical="top"/>
    </xf>
    <xf numFmtId="2" fontId="103" fillId="60" borderId="0" xfId="0" applyNumberFormat="1" applyFont="1" applyFill="1" applyAlignment="1">
      <alignment horizontal="center"/>
    </xf>
    <xf numFmtId="178" fontId="85" fillId="0" borderId="33" xfId="132" applyNumberFormat="1" applyFont="1" applyBorder="1" applyAlignment="1">
      <alignment vertical="top"/>
    </xf>
    <xf numFmtId="0" fontId="0" fillId="64" borderId="0" xfId="0" applyFill="1"/>
    <xf numFmtId="221" fontId="85" fillId="0" borderId="33" xfId="132" applyNumberFormat="1" applyFont="1" applyFill="1" applyBorder="1" applyAlignment="1">
      <alignment vertical="top"/>
    </xf>
    <xf numFmtId="4" fontId="94" fillId="0" borderId="33" xfId="903" applyNumberFormat="1" applyFont="1" applyBorder="1" applyAlignment="1">
      <alignment vertical="top" wrapText="1"/>
    </xf>
    <xf numFmtId="2" fontId="11" fillId="60" borderId="0" xfId="0" applyNumberFormat="1" applyFont="1" applyFill="1" applyAlignment="1">
      <alignment horizontal="center"/>
    </xf>
    <xf numFmtId="175" fontId="11" fillId="60" borderId="0" xfId="0" applyNumberFormat="1" applyFont="1" applyFill="1" applyAlignment="1">
      <alignment horizontal="center"/>
    </xf>
    <xf numFmtId="217" fontId="81" fillId="0" borderId="33" xfId="903" applyNumberFormat="1" applyFont="1" applyBorder="1"/>
    <xf numFmtId="217" fontId="82" fillId="0" borderId="0" xfId="903" applyNumberFormat="1" applyFont="1" applyAlignment="1">
      <alignment horizontal="center"/>
    </xf>
    <xf numFmtId="217" fontId="83" fillId="60" borderId="33" xfId="903" applyNumberFormat="1" applyFont="1" applyFill="1" applyBorder="1" applyAlignment="1">
      <alignment vertical="top"/>
    </xf>
    <xf numFmtId="217" fontId="83" fillId="0" borderId="33" xfId="132" applyNumberFormat="1" applyFont="1" applyBorder="1" applyAlignment="1">
      <alignment horizontal="center" vertical="top"/>
    </xf>
    <xf numFmtId="217" fontId="85" fillId="0" borderId="33" xfId="132" applyNumberFormat="1" applyFont="1" applyFill="1" applyBorder="1" applyAlignment="1">
      <alignment vertical="top"/>
    </xf>
    <xf numFmtId="217" fontId="87" fillId="0" borderId="33" xfId="132" applyNumberFormat="1" applyFont="1" applyBorder="1" applyAlignment="1">
      <alignment vertical="top"/>
    </xf>
    <xf numFmtId="217" fontId="83" fillId="0" borderId="33" xfId="132" applyNumberFormat="1" applyFont="1" applyBorder="1" applyAlignment="1">
      <alignment vertical="top"/>
    </xf>
    <xf numFmtId="217" fontId="89" fillId="0" borderId="33" xfId="132" applyNumberFormat="1" applyFont="1" applyBorder="1" applyAlignment="1">
      <alignment vertical="top"/>
    </xf>
    <xf numFmtId="217" fontId="89" fillId="0" borderId="0" xfId="132" applyNumberFormat="1" applyFont="1" applyBorder="1" applyAlignment="1">
      <alignment vertical="top"/>
    </xf>
    <xf numFmtId="217" fontId="90" fillId="0" borderId="0" xfId="0" applyNumberFormat="1" applyFont="1"/>
    <xf numFmtId="217" fontId="0" fillId="0" borderId="0" xfId="0" applyNumberFormat="1"/>
    <xf numFmtId="0" fontId="11" fillId="61" borderId="0" xfId="0" applyFont="1" applyFill="1" applyAlignment="1">
      <alignment horizontal="center"/>
    </xf>
    <xf numFmtId="0" fontId="83" fillId="61" borderId="33" xfId="903" applyFont="1" applyFill="1" applyBorder="1" applyAlignment="1">
      <alignment vertical="top" wrapText="1"/>
    </xf>
    <xf numFmtId="4" fontId="83" fillId="61" borderId="33" xfId="132" applyNumberFormat="1" applyFont="1" applyFill="1" applyBorder="1" applyAlignment="1">
      <alignment vertical="top"/>
    </xf>
    <xf numFmtId="39" fontId="83" fillId="61" borderId="33" xfId="903" applyNumberFormat="1" applyFont="1" applyFill="1" applyBorder="1" applyAlignment="1">
      <alignment horizontal="center" vertical="top"/>
    </xf>
    <xf numFmtId="217" fontId="83" fillId="61" borderId="33" xfId="132" applyNumberFormat="1" applyFont="1" applyFill="1" applyBorder="1" applyAlignment="1">
      <alignment vertical="top"/>
    </xf>
    <xf numFmtId="2" fontId="83" fillId="61" borderId="33" xfId="132" applyNumberFormat="1" applyFont="1" applyFill="1" applyBorder="1" applyAlignment="1">
      <alignment vertical="top"/>
    </xf>
    <xf numFmtId="171" fontId="83" fillId="61" borderId="33" xfId="6" applyFont="1" applyFill="1" applyBorder="1" applyAlignment="1">
      <alignment vertical="top"/>
    </xf>
    <xf numFmtId="217" fontId="85" fillId="4" borderId="33" xfId="132" applyNumberFormat="1" applyFont="1" applyFill="1" applyBorder="1" applyAlignment="1">
      <alignment vertical="top"/>
    </xf>
    <xf numFmtId="0" fontId="0" fillId="61" borderId="0" xfId="0" applyFill="1"/>
    <xf numFmtId="4" fontId="83" fillId="0" borderId="33" xfId="132" applyNumberFormat="1" applyFont="1" applyFill="1" applyBorder="1" applyAlignment="1">
      <alignment vertical="top"/>
    </xf>
    <xf numFmtId="217" fontId="83" fillId="0" borderId="33" xfId="132" applyNumberFormat="1" applyFont="1" applyFill="1" applyBorder="1" applyAlignment="1">
      <alignment vertical="top"/>
    </xf>
    <xf numFmtId="2" fontId="83" fillId="0" borderId="33" xfId="132" applyNumberFormat="1" applyFont="1" applyFill="1" applyBorder="1" applyAlignment="1">
      <alignment vertical="top"/>
    </xf>
    <xf numFmtId="171" fontId="83" fillId="0" borderId="33" xfId="6" applyFont="1" applyFill="1" applyBorder="1" applyAlignment="1">
      <alignment vertical="top"/>
    </xf>
    <xf numFmtId="222" fontId="85" fillId="0" borderId="33" xfId="132" applyNumberFormat="1" applyFont="1" applyBorder="1" applyAlignment="1">
      <alignment vertical="top"/>
    </xf>
    <xf numFmtId="175" fontId="11" fillId="4" borderId="0" xfId="0" applyNumberFormat="1" applyFont="1" applyFill="1" applyAlignment="1">
      <alignment horizontal="center"/>
    </xf>
    <xf numFmtId="39" fontId="83" fillId="4" borderId="33" xfId="903" applyNumberFormat="1" applyFont="1" applyFill="1" applyBorder="1" applyAlignment="1">
      <alignment vertical="top" wrapText="1"/>
    </xf>
    <xf numFmtId="4" fontId="83" fillId="4" borderId="33" xfId="903" applyNumberFormat="1" applyFont="1" applyFill="1" applyBorder="1" applyAlignment="1">
      <alignment vertical="top"/>
    </xf>
    <xf numFmtId="39" fontId="83" fillId="4" borderId="33" xfId="903" applyNumberFormat="1" applyFont="1" applyFill="1" applyBorder="1" applyAlignment="1">
      <alignment horizontal="center" vertical="top"/>
    </xf>
    <xf numFmtId="217" fontId="83" fillId="4" borderId="33" xfId="903" applyNumberFormat="1" applyFont="1" applyFill="1" applyBorder="1" applyAlignment="1">
      <alignment vertical="top"/>
    </xf>
    <xf numFmtId="2" fontId="83" fillId="4" borderId="33" xfId="903" applyNumberFormat="1" applyFont="1" applyFill="1" applyBorder="1" applyAlignment="1">
      <alignment vertical="top"/>
    </xf>
    <xf numFmtId="171" fontId="83" fillId="4" borderId="33" xfId="6" applyFont="1" applyFill="1" applyBorder="1" applyAlignment="1">
      <alignment vertical="top"/>
    </xf>
    <xf numFmtId="218" fontId="16" fillId="0" borderId="29" xfId="1115" applyNumberFormat="1" applyFont="1" applyBorder="1" applyAlignment="1">
      <alignment horizontal="right" vertical="top"/>
    </xf>
    <xf numFmtId="4" fontId="16" fillId="0" borderId="29" xfId="0" applyNumberFormat="1" applyFont="1" applyBorder="1" applyAlignment="1">
      <alignment horizontal="right" vertical="top" wrapText="1"/>
    </xf>
    <xf numFmtId="4" fontId="16" fillId="0" borderId="29" xfId="0" applyNumberFormat="1" applyFont="1" applyBorder="1" applyAlignment="1">
      <alignment horizontal="center" vertical="top"/>
    </xf>
    <xf numFmtId="0" fontId="11" fillId="4" borderId="0" xfId="0" applyFont="1" applyFill="1" applyAlignment="1">
      <alignment horizontal="center"/>
    </xf>
    <xf numFmtId="0" fontId="83" fillId="4" borderId="33" xfId="903" applyFont="1" applyFill="1" applyBorder="1" applyAlignment="1">
      <alignment vertical="top" wrapText="1"/>
    </xf>
    <xf numFmtId="4" fontId="83" fillId="4" borderId="33" xfId="132" applyNumberFormat="1" applyFont="1" applyFill="1" applyBorder="1" applyAlignment="1">
      <alignment vertical="top"/>
    </xf>
    <xf numFmtId="0" fontId="83" fillId="4" borderId="33" xfId="903" applyFont="1" applyFill="1" applyBorder="1" applyAlignment="1">
      <alignment horizontal="center" vertical="top"/>
    </xf>
    <xf numFmtId="217" fontId="83" fillId="4" borderId="33" xfId="132" applyNumberFormat="1" applyFont="1" applyFill="1" applyBorder="1" applyAlignment="1">
      <alignment vertical="top"/>
    </xf>
    <xf numFmtId="2" fontId="83" fillId="4" borderId="33" xfId="132" applyNumberFormat="1" applyFont="1" applyFill="1" applyBorder="1" applyAlignment="1">
      <alignment vertical="top"/>
    </xf>
    <xf numFmtId="4" fontId="97" fillId="0" borderId="33" xfId="132" applyNumberFormat="1" applyFont="1" applyFill="1" applyBorder="1" applyAlignment="1">
      <alignment horizontal="center" vertical="top"/>
    </xf>
    <xf numFmtId="0" fontId="110" fillId="0" borderId="33" xfId="903" applyFont="1" applyBorder="1" applyAlignment="1">
      <alignment vertical="top" wrapText="1"/>
    </xf>
    <xf numFmtId="0" fontId="110" fillId="0" borderId="33" xfId="903" applyFont="1" applyBorder="1" applyAlignment="1">
      <alignment horizontal="center" vertical="top"/>
    </xf>
    <xf numFmtId="4" fontId="105" fillId="0" borderId="33" xfId="132" applyNumberFormat="1" applyFont="1" applyFill="1" applyBorder="1" applyAlignment="1">
      <alignment horizontal="center" vertical="top"/>
    </xf>
    <xf numFmtId="217" fontId="110" fillId="0" borderId="33" xfId="132" applyNumberFormat="1" applyFont="1" applyFill="1" applyBorder="1" applyAlignment="1">
      <alignment vertical="top"/>
    </xf>
    <xf numFmtId="10" fontId="12" fillId="0" borderId="29" xfId="258" applyNumberFormat="1" applyFont="1" applyFill="1" applyBorder="1" applyAlignment="1">
      <alignment horizontal="right" vertical="top" wrapText="1"/>
    </xf>
    <xf numFmtId="0" fontId="112" fillId="0" borderId="0" xfId="0" applyFont="1"/>
    <xf numFmtId="0" fontId="113" fillId="0" borderId="33" xfId="903" applyFont="1" applyBorder="1" applyAlignment="1">
      <alignment vertical="top" wrapText="1"/>
    </xf>
    <xf numFmtId="49" fontId="12" fillId="0" borderId="32" xfId="0" applyNumberFormat="1" applyFont="1" applyBorder="1" applyAlignment="1">
      <alignment horizontal="right" vertical="top"/>
    </xf>
    <xf numFmtId="0" fontId="11" fillId="0" borderId="32" xfId="0" applyFont="1" applyBorder="1" applyAlignment="1">
      <alignment horizontal="center" vertical="top" wrapText="1"/>
    </xf>
    <xf numFmtId="174" fontId="12" fillId="0" borderId="29" xfId="194" applyNumberFormat="1" applyFont="1" applyFill="1" applyBorder="1" applyAlignment="1" applyProtection="1">
      <alignment horizontal="right" vertical="top"/>
    </xf>
    <xf numFmtId="4" fontId="12" fillId="0" borderId="29" xfId="4" applyNumberFormat="1" applyFont="1" applyFill="1" applyBorder="1" applyAlignment="1" applyProtection="1">
      <alignment horizontal="right" vertical="top" wrapText="1"/>
    </xf>
    <xf numFmtId="0" fontId="12" fillId="0" borderId="29" xfId="4" applyNumberFormat="1" applyFont="1" applyFill="1" applyBorder="1" applyAlignment="1" applyProtection="1">
      <alignment horizontal="center" vertical="top"/>
    </xf>
    <xf numFmtId="49" fontId="77" fillId="0" borderId="29" xfId="224" applyNumberFormat="1" applyFont="1" applyBorder="1" applyAlignment="1">
      <alignment horizontal="center" vertical="top" wrapText="1"/>
    </xf>
    <xf numFmtId="43" fontId="13" fillId="0" borderId="29" xfId="8" applyFont="1" applyFill="1" applyBorder="1" applyAlignment="1" applyProtection="1">
      <alignment horizontal="center" vertical="top"/>
    </xf>
    <xf numFmtId="174" fontId="12" fillId="0" borderId="32" xfId="194" applyNumberFormat="1" applyFont="1" applyFill="1" applyBorder="1" applyAlignment="1" applyProtection="1">
      <alignment horizontal="right" vertical="top"/>
    </xf>
    <xf numFmtId="4" fontId="12" fillId="0" borderId="32" xfId="4" applyNumberFormat="1" applyFont="1" applyFill="1" applyBorder="1" applyAlignment="1" applyProtection="1">
      <alignment horizontal="right" vertical="top" wrapText="1"/>
    </xf>
    <xf numFmtId="0" fontId="12" fillId="0" borderId="32" xfId="4" applyNumberFormat="1" applyFont="1" applyFill="1" applyBorder="1" applyAlignment="1" applyProtection="1">
      <alignment horizontal="center" vertical="top"/>
    </xf>
    <xf numFmtId="4" fontId="12" fillId="0" borderId="32" xfId="188" applyNumberFormat="1" applyFont="1" applyFill="1" applyBorder="1" applyAlignment="1" applyProtection="1">
      <alignment horizontal="right" vertical="top" wrapText="1"/>
    </xf>
    <xf numFmtId="177" fontId="12" fillId="0" borderId="29" xfId="0" applyNumberFormat="1" applyFont="1" applyBorder="1" applyAlignment="1">
      <alignment horizontal="center" vertical="top"/>
    </xf>
    <xf numFmtId="177" fontId="14" fillId="0" borderId="29" xfId="0" applyNumberFormat="1" applyFont="1" applyBorder="1" applyAlignment="1">
      <alignment horizontal="center" vertical="top"/>
    </xf>
    <xf numFmtId="216" fontId="14" fillId="0" borderId="29" xfId="0" applyNumberFormat="1" applyFont="1" applyBorder="1" applyAlignment="1">
      <alignment horizontal="right" vertical="top" wrapText="1"/>
    </xf>
    <xf numFmtId="0" fontId="16" fillId="0" borderId="29" xfId="226" applyFont="1" applyBorder="1" applyAlignment="1">
      <alignment horizontal="left" vertical="top" wrapText="1"/>
    </xf>
    <xf numFmtId="171" fontId="12" fillId="0" borderId="29" xfId="1112" applyFont="1" applyFill="1" applyBorder="1" applyAlignment="1" applyProtection="1">
      <alignment vertical="top" wrapText="1"/>
    </xf>
    <xf numFmtId="175" fontId="12" fillId="0" borderId="29" xfId="0" applyNumberFormat="1" applyFont="1" applyBorder="1" applyAlignment="1">
      <alignment horizontal="right" vertical="top"/>
    </xf>
    <xf numFmtId="0" fontId="12" fillId="0" borderId="29" xfId="809" applyBorder="1" applyAlignment="1">
      <alignment vertical="top" wrapText="1"/>
    </xf>
    <xf numFmtId="219" fontId="11" fillId="0" borderId="29" xfId="1112" applyNumberFormat="1" applyFont="1" applyFill="1" applyBorder="1" applyAlignment="1" applyProtection="1">
      <alignment horizontal="right" vertical="top" wrapText="1"/>
    </xf>
    <xf numFmtId="39" fontId="11" fillId="0" borderId="29" xfId="809" applyNumberFormat="1" applyFont="1" applyBorder="1" applyAlignment="1">
      <alignment horizontal="left" vertical="top" wrapText="1"/>
    </xf>
    <xf numFmtId="171" fontId="12" fillId="0" borderId="29" xfId="1112" applyFont="1" applyFill="1" applyBorder="1" applyAlignment="1" applyProtection="1">
      <alignment horizontal="center" vertical="top"/>
    </xf>
    <xf numFmtId="220" fontId="12" fillId="0" borderId="29" xfId="1112" applyNumberFormat="1" applyFont="1" applyFill="1" applyBorder="1" applyAlignment="1" applyProtection="1">
      <alignment horizontal="right" vertical="top" wrapText="1"/>
    </xf>
    <xf numFmtId="0" fontId="12" fillId="0" borderId="29" xfId="226" applyBorder="1" applyAlignment="1">
      <alignment horizontal="left" vertical="top" wrapText="1"/>
    </xf>
    <xf numFmtId="2" fontId="12" fillId="0" borderId="29" xfId="0" applyNumberFormat="1" applyFont="1" applyBorder="1" applyAlignment="1">
      <alignment horizontal="right" vertical="top"/>
    </xf>
    <xf numFmtId="39" fontId="12" fillId="0" borderId="29" xfId="809" applyNumberFormat="1" applyBorder="1" applyAlignment="1">
      <alignment vertical="top" wrapText="1"/>
    </xf>
    <xf numFmtId="43" fontId="12" fillId="0" borderId="29" xfId="0" applyNumberFormat="1" applyFont="1" applyBorder="1" applyAlignment="1">
      <alignment vertical="top"/>
    </xf>
    <xf numFmtId="216" fontId="12" fillId="0" borderId="32" xfId="0" applyNumberFormat="1" applyFont="1" applyBorder="1" applyAlignment="1">
      <alignment horizontal="right" vertical="top"/>
    </xf>
    <xf numFmtId="171" fontId="12" fillId="0" borderId="32" xfId="1112" applyFont="1" applyFill="1" applyBorder="1" applyAlignment="1" applyProtection="1">
      <alignment horizontal="center" vertical="top" wrapText="1"/>
    </xf>
    <xf numFmtId="49" fontId="12" fillId="0" borderId="31" xfId="0" applyNumberFormat="1" applyFont="1" applyBorder="1" applyAlignment="1">
      <alignment horizontal="right" vertical="top"/>
    </xf>
    <xf numFmtId="0" fontId="11" fillId="0" borderId="31" xfId="0" applyFont="1" applyBorder="1" applyAlignment="1">
      <alignment horizontal="center" vertical="top" wrapText="1"/>
    </xf>
    <xf numFmtId="0" fontId="12" fillId="0" borderId="31" xfId="0" applyFont="1" applyBorder="1" applyAlignment="1">
      <alignment horizontal="center" vertical="top"/>
    </xf>
    <xf numFmtId="4" fontId="12" fillId="0" borderId="31" xfId="0" applyNumberFormat="1" applyFont="1" applyBorder="1" applyAlignment="1" applyProtection="1">
      <alignment vertical="top"/>
      <protection locked="0"/>
    </xf>
    <xf numFmtId="172" fontId="12" fillId="0" borderId="29" xfId="0" applyNumberFormat="1" applyFont="1" applyBorder="1" applyAlignment="1">
      <alignment vertical="top" wrapText="1"/>
    </xf>
    <xf numFmtId="37" fontId="12" fillId="0" borderId="29" xfId="0" applyNumberFormat="1" applyFont="1" applyBorder="1" applyAlignment="1">
      <alignment vertical="top"/>
    </xf>
    <xf numFmtId="0" fontId="11" fillId="0" borderId="31" xfId="224" applyFont="1" applyBorder="1" applyAlignment="1">
      <alignment horizontal="center" vertical="top"/>
    </xf>
    <xf numFmtId="0" fontId="11" fillId="0" borderId="31" xfId="224" quotePrefix="1" applyFont="1" applyBorder="1" applyAlignment="1">
      <alignment horizontal="center" vertical="top"/>
    </xf>
    <xf numFmtId="0" fontId="12" fillId="0" borderId="31" xfId="224" applyBorder="1" applyAlignment="1">
      <alignment vertical="top"/>
    </xf>
    <xf numFmtId="0" fontId="12" fillId="0" borderId="31" xfId="224" applyBorder="1" applyAlignment="1" applyProtection="1">
      <alignment horizontal="center" vertical="top"/>
      <protection locked="0"/>
    </xf>
    <xf numFmtId="0" fontId="93" fillId="0" borderId="33" xfId="903" applyFont="1" applyBorder="1" applyAlignment="1">
      <alignment vertical="top" wrapText="1"/>
    </xf>
    <xf numFmtId="0" fontId="94" fillId="0" borderId="33" xfId="903" applyFont="1" applyBorder="1" applyAlignment="1">
      <alignment horizontal="center" vertical="top"/>
    </xf>
    <xf numFmtId="4" fontId="94" fillId="0" borderId="33" xfId="132" applyNumberFormat="1" applyFont="1" applyFill="1" applyBorder="1" applyAlignment="1">
      <alignment horizontal="center" vertical="top"/>
    </xf>
    <xf numFmtId="0" fontId="106" fillId="0" borderId="33" xfId="903" quotePrefix="1" applyFont="1" applyBorder="1" applyAlignment="1">
      <alignment vertical="top" wrapText="1"/>
    </xf>
    <xf numFmtId="0" fontId="106" fillId="0" borderId="33" xfId="903" applyFont="1" applyBorder="1" applyAlignment="1">
      <alignment horizontal="center" vertical="top"/>
    </xf>
    <xf numFmtId="4" fontId="107" fillId="0" borderId="33" xfId="132" applyNumberFormat="1" applyFont="1" applyFill="1" applyBorder="1" applyAlignment="1">
      <alignment horizontal="center" vertical="top"/>
    </xf>
    <xf numFmtId="4" fontId="111" fillId="0" borderId="33" xfId="132" applyNumberFormat="1" applyFont="1" applyFill="1" applyBorder="1" applyAlignment="1">
      <alignment vertical="top"/>
    </xf>
    <xf numFmtId="0" fontId="106" fillId="0" borderId="33" xfId="903" applyFont="1" applyBorder="1" applyAlignment="1">
      <alignment vertical="top" wrapText="1"/>
    </xf>
    <xf numFmtId="4" fontId="109" fillId="0" borderId="33" xfId="132" applyNumberFormat="1" applyFont="1" applyFill="1" applyBorder="1" applyAlignment="1">
      <alignment horizontal="center" vertical="top"/>
    </xf>
    <xf numFmtId="4" fontId="97" fillId="0" borderId="33" xfId="132" applyNumberFormat="1" applyFont="1" applyFill="1" applyBorder="1" applyAlignment="1">
      <alignment vertical="top"/>
    </xf>
    <xf numFmtId="0" fontId="114" fillId="0" borderId="33" xfId="903" applyFont="1" applyBorder="1" applyAlignment="1">
      <alignment horizontal="center" vertical="center"/>
    </xf>
    <xf numFmtId="4" fontId="115" fillId="0" borderId="33" xfId="132" applyNumberFormat="1" applyFont="1" applyFill="1" applyBorder="1" applyAlignment="1">
      <alignment horizontal="center" vertical="center"/>
    </xf>
    <xf numFmtId="0" fontId="116" fillId="0" borderId="0" xfId="0" applyFont="1"/>
    <xf numFmtId="0" fontId="117" fillId="0" borderId="33" xfId="903" applyFont="1" applyBorder="1" applyAlignment="1">
      <alignment vertical="top" wrapText="1"/>
    </xf>
    <xf numFmtId="0" fontId="113" fillId="0" borderId="33" xfId="903" applyFont="1" applyBorder="1" applyAlignment="1">
      <alignment horizontal="center" vertical="top"/>
    </xf>
    <xf numFmtId="4" fontId="113" fillId="0" borderId="33" xfId="132" applyNumberFormat="1" applyFont="1" applyFill="1" applyBorder="1" applyAlignment="1">
      <alignment horizontal="center" vertical="top"/>
    </xf>
    <xf numFmtId="4" fontId="118" fillId="0" borderId="33" xfId="132" applyNumberFormat="1" applyFont="1" applyFill="1" applyBorder="1" applyAlignment="1">
      <alignment horizontal="center" vertical="top"/>
    </xf>
    <xf numFmtId="0" fontId="113" fillId="0" borderId="33" xfId="903" quotePrefix="1" applyFont="1" applyBorder="1" applyAlignment="1">
      <alignment vertical="top" wrapText="1"/>
    </xf>
    <xf numFmtId="0" fontId="119" fillId="0" borderId="33" xfId="903" applyFont="1" applyBorder="1" applyAlignment="1">
      <alignment vertical="top" wrapText="1"/>
    </xf>
    <xf numFmtId="0" fontId="119" fillId="0" borderId="33" xfId="903" applyFont="1" applyBorder="1" applyAlignment="1">
      <alignment horizontal="center" vertical="top"/>
    </xf>
    <xf numFmtId="4" fontId="118" fillId="0" borderId="33" xfId="6" applyNumberFormat="1" applyFont="1" applyFill="1" applyBorder="1" applyAlignment="1">
      <alignment horizontal="center" vertical="top"/>
    </xf>
    <xf numFmtId="0" fontId="113" fillId="0" borderId="33" xfId="903" applyFont="1" applyBorder="1" applyAlignment="1">
      <alignment vertical="top"/>
    </xf>
    <xf numFmtId="4" fontId="120" fillId="0" borderId="33" xfId="132" applyNumberFormat="1" applyFont="1" applyFill="1" applyBorder="1" applyAlignment="1">
      <alignment vertical="top"/>
    </xf>
    <xf numFmtId="4" fontId="118" fillId="0" borderId="33" xfId="132" applyNumberFormat="1" applyFont="1" applyFill="1" applyBorder="1" applyAlignment="1">
      <alignment vertical="top"/>
    </xf>
    <xf numFmtId="0" fontId="121" fillId="0" borderId="33" xfId="903" applyFont="1" applyBorder="1" applyAlignment="1">
      <alignment vertical="top" wrapText="1"/>
    </xf>
    <xf numFmtId="217" fontId="118" fillId="0" borderId="33" xfId="132" applyNumberFormat="1" applyFont="1" applyFill="1" applyBorder="1" applyAlignment="1">
      <alignment horizontal="center" vertical="top"/>
    </xf>
    <xf numFmtId="4" fontId="112" fillId="0" borderId="33" xfId="132" applyNumberFormat="1" applyFont="1" applyFill="1" applyBorder="1" applyAlignment="1">
      <alignment horizontal="center" vertical="top"/>
    </xf>
    <xf numFmtId="49" fontId="12" fillId="0" borderId="48" xfId="0" applyNumberFormat="1" applyFont="1" applyBorder="1" applyAlignment="1">
      <alignment horizontal="right" vertical="top"/>
    </xf>
    <xf numFmtId="0" fontId="12" fillId="0" borderId="49" xfId="0" applyFont="1" applyBorder="1" applyAlignment="1">
      <alignment vertical="top"/>
    </xf>
    <xf numFmtId="4" fontId="12" fillId="0" borderId="49" xfId="0" applyNumberFormat="1" applyFont="1" applyBorder="1" applyAlignment="1">
      <alignment horizontal="right" vertical="top"/>
    </xf>
    <xf numFmtId="0" fontId="12" fillId="0" borderId="49" xfId="0" applyFont="1" applyBorder="1" applyAlignment="1">
      <alignment horizontal="center" vertical="top"/>
    </xf>
    <xf numFmtId="4" fontId="12" fillId="0" borderId="49" xfId="0" applyNumberFormat="1" applyFont="1" applyBorder="1" applyAlignment="1">
      <alignment vertical="top"/>
    </xf>
    <xf numFmtId="0" fontId="103" fillId="66" borderId="50" xfId="0" applyFont="1" applyFill="1" applyBorder="1" applyAlignment="1">
      <alignment horizontal="right" vertical="top" wrapText="1"/>
    </xf>
    <xf numFmtId="0" fontId="124" fillId="66" borderId="0" xfId="0" applyFont="1" applyFill="1" applyAlignment="1">
      <alignment horizontal="right" vertical="top" wrapText="1"/>
    </xf>
    <xf numFmtId="4" fontId="103" fillId="66" borderId="0" xfId="0" applyNumberFormat="1" applyFont="1" applyFill="1" applyAlignment="1">
      <alignment horizontal="left" vertical="top" wrapText="1"/>
    </xf>
    <xf numFmtId="4" fontId="124" fillId="66" borderId="0" xfId="0" applyNumberFormat="1" applyFont="1" applyFill="1" applyAlignment="1">
      <alignment horizontal="left" vertical="top" wrapText="1"/>
    </xf>
    <xf numFmtId="0" fontId="103" fillId="66" borderId="50" xfId="0" applyFont="1" applyFill="1" applyBorder="1" applyAlignment="1">
      <alignment vertical="top"/>
    </xf>
    <xf numFmtId="0" fontId="103" fillId="66" borderId="0" xfId="0" applyFont="1" applyFill="1" applyAlignment="1">
      <alignment vertical="top"/>
    </xf>
    <xf numFmtId="49" fontId="12" fillId="0" borderId="50" xfId="0" applyNumberFormat="1" applyFont="1" applyBorder="1" applyAlignment="1">
      <alignment horizontal="right" vertical="top"/>
    </xf>
    <xf numFmtId="0" fontId="12" fillId="0" borderId="31" xfId="0" applyFont="1" applyBorder="1" applyAlignment="1">
      <alignment horizontal="justify" vertical="top" wrapText="1"/>
    </xf>
    <xf numFmtId="0" fontId="12" fillId="0" borderId="31" xfId="0" applyFont="1" applyBorder="1" applyAlignment="1">
      <alignment vertical="top" wrapText="1"/>
    </xf>
    <xf numFmtId="4" fontId="12" fillId="0" borderId="31" xfId="0" applyNumberFormat="1" applyFont="1" applyBorder="1" applyAlignment="1">
      <alignment horizontal="center" vertical="top"/>
    </xf>
    <xf numFmtId="216" fontId="12" fillId="2" borderId="31" xfId="0" applyNumberFormat="1" applyFont="1" applyFill="1" applyBorder="1" applyAlignment="1">
      <alignment horizontal="right" vertical="top" wrapText="1"/>
    </xf>
    <xf numFmtId="0" fontId="19" fillId="0" borderId="31" xfId="224" applyFont="1" applyBorder="1" applyAlignment="1">
      <alignment vertical="top" wrapText="1"/>
    </xf>
    <xf numFmtId="43" fontId="19" fillId="0" borderId="31" xfId="8" applyFont="1" applyFill="1" applyBorder="1" applyAlignment="1" applyProtection="1">
      <alignment vertical="top"/>
    </xf>
    <xf numFmtId="43" fontId="19" fillId="0" borderId="31" xfId="8" applyFont="1" applyFill="1" applyBorder="1" applyAlignment="1" applyProtection="1">
      <alignment horizontal="center" vertical="top"/>
    </xf>
    <xf numFmtId="0" fontId="12" fillId="2" borderId="31" xfId="0" applyFont="1" applyFill="1" applyBorder="1" applyAlignment="1">
      <alignment horizontal="right" vertical="top" wrapText="1"/>
    </xf>
    <xf numFmtId="0" fontId="19" fillId="0" borderId="31" xfId="224" applyFont="1" applyBorder="1" applyAlignment="1">
      <alignment vertical="top"/>
    </xf>
    <xf numFmtId="216" fontId="12" fillId="0" borderId="31" xfId="0" applyNumberFormat="1" applyFont="1" applyBorder="1" applyAlignment="1">
      <alignment horizontal="right" vertical="top" wrapText="1"/>
    </xf>
    <xf numFmtId="175" fontId="12" fillId="0" borderId="29" xfId="809" applyNumberFormat="1" applyBorder="1" applyAlignment="1">
      <alignment horizontal="left" vertical="top" wrapText="1"/>
    </xf>
    <xf numFmtId="0" fontId="12" fillId="0" borderId="31" xfId="224" applyBorder="1" applyAlignment="1">
      <alignment horizontal="right" vertical="top"/>
    </xf>
    <xf numFmtId="0" fontId="12" fillId="0" borderId="31" xfId="809" applyBorder="1" applyAlignment="1">
      <alignment horizontal="left" vertical="top" wrapText="1"/>
    </xf>
    <xf numFmtId="43" fontId="12" fillId="0" borderId="31" xfId="197" applyFont="1" applyFill="1" applyBorder="1" applyAlignment="1" applyProtection="1">
      <alignment horizontal="center" vertical="top"/>
    </xf>
    <xf numFmtId="4" fontId="12" fillId="2" borderId="31" xfId="0" applyNumberFormat="1" applyFont="1" applyFill="1" applyBorder="1" applyAlignment="1">
      <alignment horizontal="center" vertical="top"/>
    </xf>
    <xf numFmtId="2" fontId="12" fillId="0" borderId="31" xfId="809" applyNumberFormat="1" applyBorder="1" applyAlignment="1">
      <alignment horizontal="right" vertical="top" wrapText="1"/>
    </xf>
    <xf numFmtId="4" fontId="12" fillId="0" borderId="31" xfId="188" applyNumberFormat="1" applyFont="1" applyFill="1" applyBorder="1" applyAlignment="1" applyProtection="1">
      <alignment horizontal="right" vertical="top" wrapText="1"/>
    </xf>
    <xf numFmtId="37" fontId="18" fillId="0" borderId="29" xfId="0" applyNumberFormat="1" applyFont="1" applyBorder="1" applyAlignment="1">
      <alignment horizontal="right" vertical="top" wrapText="1"/>
    </xf>
    <xf numFmtId="0" fontId="19" fillId="2" borderId="29" xfId="0" applyFont="1" applyFill="1" applyBorder="1" applyAlignment="1">
      <alignment horizontal="left" vertical="top" wrapText="1"/>
    </xf>
    <xf numFmtId="4" fontId="19" fillId="2" borderId="29" xfId="0" applyNumberFormat="1" applyFont="1" applyFill="1" applyBorder="1" applyAlignment="1">
      <alignment vertical="top" wrapText="1"/>
    </xf>
    <xf numFmtId="0" fontId="19" fillId="2" borderId="29" xfId="0" applyFont="1" applyFill="1" applyBorder="1" applyAlignment="1">
      <alignment horizontal="center" vertical="top"/>
    </xf>
    <xf numFmtId="0" fontId="76" fillId="56" borderId="31" xfId="0" applyFont="1" applyFill="1" applyBorder="1" applyAlignment="1">
      <alignment vertical="top"/>
    </xf>
    <xf numFmtId="4" fontId="14" fillId="57" borderId="31" xfId="0" applyNumberFormat="1" applyFont="1" applyFill="1" applyBorder="1" applyAlignment="1">
      <alignment horizontal="right" vertical="top"/>
    </xf>
    <xf numFmtId="4" fontId="14" fillId="2" borderId="31" xfId="0" applyNumberFormat="1" applyFont="1" applyFill="1" applyBorder="1" applyAlignment="1">
      <alignment horizontal="center" vertical="top"/>
    </xf>
    <xf numFmtId="220" fontId="12" fillId="2" borderId="31" xfId="1112" applyNumberFormat="1" applyFont="1" applyFill="1" applyBorder="1" applyAlignment="1" applyProtection="1">
      <alignment horizontal="right" vertical="top" wrapText="1"/>
    </xf>
    <xf numFmtId="0" fontId="12" fillId="2" borderId="31" xfId="0" applyFont="1" applyFill="1" applyBorder="1" applyAlignment="1">
      <alignment vertical="top"/>
    </xf>
    <xf numFmtId="171" fontId="12" fillId="2" borderId="31" xfId="1112" applyFont="1" applyFill="1" applyBorder="1" applyAlignment="1" applyProtection="1">
      <alignment horizontal="right" vertical="top" wrapText="1"/>
    </xf>
    <xf numFmtId="171" fontId="12" fillId="2" borderId="31" xfId="1112" applyFont="1" applyFill="1" applyBorder="1" applyAlignment="1" applyProtection="1">
      <alignment horizontal="center" vertical="top" wrapText="1"/>
    </xf>
    <xf numFmtId="173" fontId="14" fillId="0" borderId="31" xfId="0" applyNumberFormat="1" applyFont="1" applyBorder="1" applyAlignment="1">
      <alignment horizontal="right" vertical="top"/>
    </xf>
    <xf numFmtId="0" fontId="14" fillId="0" borderId="31" xfId="0" applyFont="1" applyBorder="1" applyAlignment="1">
      <alignment horizontal="left" vertical="top"/>
    </xf>
    <xf numFmtId="39" fontId="14" fillId="0" borderId="29" xfId="0" applyNumberFormat="1" applyFont="1" applyBorder="1" applyAlignment="1">
      <alignment vertical="top" wrapText="1"/>
    </xf>
    <xf numFmtId="39" fontId="14" fillId="0" borderId="29" xfId="0" applyNumberFormat="1" applyFont="1" applyBorder="1" applyAlignment="1">
      <alignment horizontal="right" vertical="top" wrapText="1"/>
    </xf>
    <xf numFmtId="216" fontId="12" fillId="0" borderId="31" xfId="0" applyNumberFormat="1" applyFont="1" applyBorder="1" applyAlignment="1">
      <alignment horizontal="right" vertical="top"/>
    </xf>
    <xf numFmtId="43" fontId="12" fillId="0" borderId="31" xfId="197" applyFont="1" applyFill="1" applyBorder="1" applyAlignment="1" applyProtection="1">
      <alignment horizontal="right" vertical="top" wrapText="1"/>
    </xf>
    <xf numFmtId="172" fontId="12" fillId="0" borderId="31" xfId="0" applyNumberFormat="1" applyFont="1" applyBorder="1" applyAlignment="1">
      <alignment horizontal="center" vertical="top" wrapText="1"/>
    </xf>
    <xf numFmtId="175" fontId="12" fillId="0" borderId="31" xfId="15" applyNumberFormat="1" applyFont="1" applyBorder="1" applyAlignment="1">
      <alignment vertical="top" wrapText="1"/>
    </xf>
    <xf numFmtId="0" fontId="12" fillId="0" borderId="31" xfId="15" applyFont="1" applyBorder="1" applyAlignment="1">
      <alignment vertical="top"/>
    </xf>
    <xf numFmtId="172" fontId="12" fillId="0" borderId="31" xfId="16" applyNumberFormat="1" applyFont="1" applyFill="1" applyBorder="1" applyAlignment="1" applyProtection="1">
      <alignment vertical="top"/>
    </xf>
    <xf numFmtId="0" fontId="12" fillId="0" borderId="31" xfId="15" applyFont="1" applyBorder="1" applyAlignment="1">
      <alignment horizontal="center" vertical="top"/>
    </xf>
    <xf numFmtId="172" fontId="12" fillId="0" borderId="31" xfId="1118" applyNumberFormat="1" applyFont="1" applyBorder="1" applyAlignment="1" applyProtection="1">
      <alignment vertical="top"/>
      <protection locked="0"/>
    </xf>
    <xf numFmtId="43" fontId="12" fillId="0" borderId="29" xfId="1127" applyFont="1" applyFill="1" applyBorder="1" applyAlignment="1" applyProtection="1">
      <alignment vertical="top"/>
    </xf>
    <xf numFmtId="43" fontId="12" fillId="0" borderId="29" xfId="1127" applyFont="1" applyFill="1" applyBorder="1" applyAlignment="1" applyProtection="1">
      <alignment vertical="top" wrapText="1"/>
    </xf>
    <xf numFmtId="0" fontId="11" fillId="57" borderId="0" xfId="0" applyFont="1" applyFill="1" applyAlignment="1">
      <alignment horizontal="right" vertical="center"/>
    </xf>
    <xf numFmtId="0" fontId="11" fillId="57" borderId="0" xfId="0" applyFont="1" applyFill="1" applyAlignment="1">
      <alignment horizontal="center" vertical="center" wrapText="1"/>
    </xf>
    <xf numFmtId="4" fontId="12" fillId="57" borderId="0" xfId="0" applyNumberFormat="1" applyFont="1" applyFill="1" applyAlignment="1">
      <alignment horizontal="center" vertical="center"/>
    </xf>
    <xf numFmtId="4" fontId="11" fillId="57" borderId="0" xfId="1128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2" fillId="57" borderId="0" xfId="0" applyFont="1" applyFill="1" applyAlignment="1">
      <alignment horizontal="right" vertical="center"/>
    </xf>
    <xf numFmtId="223" fontId="12" fillId="0" borderId="0" xfId="1129" applyNumberFormat="1"/>
    <xf numFmtId="40" fontId="12" fillId="0" borderId="0" xfId="1129" applyNumberFormat="1"/>
    <xf numFmtId="4" fontId="12" fillId="0" borderId="0" xfId="1130" applyNumberFormat="1" applyFont="1" applyFill="1" applyBorder="1" applyAlignment="1">
      <alignment horizontal="center"/>
    </xf>
    <xf numFmtId="4" fontId="12" fillId="0" borderId="0" xfId="1130" applyNumberFormat="1" applyFont="1" applyFill="1" applyBorder="1" applyAlignment="1">
      <alignment horizontal="left"/>
    </xf>
    <xf numFmtId="4" fontId="12" fillId="0" borderId="0" xfId="1129" applyNumberFormat="1" applyAlignment="1">
      <alignment horizontal="center"/>
    </xf>
    <xf numFmtId="0" fontId="12" fillId="57" borderId="0" xfId="14" applyFill="1" applyAlignment="1">
      <alignment horizontal="left" vertical="top"/>
    </xf>
    <xf numFmtId="0" fontId="12" fillId="57" borderId="0" xfId="14" applyFill="1" applyAlignment="1">
      <alignment horizontal="right" vertical="top"/>
    </xf>
    <xf numFmtId="0" fontId="12" fillId="57" borderId="0" xfId="14" applyFill="1" applyAlignment="1">
      <alignment horizontal="center" vertical="top"/>
    </xf>
    <xf numFmtId="0" fontId="12" fillId="57" borderId="0" xfId="14" applyFill="1" applyAlignment="1">
      <alignment horizontal="right" vertical="top" wrapText="1"/>
    </xf>
    <xf numFmtId="0" fontId="12" fillId="57" borderId="0" xfId="14" applyFill="1" applyAlignment="1">
      <alignment horizontal="center" vertical="top" wrapText="1"/>
    </xf>
    <xf numFmtId="4" fontId="12" fillId="57" borderId="0" xfId="14" applyNumberFormat="1" applyFill="1" applyAlignment="1">
      <alignment horizontal="center" vertical="top" wrapText="1"/>
    </xf>
    <xf numFmtId="0" fontId="12" fillId="57" borderId="0" xfId="0" applyFont="1" applyFill="1"/>
    <xf numFmtId="0" fontId="12" fillId="57" borderId="0" xfId="14" applyFill="1" applyAlignment="1">
      <alignment horizontal="left" vertical="top" wrapText="1"/>
    </xf>
    <xf numFmtId="4" fontId="12" fillId="57" borderId="0" xfId="14" applyNumberFormat="1" applyFill="1" applyAlignment="1">
      <alignment horizontal="left" vertical="top" wrapText="1"/>
    </xf>
    <xf numFmtId="0" fontId="12" fillId="57" borderId="0" xfId="14" quotePrefix="1" applyFill="1" applyAlignment="1">
      <alignment horizontal="left" vertical="top"/>
    </xf>
    <xf numFmtId="4" fontId="12" fillId="0" borderId="0" xfId="0" applyNumberFormat="1" applyFont="1" applyAlignment="1">
      <alignment horizontal="center" wrapText="1"/>
    </xf>
    <xf numFmtId="4" fontId="12" fillId="0" borderId="0" xfId="1128" applyNumberFormat="1" applyFont="1" applyFill="1" applyBorder="1" applyAlignment="1">
      <alignment horizontal="center" wrapText="1"/>
    </xf>
    <xf numFmtId="171" fontId="83" fillId="60" borderId="33" xfId="6" applyFont="1" applyFill="1" applyBorder="1" applyAlignment="1" applyProtection="1">
      <alignment vertical="top"/>
    </xf>
    <xf numFmtId="4" fontId="83" fillId="61" borderId="33" xfId="132" applyNumberFormat="1" applyFont="1" applyFill="1" applyBorder="1" applyAlignment="1" applyProtection="1">
      <alignment vertical="top"/>
    </xf>
    <xf numFmtId="217" fontId="83" fillId="61" borderId="33" xfId="132" applyNumberFormat="1" applyFont="1" applyFill="1" applyBorder="1" applyAlignment="1" applyProtection="1">
      <alignment vertical="top"/>
    </xf>
    <xf numFmtId="2" fontId="83" fillId="61" borderId="33" xfId="132" applyNumberFormat="1" applyFont="1" applyFill="1" applyBorder="1" applyAlignment="1" applyProtection="1">
      <alignment vertical="top"/>
    </xf>
    <xf numFmtId="171" fontId="83" fillId="61" borderId="33" xfId="6" applyFont="1" applyFill="1" applyBorder="1" applyAlignment="1" applyProtection="1">
      <alignment vertical="top"/>
    </xf>
    <xf numFmtId="171" fontId="83" fillId="4" borderId="33" xfId="6" applyFont="1" applyFill="1" applyBorder="1" applyAlignment="1" applyProtection="1">
      <alignment vertical="top"/>
    </xf>
    <xf numFmtId="4" fontId="83" fillId="4" borderId="33" xfId="132" applyNumberFormat="1" applyFont="1" applyFill="1" applyBorder="1" applyAlignment="1" applyProtection="1">
      <alignment vertical="top"/>
    </xf>
    <xf numFmtId="217" fontId="83" fillId="4" borderId="33" xfId="132" applyNumberFormat="1" applyFont="1" applyFill="1" applyBorder="1" applyAlignment="1" applyProtection="1">
      <alignment vertical="top"/>
    </xf>
    <xf numFmtId="2" fontId="83" fillId="4" borderId="33" xfId="132" applyNumberFormat="1" applyFont="1" applyFill="1" applyBorder="1" applyAlignment="1" applyProtection="1">
      <alignment vertical="top"/>
    </xf>
    <xf numFmtId="0" fontId="11" fillId="0" borderId="0" xfId="224" applyFont="1" applyAlignment="1">
      <alignment horizontal="center" vertical="top"/>
    </xf>
    <xf numFmtId="0" fontId="11" fillId="0" borderId="0" xfId="224" quotePrefix="1" applyFont="1" applyAlignment="1">
      <alignment horizontal="center" vertical="top"/>
    </xf>
    <xf numFmtId="0" fontId="12" fillId="0" borderId="0" xfId="224" applyAlignment="1">
      <alignment vertical="top"/>
    </xf>
    <xf numFmtId="172" fontId="12" fillId="0" borderId="49" xfId="0" applyNumberFormat="1" applyFont="1" applyBorder="1" applyAlignment="1">
      <alignment vertical="top"/>
    </xf>
    <xf numFmtId="172" fontId="124" fillId="66" borderId="0" xfId="0" applyNumberFormat="1" applyFont="1" applyFill="1" applyAlignment="1">
      <alignment horizontal="left" vertical="top" wrapText="1"/>
    </xf>
    <xf numFmtId="172" fontId="103" fillId="66" borderId="0" xfId="0" applyNumberFormat="1" applyFont="1" applyFill="1" applyAlignment="1">
      <alignment vertical="top"/>
    </xf>
    <xf numFmtId="172" fontId="12" fillId="0" borderId="0" xfId="0" applyNumberFormat="1" applyFont="1" applyAlignment="1">
      <alignment vertical="top"/>
    </xf>
    <xf numFmtId="172" fontId="11" fillId="54" borderId="28" xfId="0" applyNumberFormat="1" applyFont="1" applyFill="1" applyBorder="1" applyAlignment="1" applyProtection="1">
      <alignment horizontal="center" vertical="center"/>
      <protection locked="0"/>
    </xf>
    <xf numFmtId="172" fontId="11" fillId="0" borderId="28" xfId="0" applyNumberFormat="1" applyFont="1" applyBorder="1" applyAlignment="1">
      <alignment horizontal="center" vertical="top"/>
    </xf>
    <xf numFmtId="172" fontId="12" fillId="0" borderId="29" xfId="0" applyNumberFormat="1" applyFont="1" applyBorder="1" applyAlignment="1">
      <alignment vertical="top"/>
    </xf>
    <xf numFmtId="172" fontId="12" fillId="0" borderId="29" xfId="1112" applyNumberFormat="1" applyFont="1" applyFill="1" applyBorder="1" applyAlignment="1" applyProtection="1">
      <alignment horizontal="right" vertical="top"/>
    </xf>
    <xf numFmtId="172" fontId="12" fillId="0" borderId="29" xfId="0" applyNumberFormat="1" applyFont="1" applyBorder="1" applyAlignment="1" applyProtection="1">
      <alignment vertical="center" wrapText="1"/>
      <protection locked="0"/>
    </xf>
    <xf numFmtId="172" fontId="12" fillId="0" borderId="29" xfId="0" applyNumberFormat="1" applyFont="1" applyBorder="1" applyAlignment="1" applyProtection="1">
      <alignment vertical="top" wrapText="1"/>
      <protection locked="0"/>
    </xf>
    <xf numFmtId="172" fontId="11" fillId="0" borderId="29" xfId="0" applyNumberFormat="1" applyFont="1" applyBorder="1" applyAlignment="1" applyProtection="1">
      <alignment vertical="top"/>
      <protection locked="0"/>
    </xf>
    <xf numFmtId="172" fontId="12" fillId="0" borderId="29" xfId="0" applyNumberFormat="1" applyFont="1" applyBorder="1" applyAlignment="1" applyProtection="1">
      <alignment horizontal="right" vertical="center" wrapText="1"/>
      <protection locked="0"/>
    </xf>
    <xf numFmtId="172" fontId="16" fillId="0" borderId="29" xfId="0" applyNumberFormat="1" applyFont="1" applyBorder="1" applyAlignment="1" applyProtection="1">
      <alignment horizontal="right" vertical="top" wrapText="1"/>
      <protection locked="0"/>
    </xf>
    <xf numFmtId="172" fontId="12" fillId="0" borderId="29" xfId="0" applyNumberFormat="1" applyFont="1" applyBorder="1" applyAlignment="1" applyProtection="1">
      <alignment horizontal="right" vertical="top" wrapText="1"/>
      <protection locked="0"/>
    </xf>
    <xf numFmtId="172" fontId="12" fillId="55" borderId="29" xfId="0" applyNumberFormat="1" applyFont="1" applyFill="1" applyBorder="1" applyAlignment="1" applyProtection="1">
      <alignment vertical="top"/>
      <protection locked="0"/>
    </xf>
    <xf numFmtId="172" fontId="12" fillId="0" borderId="29" xfId="0" applyNumberFormat="1" applyFont="1" applyBorder="1" applyProtection="1">
      <protection locked="0"/>
    </xf>
    <xf numFmtId="172" fontId="12" fillId="0" borderId="29" xfId="15" applyNumberFormat="1" applyFont="1" applyBorder="1" applyAlignment="1" applyProtection="1">
      <alignment vertical="top"/>
      <protection locked="0"/>
    </xf>
    <xf numFmtId="172" fontId="12" fillId="0" borderId="29" xfId="1112" applyNumberFormat="1" applyFont="1" applyFill="1" applyBorder="1" applyAlignment="1" applyProtection="1">
      <alignment horizontal="right" vertical="top"/>
      <protection locked="0"/>
    </xf>
    <xf numFmtId="172" fontId="12" fillId="0" borderId="31" xfId="1112" applyNumberFormat="1" applyFont="1" applyFill="1" applyBorder="1" applyAlignment="1" applyProtection="1">
      <alignment horizontal="right" vertical="top"/>
      <protection locked="0"/>
    </xf>
    <xf numFmtId="172" fontId="12" fillId="0" borderId="29" xfId="1114" applyNumberFormat="1" applyFont="1" applyFill="1" applyBorder="1" applyAlignment="1" applyProtection="1">
      <alignment vertical="top"/>
      <protection locked="0"/>
    </xf>
    <xf numFmtId="172" fontId="12" fillId="0" borderId="29" xfId="1114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0" applyNumberFormat="1" applyFont="1" applyFill="1" applyBorder="1" applyAlignment="1" applyProtection="1">
      <alignment vertical="top"/>
      <protection locked="0"/>
    </xf>
    <xf numFmtId="172" fontId="12" fillId="2" borderId="29" xfId="0" applyNumberFormat="1" applyFont="1" applyFill="1" applyBorder="1" applyAlignment="1" applyProtection="1">
      <alignment horizontal="right" vertical="top" wrapText="1"/>
      <protection locked="0"/>
    </xf>
    <xf numFmtId="172" fontId="12" fillId="0" borderId="29" xfId="192" applyNumberFormat="1" applyFont="1" applyFill="1" applyBorder="1" applyAlignment="1" applyProtection="1">
      <alignment vertical="top"/>
      <protection locked="0"/>
    </xf>
    <xf numFmtId="172" fontId="12" fillId="0" borderId="31" xfId="192" applyNumberFormat="1" applyFont="1" applyFill="1" applyBorder="1" applyAlignment="1" applyProtection="1">
      <alignment vertical="top"/>
      <protection locked="0"/>
    </xf>
    <xf numFmtId="172" fontId="12" fillId="0" borderId="29" xfId="192" applyNumberFormat="1" applyFont="1" applyFill="1" applyBorder="1" applyAlignment="1" applyProtection="1">
      <alignment horizontal="right" vertical="top"/>
      <protection locked="0"/>
    </xf>
    <xf numFmtId="172" fontId="12" fillId="3" borderId="29" xfId="4" applyNumberFormat="1" applyFont="1" applyFill="1" applyBorder="1" applyAlignment="1" applyProtection="1">
      <alignment horizontal="right" vertical="top" wrapText="1"/>
      <protection locked="0"/>
    </xf>
    <xf numFmtId="172" fontId="16" fillId="0" borderId="29" xfId="192" applyNumberFormat="1" applyFont="1" applyFill="1" applyBorder="1" applyAlignment="1" applyProtection="1">
      <alignment vertical="top"/>
      <protection locked="0"/>
    </xf>
    <xf numFmtId="172" fontId="12" fillId="2" borderId="31" xfId="0" applyNumberFormat="1" applyFont="1" applyFill="1" applyBorder="1" applyAlignment="1" applyProtection="1">
      <alignment horizontal="right" vertical="top" wrapText="1"/>
      <protection locked="0"/>
    </xf>
    <xf numFmtId="172" fontId="12" fillId="55" borderId="29" xfId="0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4" applyNumberFormat="1" applyFont="1" applyFill="1" applyBorder="1" applyAlignment="1" applyProtection="1">
      <alignment horizontal="right" vertical="top" wrapText="1"/>
      <protection locked="0"/>
    </xf>
    <xf numFmtId="172" fontId="12" fillId="0" borderId="3" xfId="0" applyNumberFormat="1" applyFont="1" applyBorder="1" applyAlignment="1" applyProtection="1">
      <alignment horizontal="right" vertical="top" wrapText="1"/>
      <protection locked="0"/>
    </xf>
    <xf numFmtId="172" fontId="12" fillId="0" borderId="31" xfId="0" applyNumberFormat="1" applyFont="1" applyBorder="1" applyAlignment="1" applyProtection="1">
      <alignment horizontal="right" vertical="top" wrapText="1"/>
      <protection locked="0"/>
    </xf>
    <xf numFmtId="172" fontId="19" fillId="0" borderId="29" xfId="1112" applyNumberFormat="1" applyFont="1" applyFill="1" applyBorder="1" applyAlignment="1" applyProtection="1">
      <alignment horizontal="right" vertical="top" wrapText="1"/>
      <protection locked="0"/>
    </xf>
    <xf numFmtId="172" fontId="19" fillId="0" borderId="29" xfId="1112" applyNumberFormat="1" applyFont="1" applyFill="1" applyBorder="1" applyAlignment="1" applyProtection="1">
      <alignment vertical="top" wrapText="1"/>
      <protection locked="0"/>
    </xf>
    <xf numFmtId="172" fontId="19" fillId="2" borderId="29" xfId="1112" applyNumberFormat="1" applyFont="1" applyFill="1" applyBorder="1" applyAlignment="1" applyProtection="1">
      <alignment horizontal="right" vertical="top" wrapText="1"/>
      <protection locked="0"/>
    </xf>
    <xf numFmtId="172" fontId="12" fillId="0" borderId="29" xfId="1112" applyNumberFormat="1" applyFont="1" applyFill="1" applyBorder="1" applyAlignment="1" applyProtection="1">
      <alignment vertical="top" wrapText="1"/>
      <protection locked="0"/>
    </xf>
    <xf numFmtId="172" fontId="12" fillId="2" borderId="29" xfId="1112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1112" applyNumberFormat="1" applyFont="1" applyFill="1" applyBorder="1" applyAlignment="1" applyProtection="1">
      <alignment vertical="top" wrapText="1"/>
      <protection locked="0"/>
    </xf>
    <xf numFmtId="172" fontId="12" fillId="0" borderId="29" xfId="1112" applyNumberFormat="1" applyFont="1" applyFill="1" applyBorder="1" applyAlignment="1" applyProtection="1">
      <alignment horizontal="right" vertical="top" wrapText="1"/>
      <protection locked="0"/>
    </xf>
    <xf numFmtId="172" fontId="12" fillId="2" borderId="3" xfId="1112" applyNumberFormat="1" applyFont="1" applyFill="1" applyBorder="1" applyAlignment="1" applyProtection="1">
      <alignment horizontal="right" vertical="top" wrapText="1"/>
      <protection locked="0"/>
    </xf>
    <xf numFmtId="172" fontId="12" fillId="0" borderId="3" xfId="0" applyNumberFormat="1" applyFont="1" applyBorder="1" applyAlignment="1" applyProtection="1">
      <alignment vertical="top"/>
      <protection locked="0"/>
    </xf>
    <xf numFmtId="172" fontId="12" fillId="2" borderId="5" xfId="1112" applyNumberFormat="1" applyFont="1" applyFill="1" applyBorder="1" applyAlignment="1" applyProtection="1">
      <alignment horizontal="right" vertical="top" wrapText="1"/>
      <protection locked="0"/>
    </xf>
    <xf numFmtId="172" fontId="80" fillId="2" borderId="29" xfId="1112" applyNumberFormat="1" applyFont="1" applyFill="1" applyBorder="1" applyAlignment="1" applyProtection="1">
      <alignment horizontal="right" vertical="top" wrapText="1"/>
      <protection locked="0"/>
    </xf>
    <xf numFmtId="172" fontId="12" fillId="0" borderId="3" xfId="1112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1112" applyNumberFormat="1" applyFont="1" applyFill="1" applyBorder="1" applyAlignment="1" applyProtection="1">
      <alignment vertical="top"/>
      <protection locked="0"/>
    </xf>
    <xf numFmtId="172" fontId="19" fillId="0" borderId="3" xfId="1112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1112" applyNumberFormat="1" applyFont="1" applyFill="1" applyBorder="1" applyAlignment="1" applyProtection="1">
      <alignment horizontal="center" vertical="top" wrapText="1"/>
      <protection locked="0"/>
    </xf>
    <xf numFmtId="172" fontId="12" fillId="2" borderId="31" xfId="1112" applyNumberFormat="1" applyFont="1" applyFill="1" applyBorder="1" applyAlignment="1" applyProtection="1">
      <alignment horizontal="right" vertical="top" wrapText="1"/>
      <protection locked="0"/>
    </xf>
    <xf numFmtId="172" fontId="14" fillId="0" borderId="29" xfId="660" applyNumberFormat="1" applyFont="1" applyFill="1" applyBorder="1" applyAlignment="1" applyProtection="1">
      <alignment vertical="top"/>
      <protection locked="0"/>
    </xf>
    <xf numFmtId="172" fontId="14" fillId="0" borderId="31" xfId="660" applyNumberFormat="1" applyFont="1" applyFill="1" applyBorder="1" applyAlignment="1" applyProtection="1">
      <alignment vertical="top"/>
      <protection locked="0"/>
    </xf>
    <xf numFmtId="172" fontId="14" fillId="0" borderId="3" xfId="8" applyNumberFormat="1" applyFont="1" applyFill="1" applyBorder="1" applyProtection="1">
      <protection locked="0"/>
    </xf>
    <xf numFmtId="172" fontId="12" fillId="0" borderId="29" xfId="660" applyNumberFormat="1" applyFont="1" applyFill="1" applyBorder="1" applyAlignment="1" applyProtection="1">
      <alignment vertical="top"/>
      <protection locked="0"/>
    </xf>
    <xf numFmtId="172" fontId="12" fillId="0" borderId="29" xfId="12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8" applyNumberFormat="1" applyFont="1" applyFill="1" applyBorder="1" applyAlignment="1" applyProtection="1">
      <alignment horizontal="right" vertical="top" wrapText="1"/>
      <protection locked="0"/>
    </xf>
    <xf numFmtId="172" fontId="12" fillId="54" borderId="31" xfId="224" applyNumberFormat="1" applyFill="1" applyBorder="1" applyAlignment="1" applyProtection="1">
      <alignment horizontal="center" vertical="top"/>
      <protection locked="0"/>
    </xf>
    <xf numFmtId="172" fontId="12" fillId="0" borderId="0" xfId="224" applyNumberFormat="1" applyAlignment="1" applyProtection="1">
      <alignment horizontal="center" vertical="top"/>
      <protection locked="0"/>
    </xf>
    <xf numFmtId="172" fontId="12" fillId="2" borderId="29" xfId="8" applyNumberFormat="1" applyFont="1" applyFill="1" applyBorder="1" applyAlignment="1" applyProtection="1">
      <alignment horizontal="center" vertical="top" wrapText="1"/>
      <protection locked="0"/>
    </xf>
    <xf numFmtId="172" fontId="12" fillId="0" borderId="29" xfId="8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8" applyNumberFormat="1" applyFont="1" applyFill="1" applyBorder="1" applyAlignment="1" applyProtection="1">
      <alignment horizontal="center" vertical="top"/>
      <protection locked="0"/>
    </xf>
    <xf numFmtId="172" fontId="11" fillId="2" borderId="29" xfId="8" applyNumberFormat="1" applyFont="1" applyFill="1" applyBorder="1" applyAlignment="1" applyProtection="1">
      <alignment horizontal="center" vertical="top"/>
      <protection locked="0"/>
    </xf>
    <xf numFmtId="172" fontId="12" fillId="2" borderId="29" xfId="0" applyNumberFormat="1" applyFont="1" applyFill="1" applyBorder="1" applyAlignment="1">
      <alignment vertical="top"/>
    </xf>
    <xf numFmtId="172" fontId="12" fillId="58" borderId="31" xfId="0" applyNumberFormat="1" applyFont="1" applyFill="1" applyBorder="1" applyAlignment="1">
      <alignment vertical="top"/>
    </xf>
    <xf numFmtId="172" fontId="12" fillId="58" borderId="32" xfId="0" applyNumberFormat="1" applyFont="1" applyFill="1" applyBorder="1" applyAlignment="1">
      <alignment vertical="top"/>
    </xf>
    <xf numFmtId="172" fontId="12" fillId="57" borderId="0" xfId="0" applyNumberFormat="1" applyFont="1" applyFill="1" applyAlignment="1">
      <alignment horizontal="center" vertical="center"/>
    </xf>
    <xf numFmtId="172" fontId="16" fillId="2" borderId="0" xfId="0" applyNumberFormat="1" applyFont="1" applyFill="1" applyAlignment="1">
      <alignment vertical="center"/>
    </xf>
    <xf numFmtId="172" fontId="12" fillId="0" borderId="0" xfId="1130" applyNumberFormat="1" applyFont="1" applyFill="1" applyBorder="1" applyAlignment="1">
      <alignment horizontal="center"/>
    </xf>
    <xf numFmtId="172" fontId="12" fillId="0" borderId="0" xfId="1129" applyNumberFormat="1" applyAlignment="1">
      <alignment horizontal="center"/>
    </xf>
    <xf numFmtId="172" fontId="12" fillId="57" borderId="0" xfId="14" applyNumberFormat="1" applyFill="1" applyAlignment="1">
      <alignment horizontal="left" vertical="top"/>
    </xf>
    <xf numFmtId="172" fontId="12" fillId="57" borderId="0" xfId="14" applyNumberFormat="1" applyFill="1" applyAlignment="1">
      <alignment horizontal="center" vertical="top" wrapText="1"/>
    </xf>
    <xf numFmtId="172" fontId="12" fillId="57" borderId="0" xfId="14" applyNumberFormat="1" applyFill="1" applyAlignment="1">
      <alignment horizontal="left" vertical="top" wrapText="1"/>
    </xf>
    <xf numFmtId="172" fontId="12" fillId="57" borderId="0" xfId="14" applyNumberFormat="1" applyFill="1" applyAlignment="1">
      <alignment horizontal="center" vertical="top"/>
    </xf>
    <xf numFmtId="172" fontId="12" fillId="0" borderId="0" xfId="1128" applyNumberFormat="1" applyFont="1" applyFill="1" applyBorder="1" applyAlignment="1">
      <alignment horizontal="center" wrapText="1"/>
    </xf>
    <xf numFmtId="4" fontId="118" fillId="4" borderId="33" xfId="132" applyNumberFormat="1" applyFont="1" applyFill="1" applyBorder="1" applyAlignment="1">
      <alignment horizontal="center" vertical="top"/>
    </xf>
    <xf numFmtId="0" fontId="11" fillId="0" borderId="29" xfId="224" applyFont="1" applyBorder="1" applyAlignment="1">
      <alignment horizontal="center" vertical="top"/>
    </xf>
    <xf numFmtId="0" fontId="11" fillId="0" borderId="29" xfId="224" quotePrefix="1" applyFont="1" applyBorder="1" applyAlignment="1">
      <alignment horizontal="center" vertical="top"/>
    </xf>
    <xf numFmtId="0" fontId="12" fillId="0" borderId="29" xfId="224" applyBorder="1" applyAlignment="1" applyProtection="1">
      <alignment horizontal="center" vertical="top"/>
      <protection locked="0"/>
    </xf>
    <xf numFmtId="0" fontId="0" fillId="4" borderId="0" xfId="0" applyFill="1"/>
    <xf numFmtId="4" fontId="11" fillId="54" borderId="48" xfId="0" applyNumberFormat="1" applyFont="1" applyFill="1" applyBorder="1" applyAlignment="1" applyProtection="1">
      <alignment horizontal="center" vertical="center"/>
      <protection locked="0"/>
    </xf>
    <xf numFmtId="4" fontId="11" fillId="0" borderId="48" xfId="0" applyNumberFormat="1" applyFont="1" applyBorder="1" applyAlignment="1">
      <alignment horizontal="center" vertical="top"/>
    </xf>
    <xf numFmtId="172" fontId="12" fillId="0" borderId="50" xfId="0" applyNumberFormat="1" applyFont="1" applyBorder="1" applyAlignment="1">
      <alignment horizontal="right" vertical="top"/>
    </xf>
    <xf numFmtId="4" fontId="12" fillId="0" borderId="55" xfId="0" applyNumberFormat="1" applyFont="1" applyBorder="1" applyAlignment="1" applyProtection="1">
      <alignment vertical="top"/>
      <protection locked="0"/>
    </xf>
    <xf numFmtId="172" fontId="11" fillId="55" borderId="50" xfId="0" applyNumberFormat="1" applyFont="1" applyFill="1" applyBorder="1" applyAlignment="1">
      <alignment horizontal="right" vertical="top"/>
    </xf>
    <xf numFmtId="4" fontId="12" fillId="0" borderId="50" xfId="0" applyNumberFormat="1" applyFont="1" applyBorder="1" applyAlignment="1">
      <alignment vertical="top" wrapText="1"/>
    </xf>
    <xf numFmtId="0" fontId="12" fillId="0" borderId="50" xfId="0" applyFont="1" applyBorder="1"/>
    <xf numFmtId="4" fontId="12" fillId="0" borderId="50" xfId="0" applyNumberFormat="1" applyFont="1" applyBorder="1" applyAlignment="1" applyProtection="1">
      <alignment vertical="top"/>
      <protection locked="0"/>
    </xf>
    <xf numFmtId="4" fontId="12" fillId="0" borderId="50" xfId="0" applyNumberFormat="1" applyFont="1" applyBorder="1" applyAlignment="1">
      <alignment horizontal="right" vertical="top"/>
    </xf>
    <xf numFmtId="4" fontId="12" fillId="0" borderId="50" xfId="0" applyNumberFormat="1" applyFont="1" applyBorder="1" applyAlignment="1">
      <alignment vertical="top"/>
    </xf>
    <xf numFmtId="4" fontId="12" fillId="0" borderId="56" xfId="0" applyNumberFormat="1" applyFont="1" applyBorder="1" applyAlignment="1" applyProtection="1">
      <alignment vertical="top"/>
      <protection locked="0"/>
    </xf>
    <xf numFmtId="172" fontId="11" fillId="2" borderId="50" xfId="0" applyNumberFormat="1" applyFont="1" applyFill="1" applyBorder="1" applyAlignment="1">
      <alignment horizontal="right" vertical="top"/>
    </xf>
    <xf numFmtId="4" fontId="12" fillId="0" borderId="50" xfId="0" applyNumberFormat="1" applyFont="1" applyBorder="1" applyAlignment="1" applyProtection="1">
      <alignment horizontal="right" vertical="top" wrapText="1"/>
      <protection locked="0"/>
    </xf>
    <xf numFmtId="4" fontId="12" fillId="2" borderId="50" xfId="0" applyNumberFormat="1" applyFont="1" applyFill="1" applyBorder="1" applyAlignment="1" applyProtection="1">
      <alignment horizontal="right" vertical="top" wrapText="1"/>
      <protection locked="0"/>
    </xf>
    <xf numFmtId="0" fontId="12" fillId="0" borderId="50" xfId="0" applyFont="1" applyBorder="1" applyAlignment="1" applyProtection="1">
      <alignment vertical="top"/>
      <protection locked="0"/>
    </xf>
    <xf numFmtId="4" fontId="12" fillId="0" borderId="57" xfId="0" applyNumberFormat="1" applyFont="1" applyBorder="1" applyAlignment="1" applyProtection="1">
      <alignment vertical="top"/>
      <protection locked="0"/>
    </xf>
    <xf numFmtId="4" fontId="12" fillId="0" borderId="50" xfId="0" applyNumberFormat="1" applyFont="1" applyBorder="1" applyAlignment="1" applyProtection="1">
      <alignment horizontal="right" vertical="top"/>
      <protection locked="0"/>
    </xf>
    <xf numFmtId="4" fontId="11" fillId="3" borderId="50" xfId="4" applyNumberFormat="1" applyFont="1" applyFill="1" applyBorder="1" applyAlignment="1" applyProtection="1">
      <alignment horizontal="right" vertical="top" wrapText="1"/>
      <protection locked="0"/>
    </xf>
    <xf numFmtId="4" fontId="12" fillId="2" borderId="50" xfId="0" applyNumberFormat="1" applyFont="1" applyFill="1" applyBorder="1" applyAlignment="1" applyProtection="1">
      <alignment vertical="top"/>
      <protection locked="0"/>
    </xf>
    <xf numFmtId="4" fontId="12" fillId="2" borderId="57" xfId="0" applyNumberFormat="1" applyFont="1" applyFill="1" applyBorder="1" applyAlignment="1" applyProtection="1">
      <alignment vertical="top"/>
      <protection locked="0"/>
    </xf>
    <xf numFmtId="4" fontId="11" fillId="55" borderId="50" xfId="0" applyNumberFormat="1" applyFont="1" applyFill="1" applyBorder="1" applyAlignment="1" applyProtection="1">
      <alignment horizontal="right" vertical="top" wrapText="1"/>
      <protection locked="0"/>
    </xf>
    <xf numFmtId="4" fontId="11" fillId="2" borderId="50" xfId="4" applyNumberFormat="1" applyFont="1" applyFill="1" applyBorder="1" applyAlignment="1" applyProtection="1">
      <alignment horizontal="right" vertical="top" wrapText="1"/>
      <protection locked="0"/>
    </xf>
    <xf numFmtId="0" fontId="14" fillId="0" borderId="50" xfId="0" applyFont="1" applyBorder="1" applyAlignment="1" applyProtection="1">
      <alignment horizontal="right" vertical="top" wrapText="1"/>
      <protection locked="0"/>
    </xf>
    <xf numFmtId="4" fontId="14" fillId="0" borderId="50" xfId="0" applyNumberFormat="1" applyFont="1" applyBorder="1" applyAlignment="1" applyProtection="1">
      <alignment horizontal="right" vertical="top" wrapText="1"/>
      <protection locked="0"/>
    </xf>
    <xf numFmtId="4" fontId="14" fillId="0" borderId="57" xfId="0" applyNumberFormat="1" applyFont="1" applyBorder="1" applyAlignment="1" applyProtection="1">
      <alignment horizontal="right" vertical="top" wrapText="1"/>
      <protection locked="0"/>
    </xf>
    <xf numFmtId="4" fontId="19" fillId="0" borderId="50" xfId="0" applyNumberFormat="1" applyFont="1" applyBorder="1" applyAlignment="1" applyProtection="1">
      <alignment horizontal="right" vertical="top" wrapText="1"/>
      <protection locked="0"/>
    </xf>
    <xf numFmtId="4" fontId="19" fillId="2" borderId="50" xfId="0" applyNumberFormat="1" applyFont="1" applyFill="1" applyBorder="1" applyAlignment="1" applyProtection="1">
      <alignment horizontal="right" vertical="top" wrapText="1"/>
      <protection locked="0"/>
    </xf>
    <xf numFmtId="4" fontId="12" fillId="2" borderId="50" xfId="1112" applyNumberFormat="1" applyFont="1" applyFill="1" applyBorder="1" applyAlignment="1" applyProtection="1">
      <alignment vertical="top"/>
      <protection locked="0"/>
    </xf>
    <xf numFmtId="4" fontId="12" fillId="2" borderId="57" xfId="0" applyNumberFormat="1" applyFont="1" applyFill="1" applyBorder="1" applyAlignment="1" applyProtection="1">
      <alignment horizontal="right" vertical="top" wrapText="1"/>
      <protection locked="0"/>
    </xf>
    <xf numFmtId="4" fontId="12" fillId="2" borderId="50" xfId="0" applyNumberFormat="1" applyFont="1" applyFill="1" applyBorder="1" applyAlignment="1" applyProtection="1">
      <alignment horizontal="right" vertical="top"/>
      <protection locked="0"/>
    </xf>
    <xf numFmtId="4" fontId="12" fillId="2" borderId="50" xfId="1116" applyNumberFormat="1" applyFont="1" applyFill="1" applyBorder="1" applyAlignment="1" applyProtection="1">
      <alignment horizontal="right" vertical="top"/>
      <protection locked="0"/>
    </xf>
    <xf numFmtId="4" fontId="12" fillId="2" borderId="57" xfId="1116" applyNumberFormat="1" applyFont="1" applyFill="1" applyBorder="1" applyAlignment="1" applyProtection="1">
      <alignment horizontal="right" vertical="top"/>
      <protection locked="0"/>
    </xf>
    <xf numFmtId="4" fontId="12" fillId="0" borderId="50" xfId="1116" applyNumberFormat="1" applyFont="1" applyBorder="1" applyAlignment="1" applyProtection="1">
      <alignment horizontal="right" vertical="top"/>
      <protection locked="0"/>
    </xf>
    <xf numFmtId="4" fontId="14" fillId="0" borderId="50" xfId="0" applyNumberFormat="1" applyFont="1" applyBorder="1" applyAlignment="1" applyProtection="1">
      <alignment horizontal="right" vertical="top"/>
      <protection locked="0"/>
    </xf>
    <xf numFmtId="4" fontId="14" fillId="0" borderId="57" xfId="0" applyNumberFormat="1" applyFont="1" applyBorder="1" applyAlignment="1" applyProtection="1">
      <alignment horizontal="right" vertical="top"/>
      <protection locked="0"/>
    </xf>
    <xf numFmtId="4" fontId="12" fillId="0" borderId="57" xfId="1116" applyNumberFormat="1" applyFont="1" applyBorder="1" applyAlignment="1" applyProtection="1">
      <alignment horizontal="right" vertical="top"/>
      <protection locked="0"/>
    </xf>
    <xf numFmtId="4" fontId="12" fillId="0" borderId="50" xfId="1118" applyNumberFormat="1" applyFont="1" applyBorder="1" applyAlignment="1" applyProtection="1">
      <alignment vertical="top"/>
      <protection locked="0"/>
    </xf>
    <xf numFmtId="4" fontId="12" fillId="0" borderId="57" xfId="0" applyNumberFormat="1" applyFont="1" applyBorder="1" applyAlignment="1" applyProtection="1">
      <alignment horizontal="right" vertical="top"/>
      <protection locked="0"/>
    </xf>
    <xf numFmtId="4" fontId="11" fillId="55" borderId="50" xfId="0" applyNumberFormat="1" applyFont="1" applyFill="1" applyBorder="1" applyAlignment="1">
      <alignment horizontal="right" vertical="top"/>
    </xf>
    <xf numFmtId="4" fontId="12" fillId="2" borderId="50" xfId="0" applyNumberFormat="1" applyFont="1" applyFill="1" applyBorder="1" applyAlignment="1">
      <alignment horizontal="right" vertical="top"/>
    </xf>
    <xf numFmtId="4" fontId="11" fillId="0" borderId="50" xfId="0" applyNumberFormat="1" applyFont="1" applyBorder="1" applyAlignment="1">
      <alignment horizontal="right" vertical="top"/>
    </xf>
    <xf numFmtId="4" fontId="11" fillId="54" borderId="57" xfId="224" applyNumberFormat="1" applyFont="1" applyFill="1" applyBorder="1" applyAlignment="1">
      <alignment vertical="top"/>
    </xf>
    <xf numFmtId="4" fontId="11" fillId="0" borderId="0" xfId="224" applyNumberFormat="1" applyFont="1" applyAlignment="1">
      <alignment vertical="top"/>
    </xf>
    <xf numFmtId="172" fontId="11" fillId="0" borderId="50" xfId="0" applyNumberFormat="1" applyFont="1" applyBorder="1" applyAlignment="1">
      <alignment horizontal="right" vertical="top"/>
    </xf>
    <xf numFmtId="172" fontId="11" fillId="0" borderId="52" xfId="0" applyNumberFormat="1" applyFont="1" applyBorder="1" applyAlignment="1">
      <alignment horizontal="right" vertical="top"/>
    </xf>
    <xf numFmtId="4" fontId="12" fillId="0" borderId="52" xfId="0" applyNumberFormat="1" applyFont="1" applyBorder="1" applyAlignment="1" applyProtection="1">
      <alignment vertical="top"/>
      <protection locked="0"/>
    </xf>
    <xf numFmtId="4" fontId="11" fillId="0" borderId="50" xfId="4" applyNumberFormat="1" applyFont="1" applyFill="1" applyBorder="1" applyAlignment="1" applyProtection="1">
      <alignment horizontal="right" vertical="top" wrapText="1"/>
      <protection locked="0"/>
    </xf>
    <xf numFmtId="4" fontId="12" fillId="0" borderId="48" xfId="0" applyNumberFormat="1" applyFont="1" applyBorder="1" applyAlignment="1" applyProtection="1">
      <alignment vertical="top"/>
      <protection locked="0"/>
    </xf>
    <xf numFmtId="4" fontId="11" fillId="0" borderId="50" xfId="0" applyNumberFormat="1" applyFont="1" applyBorder="1" applyAlignment="1" applyProtection="1">
      <alignment horizontal="right" vertical="top" wrapText="1"/>
      <protection locked="0"/>
    </xf>
    <xf numFmtId="4" fontId="12" fillId="0" borderId="52" xfId="0" applyNumberFormat="1" applyFont="1" applyBorder="1" applyAlignment="1" applyProtection="1">
      <alignment horizontal="right" vertical="top" wrapText="1"/>
      <protection locked="0"/>
    </xf>
    <xf numFmtId="4" fontId="11" fillId="0" borderId="52" xfId="4" applyNumberFormat="1" applyFont="1" applyFill="1" applyBorder="1" applyAlignment="1" applyProtection="1">
      <alignment horizontal="right" vertical="top" wrapText="1"/>
      <protection locked="0"/>
    </xf>
    <xf numFmtId="4" fontId="16" fillId="0" borderId="50" xfId="0" applyNumberFormat="1" applyFont="1" applyBorder="1" applyAlignment="1" applyProtection="1">
      <alignment vertical="top"/>
      <protection locked="0"/>
    </xf>
    <xf numFmtId="4" fontId="12" fillId="0" borderId="50" xfId="1112" applyNumberFormat="1" applyFont="1" applyFill="1" applyBorder="1" applyAlignment="1" applyProtection="1">
      <alignment vertical="top"/>
      <protection locked="0"/>
    </xf>
    <xf numFmtId="213" fontId="14" fillId="0" borderId="50" xfId="0" applyNumberFormat="1" applyFont="1" applyBorder="1" applyAlignment="1">
      <alignment vertical="top" wrapText="1"/>
    </xf>
    <xf numFmtId="4" fontId="12" fillId="0" borderId="52" xfId="1116" applyNumberFormat="1" applyFont="1" applyBorder="1" applyAlignment="1" applyProtection="1">
      <alignment horizontal="right" vertical="top"/>
      <protection locked="0"/>
    </xf>
    <xf numFmtId="4" fontId="11" fillId="0" borderId="57" xfId="0" applyNumberFormat="1" applyFont="1" applyBorder="1" applyAlignment="1">
      <alignment horizontal="right" vertical="top"/>
    </xf>
    <xf numFmtId="4" fontId="11" fillId="0" borderId="57" xfId="224" applyNumberFormat="1" applyFont="1" applyBorder="1" applyAlignment="1">
      <alignment vertical="top"/>
    </xf>
    <xf numFmtId="4" fontId="11" fillId="0" borderId="50" xfId="224" applyNumberFormat="1" applyFont="1" applyBorder="1" applyAlignment="1">
      <alignment vertical="top"/>
    </xf>
    <xf numFmtId="222" fontId="12" fillId="2" borderId="50" xfId="0" applyNumberFormat="1" applyFont="1" applyFill="1" applyBorder="1" applyAlignment="1">
      <alignment horizontal="right" vertical="top"/>
    </xf>
    <xf numFmtId="4" fontId="11" fillId="2" borderId="50" xfId="0" applyNumberFormat="1" applyFont="1" applyFill="1" applyBorder="1" applyAlignment="1">
      <alignment vertical="top"/>
    </xf>
    <xf numFmtId="4" fontId="11" fillId="58" borderId="57" xfId="0" applyNumberFormat="1" applyFont="1" applyFill="1" applyBorder="1" applyAlignment="1">
      <alignment vertical="top"/>
    </xf>
    <xf numFmtId="4" fontId="11" fillId="58" borderId="52" xfId="0" applyNumberFormat="1" applyFont="1" applyFill="1" applyBorder="1" applyAlignment="1">
      <alignment vertical="top"/>
    </xf>
    <xf numFmtId="0" fontId="0" fillId="0" borderId="0" xfId="0" applyBorder="1"/>
    <xf numFmtId="0" fontId="0" fillId="4" borderId="0" xfId="0" applyFill="1" applyBorder="1"/>
    <xf numFmtId="4" fontId="11" fillId="54" borderId="0" xfId="224" applyNumberFormat="1" applyFont="1" applyFill="1" applyBorder="1" applyAlignment="1">
      <alignment vertical="top"/>
    </xf>
    <xf numFmtId="222" fontId="12" fillId="2" borderId="0" xfId="0" applyNumberFormat="1" applyFont="1" applyFill="1" applyBorder="1" applyAlignment="1">
      <alignment horizontal="right" vertical="top"/>
    </xf>
    <xf numFmtId="222" fontId="0" fillId="0" borderId="0" xfId="0" applyNumberFormat="1" applyBorder="1"/>
    <xf numFmtId="4" fontId="0" fillId="0" borderId="0" xfId="0" applyNumberFormat="1" applyBorder="1"/>
    <xf numFmtId="0" fontId="12" fillId="2" borderId="0" xfId="0" applyFont="1" applyFill="1" applyAlignment="1">
      <alignment horizontal="center"/>
    </xf>
    <xf numFmtId="0" fontId="12" fillId="2" borderId="0" xfId="0" quotePrefix="1" applyFont="1" applyFill="1" applyAlignment="1">
      <alignment horizontal="center"/>
    </xf>
    <xf numFmtId="0" fontId="11" fillId="2" borderId="0" xfId="0" applyFont="1" applyFill="1" applyAlignment="1">
      <alignment horizontal="center" vertical="top" wrapText="1"/>
    </xf>
    <xf numFmtId="0" fontId="11" fillId="2" borderId="3" xfId="3" applyFont="1" applyFill="1" applyBorder="1" applyAlignment="1">
      <alignment horizontal="left" vertical="top" wrapText="1"/>
    </xf>
    <xf numFmtId="0" fontId="11" fillId="0" borderId="0" xfId="0" applyFont="1" applyAlignment="1">
      <alignment horizontal="center" vertical="top"/>
    </xf>
    <xf numFmtId="0" fontId="78" fillId="0" borderId="0" xfId="0" applyFont="1" applyAlignment="1">
      <alignment horizontal="center" vertical="top"/>
    </xf>
    <xf numFmtId="0" fontId="23" fillId="0" borderId="0" xfId="1111" applyFont="1" applyAlignment="1">
      <alignment horizontal="center" vertical="top" wrapText="1"/>
    </xf>
    <xf numFmtId="0" fontId="12" fillId="0" borderId="0" xfId="0" quotePrefix="1" applyFont="1" applyAlignment="1">
      <alignment vertical="top" wrapText="1"/>
    </xf>
    <xf numFmtId="0" fontId="12" fillId="57" borderId="0" xfId="14" applyFill="1" applyAlignment="1">
      <alignment horizontal="center" vertical="top" wrapText="1"/>
    </xf>
    <xf numFmtId="0" fontId="122" fillId="66" borderId="50" xfId="0" applyFont="1" applyFill="1" applyBorder="1" applyAlignment="1">
      <alignment horizontal="center" vertical="top" wrapText="1"/>
    </xf>
    <xf numFmtId="0" fontId="123" fillId="66" borderId="0" xfId="0" applyFont="1" applyFill="1" applyAlignment="1">
      <alignment vertical="top" wrapText="1"/>
    </xf>
    <xf numFmtId="0" fontId="123" fillId="66" borderId="51" xfId="0" applyFont="1" applyFill="1" applyBorder="1" applyAlignment="1">
      <alignment vertical="top" wrapText="1"/>
    </xf>
    <xf numFmtId="0" fontId="123" fillId="66" borderId="50" xfId="0" applyFont="1" applyFill="1" applyBorder="1" applyAlignment="1">
      <alignment vertical="top" wrapText="1"/>
    </xf>
    <xf numFmtId="0" fontId="122" fillId="66" borderId="0" xfId="0" applyFont="1" applyFill="1" applyAlignment="1">
      <alignment horizontal="center" vertical="top" wrapText="1"/>
    </xf>
    <xf numFmtId="0" fontId="122" fillId="66" borderId="51" xfId="0" applyFont="1" applyFill="1" applyBorder="1" applyAlignment="1">
      <alignment horizontal="center" vertical="top" wrapText="1"/>
    </xf>
    <xf numFmtId="0" fontId="123" fillId="66" borderId="0" xfId="0" applyFont="1" applyFill="1" applyAlignment="1">
      <alignment horizontal="center" vertical="top" wrapText="1"/>
    </xf>
    <xf numFmtId="0" fontId="123" fillId="66" borderId="51" xfId="0" applyFont="1" applyFill="1" applyBorder="1" applyAlignment="1">
      <alignment horizontal="center" vertical="top" wrapText="1"/>
    </xf>
    <xf numFmtId="0" fontId="103" fillId="66" borderId="50" xfId="0" applyFont="1" applyFill="1" applyBorder="1" applyAlignment="1">
      <alignment horizontal="justify" vertical="top"/>
    </xf>
    <xf numFmtId="0" fontId="103" fillId="66" borderId="0" xfId="0" applyFont="1" applyFill="1" applyAlignment="1">
      <alignment horizontal="justify" vertical="top"/>
    </xf>
    <xf numFmtId="0" fontId="103" fillId="66" borderId="51" xfId="0" applyFont="1" applyFill="1" applyBorder="1" applyAlignment="1">
      <alignment horizontal="justify" vertical="top"/>
    </xf>
    <xf numFmtId="0" fontId="12" fillId="57" borderId="0" xfId="14" applyFill="1" applyAlignment="1">
      <alignment horizontal="left" vertical="top"/>
    </xf>
    <xf numFmtId="0" fontId="82" fillId="59" borderId="0" xfId="903" applyFont="1" applyFill="1" applyAlignment="1">
      <alignment horizontal="center"/>
    </xf>
    <xf numFmtId="0" fontId="82" fillId="59" borderId="7" xfId="903" applyFont="1" applyFill="1" applyBorder="1" applyAlignment="1">
      <alignment horizontal="center"/>
    </xf>
    <xf numFmtId="0" fontId="104" fillId="65" borderId="0" xfId="0" applyFont="1" applyFill="1" applyAlignment="1">
      <alignment horizontal="center" vertical="center"/>
    </xf>
    <xf numFmtId="0" fontId="104" fillId="65" borderId="7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center" vertical="top"/>
    </xf>
    <xf numFmtId="0" fontId="78" fillId="0" borderId="53" xfId="0" applyFont="1" applyBorder="1" applyAlignment="1">
      <alignment horizontal="center" vertical="top"/>
    </xf>
    <xf numFmtId="0" fontId="78" fillId="0" borderId="54" xfId="0" applyFont="1" applyBorder="1" applyAlignment="1">
      <alignment horizontal="center" vertical="top"/>
    </xf>
    <xf numFmtId="0" fontId="11" fillId="51" borderId="52" xfId="0" applyFont="1" applyFill="1" applyBorder="1" applyAlignment="1">
      <alignment horizontal="center" vertical="top"/>
    </xf>
    <xf numFmtId="0" fontId="78" fillId="51" borderId="53" xfId="0" applyFont="1" applyFill="1" applyBorder="1" applyAlignment="1">
      <alignment horizontal="center" vertical="top"/>
    </xf>
    <xf numFmtId="0" fontId="78" fillId="51" borderId="54" xfId="0" applyFont="1" applyFill="1" applyBorder="1" applyAlignment="1">
      <alignment horizontal="center" vertical="top"/>
    </xf>
    <xf numFmtId="0" fontId="61" fillId="0" borderId="0" xfId="0" applyFont="1" applyAlignment="1">
      <alignment horizontal="center"/>
    </xf>
  </cellXfs>
  <cellStyles count="1131">
    <cellStyle name="_x000d__x000a_JournalTemplate=C:\COMFO\CTALK\JOURSTD.TPL_x000d__x000a_LbStateAddress=3 3 0 251 1 89 2 311_x000d__x000a_LbStateJou" xfId="279"/>
    <cellStyle name="20% - Accent1" xfId="19"/>
    <cellStyle name="20% - Accent1 2" xfId="20"/>
    <cellStyle name="20% - Accent1 3" xfId="280"/>
    <cellStyle name="20% - Accent1 4" xfId="281"/>
    <cellStyle name="20% - Accent1 5" xfId="282"/>
    <cellStyle name="20% - Accent2" xfId="21"/>
    <cellStyle name="20% - Accent2 2" xfId="22"/>
    <cellStyle name="20% - Accent2 3" xfId="283"/>
    <cellStyle name="20% - Accent2 4" xfId="284"/>
    <cellStyle name="20% - Accent2 5" xfId="285"/>
    <cellStyle name="20% - Accent3" xfId="23"/>
    <cellStyle name="20% - Accent3 2" xfId="24"/>
    <cellStyle name="20% - Accent3 3" xfId="286"/>
    <cellStyle name="20% - Accent3 4" xfId="287"/>
    <cellStyle name="20% - Accent3 5" xfId="288"/>
    <cellStyle name="20% - Accent4" xfId="25"/>
    <cellStyle name="20% - Accent4 2" xfId="26"/>
    <cellStyle name="20% - Accent4 3" xfId="289"/>
    <cellStyle name="20% - Accent4 4" xfId="290"/>
    <cellStyle name="20% - Accent4 5" xfId="291"/>
    <cellStyle name="20% - Accent5" xfId="27"/>
    <cellStyle name="20% - Accent5 2" xfId="292"/>
    <cellStyle name="20% - Accent6" xfId="28"/>
    <cellStyle name="20% - Accent6 2" xfId="29"/>
    <cellStyle name="20% - Accent6 3" xfId="293"/>
    <cellStyle name="20% - Accent6 4" xfId="294"/>
    <cellStyle name="20% - Accent6 5" xfId="295"/>
    <cellStyle name="20% - Énfasis1 2" xfId="30"/>
    <cellStyle name="20% - Énfasis1 2 2" xfId="296"/>
    <cellStyle name="20% - Énfasis1 3" xfId="297"/>
    <cellStyle name="20% - Énfasis1 3 2" xfId="298"/>
    <cellStyle name="20% - Énfasis1 4" xfId="299"/>
    <cellStyle name="20% - Énfasis2 2" xfId="31"/>
    <cellStyle name="20% - Énfasis2 2 2" xfId="300"/>
    <cellStyle name="20% - Énfasis2 3" xfId="301"/>
    <cellStyle name="20% - Énfasis2 3 2" xfId="302"/>
    <cellStyle name="20% - Énfasis2 4" xfId="303"/>
    <cellStyle name="20% - Énfasis3 2" xfId="32"/>
    <cellStyle name="20% - Énfasis3 2 2" xfId="304"/>
    <cellStyle name="20% - Énfasis3 3" xfId="305"/>
    <cellStyle name="20% - Énfasis3 3 2" xfId="306"/>
    <cellStyle name="20% - Énfasis3 4" xfId="307"/>
    <cellStyle name="20% - Énfasis4 2" xfId="33"/>
    <cellStyle name="20% - Énfasis4 2 2" xfId="308"/>
    <cellStyle name="20% - Énfasis4 3" xfId="309"/>
    <cellStyle name="20% - Énfasis4 3 2" xfId="310"/>
    <cellStyle name="20% - Énfasis4 4" xfId="311"/>
    <cellStyle name="20% - Énfasis5 2" xfId="34"/>
    <cellStyle name="20% - Énfasis5 2 2" xfId="312"/>
    <cellStyle name="20% - Énfasis5 3" xfId="313"/>
    <cellStyle name="20% - Énfasis5 3 2" xfId="314"/>
    <cellStyle name="20% - Énfasis5 4" xfId="315"/>
    <cellStyle name="20% - Énfasis6 2" xfId="35"/>
    <cellStyle name="20% - Énfasis6 2 2" xfId="316"/>
    <cellStyle name="20% - Énfasis6 3" xfId="317"/>
    <cellStyle name="20% - Énfasis6 3 2" xfId="318"/>
    <cellStyle name="20% - Énfasis6 4" xfId="319"/>
    <cellStyle name="40% - Accent1" xfId="36"/>
    <cellStyle name="40% - Accent1 2" xfId="37"/>
    <cellStyle name="40% - Accent1 3" xfId="320"/>
    <cellStyle name="40% - Accent1 4" xfId="321"/>
    <cellStyle name="40% - Accent1 5" xfId="322"/>
    <cellStyle name="40% - Accent2" xfId="38"/>
    <cellStyle name="40% - Accent2 2" xfId="323"/>
    <cellStyle name="40% - Accent3" xfId="39"/>
    <cellStyle name="40% - Accent3 2" xfId="40"/>
    <cellStyle name="40% - Accent3 3" xfId="324"/>
    <cellStyle name="40% - Accent3 4" xfId="325"/>
    <cellStyle name="40% - Accent3 5" xfId="326"/>
    <cellStyle name="40% - Accent4" xfId="41"/>
    <cellStyle name="40% - Accent4 2" xfId="42"/>
    <cellStyle name="40% - Accent4 3" xfId="327"/>
    <cellStyle name="40% - Accent4 4" xfId="328"/>
    <cellStyle name="40% - Accent4 5" xfId="329"/>
    <cellStyle name="40% - Accent5" xfId="43"/>
    <cellStyle name="40% - Accent5 2" xfId="44"/>
    <cellStyle name="40% - Accent5 3" xfId="330"/>
    <cellStyle name="40% - Accent5 4" xfId="331"/>
    <cellStyle name="40% - Accent5 5" xfId="332"/>
    <cellStyle name="40% - Accent6" xfId="45"/>
    <cellStyle name="40% - Accent6 2" xfId="46"/>
    <cellStyle name="40% - Accent6 3" xfId="333"/>
    <cellStyle name="40% - Accent6 4" xfId="334"/>
    <cellStyle name="40% - Accent6 5" xfId="335"/>
    <cellStyle name="40% - Énfasis1 2" xfId="47"/>
    <cellStyle name="40% - Énfasis1 2 2" xfId="336"/>
    <cellStyle name="40% - Énfasis1 3" xfId="337"/>
    <cellStyle name="40% - Énfasis1 3 2" xfId="338"/>
    <cellStyle name="40% - Énfasis1 4" xfId="339"/>
    <cellStyle name="40% - Énfasis2 2" xfId="48"/>
    <cellStyle name="40% - Énfasis2 2 2" xfId="340"/>
    <cellStyle name="40% - Énfasis2 3" xfId="341"/>
    <cellStyle name="40% - Énfasis2 3 2" xfId="342"/>
    <cellStyle name="40% - Énfasis2 4" xfId="343"/>
    <cellStyle name="40% - Énfasis3 2" xfId="49"/>
    <cellStyle name="40% - Énfasis3 2 2" xfId="344"/>
    <cellStyle name="40% - Énfasis3 3" xfId="345"/>
    <cellStyle name="40% - Énfasis3 3 2" xfId="346"/>
    <cellStyle name="40% - Énfasis3 4" xfId="347"/>
    <cellStyle name="40% - Énfasis4 2" xfId="50"/>
    <cellStyle name="40% - Énfasis4 2 2" xfId="348"/>
    <cellStyle name="40% - Énfasis4 3" xfId="349"/>
    <cellStyle name="40% - Énfasis4 3 2" xfId="350"/>
    <cellStyle name="40% - Énfasis4 4" xfId="351"/>
    <cellStyle name="40% - Énfasis5 2" xfId="51"/>
    <cellStyle name="40% - Énfasis5 2 2" xfId="352"/>
    <cellStyle name="40% - Énfasis5 3" xfId="353"/>
    <cellStyle name="40% - Énfasis5 3 2" xfId="354"/>
    <cellStyle name="40% - Énfasis5 4" xfId="355"/>
    <cellStyle name="40% - Énfasis6 2" xfId="52"/>
    <cellStyle name="40% - Énfasis6 2 2" xfId="356"/>
    <cellStyle name="40% - Énfasis6 3" xfId="357"/>
    <cellStyle name="40% - Énfasis6 3 2" xfId="358"/>
    <cellStyle name="40% - Énfasis6 4" xfId="359"/>
    <cellStyle name="60% - Accent1" xfId="53"/>
    <cellStyle name="60% - Accent1 2" xfId="54"/>
    <cellStyle name="60% - Accent1 3" xfId="360"/>
    <cellStyle name="60% - Accent1 4" xfId="361"/>
    <cellStyle name="60% - Accent1 5" xfId="362"/>
    <cellStyle name="60% - Accent2" xfId="55"/>
    <cellStyle name="60% - Accent2 2" xfId="56"/>
    <cellStyle name="60% - Accent2 3" xfId="363"/>
    <cellStyle name="60% - Accent2 4" xfId="364"/>
    <cellStyle name="60% - Accent2 5" xfId="365"/>
    <cellStyle name="60% - Accent3" xfId="57"/>
    <cellStyle name="60% - Accent3 2" xfId="58"/>
    <cellStyle name="60% - Accent3 3" xfId="366"/>
    <cellStyle name="60% - Accent3 4" xfId="367"/>
    <cellStyle name="60% - Accent3 5" xfId="368"/>
    <cellStyle name="60% - Accent4" xfId="59"/>
    <cellStyle name="60% - Accent4 2" xfId="60"/>
    <cellStyle name="60% - Accent4 3" xfId="369"/>
    <cellStyle name="60% - Accent4 4" xfId="370"/>
    <cellStyle name="60% - Accent4 5" xfId="371"/>
    <cellStyle name="60% - Accent5" xfId="61"/>
    <cellStyle name="60% - Accent5 2" xfId="62"/>
    <cellStyle name="60% - Accent5 3" xfId="372"/>
    <cellStyle name="60% - Accent5 4" xfId="373"/>
    <cellStyle name="60% - Accent5 5" xfId="374"/>
    <cellStyle name="60% - Accent6" xfId="63"/>
    <cellStyle name="60% - Accent6 2" xfId="64"/>
    <cellStyle name="60% - Accent6 3" xfId="375"/>
    <cellStyle name="60% - Accent6 4" xfId="376"/>
    <cellStyle name="60% - Accent6 5" xfId="377"/>
    <cellStyle name="60% - Énfasis1 2" xfId="65"/>
    <cellStyle name="60% - Énfasis1 2 2" xfId="378"/>
    <cellStyle name="60% - Énfasis1 3" xfId="379"/>
    <cellStyle name="60% - Énfasis1 3 2" xfId="380"/>
    <cellStyle name="60% - Énfasis1 4" xfId="381"/>
    <cellStyle name="60% - Énfasis2 2" xfId="66"/>
    <cellStyle name="60% - Énfasis2 2 2" xfId="382"/>
    <cellStyle name="60% - Énfasis2 3" xfId="383"/>
    <cellStyle name="60% - Énfasis2 3 2" xfId="384"/>
    <cellStyle name="60% - Énfasis2 4" xfId="385"/>
    <cellStyle name="60% - Énfasis3 2" xfId="67"/>
    <cellStyle name="60% - Énfasis3 2 2" xfId="386"/>
    <cellStyle name="60% - Énfasis3 3" xfId="387"/>
    <cellStyle name="60% - Énfasis3 3 2" xfId="388"/>
    <cellStyle name="60% - Énfasis3 4" xfId="389"/>
    <cellStyle name="60% - Énfasis4 2" xfId="68"/>
    <cellStyle name="60% - Énfasis4 2 2" xfId="390"/>
    <cellStyle name="60% - Énfasis4 3" xfId="391"/>
    <cellStyle name="60% - Énfasis4 3 2" xfId="392"/>
    <cellStyle name="60% - Énfasis4 4" xfId="393"/>
    <cellStyle name="60% - Énfasis5 2" xfId="69"/>
    <cellStyle name="60% - Énfasis5 2 2" xfId="394"/>
    <cellStyle name="60% - Énfasis5 3" xfId="395"/>
    <cellStyle name="60% - Énfasis5 3 2" xfId="396"/>
    <cellStyle name="60% - Énfasis5 4" xfId="397"/>
    <cellStyle name="60% - Énfasis6 2" xfId="70"/>
    <cellStyle name="60% - Énfasis6 2 2" xfId="398"/>
    <cellStyle name="60% - Énfasis6 3" xfId="399"/>
    <cellStyle name="60% - Énfasis6 3 2" xfId="400"/>
    <cellStyle name="60% - Énfasis6 4" xfId="401"/>
    <cellStyle name="Accent1" xfId="71"/>
    <cellStyle name="Accent1 - 20%" xfId="72"/>
    <cellStyle name="Accent1 - 20% 2" xfId="402"/>
    <cellStyle name="Accent1 - 20% 3" xfId="403"/>
    <cellStyle name="Accent1 - 40%" xfId="73"/>
    <cellStyle name="Accent1 - 40% 2" xfId="404"/>
    <cellStyle name="Accent1 - 40% 3" xfId="405"/>
    <cellStyle name="Accent1 - 60%" xfId="74"/>
    <cellStyle name="Accent1 - 60% 2" xfId="406"/>
    <cellStyle name="Accent1 - 60% 3" xfId="407"/>
    <cellStyle name="Accent1 2" xfId="75"/>
    <cellStyle name="Accent1 2 2" xfId="408"/>
    <cellStyle name="Accent1 3" xfId="76"/>
    <cellStyle name="Accent1 4" xfId="77"/>
    <cellStyle name="Accent1 5" xfId="78"/>
    <cellStyle name="Accent1 6" xfId="409"/>
    <cellStyle name="Accent1 7" xfId="410"/>
    <cellStyle name="Accent1 8" xfId="411"/>
    <cellStyle name="Accent1 9" xfId="412"/>
    <cellStyle name="Accent1_ANALISIS PARA PRESENTAR OPRET" xfId="413"/>
    <cellStyle name="Accent2" xfId="79"/>
    <cellStyle name="Accent2 - 20%" xfId="80"/>
    <cellStyle name="Accent2 - 20% 2" xfId="414"/>
    <cellStyle name="Accent2 - 20% 3" xfId="415"/>
    <cellStyle name="Accent2 - 40%" xfId="81"/>
    <cellStyle name="Accent2 - 40% 2" xfId="416"/>
    <cellStyle name="Accent2 - 60%" xfId="82"/>
    <cellStyle name="Accent2 - 60% 2" xfId="417"/>
    <cellStyle name="Accent2 2" xfId="83"/>
    <cellStyle name="Accent2 2 2" xfId="418"/>
    <cellStyle name="Accent2 3" xfId="84"/>
    <cellStyle name="Accent2 4" xfId="85"/>
    <cellStyle name="Accent2 5" xfId="86"/>
    <cellStyle name="Accent2 6" xfId="419"/>
    <cellStyle name="Accent2 7" xfId="420"/>
    <cellStyle name="Accent2 8" xfId="421"/>
    <cellStyle name="Accent2 9" xfId="422"/>
    <cellStyle name="Accent2_ANALISIS PARA PRESENTAR OPRET" xfId="423"/>
    <cellStyle name="Accent3" xfId="87"/>
    <cellStyle name="Accent3 - 20%" xfId="88"/>
    <cellStyle name="Accent3 - 20% 2" xfId="424"/>
    <cellStyle name="Accent3 - 20% 3" xfId="425"/>
    <cellStyle name="Accent3 - 40%" xfId="89"/>
    <cellStyle name="Accent3 - 40% 2" xfId="426"/>
    <cellStyle name="Accent3 - 40% 3" xfId="427"/>
    <cellStyle name="Accent3 - 60%" xfId="90"/>
    <cellStyle name="Accent3 - 60% 2" xfId="428"/>
    <cellStyle name="Accent3 2" xfId="91"/>
    <cellStyle name="Accent3 2 2" xfId="429"/>
    <cellStyle name="Accent3 3" xfId="92"/>
    <cellStyle name="Accent3 4" xfId="93"/>
    <cellStyle name="Accent3 5" xfId="94"/>
    <cellStyle name="Accent3 6" xfId="430"/>
    <cellStyle name="Accent3 7" xfId="431"/>
    <cellStyle name="Accent3 8" xfId="432"/>
    <cellStyle name="Accent3 9" xfId="433"/>
    <cellStyle name="Accent3_ANALISIS PARA PRESENTAR OPRET" xfId="434"/>
    <cellStyle name="Accent4" xfId="95"/>
    <cellStyle name="Accent4 - 20%" xfId="96"/>
    <cellStyle name="Accent4 - 20% 2" xfId="435"/>
    <cellStyle name="Accent4 - 20% 3" xfId="436"/>
    <cellStyle name="Accent4 - 40%" xfId="97"/>
    <cellStyle name="Accent4 - 40% 2" xfId="437"/>
    <cellStyle name="Accent4 - 60%" xfId="98"/>
    <cellStyle name="Accent4 - 60% 2" xfId="438"/>
    <cellStyle name="Accent4 - 60% 3" xfId="439"/>
    <cellStyle name="Accent4 2" xfId="99"/>
    <cellStyle name="Accent4 2 2" xfId="440"/>
    <cellStyle name="Accent4 3" xfId="100"/>
    <cellStyle name="Accent4 4" xfId="101"/>
    <cellStyle name="Accent4 5" xfId="102"/>
    <cellStyle name="Accent4 6" xfId="441"/>
    <cellStyle name="Accent4 7" xfId="442"/>
    <cellStyle name="Accent4 8" xfId="443"/>
    <cellStyle name="Accent4 9" xfId="444"/>
    <cellStyle name="Accent4_ANALISIS PARA PRESENTAR OPRET" xfId="445"/>
    <cellStyle name="Accent5" xfId="103"/>
    <cellStyle name="Accent5 - 20%" xfId="104"/>
    <cellStyle name="Accent5 - 20% 2" xfId="446"/>
    <cellStyle name="Accent5 - 20% 3" xfId="447"/>
    <cellStyle name="Accent5 - 40%" xfId="105"/>
    <cellStyle name="Accent5 - 40% 2" xfId="448"/>
    <cellStyle name="Accent5 - 40% 3" xfId="449"/>
    <cellStyle name="Accent5 - 60%" xfId="106"/>
    <cellStyle name="Accent5 - 60% 2" xfId="450"/>
    <cellStyle name="Accent5 - 60% 3" xfId="451"/>
    <cellStyle name="Accent5 2" xfId="107"/>
    <cellStyle name="Accent5_ANALISIS PARA PRESENTAR OPRET" xfId="452"/>
    <cellStyle name="Accent6" xfId="108"/>
    <cellStyle name="Accent6 - 20%" xfId="109"/>
    <cellStyle name="Accent6 - 20% 2" xfId="453"/>
    <cellStyle name="Accent6 - 20% 3" xfId="454"/>
    <cellStyle name="Accent6 - 40%" xfId="110"/>
    <cellStyle name="Accent6 - 40% 2" xfId="455"/>
    <cellStyle name="Accent6 - 40% 3" xfId="456"/>
    <cellStyle name="Accent6 - 60%" xfId="111"/>
    <cellStyle name="Accent6 - 60% 2" xfId="457"/>
    <cellStyle name="Accent6 - 60% 3" xfId="458"/>
    <cellStyle name="Accent6 2" xfId="112"/>
    <cellStyle name="Accent6 2 2" xfId="459"/>
    <cellStyle name="Accent6 3" xfId="113"/>
    <cellStyle name="Accent6 4" xfId="114"/>
    <cellStyle name="Accent6 5" xfId="115"/>
    <cellStyle name="Accent6 6" xfId="460"/>
    <cellStyle name="Accent6 7" xfId="461"/>
    <cellStyle name="Accent6 8" xfId="462"/>
    <cellStyle name="Accent6 9" xfId="463"/>
    <cellStyle name="Accent6_ANALISIS PARA PRESENTAR OPRET" xfId="464"/>
    <cellStyle name="Bad" xfId="116"/>
    <cellStyle name="Bad 2" xfId="117"/>
    <cellStyle name="Bad 2 2" xfId="465"/>
    <cellStyle name="Bad 3" xfId="118"/>
    <cellStyle name="Bad 4" xfId="466"/>
    <cellStyle name="Bad 5" xfId="467"/>
    <cellStyle name="Buena 2" xfId="119"/>
    <cellStyle name="Buena 2 2" xfId="468"/>
    <cellStyle name="Buena 3" xfId="469"/>
    <cellStyle name="Buena 3 2" xfId="470"/>
    <cellStyle name="Buena 4" xfId="471"/>
    <cellStyle name="Calculation" xfId="120"/>
    <cellStyle name="Calculation 2" xfId="121"/>
    <cellStyle name="Calculation 2 2" xfId="472"/>
    <cellStyle name="Calculation 3" xfId="122"/>
    <cellStyle name="Calculation 4" xfId="473"/>
    <cellStyle name="Calculation 5" xfId="474"/>
    <cellStyle name="Cálculo 2" xfId="123"/>
    <cellStyle name="Cálculo 2 2" xfId="475"/>
    <cellStyle name="Cálculo 3" xfId="476"/>
    <cellStyle name="Cálculo 3 2" xfId="477"/>
    <cellStyle name="Cálculo 4" xfId="478"/>
    <cellStyle name="Celda de comprobación 2" xfId="124"/>
    <cellStyle name="Celda de comprobación 2 2" xfId="479"/>
    <cellStyle name="Celda de comprobación 3" xfId="480"/>
    <cellStyle name="Celda de comprobación 3 2" xfId="481"/>
    <cellStyle name="Celda de comprobación 4" xfId="482"/>
    <cellStyle name="Celda vinculada 2" xfId="125"/>
    <cellStyle name="Celda vinculada 2 2" xfId="483"/>
    <cellStyle name="Celda vinculada 3" xfId="484"/>
    <cellStyle name="Celda vinculada 3 2" xfId="485"/>
    <cellStyle name="Celda vinculada 4" xfId="486"/>
    <cellStyle name="Check Cell" xfId="126"/>
    <cellStyle name="Check Cell 2" xfId="127"/>
    <cellStyle name="Comma 10" xfId="487"/>
    <cellStyle name="Comma 11" xfId="488"/>
    <cellStyle name="Comma 12" xfId="489"/>
    <cellStyle name="Comma 13" xfId="490"/>
    <cellStyle name="Comma 2" xfId="128"/>
    <cellStyle name="Comma 2 10" xfId="491"/>
    <cellStyle name="Comma 2 11" xfId="492"/>
    <cellStyle name="Comma 2 12" xfId="493"/>
    <cellStyle name="Comma 2 13" xfId="494"/>
    <cellStyle name="Comma 2 14" xfId="1095"/>
    <cellStyle name="Comma 2 2" xfId="129"/>
    <cellStyle name="Comma 2 2 2" xfId="130"/>
    <cellStyle name="Comma 2 2 3" xfId="495"/>
    <cellStyle name="Comma 2 2 3 2" xfId="496"/>
    <cellStyle name="Comma 2 2 4" xfId="497"/>
    <cellStyle name="Comma 2 2 5" xfId="498"/>
    <cellStyle name="Comma 2 3" xfId="131"/>
    <cellStyle name="Comma 2 3 2" xfId="499"/>
    <cellStyle name="Comma 2 3 3" xfId="500"/>
    <cellStyle name="Comma 2 3 3 2" xfId="501"/>
    <cellStyle name="Comma 2 3 4" xfId="502"/>
    <cellStyle name="Comma 2 3 5" xfId="503"/>
    <cellStyle name="Comma 2 4" xfId="504"/>
    <cellStyle name="Comma 2 4 2" xfId="505"/>
    <cellStyle name="Comma 2 4 3" xfId="506"/>
    <cellStyle name="Comma 2 4 4" xfId="507"/>
    <cellStyle name="Comma 2 4 5" xfId="508"/>
    <cellStyle name="Comma 2 4 6" xfId="509"/>
    <cellStyle name="Comma 2 5" xfId="510"/>
    <cellStyle name="Comma 2 5 2" xfId="511"/>
    <cellStyle name="Comma 2 5 3" xfId="512"/>
    <cellStyle name="Comma 2 5 4" xfId="513"/>
    <cellStyle name="Comma 2 5 5" xfId="514"/>
    <cellStyle name="Comma 2 5 6" xfId="515"/>
    <cellStyle name="Comma 2 6" xfId="516"/>
    <cellStyle name="Comma 2 7" xfId="517"/>
    <cellStyle name="Comma 2 8" xfId="518"/>
    <cellStyle name="Comma 2 9" xfId="519"/>
    <cellStyle name="Comma 3" xfId="132"/>
    <cellStyle name="Comma 3 2" xfId="133"/>
    <cellStyle name="Comma 3 2 2" xfId="134"/>
    <cellStyle name="Comma 3 2 3" xfId="520"/>
    <cellStyle name="Comma 3 3" xfId="135"/>
    <cellStyle name="Comma 3 3 2" xfId="521"/>
    <cellStyle name="Comma 3 4" xfId="522"/>
    <cellStyle name="Comma 3 5" xfId="523"/>
    <cellStyle name="Comma 3 6" xfId="524"/>
    <cellStyle name="Comma 3_Adicional No. 1  Edificio Biblioteca y Verja y parqueos  Universidad ITECO" xfId="525"/>
    <cellStyle name="Comma 4" xfId="526"/>
    <cellStyle name="Comma 4 2" xfId="527"/>
    <cellStyle name="Comma 4 3" xfId="528"/>
    <cellStyle name="Comma 4_Presupuesto_remodelacion vivienda en cancino pe" xfId="529"/>
    <cellStyle name="Comma 5" xfId="530"/>
    <cellStyle name="Comma 5 2" xfId="531"/>
    <cellStyle name="Comma 6" xfId="532"/>
    <cellStyle name="Comma 6 2" xfId="533"/>
    <cellStyle name="Comma 7" xfId="534"/>
    <cellStyle name="Comma 7 2" xfId="535"/>
    <cellStyle name="Comma 8" xfId="536"/>
    <cellStyle name="Comma 8 2" xfId="537"/>
    <cellStyle name="Comma 8 2 2" xfId="538"/>
    <cellStyle name="Comma 8 3" xfId="539"/>
    <cellStyle name="Comma 9" xfId="540"/>
    <cellStyle name="Comma_ACUEDUCTO DE  PADRE LAS CASAS" xfId="136"/>
    <cellStyle name="Currency 2" xfId="541"/>
    <cellStyle name="Currency 2 2" xfId="542"/>
    <cellStyle name="Currency 2 3" xfId="543"/>
    <cellStyle name="Currency 3" xfId="544"/>
    <cellStyle name="Currency 4" xfId="545"/>
    <cellStyle name="Currency_Construccion Edificio Aulas No.1 Centroa Regional UASD, Mao" xfId="546"/>
    <cellStyle name="Emphasis 1" xfId="137"/>
    <cellStyle name="Emphasis 1 2" xfId="547"/>
    <cellStyle name="Emphasis 2" xfId="138"/>
    <cellStyle name="Emphasis 2 2" xfId="548"/>
    <cellStyle name="Emphasis 2 3" xfId="549"/>
    <cellStyle name="Emphasis 3" xfId="139"/>
    <cellStyle name="Emphasis 3 2" xfId="550"/>
    <cellStyle name="Encabezado 4 2" xfId="140"/>
    <cellStyle name="Encabezado 4 2 2" xfId="551"/>
    <cellStyle name="Encabezado 4 3" xfId="552"/>
    <cellStyle name="Encabezado 4 3 2" xfId="553"/>
    <cellStyle name="Encabezado 4 4" xfId="554"/>
    <cellStyle name="Énfasis 1" xfId="555"/>
    <cellStyle name="Énfasis 2" xfId="556"/>
    <cellStyle name="Énfasis 3" xfId="557"/>
    <cellStyle name="Énfasis1 - 20%" xfId="558"/>
    <cellStyle name="Énfasis1 - 40%" xfId="559"/>
    <cellStyle name="Énfasis1 - 60%" xfId="560"/>
    <cellStyle name="Énfasis1 2" xfId="141"/>
    <cellStyle name="Énfasis1 2 2" xfId="561"/>
    <cellStyle name="Énfasis1 3" xfId="562"/>
    <cellStyle name="Énfasis1 3 2" xfId="563"/>
    <cellStyle name="Énfasis1 4" xfId="564"/>
    <cellStyle name="Énfasis2 - 20%" xfId="565"/>
    <cellStyle name="Énfasis2 - 40%" xfId="566"/>
    <cellStyle name="Énfasis2 - 60%" xfId="567"/>
    <cellStyle name="Énfasis2 2" xfId="142"/>
    <cellStyle name="Énfasis2 2 2" xfId="568"/>
    <cellStyle name="Énfasis2 3" xfId="569"/>
    <cellStyle name="Énfasis2 3 2" xfId="570"/>
    <cellStyle name="Énfasis2 4" xfId="571"/>
    <cellStyle name="Énfasis3 - 20%" xfId="572"/>
    <cellStyle name="Énfasis3 - 40%" xfId="573"/>
    <cellStyle name="Énfasis3 - 60%" xfId="574"/>
    <cellStyle name="Énfasis3 2" xfId="143"/>
    <cellStyle name="Énfasis3 2 2" xfId="575"/>
    <cellStyle name="Énfasis3 3" xfId="576"/>
    <cellStyle name="Énfasis3 3 2" xfId="577"/>
    <cellStyle name="Énfasis3 4" xfId="578"/>
    <cellStyle name="Énfasis4 - 20%" xfId="579"/>
    <cellStyle name="Énfasis4 - 40%" xfId="580"/>
    <cellStyle name="Énfasis4 - 60%" xfId="581"/>
    <cellStyle name="Énfasis4 2" xfId="144"/>
    <cellStyle name="Énfasis4 2 2" xfId="582"/>
    <cellStyle name="Énfasis4 3" xfId="583"/>
    <cellStyle name="Énfasis4 3 2" xfId="584"/>
    <cellStyle name="Énfasis4 4" xfId="585"/>
    <cellStyle name="Énfasis5 - 20%" xfId="586"/>
    <cellStyle name="Énfasis5 - 40%" xfId="587"/>
    <cellStyle name="Énfasis5 - 60%" xfId="588"/>
    <cellStyle name="Énfasis5 2" xfId="145"/>
    <cellStyle name="Énfasis5 2 2" xfId="589"/>
    <cellStyle name="Énfasis5 3" xfId="590"/>
    <cellStyle name="Énfasis5 3 2" xfId="591"/>
    <cellStyle name="Énfasis5 4" xfId="592"/>
    <cellStyle name="Énfasis6 - 20%" xfId="593"/>
    <cellStyle name="Énfasis6 - 40%" xfId="594"/>
    <cellStyle name="Énfasis6 - 60%" xfId="595"/>
    <cellStyle name="Énfasis6 2" xfId="146"/>
    <cellStyle name="Énfasis6 2 2" xfId="596"/>
    <cellStyle name="Énfasis6 3" xfId="597"/>
    <cellStyle name="Énfasis6 3 2" xfId="598"/>
    <cellStyle name="Énfasis6 4" xfId="599"/>
    <cellStyle name="Entrada 2" xfId="147"/>
    <cellStyle name="Entrada 2 2" xfId="600"/>
    <cellStyle name="Entrada 3" xfId="601"/>
    <cellStyle name="Entrada 3 2" xfId="602"/>
    <cellStyle name="Entrada 4" xfId="603"/>
    <cellStyle name="Euro" xfId="148"/>
    <cellStyle name="Euro 2" xfId="149"/>
    <cellStyle name="Euro 2 2" xfId="604"/>
    <cellStyle name="Euro 2 2 2" xfId="605"/>
    <cellStyle name="Euro 2 3" xfId="606"/>
    <cellStyle name="Euro 2 3 2" xfId="607"/>
    <cellStyle name="Euro 2 4" xfId="608"/>
    <cellStyle name="Euro 2 5" xfId="609"/>
    <cellStyle name="Euro 3" xfId="150"/>
    <cellStyle name="Euro 3 2" xfId="610"/>
    <cellStyle name="Euro 3 3" xfId="611"/>
    <cellStyle name="Euro 4" xfId="612"/>
    <cellStyle name="Euro 4 2" xfId="613"/>
    <cellStyle name="Euro 5" xfId="614"/>
    <cellStyle name="Euro 6" xfId="615"/>
    <cellStyle name="Euro_act 102-11 al 46-11 REH OT, EST BOM, PT Y DR AC CASTILLO LOS CAFES" xfId="616"/>
    <cellStyle name="Excel Built-in Comma" xfId="617"/>
    <cellStyle name="Excel Built-in Normal" xfId="618"/>
    <cellStyle name="Explanatory Text" xfId="151"/>
    <cellStyle name="Explanatory Text 2" xfId="619"/>
    <cellStyle name="F2" xfId="152"/>
    <cellStyle name="F2 2" xfId="620"/>
    <cellStyle name="F2_act 102-11 al 46-11 REH OT, EST BOM, PT Y DR AC CASTILLO LOS CAFES" xfId="621"/>
    <cellStyle name="F3" xfId="153"/>
    <cellStyle name="F3 2" xfId="622"/>
    <cellStyle name="F3_act 102-11 al 46-11 REH OT, EST BOM, PT Y DR AC CASTILLO LOS CAFES" xfId="623"/>
    <cellStyle name="F4" xfId="154"/>
    <cellStyle name="F4 2" xfId="624"/>
    <cellStyle name="F4_act 102-11 al 46-11 REH OT, EST BOM, PT Y DR AC CASTILLO LOS CAFES" xfId="625"/>
    <cellStyle name="F5" xfId="155"/>
    <cellStyle name="F5 2" xfId="626"/>
    <cellStyle name="F5_act 102-11 al 46-11 REH OT, EST BOM, PT Y DR AC CASTILLO LOS CAFES" xfId="627"/>
    <cellStyle name="F6" xfId="156"/>
    <cellStyle name="F6 2" xfId="628"/>
    <cellStyle name="F6_act 102-11 al 46-11 REH OT, EST BOM, PT Y DR AC CASTILLO LOS CAFES" xfId="629"/>
    <cellStyle name="F7" xfId="157"/>
    <cellStyle name="F7 2" xfId="630"/>
    <cellStyle name="F7_act 102-11 al 46-11 REH OT, EST BOM, PT Y DR AC CASTILLO LOS CAFES" xfId="631"/>
    <cellStyle name="F8" xfId="158"/>
    <cellStyle name="F8 2" xfId="632"/>
    <cellStyle name="F8_act 102-11 al 46-11 REH OT, EST BOM, PT Y DR AC CASTILLO LOS CAFES" xfId="633"/>
    <cellStyle name="Followed Hyperlink" xfId="634"/>
    <cellStyle name="Good" xfId="159"/>
    <cellStyle name="Good 2" xfId="160"/>
    <cellStyle name="Good 2 2" xfId="635"/>
    <cellStyle name="Good 3" xfId="161"/>
    <cellStyle name="Good 4" xfId="636"/>
    <cellStyle name="Heading 1" xfId="162"/>
    <cellStyle name="Heading 1 2" xfId="163"/>
    <cellStyle name="Heading 1 2 2" xfId="637"/>
    <cellStyle name="Heading 1 3" xfId="164"/>
    <cellStyle name="Heading 1 4" xfId="638"/>
    <cellStyle name="Heading 1 5" xfId="639"/>
    <cellStyle name="Heading 2" xfId="165"/>
    <cellStyle name="Heading 2 2" xfId="166"/>
    <cellStyle name="Heading 2 2 2" xfId="640"/>
    <cellStyle name="Heading 2 3" xfId="167"/>
    <cellStyle name="Heading 2 4" xfId="641"/>
    <cellStyle name="Heading 2 5" xfId="642"/>
    <cellStyle name="Heading 3" xfId="168"/>
    <cellStyle name="Heading 3 2" xfId="169"/>
    <cellStyle name="Heading 3 3" xfId="643"/>
    <cellStyle name="Heading 3 4" xfId="644"/>
    <cellStyle name="Heading 3 5" xfId="645"/>
    <cellStyle name="Heading 4" xfId="170"/>
    <cellStyle name="Heading 4 2" xfId="171"/>
    <cellStyle name="Heading 4 3" xfId="646"/>
    <cellStyle name="Heading 4 4" xfId="647"/>
    <cellStyle name="Hipervínculo visitado 2" xfId="648"/>
    <cellStyle name="Hyperlink" xfId="649"/>
    <cellStyle name="Incorrecto 2" xfId="172"/>
    <cellStyle name="Incorrecto 2 2" xfId="650"/>
    <cellStyle name="Incorrecto 3" xfId="651"/>
    <cellStyle name="Incorrecto 3 2" xfId="652"/>
    <cellStyle name="Incorrecto 4" xfId="653"/>
    <cellStyle name="Input" xfId="173"/>
    <cellStyle name="Input 2" xfId="174"/>
    <cellStyle name="Input 2 2" xfId="654"/>
    <cellStyle name="Input 3" xfId="175"/>
    <cellStyle name="Input 4" xfId="655"/>
    <cellStyle name="Linked Cell" xfId="176"/>
    <cellStyle name="Linked Cell 2" xfId="177"/>
    <cellStyle name="Linked Cell 2 2" xfId="656"/>
    <cellStyle name="Linked Cell 3" xfId="178"/>
    <cellStyle name="Linked Cell 4" xfId="657"/>
    <cellStyle name="Millares" xfId="1" builtinId="3"/>
    <cellStyle name="Millares [0] 3" xfId="658"/>
    <cellStyle name="Millares [0] 5" xfId="659"/>
    <cellStyle name="Millares 10" xfId="8"/>
    <cellStyle name="Millares 10 2" xfId="179"/>
    <cellStyle name="Millares 10 2 2" xfId="660"/>
    <cellStyle name="Millares 10 2 2 2" xfId="1112"/>
    <cellStyle name="Millares 10 2 2 3" xfId="1114"/>
    <cellStyle name="Millares 10 3" xfId="661"/>
    <cellStyle name="Millares 10 4" xfId="662"/>
    <cellStyle name="Millares 10 5" xfId="663"/>
    <cellStyle name="Millares 10 6" xfId="664"/>
    <cellStyle name="Millares 11" xfId="12"/>
    <cellStyle name="Millares 11 2" xfId="665"/>
    <cellStyle name="Millares 11 2 2" xfId="1121"/>
    <cellStyle name="Millares 11 3" xfId="666"/>
    <cellStyle name="Millares 11 4" xfId="667"/>
    <cellStyle name="Millares 12" xfId="668"/>
    <cellStyle name="Millares 12 2" xfId="669"/>
    <cellStyle name="Millares 12 2 2" xfId="670"/>
    <cellStyle name="Millares 12 3" xfId="671"/>
    <cellStyle name="Millares 13" xfId="672"/>
    <cellStyle name="Millares 13 2" xfId="673"/>
    <cellStyle name="Millares 13 3" xfId="674"/>
    <cellStyle name="Millares 14" xfId="675"/>
    <cellStyle name="Millares 15" xfId="676"/>
    <cellStyle name="Millares 15 2" xfId="677"/>
    <cellStyle name="Millares 15 2 2" xfId="1099"/>
    <cellStyle name="Millares 16" xfId="678"/>
    <cellStyle name="Millares 16 2" xfId="679"/>
    <cellStyle name="Millares 17" xfId="680"/>
    <cellStyle name="Millares 17 2" xfId="681"/>
    <cellStyle name="Millares 18" xfId="682"/>
    <cellStyle name="Millares 18 2" xfId="683"/>
    <cellStyle name="Millares 19" xfId="684"/>
    <cellStyle name="Millares 19 2" xfId="685"/>
    <cellStyle name="Millares 2" xfId="6"/>
    <cellStyle name="Millares 2 10" xfId="686"/>
    <cellStyle name="Millares 2 11" xfId="687"/>
    <cellStyle name="Millares 2 2" xfId="18"/>
    <cellStyle name="Millares 2 2 2" xfId="180"/>
    <cellStyle name="Millares 2 2 2 2" xfId="181"/>
    <cellStyle name="Millares 2 2 2 4" xfId="688"/>
    <cellStyle name="Millares 2 2 3" xfId="182"/>
    <cellStyle name="Millares 2 2 3 2" xfId="689"/>
    <cellStyle name="Millares 2 2 3 3" xfId="690"/>
    <cellStyle name="Millares 2 2 4" xfId="691"/>
    <cellStyle name="Millares 2 3" xfId="183"/>
    <cellStyle name="Millares 2 3 2" xfId="692"/>
    <cellStyle name="Millares 2 3 2 2" xfId="693"/>
    <cellStyle name="Millares 2 3 3" xfId="694"/>
    <cellStyle name="Millares 2 3 4" xfId="695"/>
    <cellStyle name="Millares 2 3 5" xfId="696"/>
    <cellStyle name="Millares 2 4" xfId="184"/>
    <cellStyle name="Millares 2 4 2" xfId="697"/>
    <cellStyle name="Millares 2 4 2 2" xfId="698"/>
    <cellStyle name="Millares 2 4 3" xfId="699"/>
    <cellStyle name="Millares 2 5" xfId="700"/>
    <cellStyle name="Millares 2 5 2" xfId="701"/>
    <cellStyle name="Millares 2 5 3" xfId="702"/>
    <cellStyle name="Millares 2 6" xfId="703"/>
    <cellStyle name="Millares 2 6 2" xfId="704"/>
    <cellStyle name="Millares 2 7" xfId="705"/>
    <cellStyle name="Millares 2 8" xfId="706"/>
    <cellStyle name="Millares 2 9" xfId="707"/>
    <cellStyle name="Millares 2_111-12 ac neyba zona alta" xfId="185"/>
    <cellStyle name="Millares 20" xfId="708"/>
    <cellStyle name="Millares 21" xfId="709"/>
    <cellStyle name="Millares 22" xfId="710"/>
    <cellStyle name="Millares 23" xfId="711"/>
    <cellStyle name="Millares 23 2" xfId="712"/>
    <cellStyle name="Millares 24" xfId="713"/>
    <cellStyle name="Millares 24 2" xfId="714"/>
    <cellStyle name="Millares 25" xfId="715"/>
    <cellStyle name="Millares 25 2" xfId="716"/>
    <cellStyle name="Millares 26" xfId="717"/>
    <cellStyle name="Millares 26 2" xfId="718"/>
    <cellStyle name="Millares 27" xfId="719"/>
    <cellStyle name="Millares 28" xfId="720"/>
    <cellStyle name="Millares 29" xfId="721"/>
    <cellStyle name="Millares 3" xfId="186"/>
    <cellStyle name="Millares 3 2" xfId="11"/>
    <cellStyle name="Millares 3 2 2" xfId="187"/>
    <cellStyle name="Millares 3 2 2 2" xfId="722"/>
    <cellStyle name="Millares 3 2 2 3" xfId="723"/>
    <cellStyle name="Millares 3 2 3" xfId="724"/>
    <cellStyle name="Millares 3 2 4" xfId="725"/>
    <cellStyle name="Millares 3 2 5" xfId="726"/>
    <cellStyle name="Millares 3 3" xfId="7"/>
    <cellStyle name="Millares 3 3 2" xfId="188"/>
    <cellStyle name="Millares 3 3 2 2" xfId="727"/>
    <cellStyle name="Millares 3 3 2 3" xfId="1100"/>
    <cellStyle name="Millares 3 3 3" xfId="189"/>
    <cellStyle name="Millares 3 3 4" xfId="728"/>
    <cellStyle name="Millares 3 3 5" xfId="729"/>
    <cellStyle name="Millares 3 4" xfId="190"/>
    <cellStyle name="Millares 3 4 2" xfId="730"/>
    <cellStyle name="Millares 3 4 3" xfId="731"/>
    <cellStyle name="Millares 3 5" xfId="191"/>
    <cellStyle name="Millares 3 5 2" xfId="732"/>
    <cellStyle name="Millares 3 5 3" xfId="733"/>
    <cellStyle name="Millares 3 6" xfId="734"/>
    <cellStyle name="Millares 3 7" xfId="735"/>
    <cellStyle name="Millares 3 7 2" xfId="736"/>
    <cellStyle name="Millares 3 8" xfId="737"/>
    <cellStyle name="Millares 3 9" xfId="738"/>
    <cellStyle name="Millares 3_111-12 ac neyba zona alta" xfId="192"/>
    <cellStyle name="Millares 30" xfId="739"/>
    <cellStyle name="Millares 31" xfId="740"/>
    <cellStyle name="Millares 32" xfId="741"/>
    <cellStyle name="Millares 33" xfId="742"/>
    <cellStyle name="Millares 34" xfId="1094"/>
    <cellStyle name="Millares 35" xfId="1098"/>
    <cellStyle name="Millares 36" xfId="1109"/>
    <cellStyle name="Millares 37" xfId="1120"/>
    <cellStyle name="Millares 38" xfId="1127"/>
    <cellStyle name="Millares 4" xfId="9"/>
    <cellStyle name="Millares 4 2" xfId="193"/>
    <cellStyle name="Millares 4 2 2" xfId="194"/>
    <cellStyle name="Millares 4 2 2 2" xfId="743"/>
    <cellStyle name="Millares 4 2 2 2 2" xfId="1101"/>
    <cellStyle name="Millares 4 2 2 5" xfId="1117"/>
    <cellStyle name="Millares 4 2 3" xfId="744"/>
    <cellStyle name="Millares 4 2 4" xfId="745"/>
    <cellStyle name="Millares 4 3" xfId="195"/>
    <cellStyle name="Millares 4 3 2" xfId="746"/>
    <cellStyle name="Millares 4 3 2 2" xfId="747"/>
    <cellStyle name="Millares 4 3 3" xfId="748"/>
    <cellStyle name="Millares 4 3 4" xfId="1102"/>
    <cellStyle name="Millares 4 4" xfId="749"/>
    <cellStyle name="Millares 4 4 2" xfId="750"/>
    <cellStyle name="Millares 4 5" xfId="751"/>
    <cellStyle name="Millares 4 6" xfId="752"/>
    <cellStyle name="Millares 4_Presupuesto Construccion edificio oficina gubernamentales de san juan" xfId="753"/>
    <cellStyle name="Millares 5" xfId="196"/>
    <cellStyle name="Millares 5 2" xfId="197"/>
    <cellStyle name="Millares 5 2 2" xfId="754"/>
    <cellStyle name="Millares 5 3" xfId="4"/>
    <cellStyle name="Millares 5 3 2" xfId="198"/>
    <cellStyle name="Millares 5 3 3" xfId="755"/>
    <cellStyle name="Millares 5 4" xfId="199"/>
    <cellStyle name="Millares 5 5" xfId="756"/>
    <cellStyle name="Millares 6" xfId="200"/>
    <cellStyle name="Millares 6 2" xfId="17"/>
    <cellStyle name="Millares 6 2 2" xfId="201"/>
    <cellStyle name="Millares 6 3" xfId="202"/>
    <cellStyle name="Millares 6 4" xfId="277"/>
    <cellStyle name="Millares 7" xfId="203"/>
    <cellStyle name="Millares 7 2" xfId="204"/>
    <cellStyle name="Millares 7 2 2" xfId="757"/>
    <cellStyle name="Millares 7 2 2 2" xfId="758"/>
    <cellStyle name="Millares 7 2 3" xfId="759"/>
    <cellStyle name="Millares 7 2 4" xfId="760"/>
    <cellStyle name="Millares 7 2 5" xfId="761"/>
    <cellStyle name="Millares 7 2 6" xfId="762"/>
    <cellStyle name="Millares 7 2 7" xfId="763"/>
    <cellStyle name="Millares 7 2 8" xfId="764"/>
    <cellStyle name="Millares 7 2 9" xfId="765"/>
    <cellStyle name="Millares 7 3" xfId="205"/>
    <cellStyle name="Millares 7 3 2" xfId="766"/>
    <cellStyle name="Millares 7 3 3" xfId="767"/>
    <cellStyle name="Millares 7 6" xfId="768"/>
    <cellStyle name="Millares 8" xfId="206"/>
    <cellStyle name="Millares 8 2" xfId="207"/>
    <cellStyle name="Millares 8 2 2" xfId="769"/>
    <cellStyle name="Millares 8 2 3" xfId="770"/>
    <cellStyle name="Millares 8 3" xfId="208"/>
    <cellStyle name="Millares 8 5" xfId="771"/>
    <cellStyle name="Millares 9" xfId="209"/>
    <cellStyle name="Millares 9 2" xfId="210"/>
    <cellStyle name="Millares 9 2 2" xfId="772"/>
    <cellStyle name="Millares 9 3" xfId="211"/>
    <cellStyle name="Millares 9 4" xfId="278"/>
    <cellStyle name="Millares_55-09 Equipamiento Pozos Ac. Rural El Llano" xfId="1130"/>
    <cellStyle name="Millares_NUEVO FORMATO DE PRESUPUESTOS" xfId="1128"/>
    <cellStyle name="Millares_PRESUPUESTO" xfId="16"/>
    <cellStyle name="Moneda [0] 2" xfId="773"/>
    <cellStyle name="Moneda 18" xfId="774"/>
    <cellStyle name="Moneda 2" xfId="212"/>
    <cellStyle name="Moneda 2 2" xfId="775"/>
    <cellStyle name="Moneda 2 2 2" xfId="776"/>
    <cellStyle name="Moneda 2 2 2 2" xfId="777"/>
    <cellStyle name="Moneda 2 2 3" xfId="778"/>
    <cellStyle name="Moneda 2 2 4" xfId="779"/>
    <cellStyle name="Moneda 2 3" xfId="780"/>
    <cellStyle name="Moneda 2 3 2" xfId="781"/>
    <cellStyle name="Moneda 2 4" xfId="782"/>
    <cellStyle name="Moneda 2 4 2" xfId="783"/>
    <cellStyle name="Moneda 2 5" xfId="784"/>
    <cellStyle name="Moneda 2 6" xfId="785"/>
    <cellStyle name="Moneda 2 7" xfId="786"/>
    <cellStyle name="Moneda 2 8" xfId="787"/>
    <cellStyle name="Moneda 2_ANALISIS COSTOS PORTICOS GRAN TECHO" xfId="788"/>
    <cellStyle name="Moneda 3" xfId="213"/>
    <cellStyle name="Moneda 3 2" xfId="789"/>
    <cellStyle name="Moneda 3 2 2" xfId="1103"/>
    <cellStyle name="Moneda 3 3" xfId="790"/>
    <cellStyle name="Moneda 3 4" xfId="791"/>
    <cellStyle name="Moneda 4" xfId="792"/>
    <cellStyle name="Moneda 4 2" xfId="793"/>
    <cellStyle name="Moneda 4 3" xfId="794"/>
    <cellStyle name="Moneda 4 4" xfId="1104"/>
    <cellStyle name="Moneda 5" xfId="795"/>
    <cellStyle name="Moneda 5 2" xfId="796"/>
    <cellStyle name="Moneda 5 3" xfId="797"/>
    <cellStyle name="Moneda 6" xfId="798"/>
    <cellStyle name="Moneda 6 2" xfId="799"/>
    <cellStyle name="Moneda 6 3" xfId="800"/>
    <cellStyle name="Moneda 7" xfId="801"/>
    <cellStyle name="Moneda 7 2" xfId="802"/>
    <cellStyle name="Neutral 2" xfId="214"/>
    <cellStyle name="Neutral 2 2" xfId="803"/>
    <cellStyle name="Neutral 3" xfId="804"/>
    <cellStyle name="Neutral 3 2" xfId="805"/>
    <cellStyle name="Neutral 4" xfId="806"/>
    <cellStyle name="Neutral 4 2" xfId="807"/>
    <cellStyle name="No-definido" xfId="215"/>
    <cellStyle name="No-definido 2" xfId="808"/>
    <cellStyle name="Normal" xfId="0" builtinId="0"/>
    <cellStyle name="Normal - Style1" xfId="216"/>
    <cellStyle name="Normal 10" xfId="217"/>
    <cellStyle name="Normal 10 2" xfId="218"/>
    <cellStyle name="Normal 10 2 2" xfId="809"/>
    <cellStyle name="Normal 10 3" xfId="810"/>
    <cellStyle name="Normal 10 4" xfId="811"/>
    <cellStyle name="Normal 10 5" xfId="812"/>
    <cellStyle name="Normal 11" xfId="219"/>
    <cellStyle name="Normal 11 2" xfId="813"/>
    <cellStyle name="Normal 11 3" xfId="814"/>
    <cellStyle name="Normal 12" xfId="220"/>
    <cellStyle name="Normal 12 2" xfId="815"/>
    <cellStyle name="Normal 12 3" xfId="816"/>
    <cellStyle name="Normal 12 4" xfId="817"/>
    <cellStyle name="Normal 12 5" xfId="818"/>
    <cellStyle name="Normal 13" xfId="221"/>
    <cellStyle name="Normal 13 2" xfId="222"/>
    <cellStyle name="Normal 13 2 2" xfId="819"/>
    <cellStyle name="Normal 13 3" xfId="820"/>
    <cellStyle name="Normal 13 4" xfId="821"/>
    <cellStyle name="Normal 13 5" xfId="822"/>
    <cellStyle name="Normal 13 6" xfId="823"/>
    <cellStyle name="Normal 13 7" xfId="824"/>
    <cellStyle name="Normal 13 8" xfId="825"/>
    <cellStyle name="Normal 14" xfId="10"/>
    <cellStyle name="Normal 14 2" xfId="826"/>
    <cellStyle name="Normal 14 2 2" xfId="223"/>
    <cellStyle name="Normal 14 3" xfId="827"/>
    <cellStyle name="Normal 14 4" xfId="828"/>
    <cellStyle name="Normal 14 5" xfId="829"/>
    <cellStyle name="Normal 14 6" xfId="830"/>
    <cellStyle name="Normal 14 7" xfId="831"/>
    <cellStyle name="Normal 15" xfId="832"/>
    <cellStyle name="Normal 15 2" xfId="833"/>
    <cellStyle name="Normal 15 3" xfId="1105"/>
    <cellStyle name="Normal 16" xfId="834"/>
    <cellStyle name="Normal 16 2" xfId="835"/>
    <cellStyle name="Normal 16 3" xfId="836"/>
    <cellStyle name="Normal 17" xfId="837"/>
    <cellStyle name="Normal 17 2" xfId="838"/>
    <cellStyle name="Normal 17 3" xfId="839"/>
    <cellStyle name="Normal 18" xfId="840"/>
    <cellStyle name="Normal 18 2" xfId="841"/>
    <cellStyle name="Normal 18 3" xfId="1096"/>
    <cellStyle name="Normal 19" xfId="842"/>
    <cellStyle name="Normal 19 2" xfId="843"/>
    <cellStyle name="Normal 19 3" xfId="844"/>
    <cellStyle name="Normal 19 4" xfId="1106"/>
    <cellStyle name="Normal 2" xfId="224"/>
    <cellStyle name="Normal 2 10" xfId="845"/>
    <cellStyle name="Normal 2 11" xfId="846"/>
    <cellStyle name="Normal 2 2" xfId="225"/>
    <cellStyle name="Normal 2 2 10" xfId="1126"/>
    <cellStyle name="Normal 2 2 2" xfId="226"/>
    <cellStyle name="Normal 2 2 2 2" xfId="847"/>
    <cellStyle name="Normal 2 2 2 4" xfId="1125"/>
    <cellStyle name="Normal 2 2 3" xfId="848"/>
    <cellStyle name="Normal 2 2 3 2" xfId="849"/>
    <cellStyle name="Normal 2 2 4" xfId="850"/>
    <cellStyle name="Normal 2 2 4 2" xfId="851"/>
    <cellStyle name="Normal 2 2 5" xfId="852"/>
    <cellStyle name="Normal 2 2 6" xfId="853"/>
    <cellStyle name="Normal 2 2_Copia de AC. LINEA NOROESTE trabajo de inocencio" xfId="227"/>
    <cellStyle name="Normal 2 3" xfId="14"/>
    <cellStyle name="Normal 2 3 2" xfId="228"/>
    <cellStyle name="Normal 2 3 3" xfId="854"/>
    <cellStyle name="Normal 2 3 4" xfId="855"/>
    <cellStyle name="Normal 2 4" xfId="229"/>
    <cellStyle name="Normal 2 4 2" xfId="856"/>
    <cellStyle name="Normal 2 4 2 2" xfId="857"/>
    <cellStyle name="Normal 2 4 3" xfId="858"/>
    <cellStyle name="Normal 2 4 3 2" xfId="859"/>
    <cellStyle name="Normal 2 4 4" xfId="860"/>
    <cellStyle name="Normal 2 4 5" xfId="861"/>
    <cellStyle name="Normal 2 5" xfId="230"/>
    <cellStyle name="Normal 2 5 2" xfId="862"/>
    <cellStyle name="Normal 2 6" xfId="863"/>
    <cellStyle name="Normal 2 7" xfId="864"/>
    <cellStyle name="Normal 2 8" xfId="865"/>
    <cellStyle name="Normal 2 9" xfId="866"/>
    <cellStyle name="Normal 2_07-09 presupu..." xfId="231"/>
    <cellStyle name="Normal 2_ANALISIS REC 3" xfId="13"/>
    <cellStyle name="Normal 20" xfId="867"/>
    <cellStyle name="Normal 20 2" xfId="868"/>
    <cellStyle name="Normal 20 3" xfId="869"/>
    <cellStyle name="Normal 20 4" xfId="870"/>
    <cellStyle name="Normal 21" xfId="871"/>
    <cellStyle name="Normal 21 2" xfId="872"/>
    <cellStyle name="Normal 21 3" xfId="873"/>
    <cellStyle name="Normal 22" xfId="874"/>
    <cellStyle name="Normal 22 2" xfId="875"/>
    <cellStyle name="Normal 22 3" xfId="876"/>
    <cellStyle name="Normal 23" xfId="877"/>
    <cellStyle name="Normal 24" xfId="878"/>
    <cellStyle name="Normal 24 2" xfId="879"/>
    <cellStyle name="Normal 24 3" xfId="880"/>
    <cellStyle name="Normal 25" xfId="881"/>
    <cellStyle name="Normal 26" xfId="882"/>
    <cellStyle name="Normal 26 2" xfId="883"/>
    <cellStyle name="Normal 26 3" xfId="884"/>
    <cellStyle name="Normal 27" xfId="885"/>
    <cellStyle name="Normal 27 2" xfId="886"/>
    <cellStyle name="Normal 27 3" xfId="887"/>
    <cellStyle name="Normal 28" xfId="888"/>
    <cellStyle name="Normal 28 2" xfId="889"/>
    <cellStyle name="Normal 29" xfId="890"/>
    <cellStyle name="Normal 29 2" xfId="891"/>
    <cellStyle name="Normal 3" xfId="232"/>
    <cellStyle name="Normal 3 10" xfId="892"/>
    <cellStyle name="Normal 3 2" xfId="233"/>
    <cellStyle name="Normal 3 2 2" xfId="234"/>
    <cellStyle name="Normal 3 2 2 2" xfId="893"/>
    <cellStyle name="Normal 3 2 2 3" xfId="894"/>
    <cellStyle name="Normal 3 2 2 4" xfId="895"/>
    <cellStyle name="Normal 3 2 2 5" xfId="896"/>
    <cellStyle name="Normal 3 2 3" xfId="235"/>
    <cellStyle name="Normal 3 2 4" xfId="897"/>
    <cellStyle name="Normal 3 2 4 2" xfId="898"/>
    <cellStyle name="Normal 3 2 5" xfId="899"/>
    <cellStyle name="Normal 3 2 6" xfId="900"/>
    <cellStyle name="Normal 3 3" xfId="236"/>
    <cellStyle name="Normal 3 3 2" xfId="901"/>
    <cellStyle name="Normal 3 3 3" xfId="902"/>
    <cellStyle name="Normal 3 4" xfId="903"/>
    <cellStyle name="Normal 3 4 2" xfId="904"/>
    <cellStyle name="Normal 3 5" xfId="905"/>
    <cellStyle name="Normal 3 6" xfId="906"/>
    <cellStyle name="Normal 3 7" xfId="907"/>
    <cellStyle name="Normal 3 8" xfId="908"/>
    <cellStyle name="Normal 3 9" xfId="909"/>
    <cellStyle name="Normal 3_PRESUPTO CALLES DEL MUNIC. DE GUERRA" xfId="910"/>
    <cellStyle name="Normal 30" xfId="911"/>
    <cellStyle name="Normal 31" xfId="237"/>
    <cellStyle name="Normal 31_correccion de averia ac.hatillo prov.hato mayor oct.2011 2" xfId="1113"/>
    <cellStyle name="Normal 32" xfId="912"/>
    <cellStyle name="Normal 33" xfId="913"/>
    <cellStyle name="Normal 34" xfId="914"/>
    <cellStyle name="Normal 35" xfId="915"/>
    <cellStyle name="Normal 36" xfId="916"/>
    <cellStyle name="Normal 37" xfId="917"/>
    <cellStyle name="Normal 38" xfId="1093"/>
    <cellStyle name="Normal 39" xfId="1097"/>
    <cellStyle name="Normal 4" xfId="238"/>
    <cellStyle name="Normal 4 10" xfId="918"/>
    <cellStyle name="Normal 4 10 2" xfId="919"/>
    <cellStyle name="Normal 4 11" xfId="920"/>
    <cellStyle name="Normal 4 12" xfId="921"/>
    <cellStyle name="Normal 4 13" xfId="922"/>
    <cellStyle name="Normal 4 14" xfId="923"/>
    <cellStyle name="Normal 4 2" xfId="239"/>
    <cellStyle name="Normal 4 2 2" xfId="240"/>
    <cellStyle name="Normal 4 2 2 2" xfId="924"/>
    <cellStyle name="Normal 4 2 2 2 2" xfId="925"/>
    <cellStyle name="Normal 4 2 2 2 3" xfId="926"/>
    <cellStyle name="Normal 4 2 2 2 4" xfId="927"/>
    <cellStyle name="Normal 4 2 2 2 5" xfId="928"/>
    <cellStyle name="Normal 4 2 2 2 6" xfId="929"/>
    <cellStyle name="Normal 4 2 2 3" xfId="930"/>
    <cellStyle name="Normal 4 2 2 4" xfId="931"/>
    <cellStyle name="Normal 4 2 2 5" xfId="932"/>
    <cellStyle name="Normal 4 2 2 6" xfId="933"/>
    <cellStyle name="Normal 4 2 2 7" xfId="934"/>
    <cellStyle name="Normal 4 2 2 8" xfId="935"/>
    <cellStyle name="Normal 4 2 3" xfId="936"/>
    <cellStyle name="Normal 4 3" xfId="937"/>
    <cellStyle name="Normal 4 3 2" xfId="938"/>
    <cellStyle name="Normal 4 3 2 2" xfId="939"/>
    <cellStyle name="Normal 4 3 2 3" xfId="940"/>
    <cellStyle name="Normal 4 3 3" xfId="941"/>
    <cellStyle name="Normal 4 3 4" xfId="942"/>
    <cellStyle name="Normal 4 4" xfId="943"/>
    <cellStyle name="Normal 4 4 2" xfId="944"/>
    <cellStyle name="Normal 4 5" xfId="945"/>
    <cellStyle name="Normal 4 5 2" xfId="946"/>
    <cellStyle name="Normal 4 6" xfId="947"/>
    <cellStyle name="Normal 4 6 2" xfId="948"/>
    <cellStyle name="Normal 4 7" xfId="949"/>
    <cellStyle name="Normal 4 7 2" xfId="950"/>
    <cellStyle name="Normal 4 8" xfId="951"/>
    <cellStyle name="Normal 4 8 2" xfId="952"/>
    <cellStyle name="Normal 4 9" xfId="953"/>
    <cellStyle name="Normal 4 9 2" xfId="954"/>
    <cellStyle name="Normal 4_Administration_Building_-_Lista_de_Partidas_y_Cantidades_-_(PVDC-004)_REVC mod" xfId="955"/>
    <cellStyle name="Normal 40" xfId="1108"/>
    <cellStyle name="Normal 41" xfId="1110"/>
    <cellStyle name="Normal 41 2" xfId="1122"/>
    <cellStyle name="Normal 42" xfId="1119"/>
    <cellStyle name="Normal 44" xfId="956"/>
    <cellStyle name="Normal 48" xfId="957"/>
    <cellStyle name="Normal 5" xfId="3"/>
    <cellStyle name="Normal 5 10" xfId="958"/>
    <cellStyle name="Normal 5 11" xfId="959"/>
    <cellStyle name="Normal 5 12" xfId="960"/>
    <cellStyle name="Normal 5 13" xfId="961"/>
    <cellStyle name="Normal 5 14" xfId="962"/>
    <cellStyle name="Normal 5 15" xfId="963"/>
    <cellStyle name="Normal 5 2" xfId="241"/>
    <cellStyle name="Normal 5 2 2" xfId="964"/>
    <cellStyle name="Normal 5 2 3" xfId="965"/>
    <cellStyle name="Normal 5 3" xfId="966"/>
    <cellStyle name="Normal 5 3 2" xfId="967"/>
    <cellStyle name="Normal 5 3 3" xfId="968"/>
    <cellStyle name="Normal 5 4" xfId="969"/>
    <cellStyle name="Normal 5 4 2" xfId="970"/>
    <cellStyle name="Normal 5 4 3" xfId="971"/>
    <cellStyle name="Normal 5 5" xfId="972"/>
    <cellStyle name="Normal 5 6" xfId="973"/>
    <cellStyle name="Normal 5 7" xfId="974"/>
    <cellStyle name="Normal 5 8" xfId="975"/>
    <cellStyle name="Normal 5 9" xfId="976"/>
    <cellStyle name="Normal 5_Act.1 103-2011, Rehabilitacion y acondicionamiento de 2 depositos Nigua y el AC.MULT. EL CARRIL LA PARED, san cristobal" xfId="977"/>
    <cellStyle name="Normal 6" xfId="242"/>
    <cellStyle name="Normal 6 2" xfId="978"/>
    <cellStyle name="Normal 6 2 2" xfId="979"/>
    <cellStyle name="Normal 6 3" xfId="980"/>
    <cellStyle name="Normal 6 3 2" xfId="981"/>
    <cellStyle name="Normal 7" xfId="243"/>
    <cellStyle name="Normal 7 2" xfId="982"/>
    <cellStyle name="Normal 7 2 2" xfId="983"/>
    <cellStyle name="Normal 7 2 3" xfId="984"/>
    <cellStyle name="Normal 7 3" xfId="985"/>
    <cellStyle name="Normal 8" xfId="244"/>
    <cellStyle name="Normal 8 2" xfId="245"/>
    <cellStyle name="Normal 8 3" xfId="986"/>
    <cellStyle name="Normal 8 4" xfId="987"/>
    <cellStyle name="Normal 85" xfId="1107"/>
    <cellStyle name="Normal 9" xfId="246"/>
    <cellStyle name="Normal 9 2" xfId="247"/>
    <cellStyle name="Normal 9 3" xfId="248"/>
    <cellStyle name="Normal 9 4" xfId="988"/>
    <cellStyle name="Normal 9 5" xfId="989"/>
    <cellStyle name="Normal 91 2" xfId="1123"/>
    <cellStyle name="Normal_158-09 TERMINACION AC. LA GINA" xfId="5"/>
    <cellStyle name="Normal_18" xfId="1124"/>
    <cellStyle name="Normal_55-09 Equipamiento Pozos Ac. Rural El Llano" xfId="1115"/>
    <cellStyle name="Normal_Copia de Copia de Copia de Copia de 153-09 ELECTRIFICACION..." xfId="1118"/>
    <cellStyle name="Normal_PRES 059-09 REHABIL. PLANTA DE TRATAMIENTO DE 80 LPS RAPIDA, AC. HATO DEL YAQUE" xfId="1129"/>
    <cellStyle name="Normal_PRESUPUESTO" xfId="15"/>
    <cellStyle name="Normal_rec 2 al 98-05 terminacion ac. la cueva de cevicos 2da. etapa ac. mult. guanabano- cruce de maguaca parte b y guanabano como ext. al ac. la cueva de cevico 1" xfId="1116"/>
    <cellStyle name="Normal_Rec. No.3 118-03   Pta. de trat.A.Negras san juan de la maguana" xfId="1111"/>
    <cellStyle name="Notas 2" xfId="249"/>
    <cellStyle name="Notas 2 2" xfId="990"/>
    <cellStyle name="Notas 3" xfId="991"/>
    <cellStyle name="Notas 3 2" xfId="992"/>
    <cellStyle name="Notas 4" xfId="993"/>
    <cellStyle name="Notas 4 2" xfId="994"/>
    <cellStyle name="Note" xfId="250"/>
    <cellStyle name="Note 2" xfId="251"/>
    <cellStyle name="Note 2 2" xfId="995"/>
    <cellStyle name="Note 3" xfId="996"/>
    <cellStyle name="Note 3 2" xfId="997"/>
    <cellStyle name="Note 4" xfId="998"/>
    <cellStyle name="Output" xfId="252"/>
    <cellStyle name="Output 2" xfId="253"/>
    <cellStyle name="Output 2 2" xfId="999"/>
    <cellStyle name="Output 3" xfId="254"/>
    <cellStyle name="Output 4" xfId="1000"/>
    <cellStyle name="Output 5" xfId="1001"/>
    <cellStyle name="Percent 2" xfId="255"/>
    <cellStyle name="Percent 2 2" xfId="256"/>
    <cellStyle name="Percent 2 3" xfId="257"/>
    <cellStyle name="Percent 3" xfId="1002"/>
    <cellStyle name="Percent 3 2" xfId="1003"/>
    <cellStyle name="Percent 3 2 2" xfId="1004"/>
    <cellStyle name="Percent 3 3" xfId="1005"/>
    <cellStyle name="Percent 3 4" xfId="1006"/>
    <cellStyle name="Percent 4" xfId="1007"/>
    <cellStyle name="Porcentaje" xfId="2" builtinId="5"/>
    <cellStyle name="Porcentaje 2" xfId="258"/>
    <cellStyle name="Porcentaje 2 2" xfId="1008"/>
    <cellStyle name="Porcentaje 2 3" xfId="1009"/>
    <cellStyle name="Porcentaje 2 4" xfId="1010"/>
    <cellStyle name="Porcentaje 2 4 2" xfId="1011"/>
    <cellStyle name="Porcentaje 2 5" xfId="1012"/>
    <cellStyle name="Porcentaje 2 6" xfId="1013"/>
    <cellStyle name="Porcentaje 3" xfId="1014"/>
    <cellStyle name="Porcentaje 4" xfId="1015"/>
    <cellStyle name="Porcentaje 5" xfId="1016"/>
    <cellStyle name="Porcentaje 6" xfId="1017"/>
    <cellStyle name="Porcentual 10" xfId="1018"/>
    <cellStyle name="Porcentual 2" xfId="259"/>
    <cellStyle name="Porcentual 2 2" xfId="260"/>
    <cellStyle name="Porcentual 2 2 2" xfId="1019"/>
    <cellStyle name="Porcentual 2 3" xfId="261"/>
    <cellStyle name="Porcentual 2 3 2" xfId="1020"/>
    <cellStyle name="Porcentual 2 3 3" xfId="1021"/>
    <cellStyle name="Porcentual 2 4" xfId="1022"/>
    <cellStyle name="Porcentual 2 4 2" xfId="1023"/>
    <cellStyle name="Porcentual 2_ANALISIS COSTOS PORTICOS GRAN TECHO" xfId="1024"/>
    <cellStyle name="Porcentual 3" xfId="262"/>
    <cellStyle name="Porcentual 3 10" xfId="1025"/>
    <cellStyle name="Porcentual 3 11" xfId="1026"/>
    <cellStyle name="Porcentual 3 12" xfId="1027"/>
    <cellStyle name="Porcentual 3 13" xfId="1028"/>
    <cellStyle name="Porcentual 3 14" xfId="1029"/>
    <cellStyle name="Porcentual 3 15" xfId="1030"/>
    <cellStyle name="Porcentual 3 16" xfId="1031"/>
    <cellStyle name="Porcentual 3 2" xfId="1032"/>
    <cellStyle name="Porcentual 3 2 2" xfId="1033"/>
    <cellStyle name="Porcentual 3 3" xfId="1034"/>
    <cellStyle name="Porcentual 3 3 2" xfId="1035"/>
    <cellStyle name="Porcentual 3 4" xfId="1036"/>
    <cellStyle name="Porcentual 3 4 2" xfId="1037"/>
    <cellStyle name="Porcentual 3 5" xfId="1038"/>
    <cellStyle name="Porcentual 3 5 2" xfId="1039"/>
    <cellStyle name="Porcentual 3 6" xfId="1040"/>
    <cellStyle name="Porcentual 3 6 2" xfId="1041"/>
    <cellStyle name="Porcentual 3 7" xfId="1042"/>
    <cellStyle name="Porcentual 3 7 2" xfId="1043"/>
    <cellStyle name="Porcentual 3 8" xfId="1044"/>
    <cellStyle name="Porcentual 3 9" xfId="1045"/>
    <cellStyle name="Porcentual 4" xfId="263"/>
    <cellStyle name="Porcentual 4 2" xfId="1046"/>
    <cellStyle name="Porcentual 5" xfId="264"/>
    <cellStyle name="Porcentual 5 2" xfId="1047"/>
    <cellStyle name="Porcentual 5 2 2" xfId="1048"/>
    <cellStyle name="Porcentual 6" xfId="1049"/>
    <cellStyle name="Porcentual 7" xfId="1050"/>
    <cellStyle name="Porcentual 8" xfId="1051"/>
    <cellStyle name="Porcentual 9" xfId="1052"/>
    <cellStyle name="Salida 2" xfId="265"/>
    <cellStyle name="Salida 2 2" xfId="1053"/>
    <cellStyle name="Salida 3" xfId="1054"/>
    <cellStyle name="Salida 3 2" xfId="1055"/>
    <cellStyle name="Salida 4" xfId="1056"/>
    <cellStyle name="Sheet Title" xfId="266"/>
    <cellStyle name="Texto de advertencia 2" xfId="267"/>
    <cellStyle name="Texto de advertencia 2 2" xfId="1057"/>
    <cellStyle name="Texto de advertencia 3" xfId="1058"/>
    <cellStyle name="Texto de advertencia 3 2" xfId="1059"/>
    <cellStyle name="Texto de advertencia 4" xfId="1060"/>
    <cellStyle name="Texto explicativo 2" xfId="268"/>
    <cellStyle name="Texto explicativo 2 2" xfId="1061"/>
    <cellStyle name="Texto explicativo 3" xfId="1062"/>
    <cellStyle name="Texto explicativo 3 2" xfId="1063"/>
    <cellStyle name="Texto explicativo 4" xfId="1064"/>
    <cellStyle name="Title" xfId="269"/>
    <cellStyle name="Title 2" xfId="270"/>
    <cellStyle name="Title 3" xfId="1065"/>
    <cellStyle name="Title 4" xfId="1066"/>
    <cellStyle name="Title 5" xfId="1067"/>
    <cellStyle name="Título 1 2" xfId="271"/>
    <cellStyle name="Título 1 2 2" xfId="1068"/>
    <cellStyle name="Título 1 3" xfId="1069"/>
    <cellStyle name="Título 1 3 2" xfId="1070"/>
    <cellStyle name="Título 1 4" xfId="1071"/>
    <cellStyle name="Título 2 2" xfId="272"/>
    <cellStyle name="Título 2 2 2" xfId="1072"/>
    <cellStyle name="Título 2 3" xfId="1073"/>
    <cellStyle name="Título 2 3 2" xfId="1074"/>
    <cellStyle name="Título 2 4" xfId="1075"/>
    <cellStyle name="Título 3 2" xfId="273"/>
    <cellStyle name="Título 3 2 2" xfId="1076"/>
    <cellStyle name="Título 3 3" xfId="1077"/>
    <cellStyle name="Título 3 3 2" xfId="1078"/>
    <cellStyle name="Título 3 4" xfId="1079"/>
    <cellStyle name="Título 4" xfId="274"/>
    <cellStyle name="Título 4 2" xfId="1080"/>
    <cellStyle name="Título 5" xfId="1081"/>
    <cellStyle name="Título 5 2" xfId="1082"/>
    <cellStyle name="Título 6" xfId="1083"/>
    <cellStyle name="Título de hoja" xfId="1084"/>
    <cellStyle name="Total 2" xfId="275"/>
    <cellStyle name="Total 2 2" xfId="1085"/>
    <cellStyle name="Total 3" xfId="1086"/>
    <cellStyle name="Total 3 2" xfId="1087"/>
    <cellStyle name="Total 4" xfId="1088"/>
    <cellStyle name="Total 4 2" xfId="1089"/>
    <cellStyle name="Währung" xfId="1090"/>
    <cellStyle name="Warning Text" xfId="276"/>
    <cellStyle name="Warning Text 2" xfId="1091"/>
    <cellStyle name="常规 2" xfId="1092"/>
  </cellStyles>
  <dxfs count="4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9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102054</xdr:colOff>
      <xdr:row>547</xdr:row>
      <xdr:rowOff>153081</xdr:rowOff>
    </xdr:from>
    <xdr:to>
      <xdr:col>1</xdr:col>
      <xdr:colOff>1700893</xdr:colOff>
      <xdr:row>548</xdr:row>
      <xdr:rowOff>8505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 flipV="1">
          <a:off x="102054" y="100603731"/>
          <a:ext cx="2008414" cy="1734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739889</xdr:colOff>
      <xdr:row>547</xdr:row>
      <xdr:rowOff>136072</xdr:rowOff>
    </xdr:from>
    <xdr:to>
      <xdr:col>5</xdr:col>
      <xdr:colOff>297656</xdr:colOff>
      <xdr:row>547</xdr:row>
      <xdr:rowOff>153081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V="1">
          <a:off x="4721339" y="100586722"/>
          <a:ext cx="2015217" cy="1700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697367</xdr:colOff>
      <xdr:row>558</xdr:row>
      <xdr:rowOff>153081</xdr:rowOff>
    </xdr:from>
    <xdr:to>
      <xdr:col>5</xdr:col>
      <xdr:colOff>255134</xdr:colOff>
      <xdr:row>559</xdr:row>
      <xdr:rowOff>8505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V="1">
          <a:off x="4678817" y="102384906"/>
          <a:ext cx="2015217" cy="1734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314666</xdr:colOff>
      <xdr:row>558</xdr:row>
      <xdr:rowOff>144577</xdr:rowOff>
    </xdr:from>
    <xdr:to>
      <xdr:col>1</xdr:col>
      <xdr:colOff>1913505</xdr:colOff>
      <xdr:row>559</xdr:row>
      <xdr:rowOff>1</xdr:rowOff>
    </xdr:to>
    <xdr:cxnSp macro="">
      <xdr:nvCxnSpPr>
        <xdr:cNvPr id="5" name="4 Conector rec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flipV="1">
          <a:off x="314666" y="102376402"/>
          <a:ext cx="2008414" cy="1734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" name="Text Box 1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" name="Text Box 1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" name="Text Box 1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" name="Text Box 1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" name="Text Box 1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" name="Text Box 15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" name="Text Box 1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" name="Text Box 15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" name="Text Box 15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" name="Text Box 1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0" name="Text Box 1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1" name="Text Box 1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2" name="Text Box 15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" name="Text Box 1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" name="Text Box 15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" name="Text Box 1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" name="Text Box 1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" name="Text Box 1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" name="Text Box 15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" name="Text Box 15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" name="Text Box 15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" name="Text Box 15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" name="Text Box 1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3" name="Text Box 1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4" name="Text Box 15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" name="Text Box 15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" name="Text Box 1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" name="Text Box 15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" name="Text Box 15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" name="Text Box 15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" name="Text Box 1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" name="Text Box 15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" name="Text Box 15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" name="Text Box 15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" name="Text Box 15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5" name="Text Box 15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6" name="Text Box 1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7" name="Text Box 1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" name="Text Box 1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" name="Text Box 15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" name="Text Box 15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" name="Text Box 15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" name="Text Box 15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" name="Text Box 1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" name="Text Box 15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" name="Text Box 15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" name="Text Box 1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7" name="Text Box 15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8" name="Text Box 15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9" name="Text Box 15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" name="Text Box 1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" name="Text Box 15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" name="Text Box 15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" name="Text Box 15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" name="Text Box 15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" name="Text Box 15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" name="Text Box 1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" name="Text Box 15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" name="Text Box 15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" name="Text Box 15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0" name="Text Box 15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1" name="Text Box 15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" name="Text Box 15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" name="Text Box 15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" name="Text Box 15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" name="Text Box 15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" name="Text Box 1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" name="Text Box 15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8" name="Text Box 15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9" name="Text Box 15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0" name="Text Box 15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1" name="Text Box 15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" name="Text Box 15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83" name="Text Box 15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" name="Text Box 15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5" name="Text Box 15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6" name="Text Box 1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7" name="Text Box 15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8" name="Text Box 15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9" name="Text Box 15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0" name="Text Box 15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1" name="Text Box 15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2" name="Text Box 15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3" name="Text Box 15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4" name="Text Box 15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" name="Text Box 15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96" name="Text Box 1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7" name="Text Box 15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8" name="Text Box 15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9" name="Text Box 15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100" name="Text Box 1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101" name="Text Box 15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102" name="Text Box 15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103" name="Text Box 15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104" name="Text Box 15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5" name="Text Box 15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6" name="Text Box 1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7" name="Text Box 15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8" name="Text Box 15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9" name="Text Box 15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0" name="Text Box 15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1" name="Text Box 15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2" name="Text Box 15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3" name="Text Box 1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4" name="Text Box 15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5" name="Text Box 15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6" name="Text Box 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7" name="Text Box 15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8" name="Text Box 15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9" name="Text Box 15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0" name="Text Box 15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1" name="Text Box 15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2" name="Text Box 15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3" name="Text Box 15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4" name="Text Box 15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5" name="Text Box 15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6" name="Text Box 1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7" name="Text Box 15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8" name="Text Box 15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129" name="Text Box 15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0" name="Text Box 15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1" name="Text Box 15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2" name="Text Box 15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3" name="Text Box 15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4" name="Text Box 15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5" name="Text Box 15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6" name="Text Box 1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7" name="Text Box 15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8" name="Text Box 15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9" name="Text Box 15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0" name="Text Box 15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1" name="Text Box 15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2" name="Text Box 15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3" name="Text Box 15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4" name="Text Box 15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5" name="Text Box 15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6" name="Text Box 1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7" name="Text Box 15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8" name="Text Box 15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9" name="Text Box 15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0" name="Text Box 15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1" name="Text Box 15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2" name="Text Box 15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3" name="Text Box 15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4" name="Text Box 15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5" name="Text Box 15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6" name="Text Box 1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7" name="Text Box 15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8" name="Text Box 15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9" name="Text Box 15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0" name="Text Box 15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1" name="Text Box 15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2" name="Text Box 15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3" name="Text Box 15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4" name="Text Box 15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5" name="Text Box 15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6" name="Text Box 1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7" name="Text Box 15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8" name="Text Box 15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9" name="Text Box 15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0" name="Text Box 15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1" name="Text Box 15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2" name="Text Box 15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3" name="Text Box 15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4" name="Text Box 15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5" name="Text Box 15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6" name="Text Box 1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7" name="Text Box 15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8" name="Text Box 15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9" name="Text Box 15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0" name="Text Box 15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1" name="Text Box 15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2" name="Text Box 15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3" name="Text Box 15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4" name="Text Box 15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5" name="Text Box 15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6" name="Text Box 1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7" name="Text Box 15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8" name="Text Box 15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9" name="Text Box 15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0" name="Text Box 15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1" name="Text Box 15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2" name="Text Box 15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3" name="Text Box 15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4" name="Text Box 15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5" name="Text Box 15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6" name="Text Box 1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7" name="Text Box 15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8" name="Text Box 15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9" name="Text Box 15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00" name="Text Box 15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01" name="Text Box 15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02" name="Text Box 15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3" name="Text Box 15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4" name="Text Box 15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5" name="Text Box 15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6" name="Text Box 1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207" name="Text Box 15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8" name="Text Box 15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9" name="Text Box 15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0" name="Text Box 15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1" name="Text Box 15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12" name="Text Box 15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3" name="Text Box 15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14" name="Text Box 15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15" name="Text Box 15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6" name="Text Box 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7" name="Text Box 15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8" name="Text Box 15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9" name="Text Box 15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220" name="Text Box 15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21" name="Text Box 15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22" name="Text Box 15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23" name="Text Box 15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24" name="Text Box 15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25" name="Text Box 15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26" name="Text Box 1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27" name="Text Box 15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228" name="Text Box 15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29" name="Text Box 15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0" name="Text Box 15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1" name="Text Box 15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2" name="Text Box 15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3" name="Text Box 15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4" name="Text Box 15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5" name="Text Box 15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6" name="Text Box 1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7" name="Text Box 15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8" name="Text Box 15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9" name="Text Box 15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0" name="Text Box 15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1" name="Text Box 15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2" name="Text Box 15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3" name="Text Box 15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4" name="Text Box 15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5" name="Text Box 15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6" name="Text Box 1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7" name="Text Box 15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8" name="Text Box 15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9" name="Text Box 15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0" name="Text Box 15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1" name="Text Box 15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2" name="Text Box 15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253" name="Text Box 15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4" name="Text Box 15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5" name="Text Box 15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6" name="Text Box 1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7" name="Text Box 15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8" name="Text Box 15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9" name="Text Box 15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0" name="Text Box 15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1" name="Text Box 15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2" name="Text Box 1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3" name="Text Box 15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4" name="Text Box 15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5" name="Text Box 15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6" name="Text Box 1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7" name="Text Box 15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8" name="Text Box 15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9" name="Text Box 15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0" name="Text Box 15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1" name="Text Box 15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2" name="Text Box 1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3" name="Text Box 15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4" name="Text Box 15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5" name="Text Box 15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6" name="Text Box 1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7" name="Text Box 15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8" name="Text Box 15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9" name="Text Box 15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0" name="Text Box 15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1" name="Text Box 15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2" name="Text Box 15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3" name="Text Box 15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4" name="Text Box 15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5" name="Text Box 15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6" name="Text Box 1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7" name="Text Box 15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8" name="Text Box 15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9" name="Text Box 15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0" name="Text Box 15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1" name="Text Box 15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2" name="Text Box 15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3" name="Text Box 15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4" name="Text Box 15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5" name="Text Box 15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6" name="Text Box 1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7" name="Text Box 15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8" name="Text Box 15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9" name="Text Box 15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0" name="Text Box 15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1" name="Text Box 15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2" name="Text Box 15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3" name="Text Box 15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4" name="Text Box 15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5" name="Text Box 15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6" name="Text Box 1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7" name="Text Box 15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8" name="Text Box 15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9" name="Text Box 15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0" name="Text Box 15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1" name="Text Box 15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2" name="Text Box 15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3" name="Text Box 15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4" name="Text Box 15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5" name="Text Box 15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6" name="Text Box 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7" name="Text Box 15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8" name="Text Box 15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9" name="Text Box 15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0" name="Text Box 15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1" name="Text Box 15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2" name="Text Box 15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3" name="Text Box 15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4" name="Text Box 15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5" name="Text Box 15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26" name="Text Box 1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27" name="Text Box 15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28" name="Text Box 15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29" name="Text Box 15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0" name="Text Box 15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331" name="Text Box 15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2" name="Text Box 15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3" name="Text Box 15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4" name="Text Box 15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5" name="Text Box 15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36" name="Text Box 1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7" name="Text Box 15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38" name="Text Box 15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39" name="Text Box 15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0" name="Text Box 15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1" name="Text Box 15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2" name="Text Box 15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3" name="Text Box 15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344" name="Text Box 15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5" name="Text Box 15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6" name="Text Box 1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7" name="Text Box 15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8" name="Text Box 15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49" name="Text Box 15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50" name="Text Box 15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51" name="Text Box 15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352" name="Text Box 15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3" name="Text Box 1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4" name="Text Box 15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5" name="Text Box 15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6" name="Text Box 1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7" name="Text Box 15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8" name="Text Box 15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9" name="Text Box 15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0" name="Text Box 15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1" name="Text Box 15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2" name="Text Box 15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3" name="Text Box 1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4" name="Text Box 15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5" name="Text Box 15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6" name="Text Box 1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7" name="Text Box 15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8" name="Text Box 15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9" name="Text Box 15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0" name="Text Box 15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1" name="Text Box 15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2" name="Text Box 15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3" name="Text Box 15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4" name="Text Box 15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5" name="Text Box 15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6" name="Text Box 1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377" name="Text Box 15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8" name="Text Box 15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9" name="Text Box 15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0" name="Text Box 15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1" name="Text Box 15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2" name="Text Box 15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3" name="Text Box 15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4" name="Text Box 15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5" name="Text Box 15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6" name="Text Box 1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7" name="Text Box 15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8" name="Text Box 15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9" name="Text Box 15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0" name="Text Box 15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1" name="Text Box 15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2" name="Text Box 15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3" name="Text Box 15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4" name="Text Box 15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5" name="Text Box 15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6" name="Text Box 1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7" name="Text Box 15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8" name="Text Box 15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9" name="Text Box 15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0" name="Text Box 15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1" name="Text Box 15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2" name="Text Box 15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3" name="Text Box 15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4" name="Text Box 15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5" name="Text Box 15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6" name="Text Box 1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7" name="Text Box 15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8" name="Text Box 1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9" name="Text Box 15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0" name="Text Box 15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1" name="Text Box 15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2" name="Text Box 15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3" name="Text Box 15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4" name="Text Box 15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5" name="Text Box 15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6" name="Text Box 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7" name="Text Box 15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8" name="Text Box 15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9" name="Text Box 15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0" name="Text Box 15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1" name="Text Box 15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2" name="Text Box 15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3" name="Text Box 15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4" name="Text Box 15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5" name="Text Box 15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6" name="Text Box 1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7" name="Text Box 15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8" name="Text Box 15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9" name="Text Box 15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0" name="Text Box 15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1" name="Text Box 15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2" name="Text Box 15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3" name="Text Box 15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4" name="Text Box 15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5" name="Text Box 15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6" name="Text Box 1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7" name="Text Box 15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8" name="Text Box 15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9" name="Text Box 15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0" name="Text Box 15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1" name="Text Box 15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2" name="Text Box 15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3" name="Text Box 15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4" name="Text Box 15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5" name="Text Box 15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6" name="Text Box 1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7" name="Text Box 15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8" name="Text Box 15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9" name="Text Box 15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50" name="Text Box 15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1" name="Text Box 15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2" name="Text Box 15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3" name="Text Box 15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4" name="Text Box 15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455" name="Text Box 15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6" name="Text Box 15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7" name="Text Box 15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8" name="Text Box 15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9" name="Text Box 15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60" name="Text Box 15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1" name="Text Box 15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62" name="Text Box 15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63" name="Text Box 15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4" name="Text Box 15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5" name="Text Box 15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6" name="Text Box 1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7" name="Text Box 15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468" name="Text Box 15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9" name="Text Box 15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70" name="Text Box 15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71" name="Text Box 15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72" name="Text Box 15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73" name="Text Box 15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74" name="Text Box 15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75" name="Text Box 15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476" name="Text Box 1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77" name="Text Box 15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78" name="Text Box 15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79" name="Text Box 15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0" name="Text Box 15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1" name="Text Box 15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2" name="Text Box 15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3" name="Text Box 15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4" name="Text Box 15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5" name="Text Box 15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6" name="Text Box 15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7" name="Text Box 15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8" name="Text Box 15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9" name="Text Box 15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0" name="Text Box 15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1" name="Text Box 15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2" name="Text Box 15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3" name="Text Box 15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4" name="Text Box 15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5" name="Text Box 15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6" name="Text Box 1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7" name="Text Box 15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8" name="Text Box 15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9" name="Text Box 15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0" name="Text Box 15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501" name="Text Box 15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2" name="Text Box 15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3" name="Text Box 15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4" name="Text Box 15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5" name="Text Box 15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6" name="Text Box 15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7" name="Text Box 15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8" name="Text Box 15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9" name="Text Box 15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0" name="Text Box 15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1" name="Text Box 15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2" name="Text Box 15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3" name="Text Box 15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4" name="Text Box 15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5" name="Text Box 15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6" name="Text Box 15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7" name="Text Box 15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8" name="Text Box 15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9" name="Text Box 15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0" name="Text Box 15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1" name="Text Box 15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2" name="Text Box 15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3" name="Text Box 15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4" name="Text Box 15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5" name="Text Box 15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6" name="Text Box 15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7" name="Text Box 15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8" name="Text Box 15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9" name="Text Box 15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0" name="Text Box 15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1" name="Text Box 15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2" name="Text Box 15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3" name="Text Box 15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4" name="Text Box 15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5" name="Text Box 15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6" name="Text Box 1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7" name="Text Box 15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8" name="Text Box 15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9" name="Text Box 15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0" name="Text Box 15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1" name="Text Box 15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2" name="Text Box 15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3" name="Text Box 15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4" name="Text Box 15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5" name="Text Box 15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6" name="Text Box 1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7" name="Text Box 15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8" name="Text Box 15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9" name="Text Box 15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0" name="Text Box 15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1" name="Text Box 15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2" name="Text Box 15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3" name="Text Box 15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4" name="Text Box 15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5" name="Text Box 15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6" name="Text Box 1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7" name="Text Box 15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8" name="Text Box 15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9" name="Text Box 15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0" name="Text Box 15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1" name="Text Box 15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2" name="Text Box 15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3" name="Text Box 15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4" name="Text Box 15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5" name="Text Box 15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6" name="Text Box 1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7" name="Text Box 15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8" name="Text Box 15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9" name="Text Box 15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70" name="Text Box 15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71" name="Text Box 15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72" name="Text Box 15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73" name="Text Box 15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74" name="Text Box 15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75" name="Text Box 15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76" name="Text Box 15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77" name="Text Box 15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78" name="Text Box 15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579" name="Text Box 15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0" name="Text Box 15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1" name="Text Box 15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2" name="Text Box 15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3" name="Text Box 15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84" name="Text Box 15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5" name="Text Box 15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86" name="Text Box 1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87" name="Text Box 15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8" name="Text Box 15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9" name="Text Box 15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0" name="Text Box 15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1" name="Text Box 15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592" name="Text Box 15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3" name="Text Box 15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4" name="Text Box 15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5" name="Text Box 15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6" name="Text Box 15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97" name="Text Box 15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8" name="Text Box 15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99" name="Text Box 15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600" name="Text Box 15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1" name="Text Box 15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2" name="Text Box 15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3" name="Text Box 15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4" name="Text Box 15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5" name="Text Box 15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6" name="Text Box 1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7" name="Text Box 15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8" name="Text Box 15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9" name="Text Box 15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0" name="Text Box 15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1" name="Text Box 15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2" name="Text Box 15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3" name="Text Box 15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4" name="Text Box 15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5" name="Text Box 15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6" name="Text Box 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7" name="Text Box 15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8" name="Text Box 15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9" name="Text Box 15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0" name="Text Box 15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1" name="Text Box 15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2" name="Text Box 15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3" name="Text Box 15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4" name="Text Box 15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625" name="Text Box 15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6" name="Text Box 15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7" name="Text Box 15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8" name="Text Box 15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9" name="Text Box 15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0" name="Text Box 15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1" name="Text Box 15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2" name="Text Box 15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3" name="Text Box 15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4" name="Text Box 15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5" name="Text Box 15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6" name="Text Box 1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7" name="Text Box 15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8" name="Text Box 15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9" name="Text Box 15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0" name="Text Box 15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1" name="Text Box 15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2" name="Text Box 15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3" name="Text Box 15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4" name="Text Box 15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5" name="Text Box 15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6" name="Text Box 1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7" name="Text Box 15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8" name="Text Box 15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9" name="Text Box 15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0" name="Text Box 15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1" name="Text Box 15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2" name="Text Box 15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3" name="Text Box 15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4" name="Text Box 15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5" name="Text Box 15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6" name="Text Box 1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7" name="Text Box 15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8" name="Text Box 15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9" name="Text Box 15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0" name="Text Box 15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1" name="Text Box 15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2" name="Text Box 15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3" name="Text Box 15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4" name="Text Box 15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5" name="Text Box 15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6" name="Text Box 1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7" name="Text Box 15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8" name="Text Box 15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9" name="Text Box 15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0" name="Text Box 15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1" name="Text Box 15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2" name="Text Box 15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3" name="Text Box 1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4" name="Text Box 15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5" name="Text Box 15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6" name="Text Box 1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7" name="Text Box 15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8" name="Text Box 15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9" name="Text Box 15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0" name="Text Box 15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1" name="Text Box 15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2" name="Text Box 15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3" name="Text Box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4" name="Text Box 15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5" name="Text Box 15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6" name="Text Box 1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7" name="Text Box 15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8" name="Text Box 15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9" name="Text Box 15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0" name="Text Box 15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1" name="Text Box 15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2" name="Text Box 15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3" name="Text Box 15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4" name="Text Box 15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5" name="Text Box 1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6" name="Text Box 15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7" name="Text Box 15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698" name="Text Box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699" name="Text Box 15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0" name="Text Box 15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1" name="Text Box 15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2" name="Text Box 15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703" name="Text Box 15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4" name="Text Box 15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5" name="Text Box 15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6" name="Text Box 15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7" name="Text Box 15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08" name="Text Box 15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9" name="Text Box 15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10" name="Text Box 15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11" name="Text Box 15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2" name="Text Box 15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3" name="Text Box 1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4" name="Text Box 15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5" name="Text Box 15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716" name="Text Box 15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7" name="Text Box 15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8" name="Text Box 15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9" name="Text Box 15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20" name="Text Box 15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21" name="Text Box 15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22" name="Text Box 15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23" name="Text Box 1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724" name="Text Box 15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5" name="Text Box 15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6" name="Text Box 15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7" name="Text Box 15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8" name="Text Box 15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9" name="Text Box 15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0" name="Text Box 15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1" name="Text Box 15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2" name="Text Box 15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3" name="Text Box 15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4" name="Text Box 15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5" name="Text Box 15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6" name="Text Box 15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7" name="Text Box 15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8" name="Text Box 15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9" name="Text Box 15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0" name="Text Box 15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1" name="Text Box 15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2" name="Text Box 15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3" name="Text Box 15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4" name="Text Box 1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5" name="Text Box 15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6" name="Text Box 1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7" name="Text Box 15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8" name="Text Box 15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749" name="Text Box 15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0" name="Text Box 15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1" name="Text Box 15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2" name="Text Box 15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3" name="Text Box 15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4" name="Text Box 15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5" name="Text Box 15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6" name="Text Box 15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7" name="Text Box 15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8" name="Text Box 15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9" name="Text Box 15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0" name="Text Box 15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1" name="Text Box 15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2" name="Text Box 15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3" name="Text Box 15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4" name="Text Box 15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5" name="Text Box 15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6" name="Text Box 1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7" name="Text Box 15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8" name="Text Box 15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9" name="Text Box 15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0" name="Text Box 15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1" name="Text Box 15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2" name="Text Box 1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3" name="Text Box 15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4" name="Text Box 15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5" name="Text Box 15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6" name="Text Box 15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7" name="Text Box 15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8" name="Text Box 15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9" name="Text Box 15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0" name="Text Box 15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1" name="Text Box 15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2" name="Text Box 15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3" name="Text Box 15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4" name="Text Box 15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5" name="Text Box 15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6" name="Text Box 1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7" name="Text Box 15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8" name="Text Box 15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9" name="Text Box 15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0" name="Text Box 15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1" name="Text Box 15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2" name="Text Box 15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3" name="Text Box 15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4" name="Text Box 15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5" name="Text Box 15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6" name="Text Box 1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7" name="Text Box 15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8" name="Text Box 15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9" name="Text Box 15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0" name="Text Box 15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1" name="Text Box 15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2" name="Text Box 15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3" name="Text Box 15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4" name="Text Box 15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5" name="Text Box 15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6" name="Text Box 1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7" name="Text Box 15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8" name="Text Box 15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9" name="Text Box 15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0" name="Text Box 15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1" name="Text Box 15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2" name="Text Box 15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3" name="Text Box 15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4" name="Text Box 15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5" name="Text Box 15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6" name="Text Box 15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7" name="Text Box 15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8" name="Text Box 15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9" name="Text Box 15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20" name="Text Box 15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21" name="Text Box 15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22" name="Text Box 15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3" name="Text Box 15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4" name="Text Box 15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5" name="Text Box 15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6" name="Text Box 15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827" name="Text Box 15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8" name="Text Box 15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9" name="Text Box 15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0" name="Text Box 15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1" name="Text Box 15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32" name="Text Box 15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3" name="Text Box 15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34" name="Text Box 15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35" name="Text Box 15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6" name="Text Box 15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7" name="Text Box 15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8" name="Text Box 15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9" name="Text Box 15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840" name="Text Box 15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1" name="Text Box 15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2" name="Text Box 15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3" name="Text Box 15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4" name="Text Box 15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45" name="Text Box 15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6" name="Text Box 15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47" name="Text Box 15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848" name="Text Box 15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49" name="Text Box 15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0" name="Text Box 15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1" name="Text Box 15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2" name="Text Box 15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3" name="Text Box 15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4" name="Text Box 15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5" name="Text Box 15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6" name="Text Box 15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7" name="Text Box 15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8" name="Text Box 15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9" name="Text Box 15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0" name="Text Box 15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1" name="Text Box 15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2" name="Text Box 15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3" name="Text Box 15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4" name="Text Box 15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5" name="Text Box 15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6" name="Text Box 15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7" name="Text Box 15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8" name="Text Box 15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9" name="Text Box 15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0" name="Text Box 15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1" name="Text Box 15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2" name="Text Box 15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873" name="Text Box 15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4" name="Text Box 15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5" name="Text Box 15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6" name="Text Box 15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7" name="Text Box 15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8" name="Text Box 15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9" name="Text Box 15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0" name="Text Box 15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1" name="Text Box 15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2" name="Text Box 15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3" name="Text Box 15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4" name="Text Box 15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5" name="Text Box 15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6" name="Text Box 15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7" name="Text Box 15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8" name="Text Box 15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9" name="Text Box 15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0" name="Text Box 15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1" name="Text Box 15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2" name="Text Box 15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3" name="Text Box 15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4" name="Text Box 15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5" name="Text Box 15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6" name="Text Box 1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7" name="Text Box 15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8" name="Text Box 15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9" name="Text Box 15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0" name="Text Box 15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1" name="Text Box 15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2" name="Text Box 15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3" name="Text Box 15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4" name="Text Box 15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5" name="Text Box 15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6" name="Text Box 15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7" name="Text Box 15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8" name="Text Box 15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9" name="Text Box 15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0" name="Text Box 15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1" name="Text Box 15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2" name="Text Box 15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3" name="Text Box 15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4" name="Text Box 15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5" name="Text Box 15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6" name="Text Box 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7" name="Text Box 15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8" name="Text Box 15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9" name="Text Box 15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0" name="Text Box 15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1" name="Text Box 15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2" name="Text Box 15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3" name="Text Box 15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4" name="Text Box 15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5" name="Text Box 15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6" name="Text Box 1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7" name="Text Box 15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8" name="Text Box 15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9" name="Text Box 15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0" name="Text Box 15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1" name="Text Box 15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2" name="Text Box 15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3" name="Text Box 15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4" name="Text Box 15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5" name="Text Box 1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6" name="Text Box 15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7" name="Text Box 15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8" name="Text Box 15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9" name="Text Box 15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0" name="Text Box 15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1" name="Text Box 15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2" name="Text Box 15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3" name="Text Box 15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4" name="Text Box 15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5" name="Text Box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46" name="Text Box 15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47" name="Text Box 15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48" name="Text Box 15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49" name="Text Box 15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0" name="Text Box 15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951" name="Text Box 15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2" name="Text Box 15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3" name="Text Box 15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4" name="Text Box 15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5" name="Text Box 15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56" name="Text Box 1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7" name="Text Box 15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58" name="Text Box 15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59" name="Text Box 1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0" name="Text Box 1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1" name="Text Box 15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2" name="Text Box 15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3" name="Text Box 15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964" name="Text Box 15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5" name="Text Box 15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6" name="Text Box 15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7" name="Text Box 15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8" name="Text Box 15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69" name="Text Box 15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70" name="Text Box 15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71" name="Text Box 15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972" name="Text Box 15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3" name="Text Box 15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4" name="Text Box 15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5" name="Text Box 15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6" name="Text Box 15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7" name="Text Box 15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8" name="Text Box 15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9" name="Text Box 15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0" name="Text Box 15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1" name="Text Box 15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2" name="Text Box 15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3" name="Text Box 15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4" name="Text Box 15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5" name="Text Box 15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6" name="Text Box 15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7" name="Text Box 15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8" name="Text Box 15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9" name="Text Box 15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0" name="Text Box 15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1" name="Text Box 15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2" name="Text Box 15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3" name="Text Box 15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4" name="Text Box 15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5" name="Text Box 15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6" name="Text Box 15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997" name="Text Box 15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" name="Text Box 1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" name="Text Box 1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" name="Text Box 1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" name="Text Box 1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" name="Text Box 1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" name="Text Box 15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" name="Text Box 15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9" name="Text Box 15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0" name="Text Box 15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2" name="Text Box 1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3" name="Text Box 15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7" name="Text Box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" name="Text Box 15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" name="Text Box 15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" name="Text Box 15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" name="Text Box 15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" name="Text Box 15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" name="Text Box 15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" name="Text Box 1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" name="Text Box 15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6" name="Text Box 1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7" name="Text Box 15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8" name="Text Box 15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9" name="Text Box 15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30" name="Text Box 15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31" name="Text Box 15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2" name="Text Box 15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3" name="Text Box 15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4" name="Text Box 1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5" name="Text Box 1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6" name="Text Box 1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7" name="Text Box 15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8" name="Text Box 15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9" name="Text Box 15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0" name="Text Box 15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1" name="Text Box 15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42" name="Text Box 1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43" name="Text Box 15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44" name="Text Box 15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45" name="Text Box 15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46" name="Text Box 1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7" name="Text Box 15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8" name="Text Box 15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9" name="Text Box 15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0" name="Text Box 15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1" name="Text Box 15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2" name="Text Box 15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3" name="Text Box 15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4" name="Text Box 15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5" name="Text Box 15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6" name="Text Box 1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57" name="Text Box 15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58" name="Text Box 15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59" name="Text Box 15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60" name="Text Box 15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61" name="Text Box 15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2" name="Text Box 15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3" name="Text Box 15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4" name="Text Box 15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5" name="Text Box 15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6" name="Text Box 1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7" name="Text Box 15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8" name="Text Box 15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9" name="Text Box 15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0" name="Text Box 15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1" name="Text Box 15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72" name="Text Box 15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73" name="Text Box 15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74" name="Text Box 15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75" name="Text Box 15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76" name="Text Box 1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7" name="Text Box 15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8" name="Text Box 15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9" name="Text Box 15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0" name="Text Box 15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1" name="Text Box 15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2" name="Text Box 15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3" name="Text Box 15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4" name="Text Box 15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5" name="Text Box 15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6" name="Text Box 1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87" name="Text Box 15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88" name="Text Box 15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89" name="Text Box 15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0" name="Text Box 15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1" name="Text Box 15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2" name="Text Box 15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3" name="Text Box 15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4" name="Text Box 15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5" name="Text Box 15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" name="Text Box 1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" name="Text Box 15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" name="Text Box 15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" name="Text Box 15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00" name="Text Box 15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01" name="Text Box 15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02" name="Text Box 1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03" name="Text Box 15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04" name="Text Box 15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" name="Text Box 15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" name="Text Box 1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" name="Text Box 15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" name="Text Box 15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" name="Text Box 15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" name="Text Box 15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" name="Text Box 15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" name="Text Box 15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" name="Text Box 15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" name="Text Box 15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15" name="Text Box 15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16" name="Text Box 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17" name="Text Box 15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18" name="Text Box 15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19" name="Text Box 15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" name="Text Box 15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" name="Text Box 15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" name="Text Box 15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" name="Text Box 15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" name="Text Box 15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" name="Text Box 15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" name="Text Box 1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7" name="Text Box 15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8" name="Text Box 15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9" name="Text Box 15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30" name="Text Box 15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31" name="Text Box 15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32" name="Text Box 15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33" name="Text Box 15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34" name="Text Box 15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5" name="Text Box 15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" name="Text Box 1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" name="Text Box 15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" name="Text Box 15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" name="Text Box 15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" name="Text Box 15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" name="Text Box 15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" name="Text Box 15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" name="Text Box 15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" name="Text Box 15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45" name="Text Box 15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46" name="Text Box 1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47" name="Text Box 15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48" name="Text Box 15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49" name="Text Box 15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" name="Text Box 15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" name="Text Box 15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" name="Text Box 15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" name="Text Box 15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" name="Text Box 15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" name="Text Box 15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" name="Text Box 1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" name="Text Box 15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" name="Text Box 15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" name="Text Box 15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60" name="Text Box 15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61" name="Text Box 15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62" name="Text Box 15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63" name="Text Box 15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64" name="Text Box 15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5" name="Text Box 15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6" name="Text Box 1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7" name="Text Box 15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" name="Text Box 15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" name="Text Box 1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" name="Text Box 15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" name="Text Box 15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" name="Text Box 15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" name="Text Box 15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" name="Text Box 15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75" name="Text Box 15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76" name="Text Box 1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77" name="Text Box 15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78" name="Text Box 15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79" name="Text Box 15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0" name="Text Box 15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1" name="Text Box 15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2" name="Text Box 15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3" name="Text Box 15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4" name="Text Box 15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5" name="Text Box 15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6" name="Text Box 1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7" name="Text Box 15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88" name="Text Box 15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89" name="Text Box 15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90" name="Text Box 15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91" name="Text Box 15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92" name="Text Box 15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3" name="Text Box 15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4" name="Text Box 15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5" name="Text Box 15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6" name="Text Box 1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7" name="Text Box 15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8" name="Text Box 15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9" name="Text Box 15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0" name="Text Box 15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1" name="Text Box 15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2" name="Text Box 15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03" name="Text Box 15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04" name="Text Box 15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05" name="Text Box 15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06" name="Text Box 1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07" name="Text Box 15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8" name="Text Box 15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9" name="Text Box 15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0" name="Text Box 15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1" name="Text Box 15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2" name="Text Box 15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3" name="Text Box 15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4" name="Text Box 15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5" name="Text Box 15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6" name="Text Box 15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7" name="Text Box 15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18" name="Text Box 15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19" name="Text Box 15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20" name="Text Box 15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21" name="Text Box 15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22" name="Text Box 15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3" name="Text Box 15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4" name="Text Box 15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5" name="Text Box 15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6" name="Text Box 1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7" name="Text Box 15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8" name="Text Box 15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9" name="Text Box 15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0" name="Text Box 15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1" name="Text Box 15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2" name="Text Box 15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33" name="Text Box 15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34" name="Text Box 15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35" name="Text Box 15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36" name="Text Box 1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37" name="Text Box 15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8" name="Text Box 15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9" name="Text Box 15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0" name="Text Box 15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1" name="Text Box 15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2" name="Text Box 15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3" name="Text Box 15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4" name="Text Box 15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5" name="Text Box 15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6" name="Text Box 1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7" name="Text Box 15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48" name="Text Box 15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49" name="Text Box 15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50" name="Text Box 15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51" name="Text Box 15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52" name="Text Box 15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3" name="Text Box 15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4" name="Text Box 15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5" name="Text Box 15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6" name="Text Box 15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7" name="Text Box 15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8" name="Text Box 15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9" name="Text Box 15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60" name="Text Box 15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61" name="Text Box 15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62" name="Text Box 15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3" name="Text Box 15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4" name="Text Box 15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5" name="Text Box 15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6" name="Text Box 1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7" name="Text Box 15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8" name="Text Box 15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9" name="Text Box 15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70" name="Text Box 15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71" name="Text Box 15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72" name="Text Box 15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73" name="Text Box 15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74" name="Text Box 15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75" name="Text Box 15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76" name="Text Box 15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77" name="Text Box 15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78" name="Text Box 15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79" name="Text Box 15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0" name="Text Box 15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1" name="Text Box 15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2" name="Text Box 15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3" name="Text Box 15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4" name="Text Box 15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5" name="Text Box 15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6" name="Text Box 15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7" name="Text Box 15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88" name="Text Box 15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89" name="Text Box 15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90" name="Text Box 15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91" name="Text Box 15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92" name="Text Box 15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3" name="Text Box 15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4" name="Text Box 15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5" name="Text Box 15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6" name="Text Box 15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7" name="Text Box 15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8" name="Text Box 15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9" name="Text Box 15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00" name="Text Box 15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01" name="Text Box 15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02" name="Text Box 15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03" name="Text Box 15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04" name="Text Box 15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05" name="Text Box 15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06" name="Text Box 15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07" name="Text Box 15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08" name="Text Box 15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09" name="Text Box 15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0" name="Text Box 15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1" name="Text Box 15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2" name="Text Box 15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3" name="Text Box 15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4" name="Text Box 15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5" name="Text Box 15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6" name="Text Box 15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7" name="Text Box 15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18" name="Text Box 15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19" name="Text Box 15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20" name="Text Box 15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21" name="Text Box 15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22" name="Text Box 15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3" name="Text Box 15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4" name="Text Box 15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5" name="Text Box 15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6" name="Text Box 15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7" name="Text Box 15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8" name="Text Box 15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9" name="Text Box 15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30" name="Text Box 15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31" name="Text Box 15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32" name="Text Box 15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33" name="Text Box 15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34" name="Text Box 15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35" name="Text Box 15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36" name="Text Box 15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37" name="Text Box 15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38" name="Text Box 15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39" name="Text Box 15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0" name="Text Box 15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1" name="Text Box 15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2" name="Text Box 15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3" name="Text Box 15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4" name="Text Box 15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5" name="Text Box 15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6" name="Text Box 15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7" name="Text Box 15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48" name="Text Box 15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49" name="Text Box 15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50" name="Text Box 15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1" name="Text Box 15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2" name="Text Box 15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3" name="Text Box 15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4" name="Text Box 15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5" name="Text Box 15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6" name="Text Box 15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7" name="Text Box 15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8" name="Text Box 15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9" name="Text Box 15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60" name="Text Box 15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61" name="Text Box 15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62" name="Text Box 15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63" name="Text Box 15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64" name="Text Box 15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65" name="Text Box 15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66" name="Text Box 15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67" name="Text Box 15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68" name="Text Box 15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69" name="Text Box 15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0" name="Text Box 15">
          <a:extLst>
            <a:ext uri="{FF2B5EF4-FFF2-40B4-BE49-F238E27FC236}">
              <a16:creationId xmlns:a16="http://schemas.microsoft.com/office/drawing/2014/main" id="{00000000-0008-0000-0100-00007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1" name="Text Box 15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2" name="Text Box 15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3" name="Text Box 15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4" name="Text Box 15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5" name="Text Box 15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76" name="Text Box 15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77" name="Text Box 15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78" name="Text Box 15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79" name="Text Box 15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80" name="Text Box 15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1" name="Text Box 15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2" name="Text Box 15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3" name="Text Box 15"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4" name="Text Box 15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5" name="Text Box 15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6" name="Text Box 15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7" name="Text Box 15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8" name="Text Box 15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9" name="Text Box 15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90" name="Text Box 15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91" name="Text Box 15"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92" name="Text Box 15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93" name="Text Box 15"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94" name="Text Box 15">
          <a:extLst>
            <a:ext uri="{FF2B5EF4-FFF2-40B4-BE49-F238E27FC236}">
              <a16:creationId xmlns:a16="http://schemas.microsoft.com/office/drawing/2014/main" id="{00000000-0008-0000-0100-00008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95" name="Text Box 15"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96" name="Text Box 15"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97" name="Text Box 15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98" name="Text Box 15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99" name="Text Box 15"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0" name="Text Box 15"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1" name="Text Box 15"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2" name="Text Box 15"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3" name="Text Box 15"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4" name="Text Box 15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5" name="Text Box 15"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06" name="Text Box 15"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07" name="Text Box 15"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08" name="Text Box 15">
          <a:extLst>
            <a:ext uri="{FF2B5EF4-FFF2-40B4-BE49-F238E27FC236}">
              <a16:creationId xmlns:a16="http://schemas.microsoft.com/office/drawing/2014/main" id="{00000000-0008-0000-0100-00009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09" name="Text Box 15"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10" name="Text Box 15"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1" name="Text Box 15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2" name="Text Box 15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3" name="Text Box 15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4" name="Text Box 15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5" name="Text Box 15">
          <a:extLst>
            <a:ext uri="{FF2B5EF4-FFF2-40B4-BE49-F238E27FC236}">
              <a16:creationId xmlns:a16="http://schemas.microsoft.com/office/drawing/2014/main" id="{00000000-0008-0000-0100-00009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6" name="Text Box 15">
          <a:extLst>
            <a:ext uri="{FF2B5EF4-FFF2-40B4-BE49-F238E27FC236}">
              <a16:creationId xmlns:a16="http://schemas.microsoft.com/office/drawing/2014/main" id="{00000000-0008-0000-0100-0000A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7" name="Text Box 15">
          <a:extLst>
            <a:ext uri="{FF2B5EF4-FFF2-40B4-BE49-F238E27FC236}">
              <a16:creationId xmlns:a16="http://schemas.microsoft.com/office/drawing/2014/main" id="{00000000-0008-0000-0100-0000A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8" name="Text Box 15">
          <a:extLst>
            <a:ext uri="{FF2B5EF4-FFF2-40B4-BE49-F238E27FC236}">
              <a16:creationId xmlns:a16="http://schemas.microsoft.com/office/drawing/2014/main" id="{00000000-0008-0000-0100-0000A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9" name="Text Box 15">
          <a:extLst>
            <a:ext uri="{FF2B5EF4-FFF2-40B4-BE49-F238E27FC236}">
              <a16:creationId xmlns:a16="http://schemas.microsoft.com/office/drawing/2014/main" id="{00000000-0008-0000-0100-0000A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20" name="Text Box 15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21" name="Text Box 15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22" name="Text Box 15">
          <a:extLst>
            <a:ext uri="{FF2B5EF4-FFF2-40B4-BE49-F238E27FC236}">
              <a16:creationId xmlns:a16="http://schemas.microsoft.com/office/drawing/2014/main" id="{00000000-0008-0000-0100-0000A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23" name="Text Box 15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24" name="Text Box 15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25" name="Text Box 15">
          <a:extLst>
            <a:ext uri="{FF2B5EF4-FFF2-40B4-BE49-F238E27FC236}">
              <a16:creationId xmlns:a16="http://schemas.microsoft.com/office/drawing/2014/main" id="{00000000-0008-0000-0100-0000A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26" name="Text Box 15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27" name="Text Box 15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28" name="Text Box 15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29" name="Text Box 15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0" name="Text Box 15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1" name="Text Box 15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2" name="Text Box 15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3" name="Text Box 15">
          <a:extLst>
            <a:ext uri="{FF2B5EF4-FFF2-40B4-BE49-F238E27FC236}">
              <a16:creationId xmlns:a16="http://schemas.microsoft.com/office/drawing/2014/main" id="{00000000-0008-0000-0100-0000B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4" name="Text Box 15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5" name="Text Box 15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36" name="Text Box 15">
          <a:extLst>
            <a:ext uri="{FF2B5EF4-FFF2-40B4-BE49-F238E27FC236}">
              <a16:creationId xmlns:a16="http://schemas.microsoft.com/office/drawing/2014/main" id="{00000000-0008-0000-0100-0000B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37" name="Text Box 15">
          <a:extLst>
            <a:ext uri="{FF2B5EF4-FFF2-40B4-BE49-F238E27FC236}">
              <a16:creationId xmlns:a16="http://schemas.microsoft.com/office/drawing/2014/main" id="{00000000-0008-0000-0100-0000B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38" name="Text Box 15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9" name="Text Box 15">
          <a:extLst>
            <a:ext uri="{FF2B5EF4-FFF2-40B4-BE49-F238E27FC236}">
              <a16:creationId xmlns:a16="http://schemas.microsoft.com/office/drawing/2014/main" id="{00000000-0008-0000-0100-0000B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0" name="Text Box 15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1" name="Text Box 15">
          <a:extLst>
            <a:ext uri="{FF2B5EF4-FFF2-40B4-BE49-F238E27FC236}">
              <a16:creationId xmlns:a16="http://schemas.microsoft.com/office/drawing/2014/main" id="{00000000-0008-0000-0100-0000B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2" name="Text Box 15">
          <a:extLst>
            <a:ext uri="{FF2B5EF4-FFF2-40B4-BE49-F238E27FC236}">
              <a16:creationId xmlns:a16="http://schemas.microsoft.com/office/drawing/2014/main" id="{00000000-0008-0000-0100-0000B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3" name="Text Box 15">
          <a:extLst>
            <a:ext uri="{FF2B5EF4-FFF2-40B4-BE49-F238E27FC236}">
              <a16:creationId xmlns:a16="http://schemas.microsoft.com/office/drawing/2014/main" id="{00000000-0008-0000-0100-0000B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4" name="Text Box 15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5" name="Text Box 15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6" name="Text Box 15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7" name="Text Box 15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8" name="Text Box 15">
          <a:extLst>
            <a:ext uri="{FF2B5EF4-FFF2-40B4-BE49-F238E27FC236}">
              <a16:creationId xmlns:a16="http://schemas.microsoft.com/office/drawing/2014/main" id="{00000000-0008-0000-0100-0000C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49" name="Text Box 15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50" name="Text Box 15">
          <a:extLst>
            <a:ext uri="{FF2B5EF4-FFF2-40B4-BE49-F238E27FC236}">
              <a16:creationId xmlns:a16="http://schemas.microsoft.com/office/drawing/2014/main" id="{00000000-0008-0000-0100-0000C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51" name="Text Box 15">
          <a:extLst>
            <a:ext uri="{FF2B5EF4-FFF2-40B4-BE49-F238E27FC236}">
              <a16:creationId xmlns:a16="http://schemas.microsoft.com/office/drawing/2014/main" id="{00000000-0008-0000-0100-0000C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52" name="Text Box 15">
          <a:extLst>
            <a:ext uri="{FF2B5EF4-FFF2-40B4-BE49-F238E27FC236}">
              <a16:creationId xmlns:a16="http://schemas.microsoft.com/office/drawing/2014/main" id="{00000000-0008-0000-0100-0000C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53" name="Text Box 15">
          <a:extLst>
            <a:ext uri="{FF2B5EF4-FFF2-40B4-BE49-F238E27FC236}">
              <a16:creationId xmlns:a16="http://schemas.microsoft.com/office/drawing/2014/main" id="{00000000-0008-0000-0100-0000C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4" name="Text Box 15">
          <a:extLst>
            <a:ext uri="{FF2B5EF4-FFF2-40B4-BE49-F238E27FC236}">
              <a16:creationId xmlns:a16="http://schemas.microsoft.com/office/drawing/2014/main" id="{00000000-0008-0000-0100-0000C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5" name="Text Box 15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6" name="Text Box 15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7" name="Text Box 15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8" name="Text Box 15">
          <a:extLst>
            <a:ext uri="{FF2B5EF4-FFF2-40B4-BE49-F238E27FC236}">
              <a16:creationId xmlns:a16="http://schemas.microsoft.com/office/drawing/2014/main" id="{00000000-0008-0000-0100-0000C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9" name="Text Box 15">
          <a:extLst>
            <a:ext uri="{FF2B5EF4-FFF2-40B4-BE49-F238E27FC236}">
              <a16:creationId xmlns:a16="http://schemas.microsoft.com/office/drawing/2014/main" id="{00000000-0008-0000-0100-0000C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60" name="Text Box 15">
          <a:extLst>
            <a:ext uri="{FF2B5EF4-FFF2-40B4-BE49-F238E27FC236}">
              <a16:creationId xmlns:a16="http://schemas.microsoft.com/office/drawing/2014/main" id="{00000000-0008-0000-0100-0000C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61" name="Text Box 15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62" name="Text Box 15">
          <a:extLst>
            <a:ext uri="{FF2B5EF4-FFF2-40B4-BE49-F238E27FC236}">
              <a16:creationId xmlns:a16="http://schemas.microsoft.com/office/drawing/2014/main" id="{00000000-0008-0000-0100-0000C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63" name="Text Box 15">
          <a:extLst>
            <a:ext uri="{FF2B5EF4-FFF2-40B4-BE49-F238E27FC236}">
              <a16:creationId xmlns:a16="http://schemas.microsoft.com/office/drawing/2014/main" id="{00000000-0008-0000-0100-0000C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64" name="Text Box 15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65" name="Text Box 15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66" name="Text Box 15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67" name="Text Box 15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68" name="Text Box 15">
          <a:extLst>
            <a:ext uri="{FF2B5EF4-FFF2-40B4-BE49-F238E27FC236}">
              <a16:creationId xmlns:a16="http://schemas.microsoft.com/office/drawing/2014/main" id="{00000000-0008-0000-0100-0000D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69" name="Text Box 15">
          <a:extLst>
            <a:ext uri="{FF2B5EF4-FFF2-40B4-BE49-F238E27FC236}">
              <a16:creationId xmlns:a16="http://schemas.microsoft.com/office/drawing/2014/main" id="{00000000-0008-0000-0100-0000D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0" name="Text Box 15">
          <a:extLst>
            <a:ext uri="{FF2B5EF4-FFF2-40B4-BE49-F238E27FC236}">
              <a16:creationId xmlns:a16="http://schemas.microsoft.com/office/drawing/2014/main" id="{00000000-0008-0000-0100-0000D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1" name="Text Box 15">
          <a:extLst>
            <a:ext uri="{FF2B5EF4-FFF2-40B4-BE49-F238E27FC236}">
              <a16:creationId xmlns:a16="http://schemas.microsoft.com/office/drawing/2014/main" id="{00000000-0008-0000-0100-0000D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2" name="Text Box 15">
          <a:extLst>
            <a:ext uri="{FF2B5EF4-FFF2-40B4-BE49-F238E27FC236}">
              <a16:creationId xmlns:a16="http://schemas.microsoft.com/office/drawing/2014/main" id="{00000000-0008-0000-0100-0000D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3" name="Text Box 15">
          <a:extLst>
            <a:ext uri="{FF2B5EF4-FFF2-40B4-BE49-F238E27FC236}">
              <a16:creationId xmlns:a16="http://schemas.microsoft.com/office/drawing/2014/main" id="{00000000-0008-0000-0100-0000D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4" name="Text Box 15">
          <a:extLst>
            <a:ext uri="{FF2B5EF4-FFF2-40B4-BE49-F238E27FC236}">
              <a16:creationId xmlns:a16="http://schemas.microsoft.com/office/drawing/2014/main" id="{00000000-0008-0000-0100-0000D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5" name="Text Box 15">
          <a:extLst>
            <a:ext uri="{FF2B5EF4-FFF2-40B4-BE49-F238E27FC236}">
              <a16:creationId xmlns:a16="http://schemas.microsoft.com/office/drawing/2014/main" id="{00000000-0008-0000-0100-0000D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6" name="Text Box 15">
          <a:extLst>
            <a:ext uri="{FF2B5EF4-FFF2-40B4-BE49-F238E27FC236}">
              <a16:creationId xmlns:a16="http://schemas.microsoft.com/office/drawing/2014/main" id="{00000000-0008-0000-0100-0000D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7" name="Text Box 15">
          <a:extLst>
            <a:ext uri="{FF2B5EF4-FFF2-40B4-BE49-F238E27FC236}">
              <a16:creationId xmlns:a16="http://schemas.microsoft.com/office/drawing/2014/main" id="{00000000-0008-0000-0100-0000D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8" name="Text Box 15">
          <a:extLst>
            <a:ext uri="{FF2B5EF4-FFF2-40B4-BE49-F238E27FC236}">
              <a16:creationId xmlns:a16="http://schemas.microsoft.com/office/drawing/2014/main" id="{00000000-0008-0000-0100-0000D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79" name="Text Box 15">
          <a:extLst>
            <a:ext uri="{FF2B5EF4-FFF2-40B4-BE49-F238E27FC236}">
              <a16:creationId xmlns:a16="http://schemas.microsoft.com/office/drawing/2014/main" id="{00000000-0008-0000-0100-0000D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80" name="Text Box 15">
          <a:extLst>
            <a:ext uri="{FF2B5EF4-FFF2-40B4-BE49-F238E27FC236}">
              <a16:creationId xmlns:a16="http://schemas.microsoft.com/office/drawing/2014/main" id="{00000000-0008-0000-0100-0000E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81" name="Text Box 15">
          <a:extLst>
            <a:ext uri="{FF2B5EF4-FFF2-40B4-BE49-F238E27FC236}">
              <a16:creationId xmlns:a16="http://schemas.microsoft.com/office/drawing/2014/main" id="{00000000-0008-0000-0100-0000E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82" name="Text Box 15">
          <a:extLst>
            <a:ext uri="{FF2B5EF4-FFF2-40B4-BE49-F238E27FC236}">
              <a16:creationId xmlns:a16="http://schemas.microsoft.com/office/drawing/2014/main" id="{00000000-0008-0000-0100-0000E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83" name="Text Box 15">
          <a:extLst>
            <a:ext uri="{FF2B5EF4-FFF2-40B4-BE49-F238E27FC236}">
              <a16:creationId xmlns:a16="http://schemas.microsoft.com/office/drawing/2014/main" id="{00000000-0008-0000-0100-0000E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4" name="Text Box 15">
          <a:extLst>
            <a:ext uri="{FF2B5EF4-FFF2-40B4-BE49-F238E27FC236}">
              <a16:creationId xmlns:a16="http://schemas.microsoft.com/office/drawing/2014/main" id="{00000000-0008-0000-0100-0000E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5" name="Text Box 15">
          <a:extLst>
            <a:ext uri="{FF2B5EF4-FFF2-40B4-BE49-F238E27FC236}">
              <a16:creationId xmlns:a16="http://schemas.microsoft.com/office/drawing/2014/main" id="{00000000-0008-0000-0100-0000E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6" name="Text Box 15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7" name="Text Box 15">
          <a:extLst>
            <a:ext uri="{FF2B5EF4-FFF2-40B4-BE49-F238E27FC236}">
              <a16:creationId xmlns:a16="http://schemas.microsoft.com/office/drawing/2014/main" id="{00000000-0008-0000-0100-0000E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8" name="Text Box 15">
          <a:extLst>
            <a:ext uri="{FF2B5EF4-FFF2-40B4-BE49-F238E27FC236}">
              <a16:creationId xmlns:a16="http://schemas.microsoft.com/office/drawing/2014/main" id="{00000000-0008-0000-0100-0000E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9" name="Text Box 15">
          <a:extLst>
            <a:ext uri="{FF2B5EF4-FFF2-40B4-BE49-F238E27FC236}">
              <a16:creationId xmlns:a16="http://schemas.microsoft.com/office/drawing/2014/main" id="{00000000-0008-0000-0100-0000E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90" name="Text Box 15">
          <a:extLst>
            <a:ext uri="{FF2B5EF4-FFF2-40B4-BE49-F238E27FC236}">
              <a16:creationId xmlns:a16="http://schemas.microsoft.com/office/drawing/2014/main" id="{00000000-0008-0000-0100-0000E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91" name="Text Box 15">
          <a:extLst>
            <a:ext uri="{FF2B5EF4-FFF2-40B4-BE49-F238E27FC236}">
              <a16:creationId xmlns:a16="http://schemas.microsoft.com/office/drawing/2014/main" id="{00000000-0008-0000-0100-0000E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92" name="Text Box 15">
          <a:extLst>
            <a:ext uri="{FF2B5EF4-FFF2-40B4-BE49-F238E27FC236}">
              <a16:creationId xmlns:a16="http://schemas.microsoft.com/office/drawing/2014/main" id="{00000000-0008-0000-0100-0000E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93" name="Text Box 15">
          <a:extLst>
            <a:ext uri="{FF2B5EF4-FFF2-40B4-BE49-F238E27FC236}">
              <a16:creationId xmlns:a16="http://schemas.microsoft.com/office/drawing/2014/main" id="{00000000-0008-0000-0100-0000E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94" name="Text Box 15">
          <a:extLst>
            <a:ext uri="{FF2B5EF4-FFF2-40B4-BE49-F238E27FC236}">
              <a16:creationId xmlns:a16="http://schemas.microsoft.com/office/drawing/2014/main" id="{00000000-0008-0000-0100-0000E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95" name="Text Box 15">
          <a:extLst>
            <a:ext uri="{FF2B5EF4-FFF2-40B4-BE49-F238E27FC236}">
              <a16:creationId xmlns:a16="http://schemas.microsoft.com/office/drawing/2014/main" id="{00000000-0008-0000-0100-0000E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96" name="Text Box 15">
          <a:extLst>
            <a:ext uri="{FF2B5EF4-FFF2-40B4-BE49-F238E27FC236}">
              <a16:creationId xmlns:a16="http://schemas.microsoft.com/office/drawing/2014/main" id="{00000000-0008-0000-0100-0000F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97" name="Text Box 15">
          <a:extLst>
            <a:ext uri="{FF2B5EF4-FFF2-40B4-BE49-F238E27FC236}">
              <a16:creationId xmlns:a16="http://schemas.microsoft.com/office/drawing/2014/main" id="{00000000-0008-0000-0100-0000F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98" name="Text Box 15">
          <a:extLst>
            <a:ext uri="{FF2B5EF4-FFF2-40B4-BE49-F238E27FC236}">
              <a16:creationId xmlns:a16="http://schemas.microsoft.com/office/drawing/2014/main" id="{00000000-0008-0000-0100-0000F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99" name="Text Box 15">
          <a:extLst>
            <a:ext uri="{FF2B5EF4-FFF2-40B4-BE49-F238E27FC236}">
              <a16:creationId xmlns:a16="http://schemas.microsoft.com/office/drawing/2014/main" id="{00000000-0008-0000-0100-0000F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0" name="Text Box 15">
          <a:extLst>
            <a:ext uri="{FF2B5EF4-FFF2-40B4-BE49-F238E27FC236}">
              <a16:creationId xmlns:a16="http://schemas.microsoft.com/office/drawing/2014/main" id="{00000000-0008-0000-0100-0000F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1" name="Text Box 15">
          <a:extLst>
            <a:ext uri="{FF2B5EF4-FFF2-40B4-BE49-F238E27FC236}">
              <a16:creationId xmlns:a16="http://schemas.microsoft.com/office/drawing/2014/main" id="{00000000-0008-0000-0100-0000F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2" name="Text Box 15">
          <a:extLst>
            <a:ext uri="{FF2B5EF4-FFF2-40B4-BE49-F238E27FC236}">
              <a16:creationId xmlns:a16="http://schemas.microsoft.com/office/drawing/2014/main" id="{00000000-0008-0000-0100-0000F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3" name="Text Box 15">
          <a:extLst>
            <a:ext uri="{FF2B5EF4-FFF2-40B4-BE49-F238E27FC236}">
              <a16:creationId xmlns:a16="http://schemas.microsoft.com/office/drawing/2014/main" id="{00000000-0008-0000-0100-0000F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4" name="Text Box 15">
          <a:extLst>
            <a:ext uri="{FF2B5EF4-FFF2-40B4-BE49-F238E27FC236}">
              <a16:creationId xmlns:a16="http://schemas.microsoft.com/office/drawing/2014/main" id="{00000000-0008-0000-0100-0000F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5" name="Text Box 15">
          <a:extLst>
            <a:ext uri="{FF2B5EF4-FFF2-40B4-BE49-F238E27FC236}">
              <a16:creationId xmlns:a16="http://schemas.microsoft.com/office/drawing/2014/main" id="{00000000-0008-0000-0100-0000F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6" name="Text Box 15">
          <a:extLst>
            <a:ext uri="{FF2B5EF4-FFF2-40B4-BE49-F238E27FC236}">
              <a16:creationId xmlns:a16="http://schemas.microsoft.com/office/drawing/2014/main" id="{00000000-0008-0000-0100-0000F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7" name="Text Box 15">
          <a:extLst>
            <a:ext uri="{FF2B5EF4-FFF2-40B4-BE49-F238E27FC236}">
              <a16:creationId xmlns:a16="http://schemas.microsoft.com/office/drawing/2014/main" id="{00000000-0008-0000-0100-0000F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8" name="Text Box 15">
          <a:extLst>
            <a:ext uri="{FF2B5EF4-FFF2-40B4-BE49-F238E27FC236}">
              <a16:creationId xmlns:a16="http://schemas.microsoft.com/office/drawing/2014/main" id="{00000000-0008-0000-0100-0000F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09" name="Text Box 15">
          <a:extLst>
            <a:ext uri="{FF2B5EF4-FFF2-40B4-BE49-F238E27FC236}">
              <a16:creationId xmlns:a16="http://schemas.microsoft.com/office/drawing/2014/main" id="{00000000-0008-0000-0100-0000F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10" name="Text Box 15">
          <a:extLst>
            <a:ext uri="{FF2B5EF4-FFF2-40B4-BE49-F238E27FC236}">
              <a16:creationId xmlns:a16="http://schemas.microsoft.com/office/drawing/2014/main" id="{00000000-0008-0000-0100-0000F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11" name="Text Box 15">
          <a:extLst>
            <a:ext uri="{FF2B5EF4-FFF2-40B4-BE49-F238E27FC236}">
              <a16:creationId xmlns:a16="http://schemas.microsoft.com/office/drawing/2014/main" id="{00000000-0008-0000-0100-0000F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12" name="Text Box 15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13" name="Text Box 15">
          <a:extLst>
            <a:ext uri="{FF2B5EF4-FFF2-40B4-BE49-F238E27FC236}">
              <a16:creationId xmlns:a16="http://schemas.microsoft.com/office/drawing/2014/main" id="{00000000-0008-0000-0100-00000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4" name="Text Box 15">
          <a:extLst>
            <a:ext uri="{FF2B5EF4-FFF2-40B4-BE49-F238E27FC236}">
              <a16:creationId xmlns:a16="http://schemas.microsoft.com/office/drawing/2014/main" id="{00000000-0008-0000-0100-00000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5" name="Text Box 15">
          <a:extLst>
            <a:ext uri="{FF2B5EF4-FFF2-40B4-BE49-F238E27FC236}">
              <a16:creationId xmlns:a16="http://schemas.microsoft.com/office/drawing/2014/main" id="{00000000-0008-0000-0100-00000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6" name="Text Box 15">
          <a:extLst>
            <a:ext uri="{FF2B5EF4-FFF2-40B4-BE49-F238E27FC236}">
              <a16:creationId xmlns:a16="http://schemas.microsoft.com/office/drawing/2014/main" id="{00000000-0008-0000-0100-00000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7" name="Text Box 15">
          <a:extLst>
            <a:ext uri="{FF2B5EF4-FFF2-40B4-BE49-F238E27FC236}">
              <a16:creationId xmlns:a16="http://schemas.microsoft.com/office/drawing/2014/main" id="{00000000-0008-0000-0100-00000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8" name="Text Box 15">
          <a:extLst>
            <a:ext uri="{FF2B5EF4-FFF2-40B4-BE49-F238E27FC236}">
              <a16:creationId xmlns:a16="http://schemas.microsoft.com/office/drawing/2014/main" id="{00000000-0008-0000-0100-00000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9" name="Text Box 15">
          <a:extLst>
            <a:ext uri="{FF2B5EF4-FFF2-40B4-BE49-F238E27FC236}">
              <a16:creationId xmlns:a16="http://schemas.microsoft.com/office/drawing/2014/main" id="{00000000-0008-0000-0100-00000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0" name="Text Box 15">
          <a:extLst>
            <a:ext uri="{FF2B5EF4-FFF2-40B4-BE49-F238E27FC236}">
              <a16:creationId xmlns:a16="http://schemas.microsoft.com/office/drawing/2014/main" id="{00000000-0008-0000-0100-00000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1" name="Text Box 15">
          <a:extLst>
            <a:ext uri="{FF2B5EF4-FFF2-40B4-BE49-F238E27FC236}">
              <a16:creationId xmlns:a16="http://schemas.microsoft.com/office/drawing/2014/main" id="{00000000-0008-0000-0100-00000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2" name="Text Box 15">
          <a:extLst>
            <a:ext uri="{FF2B5EF4-FFF2-40B4-BE49-F238E27FC236}">
              <a16:creationId xmlns:a16="http://schemas.microsoft.com/office/drawing/2014/main" id="{00000000-0008-0000-0100-00000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3" name="Text Box 15">
          <a:extLst>
            <a:ext uri="{FF2B5EF4-FFF2-40B4-BE49-F238E27FC236}">
              <a16:creationId xmlns:a16="http://schemas.microsoft.com/office/drawing/2014/main" id="{00000000-0008-0000-0100-00000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24" name="Text Box 15">
          <a:extLst>
            <a:ext uri="{FF2B5EF4-FFF2-40B4-BE49-F238E27FC236}">
              <a16:creationId xmlns:a16="http://schemas.microsoft.com/office/drawing/2014/main" id="{00000000-0008-0000-0100-00000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25" name="Text Box 15">
          <a:extLst>
            <a:ext uri="{FF2B5EF4-FFF2-40B4-BE49-F238E27FC236}">
              <a16:creationId xmlns:a16="http://schemas.microsoft.com/office/drawing/2014/main" id="{00000000-0008-0000-0100-00000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26" name="Text Box 15">
          <a:extLst>
            <a:ext uri="{FF2B5EF4-FFF2-40B4-BE49-F238E27FC236}">
              <a16:creationId xmlns:a16="http://schemas.microsoft.com/office/drawing/2014/main" id="{00000000-0008-0000-0100-00000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7" name="Text Box 15">
          <a:extLst>
            <a:ext uri="{FF2B5EF4-FFF2-40B4-BE49-F238E27FC236}">
              <a16:creationId xmlns:a16="http://schemas.microsoft.com/office/drawing/2014/main" id="{00000000-0008-0000-0100-00000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8" name="Text Box 15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9" name="Text Box 15">
          <a:extLst>
            <a:ext uri="{FF2B5EF4-FFF2-40B4-BE49-F238E27FC236}">
              <a16:creationId xmlns:a16="http://schemas.microsoft.com/office/drawing/2014/main" id="{00000000-0008-0000-0100-00001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0" name="Text Box 15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1" name="Text Box 15">
          <a:extLst>
            <a:ext uri="{FF2B5EF4-FFF2-40B4-BE49-F238E27FC236}">
              <a16:creationId xmlns:a16="http://schemas.microsoft.com/office/drawing/2014/main" id="{00000000-0008-0000-0100-00001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2" name="Text Box 15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3" name="Text Box 15">
          <a:extLst>
            <a:ext uri="{FF2B5EF4-FFF2-40B4-BE49-F238E27FC236}">
              <a16:creationId xmlns:a16="http://schemas.microsoft.com/office/drawing/2014/main" id="{00000000-0008-0000-0100-00001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4" name="Text Box 15">
          <a:extLst>
            <a:ext uri="{FF2B5EF4-FFF2-40B4-BE49-F238E27FC236}">
              <a16:creationId xmlns:a16="http://schemas.microsoft.com/office/drawing/2014/main" id="{00000000-0008-0000-0100-00001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5" name="Text Box 15">
          <a:extLst>
            <a:ext uri="{FF2B5EF4-FFF2-40B4-BE49-F238E27FC236}">
              <a16:creationId xmlns:a16="http://schemas.microsoft.com/office/drawing/2014/main" id="{00000000-0008-0000-0100-00001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6" name="Text Box 15">
          <a:extLst>
            <a:ext uri="{FF2B5EF4-FFF2-40B4-BE49-F238E27FC236}">
              <a16:creationId xmlns:a16="http://schemas.microsoft.com/office/drawing/2014/main" id="{00000000-0008-0000-0100-00001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37" name="Text Box 15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38" name="Text Box 15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39" name="Text Box 15">
          <a:extLst>
            <a:ext uri="{FF2B5EF4-FFF2-40B4-BE49-F238E27FC236}">
              <a16:creationId xmlns:a16="http://schemas.microsoft.com/office/drawing/2014/main" id="{00000000-0008-0000-0100-00001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40" name="Text Box 15">
          <a:extLst>
            <a:ext uri="{FF2B5EF4-FFF2-40B4-BE49-F238E27FC236}">
              <a16:creationId xmlns:a16="http://schemas.microsoft.com/office/drawing/2014/main" id="{00000000-0008-0000-0100-00001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41" name="Text Box 15">
          <a:extLst>
            <a:ext uri="{FF2B5EF4-FFF2-40B4-BE49-F238E27FC236}">
              <a16:creationId xmlns:a16="http://schemas.microsoft.com/office/drawing/2014/main" id="{00000000-0008-0000-0100-00001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2" name="Text Box 15">
          <a:extLst>
            <a:ext uri="{FF2B5EF4-FFF2-40B4-BE49-F238E27FC236}">
              <a16:creationId xmlns:a16="http://schemas.microsoft.com/office/drawing/2014/main" id="{00000000-0008-0000-0100-00001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3" name="Text Box 15">
          <a:extLst>
            <a:ext uri="{FF2B5EF4-FFF2-40B4-BE49-F238E27FC236}">
              <a16:creationId xmlns:a16="http://schemas.microsoft.com/office/drawing/2014/main" id="{00000000-0008-0000-0100-00001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4" name="Text Box 15">
          <a:extLst>
            <a:ext uri="{FF2B5EF4-FFF2-40B4-BE49-F238E27FC236}">
              <a16:creationId xmlns:a16="http://schemas.microsoft.com/office/drawing/2014/main" id="{00000000-0008-0000-0100-00002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5" name="Text Box 15">
          <a:extLst>
            <a:ext uri="{FF2B5EF4-FFF2-40B4-BE49-F238E27FC236}">
              <a16:creationId xmlns:a16="http://schemas.microsoft.com/office/drawing/2014/main" id="{00000000-0008-0000-0100-00002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6" name="Text Box 15">
          <a:extLst>
            <a:ext uri="{FF2B5EF4-FFF2-40B4-BE49-F238E27FC236}">
              <a16:creationId xmlns:a16="http://schemas.microsoft.com/office/drawing/2014/main" id="{00000000-0008-0000-0100-00002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7" name="Text Box 15">
          <a:extLst>
            <a:ext uri="{FF2B5EF4-FFF2-40B4-BE49-F238E27FC236}">
              <a16:creationId xmlns:a16="http://schemas.microsoft.com/office/drawing/2014/main" id="{00000000-0008-0000-0100-00002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8" name="Text Box 15">
          <a:extLst>
            <a:ext uri="{FF2B5EF4-FFF2-40B4-BE49-F238E27FC236}">
              <a16:creationId xmlns:a16="http://schemas.microsoft.com/office/drawing/2014/main" id="{00000000-0008-0000-0100-00002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9" name="Text Box 15">
          <a:extLst>
            <a:ext uri="{FF2B5EF4-FFF2-40B4-BE49-F238E27FC236}">
              <a16:creationId xmlns:a16="http://schemas.microsoft.com/office/drawing/2014/main" id="{00000000-0008-0000-0100-00002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50" name="Text Box 15">
          <a:extLst>
            <a:ext uri="{FF2B5EF4-FFF2-40B4-BE49-F238E27FC236}">
              <a16:creationId xmlns:a16="http://schemas.microsoft.com/office/drawing/2014/main" id="{00000000-0008-0000-0100-00002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51" name="Text Box 15">
          <a:extLst>
            <a:ext uri="{FF2B5EF4-FFF2-40B4-BE49-F238E27FC236}">
              <a16:creationId xmlns:a16="http://schemas.microsoft.com/office/drawing/2014/main" id="{00000000-0008-0000-0100-00002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52" name="Text Box 15">
          <a:extLst>
            <a:ext uri="{FF2B5EF4-FFF2-40B4-BE49-F238E27FC236}">
              <a16:creationId xmlns:a16="http://schemas.microsoft.com/office/drawing/2014/main" id="{00000000-0008-0000-0100-00002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53" name="Text Box 15">
          <a:extLst>
            <a:ext uri="{FF2B5EF4-FFF2-40B4-BE49-F238E27FC236}">
              <a16:creationId xmlns:a16="http://schemas.microsoft.com/office/drawing/2014/main" id="{00000000-0008-0000-0100-00002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54" name="Text Box 15">
          <a:extLst>
            <a:ext uri="{FF2B5EF4-FFF2-40B4-BE49-F238E27FC236}">
              <a16:creationId xmlns:a16="http://schemas.microsoft.com/office/drawing/2014/main" id="{00000000-0008-0000-0100-00002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55" name="Text Box 15">
          <a:extLst>
            <a:ext uri="{FF2B5EF4-FFF2-40B4-BE49-F238E27FC236}">
              <a16:creationId xmlns:a16="http://schemas.microsoft.com/office/drawing/2014/main" id="{00000000-0008-0000-0100-00002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56" name="Text Box 15">
          <a:extLst>
            <a:ext uri="{FF2B5EF4-FFF2-40B4-BE49-F238E27FC236}">
              <a16:creationId xmlns:a16="http://schemas.microsoft.com/office/drawing/2014/main" id="{00000000-0008-0000-0100-00002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57" name="Text Box 15">
          <a:extLst>
            <a:ext uri="{FF2B5EF4-FFF2-40B4-BE49-F238E27FC236}">
              <a16:creationId xmlns:a16="http://schemas.microsoft.com/office/drawing/2014/main" id="{00000000-0008-0000-0100-00002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58" name="Text Box 15">
          <a:extLst>
            <a:ext uri="{FF2B5EF4-FFF2-40B4-BE49-F238E27FC236}">
              <a16:creationId xmlns:a16="http://schemas.microsoft.com/office/drawing/2014/main" id="{00000000-0008-0000-0100-00002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59" name="Text Box 15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0" name="Text Box 15">
          <a:extLst>
            <a:ext uri="{FF2B5EF4-FFF2-40B4-BE49-F238E27FC236}">
              <a16:creationId xmlns:a16="http://schemas.microsoft.com/office/drawing/2014/main" id="{00000000-0008-0000-0100-00003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1" name="Text Box 15">
          <a:extLst>
            <a:ext uri="{FF2B5EF4-FFF2-40B4-BE49-F238E27FC236}">
              <a16:creationId xmlns:a16="http://schemas.microsoft.com/office/drawing/2014/main" id="{00000000-0008-0000-0100-00003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2" name="Text Box 15">
          <a:extLst>
            <a:ext uri="{FF2B5EF4-FFF2-40B4-BE49-F238E27FC236}">
              <a16:creationId xmlns:a16="http://schemas.microsoft.com/office/drawing/2014/main" id="{00000000-0008-0000-0100-00003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3" name="Text Box 15">
          <a:extLst>
            <a:ext uri="{FF2B5EF4-FFF2-40B4-BE49-F238E27FC236}">
              <a16:creationId xmlns:a16="http://schemas.microsoft.com/office/drawing/2014/main" id="{00000000-0008-0000-0100-00003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4" name="Text Box 15">
          <a:extLst>
            <a:ext uri="{FF2B5EF4-FFF2-40B4-BE49-F238E27FC236}">
              <a16:creationId xmlns:a16="http://schemas.microsoft.com/office/drawing/2014/main" id="{00000000-0008-0000-0100-00003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5" name="Text Box 15">
          <a:extLst>
            <a:ext uri="{FF2B5EF4-FFF2-40B4-BE49-F238E27FC236}">
              <a16:creationId xmlns:a16="http://schemas.microsoft.com/office/drawing/2014/main" id="{00000000-0008-0000-0100-00003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6" name="Text Box 15">
          <a:extLst>
            <a:ext uri="{FF2B5EF4-FFF2-40B4-BE49-F238E27FC236}">
              <a16:creationId xmlns:a16="http://schemas.microsoft.com/office/drawing/2014/main" id="{00000000-0008-0000-0100-00003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67" name="Text Box 15">
          <a:extLst>
            <a:ext uri="{FF2B5EF4-FFF2-40B4-BE49-F238E27FC236}">
              <a16:creationId xmlns:a16="http://schemas.microsoft.com/office/drawing/2014/main" id="{00000000-0008-0000-0100-00003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68" name="Text Box 15">
          <a:extLst>
            <a:ext uri="{FF2B5EF4-FFF2-40B4-BE49-F238E27FC236}">
              <a16:creationId xmlns:a16="http://schemas.microsoft.com/office/drawing/2014/main" id="{00000000-0008-0000-0100-00003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69" name="Text Box 15">
          <a:extLst>
            <a:ext uri="{FF2B5EF4-FFF2-40B4-BE49-F238E27FC236}">
              <a16:creationId xmlns:a16="http://schemas.microsoft.com/office/drawing/2014/main" id="{00000000-0008-0000-0100-00003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70" name="Text Box 15">
          <a:extLst>
            <a:ext uri="{FF2B5EF4-FFF2-40B4-BE49-F238E27FC236}">
              <a16:creationId xmlns:a16="http://schemas.microsoft.com/office/drawing/2014/main" id="{00000000-0008-0000-0100-00003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71" name="Text Box 15">
          <a:extLst>
            <a:ext uri="{FF2B5EF4-FFF2-40B4-BE49-F238E27FC236}">
              <a16:creationId xmlns:a16="http://schemas.microsoft.com/office/drawing/2014/main" id="{00000000-0008-0000-0100-00003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2" name="Text Box 15">
          <a:extLst>
            <a:ext uri="{FF2B5EF4-FFF2-40B4-BE49-F238E27FC236}">
              <a16:creationId xmlns:a16="http://schemas.microsoft.com/office/drawing/2014/main" id="{00000000-0008-0000-0100-00003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3" name="Text Box 15">
          <a:extLst>
            <a:ext uri="{FF2B5EF4-FFF2-40B4-BE49-F238E27FC236}">
              <a16:creationId xmlns:a16="http://schemas.microsoft.com/office/drawing/2014/main" id="{00000000-0008-0000-0100-00003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4" name="Text Box 15">
          <a:extLst>
            <a:ext uri="{FF2B5EF4-FFF2-40B4-BE49-F238E27FC236}">
              <a16:creationId xmlns:a16="http://schemas.microsoft.com/office/drawing/2014/main" id="{00000000-0008-0000-0100-00003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5" name="Text Box 15">
          <a:extLst>
            <a:ext uri="{FF2B5EF4-FFF2-40B4-BE49-F238E27FC236}">
              <a16:creationId xmlns:a16="http://schemas.microsoft.com/office/drawing/2014/main" id="{00000000-0008-0000-0100-00003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6" name="Text Box 15">
          <a:extLst>
            <a:ext uri="{FF2B5EF4-FFF2-40B4-BE49-F238E27FC236}">
              <a16:creationId xmlns:a16="http://schemas.microsoft.com/office/drawing/2014/main" id="{00000000-0008-0000-0100-00004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7" name="Text Box 15">
          <a:extLst>
            <a:ext uri="{FF2B5EF4-FFF2-40B4-BE49-F238E27FC236}">
              <a16:creationId xmlns:a16="http://schemas.microsoft.com/office/drawing/2014/main" id="{00000000-0008-0000-0100-00004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8" name="Text Box 15">
          <a:extLst>
            <a:ext uri="{FF2B5EF4-FFF2-40B4-BE49-F238E27FC236}">
              <a16:creationId xmlns:a16="http://schemas.microsoft.com/office/drawing/2014/main" id="{00000000-0008-0000-0100-00004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9" name="Text Box 15">
          <a:extLst>
            <a:ext uri="{FF2B5EF4-FFF2-40B4-BE49-F238E27FC236}">
              <a16:creationId xmlns:a16="http://schemas.microsoft.com/office/drawing/2014/main" id="{00000000-0008-0000-0100-00004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80" name="Text Box 15">
          <a:extLst>
            <a:ext uri="{FF2B5EF4-FFF2-40B4-BE49-F238E27FC236}">
              <a16:creationId xmlns:a16="http://schemas.microsoft.com/office/drawing/2014/main" id="{00000000-0008-0000-0100-00004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81" name="Text Box 15">
          <a:extLst>
            <a:ext uri="{FF2B5EF4-FFF2-40B4-BE49-F238E27FC236}">
              <a16:creationId xmlns:a16="http://schemas.microsoft.com/office/drawing/2014/main" id="{00000000-0008-0000-0100-00004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82" name="Text Box 15">
          <a:extLst>
            <a:ext uri="{FF2B5EF4-FFF2-40B4-BE49-F238E27FC236}">
              <a16:creationId xmlns:a16="http://schemas.microsoft.com/office/drawing/2014/main" id="{00000000-0008-0000-0100-00004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83" name="Text Box 15">
          <a:extLst>
            <a:ext uri="{FF2B5EF4-FFF2-40B4-BE49-F238E27FC236}">
              <a16:creationId xmlns:a16="http://schemas.microsoft.com/office/drawing/2014/main" id="{00000000-0008-0000-0100-00004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84" name="Text Box 15">
          <a:extLst>
            <a:ext uri="{FF2B5EF4-FFF2-40B4-BE49-F238E27FC236}">
              <a16:creationId xmlns:a16="http://schemas.microsoft.com/office/drawing/2014/main" id="{00000000-0008-0000-0100-00004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85" name="Text Box 15">
          <a:extLst>
            <a:ext uri="{FF2B5EF4-FFF2-40B4-BE49-F238E27FC236}">
              <a16:creationId xmlns:a16="http://schemas.microsoft.com/office/drawing/2014/main" id="{00000000-0008-0000-0100-00004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86" name="Text Box 15">
          <a:extLst>
            <a:ext uri="{FF2B5EF4-FFF2-40B4-BE49-F238E27FC236}">
              <a16:creationId xmlns:a16="http://schemas.microsoft.com/office/drawing/2014/main" id="{00000000-0008-0000-0100-00004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87" name="Text Box 15">
          <a:extLst>
            <a:ext uri="{FF2B5EF4-FFF2-40B4-BE49-F238E27FC236}">
              <a16:creationId xmlns:a16="http://schemas.microsoft.com/office/drawing/2014/main" id="{00000000-0008-0000-0100-00004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88" name="Text Box 15">
          <a:extLst>
            <a:ext uri="{FF2B5EF4-FFF2-40B4-BE49-F238E27FC236}">
              <a16:creationId xmlns:a16="http://schemas.microsoft.com/office/drawing/2014/main" id="{00000000-0008-0000-0100-00004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89" name="Text Box 15">
          <a:extLst>
            <a:ext uri="{FF2B5EF4-FFF2-40B4-BE49-F238E27FC236}">
              <a16:creationId xmlns:a16="http://schemas.microsoft.com/office/drawing/2014/main" id="{00000000-0008-0000-0100-00004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0" name="Text Box 15">
          <a:extLst>
            <a:ext uri="{FF2B5EF4-FFF2-40B4-BE49-F238E27FC236}">
              <a16:creationId xmlns:a16="http://schemas.microsoft.com/office/drawing/2014/main" id="{00000000-0008-0000-0100-00004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1" name="Text Box 15">
          <a:extLst>
            <a:ext uri="{FF2B5EF4-FFF2-40B4-BE49-F238E27FC236}">
              <a16:creationId xmlns:a16="http://schemas.microsoft.com/office/drawing/2014/main" id="{00000000-0008-0000-0100-00004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2" name="Text Box 15">
          <a:extLst>
            <a:ext uri="{FF2B5EF4-FFF2-40B4-BE49-F238E27FC236}">
              <a16:creationId xmlns:a16="http://schemas.microsoft.com/office/drawing/2014/main" id="{00000000-0008-0000-0100-00005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3" name="Text Box 15">
          <a:extLst>
            <a:ext uri="{FF2B5EF4-FFF2-40B4-BE49-F238E27FC236}">
              <a16:creationId xmlns:a16="http://schemas.microsoft.com/office/drawing/2014/main" id="{00000000-0008-0000-0100-00005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4" name="Text Box 15">
          <a:extLst>
            <a:ext uri="{FF2B5EF4-FFF2-40B4-BE49-F238E27FC236}">
              <a16:creationId xmlns:a16="http://schemas.microsoft.com/office/drawing/2014/main" id="{00000000-0008-0000-0100-00005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5" name="Text Box 15">
          <a:extLst>
            <a:ext uri="{FF2B5EF4-FFF2-40B4-BE49-F238E27FC236}">
              <a16:creationId xmlns:a16="http://schemas.microsoft.com/office/drawing/2014/main" id="{00000000-0008-0000-0100-00005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6" name="Text Box 15">
          <a:extLst>
            <a:ext uri="{FF2B5EF4-FFF2-40B4-BE49-F238E27FC236}">
              <a16:creationId xmlns:a16="http://schemas.microsoft.com/office/drawing/2014/main" id="{00000000-0008-0000-0100-00005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97" name="Text Box 15">
          <a:extLst>
            <a:ext uri="{FF2B5EF4-FFF2-40B4-BE49-F238E27FC236}">
              <a16:creationId xmlns:a16="http://schemas.microsoft.com/office/drawing/2014/main" id="{00000000-0008-0000-0100-00005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98" name="Text Box 15">
          <a:extLst>
            <a:ext uri="{FF2B5EF4-FFF2-40B4-BE49-F238E27FC236}">
              <a16:creationId xmlns:a16="http://schemas.microsoft.com/office/drawing/2014/main" id="{00000000-0008-0000-0100-00005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99" name="Text Box 15">
          <a:extLst>
            <a:ext uri="{FF2B5EF4-FFF2-40B4-BE49-F238E27FC236}">
              <a16:creationId xmlns:a16="http://schemas.microsoft.com/office/drawing/2014/main" id="{00000000-0008-0000-0100-00005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600" name="Text Box 15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601" name="Text Box 15">
          <a:extLst>
            <a:ext uri="{FF2B5EF4-FFF2-40B4-BE49-F238E27FC236}">
              <a16:creationId xmlns:a16="http://schemas.microsoft.com/office/drawing/2014/main" id="{00000000-0008-0000-0100-00005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2" name="Text Box 15">
          <a:extLst>
            <a:ext uri="{FF2B5EF4-FFF2-40B4-BE49-F238E27FC236}">
              <a16:creationId xmlns:a16="http://schemas.microsoft.com/office/drawing/2014/main" id="{00000000-0008-0000-0100-00005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3" name="Text Box 15">
          <a:extLst>
            <a:ext uri="{FF2B5EF4-FFF2-40B4-BE49-F238E27FC236}">
              <a16:creationId xmlns:a16="http://schemas.microsoft.com/office/drawing/2014/main" id="{00000000-0008-0000-0100-00005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4" name="Text Box 15">
          <a:extLst>
            <a:ext uri="{FF2B5EF4-FFF2-40B4-BE49-F238E27FC236}">
              <a16:creationId xmlns:a16="http://schemas.microsoft.com/office/drawing/2014/main" id="{00000000-0008-0000-0100-00005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5" name="Text Box 15">
          <a:extLst>
            <a:ext uri="{FF2B5EF4-FFF2-40B4-BE49-F238E27FC236}">
              <a16:creationId xmlns:a16="http://schemas.microsoft.com/office/drawing/2014/main" id="{00000000-0008-0000-0100-00005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6" name="Text Box 15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7" name="Text Box 15">
          <a:extLst>
            <a:ext uri="{FF2B5EF4-FFF2-40B4-BE49-F238E27FC236}">
              <a16:creationId xmlns:a16="http://schemas.microsoft.com/office/drawing/2014/main" id="{00000000-0008-0000-0100-00005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08" name="Text Box 15">
          <a:extLst>
            <a:ext uri="{FF2B5EF4-FFF2-40B4-BE49-F238E27FC236}">
              <a16:creationId xmlns:a16="http://schemas.microsoft.com/office/drawing/2014/main" id="{00000000-0008-0000-0100-00006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09" name="Text Box 15">
          <a:extLst>
            <a:ext uri="{FF2B5EF4-FFF2-40B4-BE49-F238E27FC236}">
              <a16:creationId xmlns:a16="http://schemas.microsoft.com/office/drawing/2014/main" id="{00000000-0008-0000-0100-00006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0" name="Text Box 15">
          <a:extLst>
            <a:ext uri="{FF2B5EF4-FFF2-40B4-BE49-F238E27FC236}">
              <a16:creationId xmlns:a16="http://schemas.microsoft.com/office/drawing/2014/main" id="{00000000-0008-0000-0100-00006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1" name="Text Box 15">
          <a:extLst>
            <a:ext uri="{FF2B5EF4-FFF2-40B4-BE49-F238E27FC236}">
              <a16:creationId xmlns:a16="http://schemas.microsoft.com/office/drawing/2014/main" id="{00000000-0008-0000-0100-00006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2" name="Text Box 15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3" name="Text Box 15">
          <a:extLst>
            <a:ext uri="{FF2B5EF4-FFF2-40B4-BE49-F238E27FC236}">
              <a16:creationId xmlns:a16="http://schemas.microsoft.com/office/drawing/2014/main" id="{00000000-0008-0000-0100-00006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4" name="Text Box 15">
          <a:extLst>
            <a:ext uri="{FF2B5EF4-FFF2-40B4-BE49-F238E27FC236}">
              <a16:creationId xmlns:a16="http://schemas.microsoft.com/office/drawing/2014/main" id="{00000000-0008-0000-0100-00006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5" name="Text Box 15">
          <a:extLst>
            <a:ext uri="{FF2B5EF4-FFF2-40B4-BE49-F238E27FC236}">
              <a16:creationId xmlns:a16="http://schemas.microsoft.com/office/drawing/2014/main" id="{00000000-0008-0000-0100-00006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6" name="Text Box 15">
          <a:extLst>
            <a:ext uri="{FF2B5EF4-FFF2-40B4-BE49-F238E27FC236}">
              <a16:creationId xmlns:a16="http://schemas.microsoft.com/office/drawing/2014/main" id="{00000000-0008-0000-0100-00006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7" name="Text Box 15">
          <a:extLst>
            <a:ext uri="{FF2B5EF4-FFF2-40B4-BE49-F238E27FC236}">
              <a16:creationId xmlns:a16="http://schemas.microsoft.com/office/drawing/2014/main" id="{00000000-0008-0000-0100-00006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18" name="Text Box 15">
          <a:extLst>
            <a:ext uri="{FF2B5EF4-FFF2-40B4-BE49-F238E27FC236}">
              <a16:creationId xmlns:a16="http://schemas.microsoft.com/office/drawing/2014/main" id="{00000000-0008-0000-0100-00006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19" name="Text Box 15">
          <a:extLst>
            <a:ext uri="{FF2B5EF4-FFF2-40B4-BE49-F238E27FC236}">
              <a16:creationId xmlns:a16="http://schemas.microsoft.com/office/drawing/2014/main" id="{00000000-0008-0000-0100-00006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20" name="Text Box 15">
          <a:extLst>
            <a:ext uri="{FF2B5EF4-FFF2-40B4-BE49-F238E27FC236}">
              <a16:creationId xmlns:a16="http://schemas.microsoft.com/office/drawing/2014/main" id="{00000000-0008-0000-0100-00006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21" name="Text Box 15">
          <a:extLst>
            <a:ext uri="{FF2B5EF4-FFF2-40B4-BE49-F238E27FC236}">
              <a16:creationId xmlns:a16="http://schemas.microsoft.com/office/drawing/2014/main" id="{00000000-0008-0000-0100-00006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22" name="Text Box 15">
          <a:extLst>
            <a:ext uri="{FF2B5EF4-FFF2-40B4-BE49-F238E27FC236}">
              <a16:creationId xmlns:a16="http://schemas.microsoft.com/office/drawing/2014/main" id="{00000000-0008-0000-0100-00006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3" name="Text Box 15">
          <a:extLst>
            <a:ext uri="{FF2B5EF4-FFF2-40B4-BE49-F238E27FC236}">
              <a16:creationId xmlns:a16="http://schemas.microsoft.com/office/drawing/2014/main" id="{00000000-0008-0000-0100-00006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4" name="Text Box 15">
          <a:extLst>
            <a:ext uri="{FF2B5EF4-FFF2-40B4-BE49-F238E27FC236}">
              <a16:creationId xmlns:a16="http://schemas.microsoft.com/office/drawing/2014/main" id="{00000000-0008-0000-0100-00007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5" name="Text Box 15">
          <a:extLst>
            <a:ext uri="{FF2B5EF4-FFF2-40B4-BE49-F238E27FC236}">
              <a16:creationId xmlns:a16="http://schemas.microsoft.com/office/drawing/2014/main" id="{00000000-0008-0000-0100-00007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6" name="Text Box 15">
          <a:extLst>
            <a:ext uri="{FF2B5EF4-FFF2-40B4-BE49-F238E27FC236}">
              <a16:creationId xmlns:a16="http://schemas.microsoft.com/office/drawing/2014/main" id="{00000000-0008-0000-0100-00007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7" name="Text Box 15">
          <a:extLst>
            <a:ext uri="{FF2B5EF4-FFF2-40B4-BE49-F238E27FC236}">
              <a16:creationId xmlns:a16="http://schemas.microsoft.com/office/drawing/2014/main" id="{00000000-0008-0000-0100-00007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8" name="Text Box 15">
          <a:extLst>
            <a:ext uri="{FF2B5EF4-FFF2-40B4-BE49-F238E27FC236}">
              <a16:creationId xmlns:a16="http://schemas.microsoft.com/office/drawing/2014/main" id="{00000000-0008-0000-0100-00007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9" name="Text Box 15">
          <a:extLst>
            <a:ext uri="{FF2B5EF4-FFF2-40B4-BE49-F238E27FC236}">
              <a16:creationId xmlns:a16="http://schemas.microsoft.com/office/drawing/2014/main" id="{00000000-0008-0000-0100-00007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30" name="Text Box 15">
          <a:extLst>
            <a:ext uri="{FF2B5EF4-FFF2-40B4-BE49-F238E27FC236}">
              <a16:creationId xmlns:a16="http://schemas.microsoft.com/office/drawing/2014/main" id="{00000000-0008-0000-0100-00007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31" name="Text Box 15">
          <a:extLst>
            <a:ext uri="{FF2B5EF4-FFF2-40B4-BE49-F238E27FC236}">
              <a16:creationId xmlns:a16="http://schemas.microsoft.com/office/drawing/2014/main" id="{00000000-0008-0000-0100-00007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32" name="Text Box 15">
          <a:extLst>
            <a:ext uri="{FF2B5EF4-FFF2-40B4-BE49-F238E27FC236}">
              <a16:creationId xmlns:a16="http://schemas.microsoft.com/office/drawing/2014/main" id="{00000000-0008-0000-0100-00007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33" name="Text Box 15">
          <a:extLst>
            <a:ext uri="{FF2B5EF4-FFF2-40B4-BE49-F238E27FC236}">
              <a16:creationId xmlns:a16="http://schemas.microsoft.com/office/drawing/2014/main" id="{00000000-0008-0000-0100-00007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34" name="Text Box 15">
          <a:extLst>
            <a:ext uri="{FF2B5EF4-FFF2-40B4-BE49-F238E27FC236}">
              <a16:creationId xmlns:a16="http://schemas.microsoft.com/office/drawing/2014/main" id="{00000000-0008-0000-0100-00007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35" name="Text Box 15">
          <a:extLst>
            <a:ext uri="{FF2B5EF4-FFF2-40B4-BE49-F238E27FC236}">
              <a16:creationId xmlns:a16="http://schemas.microsoft.com/office/drawing/2014/main" id="{00000000-0008-0000-0100-00007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36" name="Text Box 15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37" name="Text Box 15">
          <a:extLst>
            <a:ext uri="{FF2B5EF4-FFF2-40B4-BE49-F238E27FC236}">
              <a16:creationId xmlns:a16="http://schemas.microsoft.com/office/drawing/2014/main" id="{00000000-0008-0000-0100-00007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38" name="Text Box 15">
          <a:extLst>
            <a:ext uri="{FF2B5EF4-FFF2-40B4-BE49-F238E27FC236}">
              <a16:creationId xmlns:a16="http://schemas.microsoft.com/office/drawing/2014/main" id="{00000000-0008-0000-0100-00007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39" name="Text Box 15">
          <a:extLst>
            <a:ext uri="{FF2B5EF4-FFF2-40B4-BE49-F238E27FC236}">
              <a16:creationId xmlns:a16="http://schemas.microsoft.com/office/drawing/2014/main" id="{00000000-0008-0000-0100-00007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0" name="Text Box 15">
          <a:extLst>
            <a:ext uri="{FF2B5EF4-FFF2-40B4-BE49-F238E27FC236}">
              <a16:creationId xmlns:a16="http://schemas.microsoft.com/office/drawing/2014/main" id="{00000000-0008-0000-0100-00008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1" name="Text Box 15">
          <a:extLst>
            <a:ext uri="{FF2B5EF4-FFF2-40B4-BE49-F238E27FC236}">
              <a16:creationId xmlns:a16="http://schemas.microsoft.com/office/drawing/2014/main" id="{00000000-0008-0000-0100-00008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2" name="Text Box 15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3" name="Text Box 15">
          <a:extLst>
            <a:ext uri="{FF2B5EF4-FFF2-40B4-BE49-F238E27FC236}">
              <a16:creationId xmlns:a16="http://schemas.microsoft.com/office/drawing/2014/main" id="{00000000-0008-0000-0100-00008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4" name="Text Box 15">
          <a:extLst>
            <a:ext uri="{FF2B5EF4-FFF2-40B4-BE49-F238E27FC236}">
              <a16:creationId xmlns:a16="http://schemas.microsoft.com/office/drawing/2014/main" id="{00000000-0008-0000-0100-00008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5" name="Text Box 15">
          <a:extLst>
            <a:ext uri="{FF2B5EF4-FFF2-40B4-BE49-F238E27FC236}">
              <a16:creationId xmlns:a16="http://schemas.microsoft.com/office/drawing/2014/main" id="{00000000-0008-0000-0100-00008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6" name="Text Box 15">
          <a:extLst>
            <a:ext uri="{FF2B5EF4-FFF2-40B4-BE49-F238E27FC236}">
              <a16:creationId xmlns:a16="http://schemas.microsoft.com/office/drawing/2014/main" id="{00000000-0008-0000-0100-00008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7" name="Text Box 15">
          <a:extLst>
            <a:ext uri="{FF2B5EF4-FFF2-40B4-BE49-F238E27FC236}">
              <a16:creationId xmlns:a16="http://schemas.microsoft.com/office/drawing/2014/main" id="{00000000-0008-0000-0100-00008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48" name="Text Box 15">
          <a:extLst>
            <a:ext uri="{FF2B5EF4-FFF2-40B4-BE49-F238E27FC236}">
              <a16:creationId xmlns:a16="http://schemas.microsoft.com/office/drawing/2014/main" id="{00000000-0008-0000-0100-00008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49" name="Text Box 15">
          <a:extLst>
            <a:ext uri="{FF2B5EF4-FFF2-40B4-BE49-F238E27FC236}">
              <a16:creationId xmlns:a16="http://schemas.microsoft.com/office/drawing/2014/main" id="{00000000-0008-0000-0100-00008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50" name="Text Box 15">
          <a:extLst>
            <a:ext uri="{FF2B5EF4-FFF2-40B4-BE49-F238E27FC236}">
              <a16:creationId xmlns:a16="http://schemas.microsoft.com/office/drawing/2014/main" id="{00000000-0008-0000-0100-00008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51" name="Text Box 15">
          <a:extLst>
            <a:ext uri="{FF2B5EF4-FFF2-40B4-BE49-F238E27FC236}">
              <a16:creationId xmlns:a16="http://schemas.microsoft.com/office/drawing/2014/main" id="{00000000-0008-0000-0100-00008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52" name="Text Box 15">
          <a:extLst>
            <a:ext uri="{FF2B5EF4-FFF2-40B4-BE49-F238E27FC236}">
              <a16:creationId xmlns:a16="http://schemas.microsoft.com/office/drawing/2014/main" id="{00000000-0008-0000-0100-00008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3" name="Text Box 15">
          <a:extLst>
            <a:ext uri="{FF2B5EF4-FFF2-40B4-BE49-F238E27FC236}">
              <a16:creationId xmlns:a16="http://schemas.microsoft.com/office/drawing/2014/main" id="{00000000-0008-0000-0100-00008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4" name="Text Box 15">
          <a:extLst>
            <a:ext uri="{FF2B5EF4-FFF2-40B4-BE49-F238E27FC236}">
              <a16:creationId xmlns:a16="http://schemas.microsoft.com/office/drawing/2014/main" id="{00000000-0008-0000-0100-00008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5" name="Text Box 15">
          <a:extLst>
            <a:ext uri="{FF2B5EF4-FFF2-40B4-BE49-F238E27FC236}">
              <a16:creationId xmlns:a16="http://schemas.microsoft.com/office/drawing/2014/main" id="{00000000-0008-0000-0100-00008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6" name="Text Box 15">
          <a:extLst>
            <a:ext uri="{FF2B5EF4-FFF2-40B4-BE49-F238E27FC236}">
              <a16:creationId xmlns:a16="http://schemas.microsoft.com/office/drawing/2014/main" id="{00000000-0008-0000-0100-00009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7" name="Text Box 15">
          <a:extLst>
            <a:ext uri="{FF2B5EF4-FFF2-40B4-BE49-F238E27FC236}">
              <a16:creationId xmlns:a16="http://schemas.microsoft.com/office/drawing/2014/main" id="{00000000-0008-0000-0100-00009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8" name="Text Box 15">
          <a:extLst>
            <a:ext uri="{FF2B5EF4-FFF2-40B4-BE49-F238E27FC236}">
              <a16:creationId xmlns:a16="http://schemas.microsoft.com/office/drawing/2014/main" id="{00000000-0008-0000-0100-00009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9" name="Text Box 15">
          <a:extLst>
            <a:ext uri="{FF2B5EF4-FFF2-40B4-BE49-F238E27FC236}">
              <a16:creationId xmlns:a16="http://schemas.microsoft.com/office/drawing/2014/main" id="{00000000-0008-0000-0100-00009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60" name="Text Box 15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61" name="Text Box 15">
          <a:extLst>
            <a:ext uri="{FF2B5EF4-FFF2-40B4-BE49-F238E27FC236}">
              <a16:creationId xmlns:a16="http://schemas.microsoft.com/office/drawing/2014/main" id="{00000000-0008-0000-0100-00009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62" name="Text Box 15">
          <a:extLst>
            <a:ext uri="{FF2B5EF4-FFF2-40B4-BE49-F238E27FC236}">
              <a16:creationId xmlns:a16="http://schemas.microsoft.com/office/drawing/2014/main" id="{00000000-0008-0000-0100-00009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63" name="Text Box 15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64" name="Text Box 15">
          <a:extLst>
            <a:ext uri="{FF2B5EF4-FFF2-40B4-BE49-F238E27FC236}">
              <a16:creationId xmlns:a16="http://schemas.microsoft.com/office/drawing/2014/main" id="{00000000-0008-0000-0100-00009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65" name="Text Box 15">
          <a:extLst>
            <a:ext uri="{FF2B5EF4-FFF2-40B4-BE49-F238E27FC236}">
              <a16:creationId xmlns:a16="http://schemas.microsoft.com/office/drawing/2014/main" id="{00000000-0008-0000-0100-00009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66" name="Text Box 15">
          <a:extLst>
            <a:ext uri="{FF2B5EF4-FFF2-40B4-BE49-F238E27FC236}">
              <a16:creationId xmlns:a16="http://schemas.microsoft.com/office/drawing/2014/main" id="{00000000-0008-0000-0100-00009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67" name="Text Box 15">
          <a:extLst>
            <a:ext uri="{FF2B5EF4-FFF2-40B4-BE49-F238E27FC236}">
              <a16:creationId xmlns:a16="http://schemas.microsoft.com/office/drawing/2014/main" id="{00000000-0008-0000-0100-00009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68" name="Text Box 15">
          <a:extLst>
            <a:ext uri="{FF2B5EF4-FFF2-40B4-BE49-F238E27FC236}">
              <a16:creationId xmlns:a16="http://schemas.microsoft.com/office/drawing/2014/main" id="{00000000-0008-0000-0100-00009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69" name="Text Box 15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0" name="Text Box 15">
          <a:extLst>
            <a:ext uri="{FF2B5EF4-FFF2-40B4-BE49-F238E27FC236}">
              <a16:creationId xmlns:a16="http://schemas.microsoft.com/office/drawing/2014/main" id="{00000000-0008-0000-0100-00009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1" name="Text Box 15">
          <a:extLst>
            <a:ext uri="{FF2B5EF4-FFF2-40B4-BE49-F238E27FC236}">
              <a16:creationId xmlns:a16="http://schemas.microsoft.com/office/drawing/2014/main" id="{00000000-0008-0000-0100-00009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2" name="Text Box 15">
          <a:extLst>
            <a:ext uri="{FF2B5EF4-FFF2-40B4-BE49-F238E27FC236}">
              <a16:creationId xmlns:a16="http://schemas.microsoft.com/office/drawing/2014/main" id="{00000000-0008-0000-0100-0000A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3" name="Text Box 15">
          <a:extLst>
            <a:ext uri="{FF2B5EF4-FFF2-40B4-BE49-F238E27FC236}">
              <a16:creationId xmlns:a16="http://schemas.microsoft.com/office/drawing/2014/main" id="{00000000-0008-0000-0100-0000A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4" name="Text Box 15">
          <a:extLst>
            <a:ext uri="{FF2B5EF4-FFF2-40B4-BE49-F238E27FC236}">
              <a16:creationId xmlns:a16="http://schemas.microsoft.com/office/drawing/2014/main" id="{00000000-0008-0000-0100-0000A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5" name="Text Box 15">
          <a:extLst>
            <a:ext uri="{FF2B5EF4-FFF2-40B4-BE49-F238E27FC236}">
              <a16:creationId xmlns:a16="http://schemas.microsoft.com/office/drawing/2014/main" id="{00000000-0008-0000-0100-0000A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6" name="Text Box 15">
          <a:extLst>
            <a:ext uri="{FF2B5EF4-FFF2-40B4-BE49-F238E27FC236}">
              <a16:creationId xmlns:a16="http://schemas.microsoft.com/office/drawing/2014/main" id="{00000000-0008-0000-0100-0000A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7" name="Text Box 15">
          <a:extLst>
            <a:ext uri="{FF2B5EF4-FFF2-40B4-BE49-F238E27FC236}">
              <a16:creationId xmlns:a16="http://schemas.microsoft.com/office/drawing/2014/main" id="{00000000-0008-0000-0100-0000A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78" name="Text Box 15">
          <a:extLst>
            <a:ext uri="{FF2B5EF4-FFF2-40B4-BE49-F238E27FC236}">
              <a16:creationId xmlns:a16="http://schemas.microsoft.com/office/drawing/2014/main" id="{00000000-0008-0000-0100-0000A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79" name="Text Box 15">
          <a:extLst>
            <a:ext uri="{FF2B5EF4-FFF2-40B4-BE49-F238E27FC236}">
              <a16:creationId xmlns:a16="http://schemas.microsoft.com/office/drawing/2014/main" id="{00000000-0008-0000-0100-0000A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80" name="Text Box 15">
          <a:extLst>
            <a:ext uri="{FF2B5EF4-FFF2-40B4-BE49-F238E27FC236}">
              <a16:creationId xmlns:a16="http://schemas.microsoft.com/office/drawing/2014/main" id="{00000000-0008-0000-0100-0000A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81" name="Text Box 15">
          <a:extLst>
            <a:ext uri="{FF2B5EF4-FFF2-40B4-BE49-F238E27FC236}">
              <a16:creationId xmlns:a16="http://schemas.microsoft.com/office/drawing/2014/main" id="{00000000-0008-0000-0100-0000A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82" name="Text Box 15">
          <a:extLst>
            <a:ext uri="{FF2B5EF4-FFF2-40B4-BE49-F238E27FC236}">
              <a16:creationId xmlns:a16="http://schemas.microsoft.com/office/drawing/2014/main" id="{00000000-0008-0000-0100-0000A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3" name="Text Box 15">
          <a:extLst>
            <a:ext uri="{FF2B5EF4-FFF2-40B4-BE49-F238E27FC236}">
              <a16:creationId xmlns:a16="http://schemas.microsoft.com/office/drawing/2014/main" id="{00000000-0008-0000-0100-0000A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4" name="Text Box 15">
          <a:extLst>
            <a:ext uri="{FF2B5EF4-FFF2-40B4-BE49-F238E27FC236}">
              <a16:creationId xmlns:a16="http://schemas.microsoft.com/office/drawing/2014/main" id="{00000000-0008-0000-0100-0000A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5" name="Text Box 15">
          <a:extLst>
            <a:ext uri="{FF2B5EF4-FFF2-40B4-BE49-F238E27FC236}">
              <a16:creationId xmlns:a16="http://schemas.microsoft.com/office/drawing/2014/main" id="{00000000-0008-0000-0100-0000A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6" name="Text Box 15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7" name="Text Box 15">
          <a:extLst>
            <a:ext uri="{FF2B5EF4-FFF2-40B4-BE49-F238E27FC236}">
              <a16:creationId xmlns:a16="http://schemas.microsoft.com/office/drawing/2014/main" id="{00000000-0008-0000-0100-0000A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8" name="Text Box 15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9" name="Text Box 15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90" name="Text Box 15">
          <a:extLst>
            <a:ext uri="{FF2B5EF4-FFF2-40B4-BE49-F238E27FC236}">
              <a16:creationId xmlns:a16="http://schemas.microsoft.com/office/drawing/2014/main" id="{00000000-0008-0000-0100-0000B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91" name="Text Box 15">
          <a:extLst>
            <a:ext uri="{FF2B5EF4-FFF2-40B4-BE49-F238E27FC236}">
              <a16:creationId xmlns:a16="http://schemas.microsoft.com/office/drawing/2014/main" id="{00000000-0008-0000-0100-0000B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92" name="Text Box 15">
          <a:extLst>
            <a:ext uri="{FF2B5EF4-FFF2-40B4-BE49-F238E27FC236}">
              <a16:creationId xmlns:a16="http://schemas.microsoft.com/office/drawing/2014/main" id="{00000000-0008-0000-0100-0000B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693" name="Text Box 15">
          <a:extLst>
            <a:ext uri="{FF2B5EF4-FFF2-40B4-BE49-F238E27FC236}">
              <a16:creationId xmlns:a16="http://schemas.microsoft.com/office/drawing/2014/main" id="{00000000-0008-0000-0100-0000B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694" name="Text Box 15">
          <a:extLst>
            <a:ext uri="{FF2B5EF4-FFF2-40B4-BE49-F238E27FC236}">
              <a16:creationId xmlns:a16="http://schemas.microsoft.com/office/drawing/2014/main" id="{00000000-0008-0000-0100-0000B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695" name="Text Box 15">
          <a:extLst>
            <a:ext uri="{FF2B5EF4-FFF2-40B4-BE49-F238E27FC236}">
              <a16:creationId xmlns:a16="http://schemas.microsoft.com/office/drawing/2014/main" id="{00000000-0008-0000-0100-0000B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96" name="Text Box 15">
          <a:extLst>
            <a:ext uri="{FF2B5EF4-FFF2-40B4-BE49-F238E27FC236}">
              <a16:creationId xmlns:a16="http://schemas.microsoft.com/office/drawing/2014/main" id="{00000000-0008-0000-0100-0000B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97" name="Text Box 15">
          <a:extLst>
            <a:ext uri="{FF2B5EF4-FFF2-40B4-BE49-F238E27FC236}">
              <a16:creationId xmlns:a16="http://schemas.microsoft.com/office/drawing/2014/main" id="{00000000-0008-0000-0100-0000B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98" name="Text Box 15">
          <a:extLst>
            <a:ext uri="{FF2B5EF4-FFF2-40B4-BE49-F238E27FC236}">
              <a16:creationId xmlns:a16="http://schemas.microsoft.com/office/drawing/2014/main" id="{00000000-0008-0000-0100-0000B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99" name="Text Box 15">
          <a:extLst>
            <a:ext uri="{FF2B5EF4-FFF2-40B4-BE49-F238E27FC236}">
              <a16:creationId xmlns:a16="http://schemas.microsoft.com/office/drawing/2014/main" id="{00000000-0008-0000-0100-0000B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0" name="Text Box 15">
          <a:extLst>
            <a:ext uri="{FF2B5EF4-FFF2-40B4-BE49-F238E27FC236}">
              <a16:creationId xmlns:a16="http://schemas.microsoft.com/office/drawing/2014/main" id="{00000000-0008-0000-0100-0000B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1" name="Text Box 15">
          <a:extLst>
            <a:ext uri="{FF2B5EF4-FFF2-40B4-BE49-F238E27FC236}">
              <a16:creationId xmlns:a16="http://schemas.microsoft.com/office/drawing/2014/main" id="{00000000-0008-0000-0100-0000B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2" name="Text Box 15">
          <a:extLst>
            <a:ext uri="{FF2B5EF4-FFF2-40B4-BE49-F238E27FC236}">
              <a16:creationId xmlns:a16="http://schemas.microsoft.com/office/drawing/2014/main" id="{00000000-0008-0000-0100-0000B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3" name="Text Box 15">
          <a:extLst>
            <a:ext uri="{FF2B5EF4-FFF2-40B4-BE49-F238E27FC236}">
              <a16:creationId xmlns:a16="http://schemas.microsoft.com/office/drawing/2014/main" id="{00000000-0008-0000-0100-0000B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4" name="Text Box 15">
          <a:extLst>
            <a:ext uri="{FF2B5EF4-FFF2-40B4-BE49-F238E27FC236}">
              <a16:creationId xmlns:a16="http://schemas.microsoft.com/office/drawing/2014/main" id="{00000000-0008-0000-0100-0000C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5" name="Text Box 15">
          <a:extLst>
            <a:ext uri="{FF2B5EF4-FFF2-40B4-BE49-F238E27FC236}">
              <a16:creationId xmlns:a16="http://schemas.microsoft.com/office/drawing/2014/main" id="{00000000-0008-0000-0100-0000C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06" name="Text Box 15">
          <a:extLst>
            <a:ext uri="{FF2B5EF4-FFF2-40B4-BE49-F238E27FC236}">
              <a16:creationId xmlns:a16="http://schemas.microsoft.com/office/drawing/2014/main" id="{00000000-0008-0000-0100-0000C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07" name="Text Box 15">
          <a:extLst>
            <a:ext uri="{FF2B5EF4-FFF2-40B4-BE49-F238E27FC236}">
              <a16:creationId xmlns:a16="http://schemas.microsoft.com/office/drawing/2014/main" id="{00000000-0008-0000-0100-0000C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08" name="Text Box 15">
          <a:extLst>
            <a:ext uri="{FF2B5EF4-FFF2-40B4-BE49-F238E27FC236}">
              <a16:creationId xmlns:a16="http://schemas.microsoft.com/office/drawing/2014/main" id="{00000000-0008-0000-0100-0000C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09" name="Text Box 15">
          <a:extLst>
            <a:ext uri="{FF2B5EF4-FFF2-40B4-BE49-F238E27FC236}">
              <a16:creationId xmlns:a16="http://schemas.microsoft.com/office/drawing/2014/main" id="{00000000-0008-0000-0100-0000C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10" name="Text Box 15">
          <a:extLst>
            <a:ext uri="{FF2B5EF4-FFF2-40B4-BE49-F238E27FC236}">
              <a16:creationId xmlns:a16="http://schemas.microsoft.com/office/drawing/2014/main" id="{00000000-0008-0000-0100-0000C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1" name="Text Box 15">
          <a:extLst>
            <a:ext uri="{FF2B5EF4-FFF2-40B4-BE49-F238E27FC236}">
              <a16:creationId xmlns:a16="http://schemas.microsoft.com/office/drawing/2014/main" id="{00000000-0008-0000-0100-0000C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2" name="Text Box 15">
          <a:extLst>
            <a:ext uri="{FF2B5EF4-FFF2-40B4-BE49-F238E27FC236}">
              <a16:creationId xmlns:a16="http://schemas.microsoft.com/office/drawing/2014/main" id="{00000000-0008-0000-0100-0000C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3" name="Text Box 15">
          <a:extLst>
            <a:ext uri="{FF2B5EF4-FFF2-40B4-BE49-F238E27FC236}">
              <a16:creationId xmlns:a16="http://schemas.microsoft.com/office/drawing/2014/main" id="{00000000-0008-0000-0100-0000C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4" name="Text Box 15">
          <a:extLst>
            <a:ext uri="{FF2B5EF4-FFF2-40B4-BE49-F238E27FC236}">
              <a16:creationId xmlns:a16="http://schemas.microsoft.com/office/drawing/2014/main" id="{00000000-0008-0000-0100-0000C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5" name="Text Box 15">
          <a:extLst>
            <a:ext uri="{FF2B5EF4-FFF2-40B4-BE49-F238E27FC236}">
              <a16:creationId xmlns:a16="http://schemas.microsoft.com/office/drawing/2014/main" id="{00000000-0008-0000-0100-0000C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6" name="Text Box 15">
          <a:extLst>
            <a:ext uri="{FF2B5EF4-FFF2-40B4-BE49-F238E27FC236}">
              <a16:creationId xmlns:a16="http://schemas.microsoft.com/office/drawing/2014/main" id="{00000000-0008-0000-0100-0000C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7" name="Text Box 15">
          <a:extLst>
            <a:ext uri="{FF2B5EF4-FFF2-40B4-BE49-F238E27FC236}">
              <a16:creationId xmlns:a16="http://schemas.microsoft.com/office/drawing/2014/main" id="{00000000-0008-0000-0100-0000C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8" name="Text Box 15">
          <a:extLst>
            <a:ext uri="{FF2B5EF4-FFF2-40B4-BE49-F238E27FC236}">
              <a16:creationId xmlns:a16="http://schemas.microsoft.com/office/drawing/2014/main" id="{00000000-0008-0000-0100-0000C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9" name="Text Box 15">
          <a:extLst>
            <a:ext uri="{FF2B5EF4-FFF2-40B4-BE49-F238E27FC236}">
              <a16:creationId xmlns:a16="http://schemas.microsoft.com/office/drawing/2014/main" id="{00000000-0008-0000-0100-0000C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20" name="Text Box 15">
          <a:extLst>
            <a:ext uri="{FF2B5EF4-FFF2-40B4-BE49-F238E27FC236}">
              <a16:creationId xmlns:a16="http://schemas.microsoft.com/office/drawing/2014/main" id="{00000000-0008-0000-0100-0000D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21" name="Text Box 15">
          <a:extLst>
            <a:ext uri="{FF2B5EF4-FFF2-40B4-BE49-F238E27FC236}">
              <a16:creationId xmlns:a16="http://schemas.microsoft.com/office/drawing/2014/main" id="{00000000-0008-0000-0100-0000D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22" name="Text Box 15">
          <a:extLst>
            <a:ext uri="{FF2B5EF4-FFF2-40B4-BE49-F238E27FC236}">
              <a16:creationId xmlns:a16="http://schemas.microsoft.com/office/drawing/2014/main" id="{00000000-0008-0000-0100-0000D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23" name="Text Box 15">
          <a:extLst>
            <a:ext uri="{FF2B5EF4-FFF2-40B4-BE49-F238E27FC236}">
              <a16:creationId xmlns:a16="http://schemas.microsoft.com/office/drawing/2014/main" id="{00000000-0008-0000-0100-0000D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24" name="Text Box 15">
          <a:extLst>
            <a:ext uri="{FF2B5EF4-FFF2-40B4-BE49-F238E27FC236}">
              <a16:creationId xmlns:a16="http://schemas.microsoft.com/office/drawing/2014/main" id="{00000000-0008-0000-0100-0000D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25" name="Text Box 15">
          <a:extLst>
            <a:ext uri="{FF2B5EF4-FFF2-40B4-BE49-F238E27FC236}">
              <a16:creationId xmlns:a16="http://schemas.microsoft.com/office/drawing/2014/main" id="{00000000-0008-0000-0100-0000D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26" name="Text Box 15">
          <a:extLst>
            <a:ext uri="{FF2B5EF4-FFF2-40B4-BE49-F238E27FC236}">
              <a16:creationId xmlns:a16="http://schemas.microsoft.com/office/drawing/2014/main" id="{00000000-0008-0000-0100-0000D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27" name="Text Box 15">
          <a:extLst>
            <a:ext uri="{FF2B5EF4-FFF2-40B4-BE49-F238E27FC236}">
              <a16:creationId xmlns:a16="http://schemas.microsoft.com/office/drawing/2014/main" id="{00000000-0008-0000-0100-0000D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28" name="Text Box 15">
          <a:extLst>
            <a:ext uri="{FF2B5EF4-FFF2-40B4-BE49-F238E27FC236}">
              <a16:creationId xmlns:a16="http://schemas.microsoft.com/office/drawing/2014/main" id="{00000000-0008-0000-0100-0000D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29" name="Text Box 15">
          <a:extLst>
            <a:ext uri="{FF2B5EF4-FFF2-40B4-BE49-F238E27FC236}">
              <a16:creationId xmlns:a16="http://schemas.microsoft.com/office/drawing/2014/main" id="{00000000-0008-0000-0100-0000D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0" name="Text Box 15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1" name="Text Box 15">
          <a:extLst>
            <a:ext uri="{FF2B5EF4-FFF2-40B4-BE49-F238E27FC236}">
              <a16:creationId xmlns:a16="http://schemas.microsoft.com/office/drawing/2014/main" id="{00000000-0008-0000-0100-0000D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2" name="Text Box 15">
          <a:extLst>
            <a:ext uri="{FF2B5EF4-FFF2-40B4-BE49-F238E27FC236}">
              <a16:creationId xmlns:a16="http://schemas.microsoft.com/office/drawing/2014/main" id="{00000000-0008-0000-0100-0000D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3" name="Text Box 15">
          <a:extLst>
            <a:ext uri="{FF2B5EF4-FFF2-40B4-BE49-F238E27FC236}">
              <a16:creationId xmlns:a16="http://schemas.microsoft.com/office/drawing/2014/main" id="{00000000-0008-0000-0100-0000D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4" name="Text Box 15">
          <a:extLst>
            <a:ext uri="{FF2B5EF4-FFF2-40B4-BE49-F238E27FC236}">
              <a16:creationId xmlns:a16="http://schemas.microsoft.com/office/drawing/2014/main" id="{00000000-0008-0000-0100-0000D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5" name="Text Box 15">
          <a:extLst>
            <a:ext uri="{FF2B5EF4-FFF2-40B4-BE49-F238E27FC236}">
              <a16:creationId xmlns:a16="http://schemas.microsoft.com/office/drawing/2014/main" id="{00000000-0008-0000-0100-0000D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36" name="Text Box 15">
          <a:extLst>
            <a:ext uri="{FF2B5EF4-FFF2-40B4-BE49-F238E27FC236}">
              <a16:creationId xmlns:a16="http://schemas.microsoft.com/office/drawing/2014/main" id="{00000000-0008-0000-0100-0000E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37" name="Text Box 15">
          <a:extLst>
            <a:ext uri="{FF2B5EF4-FFF2-40B4-BE49-F238E27FC236}">
              <a16:creationId xmlns:a16="http://schemas.microsoft.com/office/drawing/2014/main" id="{00000000-0008-0000-0100-0000E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38" name="Text Box 15">
          <a:extLst>
            <a:ext uri="{FF2B5EF4-FFF2-40B4-BE49-F238E27FC236}">
              <a16:creationId xmlns:a16="http://schemas.microsoft.com/office/drawing/2014/main" id="{00000000-0008-0000-0100-0000E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39" name="Text Box 15">
          <a:extLst>
            <a:ext uri="{FF2B5EF4-FFF2-40B4-BE49-F238E27FC236}">
              <a16:creationId xmlns:a16="http://schemas.microsoft.com/office/drawing/2014/main" id="{00000000-0008-0000-0100-0000E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40" name="Text Box 15">
          <a:extLst>
            <a:ext uri="{FF2B5EF4-FFF2-40B4-BE49-F238E27FC236}">
              <a16:creationId xmlns:a16="http://schemas.microsoft.com/office/drawing/2014/main" id="{00000000-0008-0000-0100-0000E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1" name="Text Box 15">
          <a:extLst>
            <a:ext uri="{FF2B5EF4-FFF2-40B4-BE49-F238E27FC236}">
              <a16:creationId xmlns:a16="http://schemas.microsoft.com/office/drawing/2014/main" id="{00000000-0008-0000-0100-0000E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2" name="Text Box 15">
          <a:extLst>
            <a:ext uri="{FF2B5EF4-FFF2-40B4-BE49-F238E27FC236}">
              <a16:creationId xmlns:a16="http://schemas.microsoft.com/office/drawing/2014/main" id="{00000000-0008-0000-0100-0000E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3" name="Text Box 15">
          <a:extLst>
            <a:ext uri="{FF2B5EF4-FFF2-40B4-BE49-F238E27FC236}">
              <a16:creationId xmlns:a16="http://schemas.microsoft.com/office/drawing/2014/main" id="{00000000-0008-0000-0100-0000E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4" name="Text Box 15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5" name="Text Box 15">
          <a:extLst>
            <a:ext uri="{FF2B5EF4-FFF2-40B4-BE49-F238E27FC236}">
              <a16:creationId xmlns:a16="http://schemas.microsoft.com/office/drawing/2014/main" id="{00000000-0008-0000-0100-0000E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6" name="Text Box 15">
          <a:extLst>
            <a:ext uri="{FF2B5EF4-FFF2-40B4-BE49-F238E27FC236}">
              <a16:creationId xmlns:a16="http://schemas.microsoft.com/office/drawing/2014/main" id="{00000000-0008-0000-0100-0000E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7" name="Text Box 15">
          <a:extLst>
            <a:ext uri="{FF2B5EF4-FFF2-40B4-BE49-F238E27FC236}">
              <a16:creationId xmlns:a16="http://schemas.microsoft.com/office/drawing/2014/main" id="{00000000-0008-0000-0100-0000E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8" name="Text Box 15">
          <a:extLst>
            <a:ext uri="{FF2B5EF4-FFF2-40B4-BE49-F238E27FC236}">
              <a16:creationId xmlns:a16="http://schemas.microsoft.com/office/drawing/2014/main" id="{00000000-0008-0000-0100-0000E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9" name="Text Box 15">
          <a:extLst>
            <a:ext uri="{FF2B5EF4-FFF2-40B4-BE49-F238E27FC236}">
              <a16:creationId xmlns:a16="http://schemas.microsoft.com/office/drawing/2014/main" id="{00000000-0008-0000-0100-0000E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50" name="Text Box 15">
          <a:extLst>
            <a:ext uri="{FF2B5EF4-FFF2-40B4-BE49-F238E27FC236}">
              <a16:creationId xmlns:a16="http://schemas.microsoft.com/office/drawing/2014/main" id="{00000000-0008-0000-0100-0000E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51" name="Text Box 15">
          <a:extLst>
            <a:ext uri="{FF2B5EF4-FFF2-40B4-BE49-F238E27FC236}">
              <a16:creationId xmlns:a16="http://schemas.microsoft.com/office/drawing/2014/main" id="{00000000-0008-0000-0100-0000E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52" name="Text Box 15">
          <a:extLst>
            <a:ext uri="{FF2B5EF4-FFF2-40B4-BE49-F238E27FC236}">
              <a16:creationId xmlns:a16="http://schemas.microsoft.com/office/drawing/2014/main" id="{00000000-0008-0000-0100-0000F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53" name="Text Box 15">
          <a:extLst>
            <a:ext uri="{FF2B5EF4-FFF2-40B4-BE49-F238E27FC236}">
              <a16:creationId xmlns:a16="http://schemas.microsoft.com/office/drawing/2014/main" id="{00000000-0008-0000-0100-0000F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54" name="Text Box 15">
          <a:extLst>
            <a:ext uri="{FF2B5EF4-FFF2-40B4-BE49-F238E27FC236}">
              <a16:creationId xmlns:a16="http://schemas.microsoft.com/office/drawing/2014/main" id="{00000000-0008-0000-0100-0000F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55" name="Text Box 15">
          <a:extLst>
            <a:ext uri="{FF2B5EF4-FFF2-40B4-BE49-F238E27FC236}">
              <a16:creationId xmlns:a16="http://schemas.microsoft.com/office/drawing/2014/main" id="{00000000-0008-0000-0100-0000F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56" name="Text Box 15">
          <a:extLst>
            <a:ext uri="{FF2B5EF4-FFF2-40B4-BE49-F238E27FC236}">
              <a16:creationId xmlns:a16="http://schemas.microsoft.com/office/drawing/2014/main" id="{00000000-0008-0000-0100-0000F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57" name="Text Box 15">
          <a:extLst>
            <a:ext uri="{FF2B5EF4-FFF2-40B4-BE49-F238E27FC236}">
              <a16:creationId xmlns:a16="http://schemas.microsoft.com/office/drawing/2014/main" id="{00000000-0008-0000-0100-0000F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58" name="Text Box 15">
          <a:extLst>
            <a:ext uri="{FF2B5EF4-FFF2-40B4-BE49-F238E27FC236}">
              <a16:creationId xmlns:a16="http://schemas.microsoft.com/office/drawing/2014/main" id="{00000000-0008-0000-0100-0000F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59" name="Text Box 15">
          <a:extLst>
            <a:ext uri="{FF2B5EF4-FFF2-40B4-BE49-F238E27FC236}">
              <a16:creationId xmlns:a16="http://schemas.microsoft.com/office/drawing/2014/main" id="{00000000-0008-0000-0100-0000F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0" name="Text Box 15">
          <a:extLst>
            <a:ext uri="{FF2B5EF4-FFF2-40B4-BE49-F238E27FC236}">
              <a16:creationId xmlns:a16="http://schemas.microsoft.com/office/drawing/2014/main" id="{00000000-0008-0000-0100-0000F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1" name="Text Box 15">
          <a:extLst>
            <a:ext uri="{FF2B5EF4-FFF2-40B4-BE49-F238E27FC236}">
              <a16:creationId xmlns:a16="http://schemas.microsoft.com/office/drawing/2014/main" id="{00000000-0008-0000-0100-0000F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2" name="Text Box 15">
          <a:extLst>
            <a:ext uri="{FF2B5EF4-FFF2-40B4-BE49-F238E27FC236}">
              <a16:creationId xmlns:a16="http://schemas.microsoft.com/office/drawing/2014/main" id="{00000000-0008-0000-0100-0000F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3" name="Text Box 15">
          <a:extLst>
            <a:ext uri="{FF2B5EF4-FFF2-40B4-BE49-F238E27FC236}">
              <a16:creationId xmlns:a16="http://schemas.microsoft.com/office/drawing/2014/main" id="{00000000-0008-0000-0100-0000F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4" name="Text Box 15">
          <a:extLst>
            <a:ext uri="{FF2B5EF4-FFF2-40B4-BE49-F238E27FC236}">
              <a16:creationId xmlns:a16="http://schemas.microsoft.com/office/drawing/2014/main" id="{00000000-0008-0000-0100-0000F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5" name="Text Box 15">
          <a:extLst>
            <a:ext uri="{FF2B5EF4-FFF2-40B4-BE49-F238E27FC236}">
              <a16:creationId xmlns:a16="http://schemas.microsoft.com/office/drawing/2014/main" id="{00000000-0008-0000-0100-0000F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66" name="Text Box 15">
          <a:extLst>
            <a:ext uri="{FF2B5EF4-FFF2-40B4-BE49-F238E27FC236}">
              <a16:creationId xmlns:a16="http://schemas.microsoft.com/office/drawing/2014/main" id="{00000000-0008-0000-0100-0000F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67" name="Text Box 15">
          <a:extLst>
            <a:ext uri="{FF2B5EF4-FFF2-40B4-BE49-F238E27FC236}">
              <a16:creationId xmlns:a16="http://schemas.microsoft.com/office/drawing/2014/main" id="{00000000-0008-0000-0100-0000F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68" name="Text Box 15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69" name="Text Box 15">
          <a:extLst>
            <a:ext uri="{FF2B5EF4-FFF2-40B4-BE49-F238E27FC236}">
              <a16:creationId xmlns:a16="http://schemas.microsoft.com/office/drawing/2014/main" id="{00000000-0008-0000-0100-00000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70" name="Text Box 15">
          <a:extLst>
            <a:ext uri="{FF2B5EF4-FFF2-40B4-BE49-F238E27FC236}">
              <a16:creationId xmlns:a16="http://schemas.microsoft.com/office/drawing/2014/main" id="{00000000-0008-0000-0100-00000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1" name="Text Box 15">
          <a:extLst>
            <a:ext uri="{FF2B5EF4-FFF2-40B4-BE49-F238E27FC236}">
              <a16:creationId xmlns:a16="http://schemas.microsoft.com/office/drawing/2014/main" id="{00000000-0008-0000-0100-00000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2" name="Text Box 15">
          <a:extLst>
            <a:ext uri="{FF2B5EF4-FFF2-40B4-BE49-F238E27FC236}">
              <a16:creationId xmlns:a16="http://schemas.microsoft.com/office/drawing/2014/main" id="{00000000-0008-0000-0100-00000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3" name="Text Box 15">
          <a:extLst>
            <a:ext uri="{FF2B5EF4-FFF2-40B4-BE49-F238E27FC236}">
              <a16:creationId xmlns:a16="http://schemas.microsoft.com/office/drawing/2014/main" id="{00000000-0008-0000-0100-00000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4" name="Text Box 15">
          <a:extLst>
            <a:ext uri="{FF2B5EF4-FFF2-40B4-BE49-F238E27FC236}">
              <a16:creationId xmlns:a16="http://schemas.microsoft.com/office/drawing/2014/main" id="{00000000-0008-0000-0100-00000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5" name="Text Box 15">
          <a:extLst>
            <a:ext uri="{FF2B5EF4-FFF2-40B4-BE49-F238E27FC236}">
              <a16:creationId xmlns:a16="http://schemas.microsoft.com/office/drawing/2014/main" id="{00000000-0008-0000-0100-00000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6" name="Text Box 15">
          <a:extLst>
            <a:ext uri="{FF2B5EF4-FFF2-40B4-BE49-F238E27FC236}">
              <a16:creationId xmlns:a16="http://schemas.microsoft.com/office/drawing/2014/main" id="{00000000-0008-0000-0100-00000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7" name="Text Box 15">
          <a:extLst>
            <a:ext uri="{FF2B5EF4-FFF2-40B4-BE49-F238E27FC236}">
              <a16:creationId xmlns:a16="http://schemas.microsoft.com/office/drawing/2014/main" id="{00000000-0008-0000-0100-00000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8" name="Text Box 15">
          <a:extLst>
            <a:ext uri="{FF2B5EF4-FFF2-40B4-BE49-F238E27FC236}">
              <a16:creationId xmlns:a16="http://schemas.microsoft.com/office/drawing/2014/main" id="{00000000-0008-0000-0100-00000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9" name="Text Box 15">
          <a:extLst>
            <a:ext uri="{FF2B5EF4-FFF2-40B4-BE49-F238E27FC236}">
              <a16:creationId xmlns:a16="http://schemas.microsoft.com/office/drawing/2014/main" id="{00000000-0008-0000-0100-00000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80" name="Text Box 15">
          <a:extLst>
            <a:ext uri="{FF2B5EF4-FFF2-40B4-BE49-F238E27FC236}">
              <a16:creationId xmlns:a16="http://schemas.microsoft.com/office/drawing/2014/main" id="{00000000-0008-0000-0100-00000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81" name="Text Box 15">
          <a:extLst>
            <a:ext uri="{FF2B5EF4-FFF2-40B4-BE49-F238E27FC236}">
              <a16:creationId xmlns:a16="http://schemas.microsoft.com/office/drawing/2014/main" id="{00000000-0008-0000-0100-00000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82" name="Text Box 15">
          <a:extLst>
            <a:ext uri="{FF2B5EF4-FFF2-40B4-BE49-F238E27FC236}">
              <a16:creationId xmlns:a16="http://schemas.microsoft.com/office/drawing/2014/main" id="{00000000-0008-0000-0100-00000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83" name="Text Box 15">
          <a:extLst>
            <a:ext uri="{FF2B5EF4-FFF2-40B4-BE49-F238E27FC236}">
              <a16:creationId xmlns:a16="http://schemas.microsoft.com/office/drawing/2014/main" id="{00000000-0008-0000-0100-00000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4" name="Text Box 15">
          <a:extLst>
            <a:ext uri="{FF2B5EF4-FFF2-40B4-BE49-F238E27FC236}">
              <a16:creationId xmlns:a16="http://schemas.microsoft.com/office/drawing/2014/main" id="{00000000-0008-0000-0100-00001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5" name="Text Box 15">
          <a:extLst>
            <a:ext uri="{FF2B5EF4-FFF2-40B4-BE49-F238E27FC236}">
              <a16:creationId xmlns:a16="http://schemas.microsoft.com/office/drawing/2014/main" id="{00000000-0008-0000-0100-00001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6" name="Text Box 15">
          <a:extLst>
            <a:ext uri="{FF2B5EF4-FFF2-40B4-BE49-F238E27FC236}">
              <a16:creationId xmlns:a16="http://schemas.microsoft.com/office/drawing/2014/main" id="{00000000-0008-0000-0100-00001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7" name="Text Box 15">
          <a:extLst>
            <a:ext uri="{FF2B5EF4-FFF2-40B4-BE49-F238E27FC236}">
              <a16:creationId xmlns:a16="http://schemas.microsoft.com/office/drawing/2014/main" id="{00000000-0008-0000-0100-00001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8" name="Text Box 15">
          <a:extLst>
            <a:ext uri="{FF2B5EF4-FFF2-40B4-BE49-F238E27FC236}">
              <a16:creationId xmlns:a16="http://schemas.microsoft.com/office/drawing/2014/main" id="{00000000-0008-0000-0100-00001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9" name="Text Box 15">
          <a:extLst>
            <a:ext uri="{FF2B5EF4-FFF2-40B4-BE49-F238E27FC236}">
              <a16:creationId xmlns:a16="http://schemas.microsoft.com/office/drawing/2014/main" id="{00000000-0008-0000-0100-00001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90" name="Text Box 15">
          <a:extLst>
            <a:ext uri="{FF2B5EF4-FFF2-40B4-BE49-F238E27FC236}">
              <a16:creationId xmlns:a16="http://schemas.microsoft.com/office/drawing/2014/main" id="{00000000-0008-0000-0100-00001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91" name="Text Box 15">
          <a:extLst>
            <a:ext uri="{FF2B5EF4-FFF2-40B4-BE49-F238E27FC236}">
              <a16:creationId xmlns:a16="http://schemas.microsoft.com/office/drawing/2014/main" id="{00000000-0008-0000-0100-00001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92" name="Text Box 15">
          <a:extLst>
            <a:ext uri="{FF2B5EF4-FFF2-40B4-BE49-F238E27FC236}">
              <a16:creationId xmlns:a16="http://schemas.microsoft.com/office/drawing/2014/main" id="{00000000-0008-0000-0100-00001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93" name="Text Box 15">
          <a:extLst>
            <a:ext uri="{FF2B5EF4-FFF2-40B4-BE49-F238E27FC236}">
              <a16:creationId xmlns:a16="http://schemas.microsoft.com/office/drawing/2014/main" id="{00000000-0008-0000-0100-00001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94" name="Text Box 15">
          <a:extLst>
            <a:ext uri="{FF2B5EF4-FFF2-40B4-BE49-F238E27FC236}">
              <a16:creationId xmlns:a16="http://schemas.microsoft.com/office/drawing/2014/main" id="{00000000-0008-0000-0100-00001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95" name="Text Box 15">
          <a:extLst>
            <a:ext uri="{FF2B5EF4-FFF2-40B4-BE49-F238E27FC236}">
              <a16:creationId xmlns:a16="http://schemas.microsoft.com/office/drawing/2014/main" id="{00000000-0008-0000-0100-00001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96" name="Text Box 15">
          <a:extLst>
            <a:ext uri="{FF2B5EF4-FFF2-40B4-BE49-F238E27FC236}">
              <a16:creationId xmlns:a16="http://schemas.microsoft.com/office/drawing/2014/main" id="{00000000-0008-0000-0100-00001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97" name="Text Box 15">
          <a:extLst>
            <a:ext uri="{FF2B5EF4-FFF2-40B4-BE49-F238E27FC236}">
              <a16:creationId xmlns:a16="http://schemas.microsoft.com/office/drawing/2014/main" id="{00000000-0008-0000-0100-00001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98" name="Text Box 15">
          <a:extLst>
            <a:ext uri="{FF2B5EF4-FFF2-40B4-BE49-F238E27FC236}">
              <a16:creationId xmlns:a16="http://schemas.microsoft.com/office/drawing/2014/main" id="{00000000-0008-0000-0100-00001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99" name="Text Box 15">
          <a:extLst>
            <a:ext uri="{FF2B5EF4-FFF2-40B4-BE49-F238E27FC236}">
              <a16:creationId xmlns:a16="http://schemas.microsoft.com/office/drawing/2014/main" id="{00000000-0008-0000-0100-00001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0" name="Text Box 15">
          <a:extLst>
            <a:ext uri="{FF2B5EF4-FFF2-40B4-BE49-F238E27FC236}">
              <a16:creationId xmlns:a16="http://schemas.microsoft.com/office/drawing/2014/main" id="{00000000-0008-0000-0100-00002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1" name="Text Box 15">
          <a:extLst>
            <a:ext uri="{FF2B5EF4-FFF2-40B4-BE49-F238E27FC236}">
              <a16:creationId xmlns:a16="http://schemas.microsoft.com/office/drawing/2014/main" id="{00000000-0008-0000-0100-00002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2" name="Text Box 15">
          <a:extLst>
            <a:ext uri="{FF2B5EF4-FFF2-40B4-BE49-F238E27FC236}">
              <a16:creationId xmlns:a16="http://schemas.microsoft.com/office/drawing/2014/main" id="{00000000-0008-0000-0100-00002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3" name="Text Box 15">
          <a:extLst>
            <a:ext uri="{FF2B5EF4-FFF2-40B4-BE49-F238E27FC236}">
              <a16:creationId xmlns:a16="http://schemas.microsoft.com/office/drawing/2014/main" id="{00000000-0008-0000-0100-00002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4" name="Text Box 15">
          <a:extLst>
            <a:ext uri="{FF2B5EF4-FFF2-40B4-BE49-F238E27FC236}">
              <a16:creationId xmlns:a16="http://schemas.microsoft.com/office/drawing/2014/main" id="{00000000-0008-0000-0100-00002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5" name="Text Box 15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6" name="Text Box 15">
          <a:extLst>
            <a:ext uri="{FF2B5EF4-FFF2-40B4-BE49-F238E27FC236}">
              <a16:creationId xmlns:a16="http://schemas.microsoft.com/office/drawing/2014/main" id="{00000000-0008-0000-0100-00002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7" name="Text Box 15">
          <a:extLst>
            <a:ext uri="{FF2B5EF4-FFF2-40B4-BE49-F238E27FC236}">
              <a16:creationId xmlns:a16="http://schemas.microsoft.com/office/drawing/2014/main" id="{00000000-0008-0000-0100-00002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8" name="Text Box 15">
          <a:extLst>
            <a:ext uri="{FF2B5EF4-FFF2-40B4-BE49-F238E27FC236}">
              <a16:creationId xmlns:a16="http://schemas.microsoft.com/office/drawing/2014/main" id="{00000000-0008-0000-0100-00002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09" name="Text Box 15">
          <a:extLst>
            <a:ext uri="{FF2B5EF4-FFF2-40B4-BE49-F238E27FC236}">
              <a16:creationId xmlns:a16="http://schemas.microsoft.com/office/drawing/2014/main" id="{00000000-0008-0000-0100-00002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10" name="Text Box 15">
          <a:extLst>
            <a:ext uri="{FF2B5EF4-FFF2-40B4-BE49-F238E27FC236}">
              <a16:creationId xmlns:a16="http://schemas.microsoft.com/office/drawing/2014/main" id="{00000000-0008-0000-0100-00002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11" name="Text Box 15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12" name="Text Box 15">
          <a:extLst>
            <a:ext uri="{FF2B5EF4-FFF2-40B4-BE49-F238E27FC236}">
              <a16:creationId xmlns:a16="http://schemas.microsoft.com/office/drawing/2014/main" id="{00000000-0008-0000-0100-00002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13" name="Text Box 15">
          <a:extLst>
            <a:ext uri="{FF2B5EF4-FFF2-40B4-BE49-F238E27FC236}">
              <a16:creationId xmlns:a16="http://schemas.microsoft.com/office/drawing/2014/main" id="{00000000-0008-0000-0100-00002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4" name="Text Box 15">
          <a:extLst>
            <a:ext uri="{FF2B5EF4-FFF2-40B4-BE49-F238E27FC236}">
              <a16:creationId xmlns:a16="http://schemas.microsoft.com/office/drawing/2014/main" id="{00000000-0008-0000-0100-00002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5" name="Text Box 15">
          <a:extLst>
            <a:ext uri="{FF2B5EF4-FFF2-40B4-BE49-F238E27FC236}">
              <a16:creationId xmlns:a16="http://schemas.microsoft.com/office/drawing/2014/main" id="{00000000-0008-0000-0100-00002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6" name="Text Box 15">
          <a:extLst>
            <a:ext uri="{FF2B5EF4-FFF2-40B4-BE49-F238E27FC236}">
              <a16:creationId xmlns:a16="http://schemas.microsoft.com/office/drawing/2014/main" id="{00000000-0008-0000-0100-00003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7" name="Text Box 15">
          <a:extLst>
            <a:ext uri="{FF2B5EF4-FFF2-40B4-BE49-F238E27FC236}">
              <a16:creationId xmlns:a16="http://schemas.microsoft.com/office/drawing/2014/main" id="{00000000-0008-0000-0100-00003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8" name="Text Box 15">
          <a:extLst>
            <a:ext uri="{FF2B5EF4-FFF2-40B4-BE49-F238E27FC236}">
              <a16:creationId xmlns:a16="http://schemas.microsoft.com/office/drawing/2014/main" id="{00000000-0008-0000-0100-00003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9" name="Text Box 15">
          <a:extLst>
            <a:ext uri="{FF2B5EF4-FFF2-40B4-BE49-F238E27FC236}">
              <a16:creationId xmlns:a16="http://schemas.microsoft.com/office/drawing/2014/main" id="{00000000-0008-0000-0100-00003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20" name="Text Box 15">
          <a:extLst>
            <a:ext uri="{FF2B5EF4-FFF2-40B4-BE49-F238E27FC236}">
              <a16:creationId xmlns:a16="http://schemas.microsoft.com/office/drawing/2014/main" id="{00000000-0008-0000-0100-00003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21" name="Text Box 15">
          <a:extLst>
            <a:ext uri="{FF2B5EF4-FFF2-40B4-BE49-F238E27FC236}">
              <a16:creationId xmlns:a16="http://schemas.microsoft.com/office/drawing/2014/main" id="{00000000-0008-0000-0100-00003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22" name="Text Box 15">
          <a:extLst>
            <a:ext uri="{FF2B5EF4-FFF2-40B4-BE49-F238E27FC236}">
              <a16:creationId xmlns:a16="http://schemas.microsoft.com/office/drawing/2014/main" id="{00000000-0008-0000-0100-00003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23" name="Text Box 15">
          <a:extLst>
            <a:ext uri="{FF2B5EF4-FFF2-40B4-BE49-F238E27FC236}">
              <a16:creationId xmlns:a16="http://schemas.microsoft.com/office/drawing/2014/main" id="{00000000-0008-0000-0100-00003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24" name="Text Box 15">
          <a:extLst>
            <a:ext uri="{FF2B5EF4-FFF2-40B4-BE49-F238E27FC236}">
              <a16:creationId xmlns:a16="http://schemas.microsoft.com/office/drawing/2014/main" id="{00000000-0008-0000-0100-00003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25" name="Text Box 15">
          <a:extLst>
            <a:ext uri="{FF2B5EF4-FFF2-40B4-BE49-F238E27FC236}">
              <a16:creationId xmlns:a16="http://schemas.microsoft.com/office/drawing/2014/main" id="{00000000-0008-0000-0100-00003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26" name="Text Box 15">
          <a:extLst>
            <a:ext uri="{FF2B5EF4-FFF2-40B4-BE49-F238E27FC236}">
              <a16:creationId xmlns:a16="http://schemas.microsoft.com/office/drawing/2014/main" id="{00000000-0008-0000-0100-00003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27" name="Text Box 15">
          <a:extLst>
            <a:ext uri="{FF2B5EF4-FFF2-40B4-BE49-F238E27FC236}">
              <a16:creationId xmlns:a16="http://schemas.microsoft.com/office/drawing/2014/main" id="{00000000-0008-0000-0100-00003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28" name="Text Box 15">
          <a:extLst>
            <a:ext uri="{FF2B5EF4-FFF2-40B4-BE49-F238E27FC236}">
              <a16:creationId xmlns:a16="http://schemas.microsoft.com/office/drawing/2014/main" id="{00000000-0008-0000-0100-00003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29" name="Text Box 15">
          <a:extLst>
            <a:ext uri="{FF2B5EF4-FFF2-40B4-BE49-F238E27FC236}">
              <a16:creationId xmlns:a16="http://schemas.microsoft.com/office/drawing/2014/main" id="{00000000-0008-0000-0100-00003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0" name="Text Box 15">
          <a:extLst>
            <a:ext uri="{FF2B5EF4-FFF2-40B4-BE49-F238E27FC236}">
              <a16:creationId xmlns:a16="http://schemas.microsoft.com/office/drawing/2014/main" id="{00000000-0008-0000-0100-00003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1" name="Text Box 15">
          <a:extLst>
            <a:ext uri="{FF2B5EF4-FFF2-40B4-BE49-F238E27FC236}">
              <a16:creationId xmlns:a16="http://schemas.microsoft.com/office/drawing/2014/main" id="{00000000-0008-0000-0100-00003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2" name="Text Box 15">
          <a:extLst>
            <a:ext uri="{FF2B5EF4-FFF2-40B4-BE49-F238E27FC236}">
              <a16:creationId xmlns:a16="http://schemas.microsoft.com/office/drawing/2014/main" id="{00000000-0008-0000-0100-00004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3" name="Text Box 15">
          <a:extLst>
            <a:ext uri="{FF2B5EF4-FFF2-40B4-BE49-F238E27FC236}">
              <a16:creationId xmlns:a16="http://schemas.microsoft.com/office/drawing/2014/main" id="{00000000-0008-0000-0100-00004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4" name="Text Box 15">
          <a:extLst>
            <a:ext uri="{FF2B5EF4-FFF2-40B4-BE49-F238E27FC236}">
              <a16:creationId xmlns:a16="http://schemas.microsoft.com/office/drawing/2014/main" id="{00000000-0008-0000-0100-00004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5" name="Text Box 15">
          <a:extLst>
            <a:ext uri="{FF2B5EF4-FFF2-40B4-BE49-F238E27FC236}">
              <a16:creationId xmlns:a16="http://schemas.microsoft.com/office/drawing/2014/main" id="{00000000-0008-0000-0100-00004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6" name="Text Box 15">
          <a:extLst>
            <a:ext uri="{FF2B5EF4-FFF2-40B4-BE49-F238E27FC236}">
              <a16:creationId xmlns:a16="http://schemas.microsoft.com/office/drawing/2014/main" id="{00000000-0008-0000-0100-00004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7" name="Text Box 15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8" name="Text Box 15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39" name="Text Box 15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40" name="Text Box 15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41" name="Text Box 15">
          <a:extLst>
            <a:ext uri="{FF2B5EF4-FFF2-40B4-BE49-F238E27FC236}">
              <a16:creationId xmlns:a16="http://schemas.microsoft.com/office/drawing/2014/main" id="{00000000-0008-0000-0100-00004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42" name="Text Box 15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43" name="Text Box 15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4" name="Text Box 15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5" name="Text Box 15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6" name="Text Box 15">
          <a:extLst>
            <a:ext uri="{FF2B5EF4-FFF2-40B4-BE49-F238E27FC236}">
              <a16:creationId xmlns:a16="http://schemas.microsoft.com/office/drawing/2014/main" id="{00000000-0008-0000-0100-00004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7" name="Text Box 15">
          <a:extLst>
            <a:ext uri="{FF2B5EF4-FFF2-40B4-BE49-F238E27FC236}">
              <a16:creationId xmlns:a16="http://schemas.microsoft.com/office/drawing/2014/main" id="{00000000-0008-0000-0100-00004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8" name="Text Box 15">
          <a:extLst>
            <a:ext uri="{FF2B5EF4-FFF2-40B4-BE49-F238E27FC236}">
              <a16:creationId xmlns:a16="http://schemas.microsoft.com/office/drawing/2014/main" id="{00000000-0008-0000-0100-00005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9" name="Text Box 15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50" name="Text Box 15">
          <a:extLst>
            <a:ext uri="{FF2B5EF4-FFF2-40B4-BE49-F238E27FC236}">
              <a16:creationId xmlns:a16="http://schemas.microsoft.com/office/drawing/2014/main" id="{00000000-0008-0000-0100-00005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51" name="Text Box 15">
          <a:extLst>
            <a:ext uri="{FF2B5EF4-FFF2-40B4-BE49-F238E27FC236}">
              <a16:creationId xmlns:a16="http://schemas.microsoft.com/office/drawing/2014/main" id="{00000000-0008-0000-0100-00005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52" name="Text Box 15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53" name="Text Box 15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54" name="Text Box 15">
          <a:extLst>
            <a:ext uri="{FF2B5EF4-FFF2-40B4-BE49-F238E27FC236}">
              <a16:creationId xmlns:a16="http://schemas.microsoft.com/office/drawing/2014/main" id="{00000000-0008-0000-0100-00005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55" name="Text Box 15">
          <a:extLst>
            <a:ext uri="{FF2B5EF4-FFF2-40B4-BE49-F238E27FC236}">
              <a16:creationId xmlns:a16="http://schemas.microsoft.com/office/drawing/2014/main" id="{00000000-0008-0000-0100-00005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56" name="Text Box 15">
          <a:extLst>
            <a:ext uri="{FF2B5EF4-FFF2-40B4-BE49-F238E27FC236}">
              <a16:creationId xmlns:a16="http://schemas.microsoft.com/office/drawing/2014/main" id="{00000000-0008-0000-0100-00005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57" name="Text Box 15">
          <a:extLst>
            <a:ext uri="{FF2B5EF4-FFF2-40B4-BE49-F238E27FC236}">
              <a16:creationId xmlns:a16="http://schemas.microsoft.com/office/drawing/2014/main" id="{00000000-0008-0000-0100-00005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58" name="Text Box 15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59" name="Text Box 15">
          <a:extLst>
            <a:ext uri="{FF2B5EF4-FFF2-40B4-BE49-F238E27FC236}">
              <a16:creationId xmlns:a16="http://schemas.microsoft.com/office/drawing/2014/main" id="{00000000-0008-0000-0100-00005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0" name="Text Box 15">
          <a:extLst>
            <a:ext uri="{FF2B5EF4-FFF2-40B4-BE49-F238E27FC236}">
              <a16:creationId xmlns:a16="http://schemas.microsoft.com/office/drawing/2014/main" id="{00000000-0008-0000-0100-00005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1" name="Text Box 15">
          <a:extLst>
            <a:ext uri="{FF2B5EF4-FFF2-40B4-BE49-F238E27FC236}">
              <a16:creationId xmlns:a16="http://schemas.microsoft.com/office/drawing/2014/main" id="{00000000-0008-0000-0100-00005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2" name="Text Box 15">
          <a:extLst>
            <a:ext uri="{FF2B5EF4-FFF2-40B4-BE49-F238E27FC236}">
              <a16:creationId xmlns:a16="http://schemas.microsoft.com/office/drawing/2014/main" id="{00000000-0008-0000-0100-00005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3" name="Text Box 15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4" name="Text Box 15">
          <a:extLst>
            <a:ext uri="{FF2B5EF4-FFF2-40B4-BE49-F238E27FC236}">
              <a16:creationId xmlns:a16="http://schemas.microsoft.com/office/drawing/2014/main" id="{00000000-0008-0000-0100-00006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5" name="Text Box 15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66" name="Text Box 15">
          <a:extLst>
            <a:ext uri="{FF2B5EF4-FFF2-40B4-BE49-F238E27FC236}">
              <a16:creationId xmlns:a16="http://schemas.microsoft.com/office/drawing/2014/main" id="{00000000-0008-0000-0100-00006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67" name="Text Box 15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68" name="Text Box 15">
          <a:extLst>
            <a:ext uri="{FF2B5EF4-FFF2-40B4-BE49-F238E27FC236}">
              <a16:creationId xmlns:a16="http://schemas.microsoft.com/office/drawing/2014/main" id="{00000000-0008-0000-0100-00006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69" name="Text Box 15">
          <a:extLst>
            <a:ext uri="{FF2B5EF4-FFF2-40B4-BE49-F238E27FC236}">
              <a16:creationId xmlns:a16="http://schemas.microsoft.com/office/drawing/2014/main" id="{00000000-0008-0000-0100-00006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0" name="Text Box 15">
          <a:extLst>
            <a:ext uri="{FF2B5EF4-FFF2-40B4-BE49-F238E27FC236}">
              <a16:creationId xmlns:a16="http://schemas.microsoft.com/office/drawing/2014/main" id="{00000000-0008-0000-0100-00006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1" name="Text Box 15">
          <a:extLst>
            <a:ext uri="{FF2B5EF4-FFF2-40B4-BE49-F238E27FC236}">
              <a16:creationId xmlns:a16="http://schemas.microsoft.com/office/drawing/2014/main" id="{00000000-0008-0000-0100-00006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2" name="Text Box 15">
          <a:extLst>
            <a:ext uri="{FF2B5EF4-FFF2-40B4-BE49-F238E27FC236}">
              <a16:creationId xmlns:a16="http://schemas.microsoft.com/office/drawing/2014/main" id="{00000000-0008-0000-0100-00006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3" name="Text Box 15">
          <a:extLst>
            <a:ext uri="{FF2B5EF4-FFF2-40B4-BE49-F238E27FC236}">
              <a16:creationId xmlns:a16="http://schemas.microsoft.com/office/drawing/2014/main" id="{00000000-0008-0000-0100-00006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4" name="Text Box 15">
          <a:extLst>
            <a:ext uri="{FF2B5EF4-FFF2-40B4-BE49-F238E27FC236}">
              <a16:creationId xmlns:a16="http://schemas.microsoft.com/office/drawing/2014/main" id="{00000000-0008-0000-0100-00006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5" name="Text Box 15">
          <a:extLst>
            <a:ext uri="{FF2B5EF4-FFF2-40B4-BE49-F238E27FC236}">
              <a16:creationId xmlns:a16="http://schemas.microsoft.com/office/drawing/2014/main" id="{00000000-0008-0000-0100-00006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6" name="Text Box 15">
          <a:extLst>
            <a:ext uri="{FF2B5EF4-FFF2-40B4-BE49-F238E27FC236}">
              <a16:creationId xmlns:a16="http://schemas.microsoft.com/office/drawing/2014/main" id="{00000000-0008-0000-0100-00006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7" name="Text Box 15">
          <a:extLst>
            <a:ext uri="{FF2B5EF4-FFF2-40B4-BE49-F238E27FC236}">
              <a16:creationId xmlns:a16="http://schemas.microsoft.com/office/drawing/2014/main" id="{00000000-0008-0000-0100-00006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8" name="Text Box 15">
          <a:extLst>
            <a:ext uri="{FF2B5EF4-FFF2-40B4-BE49-F238E27FC236}">
              <a16:creationId xmlns:a16="http://schemas.microsoft.com/office/drawing/2014/main" id="{00000000-0008-0000-0100-00006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79" name="Text Box 15">
          <a:extLst>
            <a:ext uri="{FF2B5EF4-FFF2-40B4-BE49-F238E27FC236}">
              <a16:creationId xmlns:a16="http://schemas.microsoft.com/office/drawing/2014/main" id="{00000000-0008-0000-0100-00006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80" name="Text Box 15">
          <a:extLst>
            <a:ext uri="{FF2B5EF4-FFF2-40B4-BE49-F238E27FC236}">
              <a16:creationId xmlns:a16="http://schemas.microsoft.com/office/drawing/2014/main" id="{00000000-0008-0000-0100-00007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81" name="Text Box 15">
          <a:extLst>
            <a:ext uri="{FF2B5EF4-FFF2-40B4-BE49-F238E27FC236}">
              <a16:creationId xmlns:a16="http://schemas.microsoft.com/office/drawing/2014/main" id="{00000000-0008-0000-0100-00007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82" name="Text Box 15">
          <a:extLst>
            <a:ext uri="{FF2B5EF4-FFF2-40B4-BE49-F238E27FC236}">
              <a16:creationId xmlns:a16="http://schemas.microsoft.com/office/drawing/2014/main" id="{00000000-0008-0000-0100-00007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83" name="Text Box 15">
          <a:extLst>
            <a:ext uri="{FF2B5EF4-FFF2-40B4-BE49-F238E27FC236}">
              <a16:creationId xmlns:a16="http://schemas.microsoft.com/office/drawing/2014/main" id="{00000000-0008-0000-0100-00007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4" name="Text Box 15">
          <a:extLst>
            <a:ext uri="{FF2B5EF4-FFF2-40B4-BE49-F238E27FC236}">
              <a16:creationId xmlns:a16="http://schemas.microsoft.com/office/drawing/2014/main" id="{00000000-0008-0000-0100-00007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5" name="Text Box 15">
          <a:extLst>
            <a:ext uri="{FF2B5EF4-FFF2-40B4-BE49-F238E27FC236}">
              <a16:creationId xmlns:a16="http://schemas.microsoft.com/office/drawing/2014/main" id="{00000000-0008-0000-0100-00007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6" name="Text Box 15">
          <a:extLst>
            <a:ext uri="{FF2B5EF4-FFF2-40B4-BE49-F238E27FC236}">
              <a16:creationId xmlns:a16="http://schemas.microsoft.com/office/drawing/2014/main" id="{00000000-0008-0000-0100-00007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7" name="Text Box 15">
          <a:extLst>
            <a:ext uri="{FF2B5EF4-FFF2-40B4-BE49-F238E27FC236}">
              <a16:creationId xmlns:a16="http://schemas.microsoft.com/office/drawing/2014/main" id="{00000000-0008-0000-0100-00007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8" name="Text Box 15">
          <a:extLst>
            <a:ext uri="{FF2B5EF4-FFF2-40B4-BE49-F238E27FC236}">
              <a16:creationId xmlns:a16="http://schemas.microsoft.com/office/drawing/2014/main" id="{00000000-0008-0000-0100-00007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9" name="Text Box 15">
          <a:extLst>
            <a:ext uri="{FF2B5EF4-FFF2-40B4-BE49-F238E27FC236}">
              <a16:creationId xmlns:a16="http://schemas.microsoft.com/office/drawing/2014/main" id="{00000000-0008-0000-0100-00007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90" name="Text Box 15">
          <a:extLst>
            <a:ext uri="{FF2B5EF4-FFF2-40B4-BE49-F238E27FC236}">
              <a16:creationId xmlns:a16="http://schemas.microsoft.com/office/drawing/2014/main" id="{00000000-0008-0000-0100-00007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91" name="Text Box 15">
          <a:extLst>
            <a:ext uri="{FF2B5EF4-FFF2-40B4-BE49-F238E27FC236}">
              <a16:creationId xmlns:a16="http://schemas.microsoft.com/office/drawing/2014/main" id="{00000000-0008-0000-0100-00007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92" name="Text Box 15">
          <a:extLst>
            <a:ext uri="{FF2B5EF4-FFF2-40B4-BE49-F238E27FC236}">
              <a16:creationId xmlns:a16="http://schemas.microsoft.com/office/drawing/2014/main" id="{00000000-0008-0000-0100-00007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93" name="Text Box 15">
          <a:extLst>
            <a:ext uri="{FF2B5EF4-FFF2-40B4-BE49-F238E27FC236}">
              <a16:creationId xmlns:a16="http://schemas.microsoft.com/office/drawing/2014/main" id="{00000000-0008-0000-0100-00007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94" name="Text Box 15">
          <a:extLst>
            <a:ext uri="{FF2B5EF4-FFF2-40B4-BE49-F238E27FC236}">
              <a16:creationId xmlns:a16="http://schemas.microsoft.com/office/drawing/2014/main" id="{00000000-0008-0000-0100-00007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95" name="Text Box 15">
          <a:extLst>
            <a:ext uri="{FF2B5EF4-FFF2-40B4-BE49-F238E27FC236}">
              <a16:creationId xmlns:a16="http://schemas.microsoft.com/office/drawing/2014/main" id="{00000000-0008-0000-0100-00007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96" name="Text Box 15">
          <a:extLst>
            <a:ext uri="{FF2B5EF4-FFF2-40B4-BE49-F238E27FC236}">
              <a16:creationId xmlns:a16="http://schemas.microsoft.com/office/drawing/2014/main" id="{00000000-0008-0000-0100-00008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97" name="Text Box 15">
          <a:extLst>
            <a:ext uri="{FF2B5EF4-FFF2-40B4-BE49-F238E27FC236}">
              <a16:creationId xmlns:a16="http://schemas.microsoft.com/office/drawing/2014/main" id="{00000000-0008-0000-0100-00008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98" name="Text Box 15">
          <a:extLst>
            <a:ext uri="{FF2B5EF4-FFF2-40B4-BE49-F238E27FC236}">
              <a16:creationId xmlns:a16="http://schemas.microsoft.com/office/drawing/2014/main" id="{00000000-0008-0000-0100-00008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99" name="Text Box 15">
          <a:extLst>
            <a:ext uri="{FF2B5EF4-FFF2-40B4-BE49-F238E27FC236}">
              <a16:creationId xmlns:a16="http://schemas.microsoft.com/office/drawing/2014/main" id="{00000000-0008-0000-0100-00008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0" name="Text Box 15">
          <a:extLst>
            <a:ext uri="{FF2B5EF4-FFF2-40B4-BE49-F238E27FC236}">
              <a16:creationId xmlns:a16="http://schemas.microsoft.com/office/drawing/2014/main" id="{00000000-0008-0000-0100-00008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1" name="Text Box 15">
          <a:extLst>
            <a:ext uri="{FF2B5EF4-FFF2-40B4-BE49-F238E27FC236}">
              <a16:creationId xmlns:a16="http://schemas.microsoft.com/office/drawing/2014/main" id="{00000000-0008-0000-0100-00008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2" name="Text Box 15">
          <a:extLst>
            <a:ext uri="{FF2B5EF4-FFF2-40B4-BE49-F238E27FC236}">
              <a16:creationId xmlns:a16="http://schemas.microsoft.com/office/drawing/2014/main" id="{00000000-0008-0000-0100-00008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3" name="Text Box 15">
          <a:extLst>
            <a:ext uri="{FF2B5EF4-FFF2-40B4-BE49-F238E27FC236}">
              <a16:creationId xmlns:a16="http://schemas.microsoft.com/office/drawing/2014/main" id="{00000000-0008-0000-0100-00008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4" name="Text Box 15">
          <a:extLst>
            <a:ext uri="{FF2B5EF4-FFF2-40B4-BE49-F238E27FC236}">
              <a16:creationId xmlns:a16="http://schemas.microsoft.com/office/drawing/2014/main" id="{00000000-0008-0000-0100-00008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5" name="Text Box 15">
          <a:extLst>
            <a:ext uri="{FF2B5EF4-FFF2-40B4-BE49-F238E27FC236}">
              <a16:creationId xmlns:a16="http://schemas.microsoft.com/office/drawing/2014/main" id="{00000000-0008-0000-0100-00008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6" name="Text Box 15">
          <a:extLst>
            <a:ext uri="{FF2B5EF4-FFF2-40B4-BE49-F238E27FC236}">
              <a16:creationId xmlns:a16="http://schemas.microsoft.com/office/drawing/2014/main" id="{00000000-0008-0000-0100-00008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7" name="Text Box 15">
          <a:extLst>
            <a:ext uri="{FF2B5EF4-FFF2-40B4-BE49-F238E27FC236}">
              <a16:creationId xmlns:a16="http://schemas.microsoft.com/office/drawing/2014/main" id="{00000000-0008-0000-0100-00008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8" name="Text Box 15">
          <a:extLst>
            <a:ext uri="{FF2B5EF4-FFF2-40B4-BE49-F238E27FC236}">
              <a16:creationId xmlns:a16="http://schemas.microsoft.com/office/drawing/2014/main" id="{00000000-0008-0000-0100-00008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09" name="Text Box 15">
          <a:extLst>
            <a:ext uri="{FF2B5EF4-FFF2-40B4-BE49-F238E27FC236}">
              <a16:creationId xmlns:a16="http://schemas.microsoft.com/office/drawing/2014/main" id="{00000000-0008-0000-0100-00008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10" name="Text Box 15">
          <a:extLst>
            <a:ext uri="{FF2B5EF4-FFF2-40B4-BE49-F238E27FC236}">
              <a16:creationId xmlns:a16="http://schemas.microsoft.com/office/drawing/2014/main" id="{00000000-0008-0000-0100-00008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11" name="Text Box 15">
          <a:extLst>
            <a:ext uri="{FF2B5EF4-FFF2-40B4-BE49-F238E27FC236}">
              <a16:creationId xmlns:a16="http://schemas.microsoft.com/office/drawing/2014/main" id="{00000000-0008-0000-0100-00008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12" name="Text Box 15">
          <a:extLst>
            <a:ext uri="{FF2B5EF4-FFF2-40B4-BE49-F238E27FC236}">
              <a16:creationId xmlns:a16="http://schemas.microsoft.com/office/drawing/2014/main" id="{00000000-0008-0000-0100-00009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13" name="Text Box 15">
          <a:extLst>
            <a:ext uri="{FF2B5EF4-FFF2-40B4-BE49-F238E27FC236}">
              <a16:creationId xmlns:a16="http://schemas.microsoft.com/office/drawing/2014/main" id="{00000000-0008-0000-0100-00009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4" name="Text Box 15">
          <a:extLst>
            <a:ext uri="{FF2B5EF4-FFF2-40B4-BE49-F238E27FC236}">
              <a16:creationId xmlns:a16="http://schemas.microsoft.com/office/drawing/2014/main" id="{00000000-0008-0000-0100-00009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5" name="Text Box 15">
          <a:extLst>
            <a:ext uri="{FF2B5EF4-FFF2-40B4-BE49-F238E27FC236}">
              <a16:creationId xmlns:a16="http://schemas.microsoft.com/office/drawing/2014/main" id="{00000000-0008-0000-0100-00009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6" name="Text Box 15">
          <a:extLst>
            <a:ext uri="{FF2B5EF4-FFF2-40B4-BE49-F238E27FC236}">
              <a16:creationId xmlns:a16="http://schemas.microsoft.com/office/drawing/2014/main" id="{00000000-0008-0000-0100-00009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7" name="Text Box 15">
          <a:extLst>
            <a:ext uri="{FF2B5EF4-FFF2-40B4-BE49-F238E27FC236}">
              <a16:creationId xmlns:a16="http://schemas.microsoft.com/office/drawing/2014/main" id="{00000000-0008-0000-0100-00009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8" name="Text Box 15">
          <a:extLst>
            <a:ext uri="{FF2B5EF4-FFF2-40B4-BE49-F238E27FC236}">
              <a16:creationId xmlns:a16="http://schemas.microsoft.com/office/drawing/2014/main" id="{00000000-0008-0000-0100-00009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9" name="Text Box 15">
          <a:extLst>
            <a:ext uri="{FF2B5EF4-FFF2-40B4-BE49-F238E27FC236}">
              <a16:creationId xmlns:a16="http://schemas.microsoft.com/office/drawing/2014/main" id="{00000000-0008-0000-0100-00009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20" name="Text Box 15">
          <a:extLst>
            <a:ext uri="{FF2B5EF4-FFF2-40B4-BE49-F238E27FC236}">
              <a16:creationId xmlns:a16="http://schemas.microsoft.com/office/drawing/2014/main" id="{00000000-0008-0000-0100-00009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21" name="Text Box 15">
          <a:extLst>
            <a:ext uri="{FF2B5EF4-FFF2-40B4-BE49-F238E27FC236}">
              <a16:creationId xmlns:a16="http://schemas.microsoft.com/office/drawing/2014/main" id="{00000000-0008-0000-0100-00009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22" name="Text Box 15">
          <a:extLst>
            <a:ext uri="{FF2B5EF4-FFF2-40B4-BE49-F238E27FC236}">
              <a16:creationId xmlns:a16="http://schemas.microsoft.com/office/drawing/2014/main" id="{00000000-0008-0000-0100-00009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23" name="Text Box 15">
          <a:extLst>
            <a:ext uri="{FF2B5EF4-FFF2-40B4-BE49-F238E27FC236}">
              <a16:creationId xmlns:a16="http://schemas.microsoft.com/office/drawing/2014/main" id="{00000000-0008-0000-0100-00009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24" name="Text Box 15">
          <a:extLst>
            <a:ext uri="{FF2B5EF4-FFF2-40B4-BE49-F238E27FC236}">
              <a16:creationId xmlns:a16="http://schemas.microsoft.com/office/drawing/2014/main" id="{00000000-0008-0000-0100-00009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25" name="Text Box 15">
          <a:extLst>
            <a:ext uri="{FF2B5EF4-FFF2-40B4-BE49-F238E27FC236}">
              <a16:creationId xmlns:a16="http://schemas.microsoft.com/office/drawing/2014/main" id="{00000000-0008-0000-0100-00009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26" name="Text Box 15">
          <a:extLst>
            <a:ext uri="{FF2B5EF4-FFF2-40B4-BE49-F238E27FC236}">
              <a16:creationId xmlns:a16="http://schemas.microsoft.com/office/drawing/2014/main" id="{00000000-0008-0000-0100-00009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27" name="Text Box 15">
          <a:extLst>
            <a:ext uri="{FF2B5EF4-FFF2-40B4-BE49-F238E27FC236}">
              <a16:creationId xmlns:a16="http://schemas.microsoft.com/office/drawing/2014/main" id="{00000000-0008-0000-0100-00009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28" name="Text Box 15">
          <a:extLst>
            <a:ext uri="{FF2B5EF4-FFF2-40B4-BE49-F238E27FC236}">
              <a16:creationId xmlns:a16="http://schemas.microsoft.com/office/drawing/2014/main" id="{00000000-0008-0000-0100-0000A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29" name="Text Box 15">
          <a:extLst>
            <a:ext uri="{FF2B5EF4-FFF2-40B4-BE49-F238E27FC236}">
              <a16:creationId xmlns:a16="http://schemas.microsoft.com/office/drawing/2014/main" id="{00000000-0008-0000-0100-0000A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0" name="Text Box 15">
          <a:extLst>
            <a:ext uri="{FF2B5EF4-FFF2-40B4-BE49-F238E27FC236}">
              <a16:creationId xmlns:a16="http://schemas.microsoft.com/office/drawing/2014/main" id="{00000000-0008-0000-0100-0000A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1" name="Text Box 15">
          <a:extLst>
            <a:ext uri="{FF2B5EF4-FFF2-40B4-BE49-F238E27FC236}">
              <a16:creationId xmlns:a16="http://schemas.microsoft.com/office/drawing/2014/main" id="{00000000-0008-0000-0100-0000A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2" name="Text Box 15">
          <a:extLst>
            <a:ext uri="{FF2B5EF4-FFF2-40B4-BE49-F238E27FC236}">
              <a16:creationId xmlns:a16="http://schemas.microsoft.com/office/drawing/2014/main" id="{00000000-0008-0000-0100-0000A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3" name="Text Box 15">
          <a:extLst>
            <a:ext uri="{FF2B5EF4-FFF2-40B4-BE49-F238E27FC236}">
              <a16:creationId xmlns:a16="http://schemas.microsoft.com/office/drawing/2014/main" id="{00000000-0008-0000-0100-0000A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4" name="Text Box 15">
          <a:extLst>
            <a:ext uri="{FF2B5EF4-FFF2-40B4-BE49-F238E27FC236}">
              <a16:creationId xmlns:a16="http://schemas.microsoft.com/office/drawing/2014/main" id="{00000000-0008-0000-0100-0000A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5" name="Text Box 15">
          <a:extLst>
            <a:ext uri="{FF2B5EF4-FFF2-40B4-BE49-F238E27FC236}">
              <a16:creationId xmlns:a16="http://schemas.microsoft.com/office/drawing/2014/main" id="{00000000-0008-0000-0100-0000A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6" name="Text Box 15">
          <a:extLst>
            <a:ext uri="{FF2B5EF4-FFF2-40B4-BE49-F238E27FC236}">
              <a16:creationId xmlns:a16="http://schemas.microsoft.com/office/drawing/2014/main" id="{00000000-0008-0000-0100-0000A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7" name="Text Box 15">
          <a:extLst>
            <a:ext uri="{FF2B5EF4-FFF2-40B4-BE49-F238E27FC236}">
              <a16:creationId xmlns:a16="http://schemas.microsoft.com/office/drawing/2014/main" id="{00000000-0008-0000-0100-0000A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8" name="Text Box 15">
          <a:extLst>
            <a:ext uri="{FF2B5EF4-FFF2-40B4-BE49-F238E27FC236}">
              <a16:creationId xmlns:a16="http://schemas.microsoft.com/office/drawing/2014/main" id="{00000000-0008-0000-0100-0000A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39" name="Text Box 15">
          <a:extLst>
            <a:ext uri="{FF2B5EF4-FFF2-40B4-BE49-F238E27FC236}">
              <a16:creationId xmlns:a16="http://schemas.microsoft.com/office/drawing/2014/main" id="{00000000-0008-0000-0100-0000A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40" name="Text Box 15">
          <a:extLst>
            <a:ext uri="{FF2B5EF4-FFF2-40B4-BE49-F238E27FC236}">
              <a16:creationId xmlns:a16="http://schemas.microsoft.com/office/drawing/2014/main" id="{00000000-0008-0000-0100-0000A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41" name="Text Box 15">
          <a:extLst>
            <a:ext uri="{FF2B5EF4-FFF2-40B4-BE49-F238E27FC236}">
              <a16:creationId xmlns:a16="http://schemas.microsoft.com/office/drawing/2014/main" id="{00000000-0008-0000-0100-0000A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42" name="Text Box 15">
          <a:extLst>
            <a:ext uri="{FF2B5EF4-FFF2-40B4-BE49-F238E27FC236}">
              <a16:creationId xmlns:a16="http://schemas.microsoft.com/office/drawing/2014/main" id="{00000000-0008-0000-0100-0000A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43" name="Text Box 15">
          <a:extLst>
            <a:ext uri="{FF2B5EF4-FFF2-40B4-BE49-F238E27FC236}">
              <a16:creationId xmlns:a16="http://schemas.microsoft.com/office/drawing/2014/main" id="{00000000-0008-0000-0100-0000A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4" name="Text Box 15">
          <a:extLst>
            <a:ext uri="{FF2B5EF4-FFF2-40B4-BE49-F238E27FC236}">
              <a16:creationId xmlns:a16="http://schemas.microsoft.com/office/drawing/2014/main" id="{00000000-0008-0000-0100-0000B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5" name="Text Box 15">
          <a:extLst>
            <a:ext uri="{FF2B5EF4-FFF2-40B4-BE49-F238E27FC236}">
              <a16:creationId xmlns:a16="http://schemas.microsoft.com/office/drawing/2014/main" id="{00000000-0008-0000-0100-0000B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6" name="Text Box 15">
          <a:extLst>
            <a:ext uri="{FF2B5EF4-FFF2-40B4-BE49-F238E27FC236}">
              <a16:creationId xmlns:a16="http://schemas.microsoft.com/office/drawing/2014/main" id="{00000000-0008-0000-0100-0000B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7" name="Text Box 15">
          <a:extLst>
            <a:ext uri="{FF2B5EF4-FFF2-40B4-BE49-F238E27FC236}">
              <a16:creationId xmlns:a16="http://schemas.microsoft.com/office/drawing/2014/main" id="{00000000-0008-0000-0100-0000B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8" name="Text Box 15">
          <a:extLst>
            <a:ext uri="{FF2B5EF4-FFF2-40B4-BE49-F238E27FC236}">
              <a16:creationId xmlns:a16="http://schemas.microsoft.com/office/drawing/2014/main" id="{00000000-0008-0000-0100-0000B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9" name="Text Box 15">
          <a:extLst>
            <a:ext uri="{FF2B5EF4-FFF2-40B4-BE49-F238E27FC236}">
              <a16:creationId xmlns:a16="http://schemas.microsoft.com/office/drawing/2014/main" id="{00000000-0008-0000-0100-0000B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50" name="Text Box 15">
          <a:extLst>
            <a:ext uri="{FF2B5EF4-FFF2-40B4-BE49-F238E27FC236}">
              <a16:creationId xmlns:a16="http://schemas.microsoft.com/office/drawing/2014/main" id="{00000000-0008-0000-0100-0000B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51" name="Text Box 15">
          <a:extLst>
            <a:ext uri="{FF2B5EF4-FFF2-40B4-BE49-F238E27FC236}">
              <a16:creationId xmlns:a16="http://schemas.microsoft.com/office/drawing/2014/main" id="{00000000-0008-0000-0100-0000B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52" name="Text Box 15">
          <a:extLst>
            <a:ext uri="{FF2B5EF4-FFF2-40B4-BE49-F238E27FC236}">
              <a16:creationId xmlns:a16="http://schemas.microsoft.com/office/drawing/2014/main" id="{00000000-0008-0000-0100-0000B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53" name="Text Box 15">
          <a:extLst>
            <a:ext uri="{FF2B5EF4-FFF2-40B4-BE49-F238E27FC236}">
              <a16:creationId xmlns:a16="http://schemas.microsoft.com/office/drawing/2014/main" id="{00000000-0008-0000-0100-0000B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54" name="Text Box 15">
          <a:extLst>
            <a:ext uri="{FF2B5EF4-FFF2-40B4-BE49-F238E27FC236}">
              <a16:creationId xmlns:a16="http://schemas.microsoft.com/office/drawing/2014/main" id="{00000000-0008-0000-0100-0000B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55" name="Text Box 15">
          <a:extLst>
            <a:ext uri="{FF2B5EF4-FFF2-40B4-BE49-F238E27FC236}">
              <a16:creationId xmlns:a16="http://schemas.microsoft.com/office/drawing/2014/main" id="{00000000-0008-0000-0100-0000B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56" name="Text Box 15">
          <a:extLst>
            <a:ext uri="{FF2B5EF4-FFF2-40B4-BE49-F238E27FC236}">
              <a16:creationId xmlns:a16="http://schemas.microsoft.com/office/drawing/2014/main" id="{00000000-0008-0000-0100-0000B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57" name="Text Box 15">
          <a:extLst>
            <a:ext uri="{FF2B5EF4-FFF2-40B4-BE49-F238E27FC236}">
              <a16:creationId xmlns:a16="http://schemas.microsoft.com/office/drawing/2014/main" id="{00000000-0008-0000-0100-0000B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58" name="Text Box 15">
          <a:extLst>
            <a:ext uri="{FF2B5EF4-FFF2-40B4-BE49-F238E27FC236}">
              <a16:creationId xmlns:a16="http://schemas.microsoft.com/office/drawing/2014/main" id="{00000000-0008-0000-0100-0000B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59" name="Text Box 15">
          <a:extLst>
            <a:ext uri="{FF2B5EF4-FFF2-40B4-BE49-F238E27FC236}">
              <a16:creationId xmlns:a16="http://schemas.microsoft.com/office/drawing/2014/main" id="{00000000-0008-0000-0100-0000B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0" name="Text Box 15">
          <a:extLst>
            <a:ext uri="{FF2B5EF4-FFF2-40B4-BE49-F238E27FC236}">
              <a16:creationId xmlns:a16="http://schemas.microsoft.com/office/drawing/2014/main" id="{00000000-0008-0000-0100-0000C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1" name="Text Box 15">
          <a:extLst>
            <a:ext uri="{FF2B5EF4-FFF2-40B4-BE49-F238E27FC236}">
              <a16:creationId xmlns:a16="http://schemas.microsoft.com/office/drawing/2014/main" id="{00000000-0008-0000-0100-0000C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2" name="Text Box 15">
          <a:extLst>
            <a:ext uri="{FF2B5EF4-FFF2-40B4-BE49-F238E27FC236}">
              <a16:creationId xmlns:a16="http://schemas.microsoft.com/office/drawing/2014/main" id="{00000000-0008-0000-0100-0000C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3" name="Text Box 15">
          <a:extLst>
            <a:ext uri="{FF2B5EF4-FFF2-40B4-BE49-F238E27FC236}">
              <a16:creationId xmlns:a16="http://schemas.microsoft.com/office/drawing/2014/main" id="{00000000-0008-0000-0100-0000C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4" name="Text Box 15">
          <a:extLst>
            <a:ext uri="{FF2B5EF4-FFF2-40B4-BE49-F238E27FC236}">
              <a16:creationId xmlns:a16="http://schemas.microsoft.com/office/drawing/2014/main" id="{00000000-0008-0000-0100-0000C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5" name="Text Box 15">
          <a:extLst>
            <a:ext uri="{FF2B5EF4-FFF2-40B4-BE49-F238E27FC236}">
              <a16:creationId xmlns:a16="http://schemas.microsoft.com/office/drawing/2014/main" id="{00000000-0008-0000-0100-0000C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6" name="Text Box 15">
          <a:extLst>
            <a:ext uri="{FF2B5EF4-FFF2-40B4-BE49-F238E27FC236}">
              <a16:creationId xmlns:a16="http://schemas.microsoft.com/office/drawing/2014/main" id="{00000000-0008-0000-0100-0000C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67" name="Text Box 15">
          <a:extLst>
            <a:ext uri="{FF2B5EF4-FFF2-40B4-BE49-F238E27FC236}">
              <a16:creationId xmlns:a16="http://schemas.microsoft.com/office/drawing/2014/main" id="{00000000-0008-0000-0100-0000C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68" name="Text Box 15">
          <a:extLst>
            <a:ext uri="{FF2B5EF4-FFF2-40B4-BE49-F238E27FC236}">
              <a16:creationId xmlns:a16="http://schemas.microsoft.com/office/drawing/2014/main" id="{00000000-0008-0000-0100-0000C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69" name="Text Box 15">
          <a:extLst>
            <a:ext uri="{FF2B5EF4-FFF2-40B4-BE49-F238E27FC236}">
              <a16:creationId xmlns:a16="http://schemas.microsoft.com/office/drawing/2014/main" id="{00000000-0008-0000-0100-0000C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70" name="Text Box 15">
          <a:extLst>
            <a:ext uri="{FF2B5EF4-FFF2-40B4-BE49-F238E27FC236}">
              <a16:creationId xmlns:a16="http://schemas.microsoft.com/office/drawing/2014/main" id="{00000000-0008-0000-0100-0000C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71" name="Text Box 15">
          <a:extLst>
            <a:ext uri="{FF2B5EF4-FFF2-40B4-BE49-F238E27FC236}">
              <a16:creationId xmlns:a16="http://schemas.microsoft.com/office/drawing/2014/main" id="{00000000-0008-0000-0100-0000C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2" name="Text Box 15">
          <a:extLst>
            <a:ext uri="{FF2B5EF4-FFF2-40B4-BE49-F238E27FC236}">
              <a16:creationId xmlns:a16="http://schemas.microsoft.com/office/drawing/2014/main" id="{00000000-0008-0000-0100-0000C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3" name="Text Box 15">
          <a:extLst>
            <a:ext uri="{FF2B5EF4-FFF2-40B4-BE49-F238E27FC236}">
              <a16:creationId xmlns:a16="http://schemas.microsoft.com/office/drawing/2014/main" id="{00000000-0008-0000-0100-0000C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4" name="Text Box 15">
          <a:extLst>
            <a:ext uri="{FF2B5EF4-FFF2-40B4-BE49-F238E27FC236}">
              <a16:creationId xmlns:a16="http://schemas.microsoft.com/office/drawing/2014/main" id="{00000000-0008-0000-0100-0000C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5" name="Text Box 15">
          <a:extLst>
            <a:ext uri="{FF2B5EF4-FFF2-40B4-BE49-F238E27FC236}">
              <a16:creationId xmlns:a16="http://schemas.microsoft.com/office/drawing/2014/main" id="{00000000-0008-0000-0100-0000C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6" name="Text Box 15">
          <a:extLst>
            <a:ext uri="{FF2B5EF4-FFF2-40B4-BE49-F238E27FC236}">
              <a16:creationId xmlns:a16="http://schemas.microsoft.com/office/drawing/2014/main" id="{00000000-0008-0000-0100-0000D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7" name="Text Box 15">
          <a:extLst>
            <a:ext uri="{FF2B5EF4-FFF2-40B4-BE49-F238E27FC236}">
              <a16:creationId xmlns:a16="http://schemas.microsoft.com/office/drawing/2014/main" id="{00000000-0008-0000-0100-0000D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8" name="Text Box 15">
          <a:extLst>
            <a:ext uri="{FF2B5EF4-FFF2-40B4-BE49-F238E27FC236}">
              <a16:creationId xmlns:a16="http://schemas.microsoft.com/office/drawing/2014/main" id="{00000000-0008-0000-0100-0000D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9" name="Text Box 15">
          <a:extLst>
            <a:ext uri="{FF2B5EF4-FFF2-40B4-BE49-F238E27FC236}">
              <a16:creationId xmlns:a16="http://schemas.microsoft.com/office/drawing/2014/main" id="{00000000-0008-0000-0100-0000D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0" name="Text Box 15">
          <a:extLst>
            <a:ext uri="{FF2B5EF4-FFF2-40B4-BE49-F238E27FC236}">
              <a16:creationId xmlns:a16="http://schemas.microsoft.com/office/drawing/2014/main" id="{00000000-0008-0000-0100-0000D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1" name="Text Box 15">
          <a:extLst>
            <a:ext uri="{FF2B5EF4-FFF2-40B4-BE49-F238E27FC236}">
              <a16:creationId xmlns:a16="http://schemas.microsoft.com/office/drawing/2014/main" id="{00000000-0008-0000-0100-0000D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82" name="Text Box 15">
          <a:extLst>
            <a:ext uri="{FF2B5EF4-FFF2-40B4-BE49-F238E27FC236}">
              <a16:creationId xmlns:a16="http://schemas.microsoft.com/office/drawing/2014/main" id="{00000000-0008-0000-0100-0000D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83" name="Text Box 15">
          <a:extLst>
            <a:ext uri="{FF2B5EF4-FFF2-40B4-BE49-F238E27FC236}">
              <a16:creationId xmlns:a16="http://schemas.microsoft.com/office/drawing/2014/main" id="{00000000-0008-0000-0100-0000D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84" name="Text Box 15">
          <a:extLst>
            <a:ext uri="{FF2B5EF4-FFF2-40B4-BE49-F238E27FC236}">
              <a16:creationId xmlns:a16="http://schemas.microsoft.com/office/drawing/2014/main" id="{00000000-0008-0000-0100-0000D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85" name="Text Box 15">
          <a:extLst>
            <a:ext uri="{FF2B5EF4-FFF2-40B4-BE49-F238E27FC236}">
              <a16:creationId xmlns:a16="http://schemas.microsoft.com/office/drawing/2014/main" id="{00000000-0008-0000-0100-0000D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86" name="Text Box 15">
          <a:extLst>
            <a:ext uri="{FF2B5EF4-FFF2-40B4-BE49-F238E27FC236}">
              <a16:creationId xmlns:a16="http://schemas.microsoft.com/office/drawing/2014/main" id="{00000000-0008-0000-0100-0000D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7" name="Text Box 15">
          <a:extLst>
            <a:ext uri="{FF2B5EF4-FFF2-40B4-BE49-F238E27FC236}">
              <a16:creationId xmlns:a16="http://schemas.microsoft.com/office/drawing/2014/main" id="{00000000-0008-0000-0100-0000D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8" name="Text Box 15">
          <a:extLst>
            <a:ext uri="{FF2B5EF4-FFF2-40B4-BE49-F238E27FC236}">
              <a16:creationId xmlns:a16="http://schemas.microsoft.com/office/drawing/2014/main" id="{00000000-0008-0000-0100-0000D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9" name="Text Box 15">
          <a:extLst>
            <a:ext uri="{FF2B5EF4-FFF2-40B4-BE49-F238E27FC236}">
              <a16:creationId xmlns:a16="http://schemas.microsoft.com/office/drawing/2014/main" id="{00000000-0008-0000-0100-0000D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0" name="Text Box 15">
          <a:extLst>
            <a:ext uri="{FF2B5EF4-FFF2-40B4-BE49-F238E27FC236}">
              <a16:creationId xmlns:a16="http://schemas.microsoft.com/office/drawing/2014/main" id="{00000000-0008-0000-0100-0000D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1" name="Text Box 15">
          <a:extLst>
            <a:ext uri="{FF2B5EF4-FFF2-40B4-BE49-F238E27FC236}">
              <a16:creationId xmlns:a16="http://schemas.microsoft.com/office/drawing/2014/main" id="{00000000-0008-0000-0100-0000D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2" name="Text Box 15">
          <a:extLst>
            <a:ext uri="{FF2B5EF4-FFF2-40B4-BE49-F238E27FC236}">
              <a16:creationId xmlns:a16="http://schemas.microsoft.com/office/drawing/2014/main" id="{00000000-0008-0000-0100-0000E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3" name="Text Box 15">
          <a:extLst>
            <a:ext uri="{FF2B5EF4-FFF2-40B4-BE49-F238E27FC236}">
              <a16:creationId xmlns:a16="http://schemas.microsoft.com/office/drawing/2014/main" id="{00000000-0008-0000-0100-0000E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4" name="Text Box 15">
          <a:extLst>
            <a:ext uri="{FF2B5EF4-FFF2-40B4-BE49-F238E27FC236}">
              <a16:creationId xmlns:a16="http://schemas.microsoft.com/office/drawing/2014/main" id="{00000000-0008-0000-0100-0000E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5" name="Text Box 15">
          <a:extLst>
            <a:ext uri="{FF2B5EF4-FFF2-40B4-BE49-F238E27FC236}">
              <a16:creationId xmlns:a16="http://schemas.microsoft.com/office/drawing/2014/main" id="{00000000-0008-0000-0100-0000E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6" name="Text Box 15">
          <a:extLst>
            <a:ext uri="{FF2B5EF4-FFF2-40B4-BE49-F238E27FC236}">
              <a16:creationId xmlns:a16="http://schemas.microsoft.com/office/drawing/2014/main" id="{00000000-0008-0000-0100-0000E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97" name="Text Box 15">
          <a:extLst>
            <a:ext uri="{FF2B5EF4-FFF2-40B4-BE49-F238E27FC236}">
              <a16:creationId xmlns:a16="http://schemas.microsoft.com/office/drawing/2014/main" id="{00000000-0008-0000-0100-0000E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98" name="Text Box 15">
          <a:extLst>
            <a:ext uri="{FF2B5EF4-FFF2-40B4-BE49-F238E27FC236}">
              <a16:creationId xmlns:a16="http://schemas.microsoft.com/office/drawing/2014/main" id="{00000000-0008-0000-0100-0000E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99" name="Text Box 15">
          <a:extLst>
            <a:ext uri="{FF2B5EF4-FFF2-40B4-BE49-F238E27FC236}">
              <a16:creationId xmlns:a16="http://schemas.microsoft.com/office/drawing/2014/main" id="{00000000-0008-0000-0100-0000E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00" name="Text Box 15">
          <a:extLst>
            <a:ext uri="{FF2B5EF4-FFF2-40B4-BE49-F238E27FC236}">
              <a16:creationId xmlns:a16="http://schemas.microsoft.com/office/drawing/2014/main" id="{00000000-0008-0000-0100-0000E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01" name="Text Box 15">
          <a:extLst>
            <a:ext uri="{FF2B5EF4-FFF2-40B4-BE49-F238E27FC236}">
              <a16:creationId xmlns:a16="http://schemas.microsoft.com/office/drawing/2014/main" id="{00000000-0008-0000-0100-0000E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2" name="Text Box 15">
          <a:extLst>
            <a:ext uri="{FF2B5EF4-FFF2-40B4-BE49-F238E27FC236}">
              <a16:creationId xmlns:a16="http://schemas.microsoft.com/office/drawing/2014/main" id="{00000000-0008-0000-0100-0000E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3" name="Text Box 15">
          <a:extLst>
            <a:ext uri="{FF2B5EF4-FFF2-40B4-BE49-F238E27FC236}">
              <a16:creationId xmlns:a16="http://schemas.microsoft.com/office/drawing/2014/main" id="{00000000-0008-0000-0100-0000E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4" name="Text Box 15">
          <a:extLst>
            <a:ext uri="{FF2B5EF4-FFF2-40B4-BE49-F238E27FC236}">
              <a16:creationId xmlns:a16="http://schemas.microsoft.com/office/drawing/2014/main" id="{00000000-0008-0000-0100-0000E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5" name="Text Box 15">
          <a:extLst>
            <a:ext uri="{FF2B5EF4-FFF2-40B4-BE49-F238E27FC236}">
              <a16:creationId xmlns:a16="http://schemas.microsoft.com/office/drawing/2014/main" id="{00000000-0008-0000-0100-0000E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6" name="Text Box 15">
          <a:extLst>
            <a:ext uri="{FF2B5EF4-FFF2-40B4-BE49-F238E27FC236}">
              <a16:creationId xmlns:a16="http://schemas.microsoft.com/office/drawing/2014/main" id="{00000000-0008-0000-0100-0000E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7" name="Text Box 15">
          <a:extLst>
            <a:ext uri="{FF2B5EF4-FFF2-40B4-BE49-F238E27FC236}">
              <a16:creationId xmlns:a16="http://schemas.microsoft.com/office/drawing/2014/main" id="{00000000-0008-0000-0100-0000E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8" name="Text Box 15">
          <a:extLst>
            <a:ext uri="{FF2B5EF4-FFF2-40B4-BE49-F238E27FC236}">
              <a16:creationId xmlns:a16="http://schemas.microsoft.com/office/drawing/2014/main" id="{00000000-0008-0000-0100-0000F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9" name="Text Box 15">
          <a:extLst>
            <a:ext uri="{FF2B5EF4-FFF2-40B4-BE49-F238E27FC236}">
              <a16:creationId xmlns:a16="http://schemas.microsoft.com/office/drawing/2014/main" id="{00000000-0008-0000-0100-0000F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10" name="Text Box 15">
          <a:extLst>
            <a:ext uri="{FF2B5EF4-FFF2-40B4-BE49-F238E27FC236}">
              <a16:creationId xmlns:a16="http://schemas.microsoft.com/office/drawing/2014/main" id="{00000000-0008-0000-0100-0000F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11" name="Text Box 15">
          <a:extLst>
            <a:ext uri="{FF2B5EF4-FFF2-40B4-BE49-F238E27FC236}">
              <a16:creationId xmlns:a16="http://schemas.microsoft.com/office/drawing/2014/main" id="{00000000-0008-0000-0100-0000F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12" name="Text Box 15">
          <a:extLst>
            <a:ext uri="{FF2B5EF4-FFF2-40B4-BE49-F238E27FC236}">
              <a16:creationId xmlns:a16="http://schemas.microsoft.com/office/drawing/2014/main" id="{00000000-0008-0000-0100-0000F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13" name="Text Box 15">
          <a:extLst>
            <a:ext uri="{FF2B5EF4-FFF2-40B4-BE49-F238E27FC236}">
              <a16:creationId xmlns:a16="http://schemas.microsoft.com/office/drawing/2014/main" id="{00000000-0008-0000-0100-0000F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14" name="Text Box 15">
          <a:extLst>
            <a:ext uri="{FF2B5EF4-FFF2-40B4-BE49-F238E27FC236}">
              <a16:creationId xmlns:a16="http://schemas.microsoft.com/office/drawing/2014/main" id="{00000000-0008-0000-0100-0000F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15" name="Text Box 15">
          <a:extLst>
            <a:ext uri="{FF2B5EF4-FFF2-40B4-BE49-F238E27FC236}">
              <a16:creationId xmlns:a16="http://schemas.microsoft.com/office/drawing/2014/main" id="{00000000-0008-0000-0100-0000F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16" name="Text Box 15">
          <a:extLst>
            <a:ext uri="{FF2B5EF4-FFF2-40B4-BE49-F238E27FC236}">
              <a16:creationId xmlns:a16="http://schemas.microsoft.com/office/drawing/2014/main" id="{00000000-0008-0000-0100-0000F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17" name="Text Box 15">
          <a:extLst>
            <a:ext uri="{FF2B5EF4-FFF2-40B4-BE49-F238E27FC236}">
              <a16:creationId xmlns:a16="http://schemas.microsoft.com/office/drawing/2014/main" id="{00000000-0008-0000-0100-0000F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18" name="Text Box 15">
          <a:extLst>
            <a:ext uri="{FF2B5EF4-FFF2-40B4-BE49-F238E27FC236}">
              <a16:creationId xmlns:a16="http://schemas.microsoft.com/office/drawing/2014/main" id="{00000000-0008-0000-0100-0000F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19" name="Text Box 15">
          <a:extLst>
            <a:ext uri="{FF2B5EF4-FFF2-40B4-BE49-F238E27FC236}">
              <a16:creationId xmlns:a16="http://schemas.microsoft.com/office/drawing/2014/main" id="{00000000-0008-0000-0100-0000F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0" name="Text Box 15">
          <a:extLst>
            <a:ext uri="{FF2B5EF4-FFF2-40B4-BE49-F238E27FC236}">
              <a16:creationId xmlns:a16="http://schemas.microsoft.com/office/drawing/2014/main" id="{00000000-0008-0000-0100-0000F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1" name="Text Box 15">
          <a:extLst>
            <a:ext uri="{FF2B5EF4-FFF2-40B4-BE49-F238E27FC236}">
              <a16:creationId xmlns:a16="http://schemas.microsoft.com/office/drawing/2014/main" id="{00000000-0008-0000-0100-0000F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2" name="Text Box 15">
          <a:extLst>
            <a:ext uri="{FF2B5EF4-FFF2-40B4-BE49-F238E27FC236}">
              <a16:creationId xmlns:a16="http://schemas.microsoft.com/office/drawing/2014/main" id="{00000000-0008-0000-0100-0000F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3" name="Text Box 15">
          <a:extLst>
            <a:ext uri="{FF2B5EF4-FFF2-40B4-BE49-F238E27FC236}">
              <a16:creationId xmlns:a16="http://schemas.microsoft.com/office/drawing/2014/main" id="{00000000-0008-0000-0100-0000F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4" name="Text Box 15">
          <a:extLst>
            <a:ext uri="{FF2B5EF4-FFF2-40B4-BE49-F238E27FC236}">
              <a16:creationId xmlns:a16="http://schemas.microsoft.com/office/drawing/2014/main" id="{00000000-0008-0000-0100-00000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5" name="Text Box 15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6" name="Text Box 15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27" name="Text Box 15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28" name="Text Box 15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29" name="Text Box 15">
          <a:extLst>
            <a:ext uri="{FF2B5EF4-FFF2-40B4-BE49-F238E27FC236}">
              <a16:creationId xmlns:a16="http://schemas.microsoft.com/office/drawing/2014/main" id="{00000000-0008-0000-0100-00000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30" name="Text Box 15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31" name="Text Box 15">
          <a:extLst>
            <a:ext uri="{FF2B5EF4-FFF2-40B4-BE49-F238E27FC236}">
              <a16:creationId xmlns:a16="http://schemas.microsoft.com/office/drawing/2014/main" id="{00000000-0008-0000-0100-00000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2" name="Text Box 15">
          <a:extLst>
            <a:ext uri="{FF2B5EF4-FFF2-40B4-BE49-F238E27FC236}">
              <a16:creationId xmlns:a16="http://schemas.microsoft.com/office/drawing/2014/main" id="{00000000-0008-0000-0100-00000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3" name="Text Box 15">
          <a:extLst>
            <a:ext uri="{FF2B5EF4-FFF2-40B4-BE49-F238E27FC236}">
              <a16:creationId xmlns:a16="http://schemas.microsoft.com/office/drawing/2014/main" id="{00000000-0008-0000-0100-00000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4" name="Text Box 15">
          <a:extLs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5" name="Text Box 15">
          <a:extLst>
            <a:ext uri="{FF2B5EF4-FFF2-40B4-BE49-F238E27FC236}">
              <a16:creationId xmlns:a16="http://schemas.microsoft.com/office/drawing/2014/main" id="{00000000-0008-0000-0100-00000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6" name="Text Box 15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7" name="Text Box 15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8" name="Text Box 15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9" name="Text Box 15">
          <a:extLst>
            <a:ext uri="{FF2B5EF4-FFF2-40B4-BE49-F238E27FC236}">
              <a16:creationId xmlns:a16="http://schemas.microsoft.com/office/drawing/2014/main" id="{00000000-0008-0000-0100-00000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0" name="Text Box 15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1" name="Text Box 15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42" name="Text Box 15">
          <a:extLst>
            <a:ext uri="{FF2B5EF4-FFF2-40B4-BE49-F238E27FC236}">
              <a16:creationId xmlns:a16="http://schemas.microsoft.com/office/drawing/2014/main" id="{00000000-0008-0000-0100-00001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43" name="Text Box 15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44" name="Text Box 15">
          <a:extLst>
            <a:ext uri="{FF2B5EF4-FFF2-40B4-BE49-F238E27FC236}">
              <a16:creationId xmlns:a16="http://schemas.microsoft.com/office/drawing/2014/main" id="{00000000-0008-0000-0100-00001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5" name="Text Box 15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6" name="Text Box 15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7" name="Text Box 15">
          <a:extLst>
            <a:ext uri="{FF2B5EF4-FFF2-40B4-BE49-F238E27FC236}">
              <a16:creationId xmlns:a16="http://schemas.microsoft.com/office/drawing/2014/main" id="{00000000-0008-0000-0100-00001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8" name="Text Box 15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9" name="Text Box 15">
          <a:extLst>
            <a:ext uri="{FF2B5EF4-FFF2-40B4-BE49-F238E27FC236}">
              <a16:creationId xmlns:a16="http://schemas.microsoft.com/office/drawing/2014/main" id="{00000000-0008-0000-0100-00001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0" name="Text Box 15">
          <a:extLst>
            <a:ext uri="{FF2B5EF4-FFF2-40B4-BE49-F238E27FC236}">
              <a16:creationId xmlns:a16="http://schemas.microsoft.com/office/drawing/2014/main" id="{00000000-0008-0000-0100-00001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1" name="Text Box 15">
          <a:extLst>
            <a:ext uri="{FF2B5EF4-FFF2-40B4-BE49-F238E27FC236}">
              <a16:creationId xmlns:a16="http://schemas.microsoft.com/office/drawing/2014/main" id="{00000000-0008-0000-0100-00001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2" name="Text Box 15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3" name="Text Box 15">
          <a:extLst>
            <a:ext uri="{FF2B5EF4-FFF2-40B4-BE49-F238E27FC236}">
              <a16:creationId xmlns:a16="http://schemas.microsoft.com/office/drawing/2014/main" id="{00000000-0008-0000-0100-00001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4" name="Text Box 15">
          <a:extLst>
            <a:ext uri="{FF2B5EF4-FFF2-40B4-BE49-F238E27FC236}">
              <a16:creationId xmlns:a16="http://schemas.microsoft.com/office/drawing/2014/main" id="{00000000-0008-0000-0100-00001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55" name="Text Box 15">
          <a:extLst>
            <a:ext uri="{FF2B5EF4-FFF2-40B4-BE49-F238E27FC236}">
              <a16:creationId xmlns:a16="http://schemas.microsoft.com/office/drawing/2014/main" id="{00000000-0008-0000-0100-00001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56" name="Text Box 15">
          <a:extLst>
            <a:ext uri="{FF2B5EF4-FFF2-40B4-BE49-F238E27FC236}">
              <a16:creationId xmlns:a16="http://schemas.microsoft.com/office/drawing/2014/main" id="{00000000-0008-0000-0100-00002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57" name="Text Box 15">
          <a:extLst>
            <a:ext uri="{FF2B5EF4-FFF2-40B4-BE49-F238E27FC236}">
              <a16:creationId xmlns:a16="http://schemas.microsoft.com/office/drawing/2014/main" id="{00000000-0008-0000-0100-00002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58" name="Text Box 15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59" name="Text Box 15">
          <a:extLst>
            <a:ext uri="{FF2B5EF4-FFF2-40B4-BE49-F238E27FC236}">
              <a16:creationId xmlns:a16="http://schemas.microsoft.com/office/drawing/2014/main" id="{00000000-0008-0000-0100-00002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0" name="Text Box 15">
          <a:extLst>
            <a:ext uri="{FF2B5EF4-FFF2-40B4-BE49-F238E27FC236}">
              <a16:creationId xmlns:a16="http://schemas.microsoft.com/office/drawing/2014/main" id="{00000000-0008-0000-0100-00002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1" name="Text Box 15">
          <a:extLst>
            <a:ext uri="{FF2B5EF4-FFF2-40B4-BE49-F238E27FC236}">
              <a16:creationId xmlns:a16="http://schemas.microsoft.com/office/drawing/2014/main" id="{00000000-0008-0000-0100-00002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2" name="Text Box 15">
          <a:extLst>
            <a:ext uri="{FF2B5EF4-FFF2-40B4-BE49-F238E27FC236}">
              <a16:creationId xmlns:a16="http://schemas.microsoft.com/office/drawing/2014/main" id="{00000000-0008-0000-0100-00002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3" name="Text Box 15">
          <a:extLst>
            <a:ext uri="{FF2B5EF4-FFF2-40B4-BE49-F238E27FC236}">
              <a16:creationId xmlns:a16="http://schemas.microsoft.com/office/drawing/2014/main" id="{00000000-0008-0000-0100-00002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4" name="Text Box 15"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5" name="Text Box 15">
          <a:extLst>
            <a:ext uri="{FF2B5EF4-FFF2-40B4-BE49-F238E27FC236}">
              <a16:creationId xmlns:a16="http://schemas.microsoft.com/office/drawing/2014/main" id="{00000000-0008-0000-0100-00002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6" name="Text Box 15">
          <a:extLst>
            <a:ext uri="{FF2B5EF4-FFF2-40B4-BE49-F238E27FC236}">
              <a16:creationId xmlns:a16="http://schemas.microsoft.com/office/drawing/2014/main" id="{00000000-0008-0000-0100-00002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7" name="Text Box 15">
          <a:extLst>
            <a:ext uri="{FF2B5EF4-FFF2-40B4-BE49-F238E27FC236}">
              <a16:creationId xmlns:a16="http://schemas.microsoft.com/office/drawing/2014/main" id="{00000000-0008-0000-0100-00002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8" name="Text Box 15">
          <a:extLst>
            <a:ext uri="{FF2B5EF4-FFF2-40B4-BE49-F238E27FC236}">
              <a16:creationId xmlns:a16="http://schemas.microsoft.com/office/drawing/2014/main" id="{00000000-0008-0000-0100-00002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9" name="Text Box 15">
          <a:extLst>
            <a:ext uri="{FF2B5EF4-FFF2-40B4-BE49-F238E27FC236}">
              <a16:creationId xmlns:a16="http://schemas.microsoft.com/office/drawing/2014/main" id="{00000000-0008-0000-0100-00002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70" name="Text Box 15">
          <a:extLst>
            <a:ext uri="{FF2B5EF4-FFF2-40B4-BE49-F238E27FC236}">
              <a16:creationId xmlns:a16="http://schemas.microsoft.com/office/drawing/2014/main" id="{00000000-0008-0000-0100-00002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71" name="Text Box 15">
          <a:extLst>
            <a:ext uri="{FF2B5EF4-FFF2-40B4-BE49-F238E27FC236}">
              <a16:creationId xmlns:a16="http://schemas.microsoft.com/office/drawing/2014/main" id="{00000000-0008-0000-0100-00002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72" name="Text Box 15">
          <a:extLst>
            <a:ext uri="{FF2B5EF4-FFF2-40B4-BE49-F238E27FC236}">
              <a16:creationId xmlns:a16="http://schemas.microsoft.com/office/drawing/2014/main" id="{00000000-0008-0000-0100-00003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73" name="Text Box 15">
          <a:extLst>
            <a:ext uri="{FF2B5EF4-FFF2-40B4-BE49-F238E27FC236}">
              <a16:creationId xmlns:a16="http://schemas.microsoft.com/office/drawing/2014/main" id="{00000000-0008-0000-0100-00003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74" name="Text Box 15">
          <a:extLst>
            <a:ext uri="{FF2B5EF4-FFF2-40B4-BE49-F238E27FC236}">
              <a16:creationId xmlns:a16="http://schemas.microsoft.com/office/drawing/2014/main" id="{00000000-0008-0000-0100-00003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5" name="Text Box 15">
          <a:extLst>
            <a:ext uri="{FF2B5EF4-FFF2-40B4-BE49-F238E27FC236}">
              <a16:creationId xmlns:a16="http://schemas.microsoft.com/office/drawing/2014/main" id="{00000000-0008-0000-0100-00003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6" name="Text Box 15">
          <a:extLst>
            <a:ext uri="{FF2B5EF4-FFF2-40B4-BE49-F238E27FC236}">
              <a16:creationId xmlns:a16="http://schemas.microsoft.com/office/drawing/2014/main" id="{00000000-0008-0000-0100-00003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7" name="Text Box 15">
          <a:extLst>
            <a:ext uri="{FF2B5EF4-FFF2-40B4-BE49-F238E27FC236}">
              <a16:creationId xmlns:a16="http://schemas.microsoft.com/office/drawing/2014/main" id="{00000000-0008-0000-0100-00003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8" name="Text Box 15">
          <a:extLst>
            <a:ext uri="{FF2B5EF4-FFF2-40B4-BE49-F238E27FC236}">
              <a16:creationId xmlns:a16="http://schemas.microsoft.com/office/drawing/2014/main" id="{00000000-0008-0000-0100-00003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9" name="Text Box 15">
          <a:extLst>
            <a:ext uri="{FF2B5EF4-FFF2-40B4-BE49-F238E27FC236}">
              <a16:creationId xmlns:a16="http://schemas.microsoft.com/office/drawing/2014/main" id="{00000000-0008-0000-0100-00003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0" name="Text Box 15">
          <a:extLst>
            <a:ext uri="{FF2B5EF4-FFF2-40B4-BE49-F238E27FC236}">
              <a16:creationId xmlns:a16="http://schemas.microsoft.com/office/drawing/2014/main" id="{00000000-0008-0000-0100-00003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1" name="Text Box 15">
          <a:extLst>
            <a:ext uri="{FF2B5EF4-FFF2-40B4-BE49-F238E27FC236}">
              <a16:creationId xmlns:a16="http://schemas.microsoft.com/office/drawing/2014/main" id="{00000000-0008-0000-0100-00003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2" name="Text Box 15">
          <a:extLst>
            <a:ext uri="{FF2B5EF4-FFF2-40B4-BE49-F238E27FC236}">
              <a16:creationId xmlns:a16="http://schemas.microsoft.com/office/drawing/2014/main" id="{00000000-0008-0000-0100-00003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3" name="Text Box 15">
          <a:extLst>
            <a:ext uri="{FF2B5EF4-FFF2-40B4-BE49-F238E27FC236}">
              <a16:creationId xmlns:a16="http://schemas.microsoft.com/office/drawing/2014/main" id="{00000000-0008-0000-0100-00003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4" name="Text Box 15">
          <a:extLst>
            <a:ext uri="{FF2B5EF4-FFF2-40B4-BE49-F238E27FC236}">
              <a16:creationId xmlns:a16="http://schemas.microsoft.com/office/drawing/2014/main" id="{00000000-0008-0000-0100-00003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85" name="Text Box 15">
          <a:extLst>
            <a:ext uri="{FF2B5EF4-FFF2-40B4-BE49-F238E27FC236}">
              <a16:creationId xmlns:a16="http://schemas.microsoft.com/office/drawing/2014/main" id="{00000000-0008-0000-0100-00003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86" name="Text Box 15">
          <a:extLst>
            <a:ext uri="{FF2B5EF4-FFF2-40B4-BE49-F238E27FC236}">
              <a16:creationId xmlns:a16="http://schemas.microsoft.com/office/drawing/2014/main" id="{00000000-0008-0000-0100-00003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87" name="Text Box 15">
          <a:extLst>
            <a:ext uri="{FF2B5EF4-FFF2-40B4-BE49-F238E27FC236}">
              <a16:creationId xmlns:a16="http://schemas.microsoft.com/office/drawing/2014/main" id="{00000000-0008-0000-0100-00003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00000000-0008-0000-0100-00004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89" name="Text Box 15">
          <a:extLst>
            <a:ext uri="{FF2B5EF4-FFF2-40B4-BE49-F238E27FC236}">
              <a16:creationId xmlns:a16="http://schemas.microsoft.com/office/drawing/2014/main" id="{00000000-0008-0000-0100-00004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0" name="Text Box 15">
          <a:extLst>
            <a:ext uri="{FF2B5EF4-FFF2-40B4-BE49-F238E27FC236}">
              <a16:creationId xmlns:a16="http://schemas.microsoft.com/office/drawing/2014/main" id="{00000000-0008-0000-0100-00004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1" name="Text Box 15">
          <a:extLst>
            <a:ext uri="{FF2B5EF4-FFF2-40B4-BE49-F238E27FC236}">
              <a16:creationId xmlns:a16="http://schemas.microsoft.com/office/drawing/2014/main" id="{00000000-0008-0000-0100-00004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2" name="Text Box 15">
          <a:extLst>
            <a:ext uri="{FF2B5EF4-FFF2-40B4-BE49-F238E27FC236}">
              <a16:creationId xmlns:a16="http://schemas.microsoft.com/office/drawing/2014/main" id="{00000000-0008-0000-0100-00004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3" name="Text Box 15">
          <a:extLst>
            <a:ext uri="{FF2B5EF4-FFF2-40B4-BE49-F238E27FC236}">
              <a16:creationId xmlns:a16="http://schemas.microsoft.com/office/drawing/2014/main" id="{00000000-0008-0000-0100-00004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4" name="Text Box 15">
          <a:extLst>
            <a:ext uri="{FF2B5EF4-FFF2-40B4-BE49-F238E27FC236}">
              <a16:creationId xmlns:a16="http://schemas.microsoft.com/office/drawing/2014/main" id="{00000000-0008-0000-0100-00004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5" name="Text Box 15">
          <a:extLst>
            <a:ext uri="{FF2B5EF4-FFF2-40B4-BE49-F238E27FC236}">
              <a16:creationId xmlns:a16="http://schemas.microsoft.com/office/drawing/2014/main" id="{00000000-0008-0000-0100-00004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6" name="Text Box 15">
          <a:extLst>
            <a:ext uri="{FF2B5EF4-FFF2-40B4-BE49-F238E27FC236}">
              <a16:creationId xmlns:a16="http://schemas.microsoft.com/office/drawing/2014/main" id="{00000000-0008-0000-0100-00004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7" name="Text Box 15">
          <a:extLst>
            <a:ext uri="{FF2B5EF4-FFF2-40B4-BE49-F238E27FC236}">
              <a16:creationId xmlns:a16="http://schemas.microsoft.com/office/drawing/2014/main" id="{00000000-0008-0000-0100-00004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8" name="Text Box 15">
          <a:extLst>
            <a:ext uri="{FF2B5EF4-FFF2-40B4-BE49-F238E27FC236}">
              <a16:creationId xmlns:a16="http://schemas.microsoft.com/office/drawing/2014/main" id="{00000000-0008-0000-0100-00004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9" name="Text Box 15">
          <a:extLst>
            <a:ext uri="{FF2B5EF4-FFF2-40B4-BE49-F238E27FC236}">
              <a16:creationId xmlns:a16="http://schemas.microsoft.com/office/drawing/2014/main" id="{00000000-0008-0000-0100-00004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00" name="Text Box 15">
          <a:extLst>
            <a:ext uri="{FF2B5EF4-FFF2-40B4-BE49-F238E27FC236}">
              <a16:creationId xmlns:a16="http://schemas.microsoft.com/office/drawing/2014/main" id="{00000000-0008-0000-0100-00004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01" name="Text Box 15">
          <a:extLst>
            <a:ext uri="{FF2B5EF4-FFF2-40B4-BE49-F238E27FC236}">
              <a16:creationId xmlns:a16="http://schemas.microsoft.com/office/drawing/2014/main" id="{00000000-0008-0000-0100-00004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02" name="Text Box 15">
          <a:extLst>
            <a:ext uri="{FF2B5EF4-FFF2-40B4-BE49-F238E27FC236}">
              <a16:creationId xmlns:a16="http://schemas.microsoft.com/office/drawing/2014/main" id="{00000000-0008-0000-0100-00004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03" name="Text Box 15">
          <a:extLst>
            <a:ext uri="{FF2B5EF4-FFF2-40B4-BE49-F238E27FC236}">
              <a16:creationId xmlns:a16="http://schemas.microsoft.com/office/drawing/2014/main" id="{00000000-0008-0000-0100-00004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04" name="Text Box 15">
          <a:extLst>
            <a:ext uri="{FF2B5EF4-FFF2-40B4-BE49-F238E27FC236}">
              <a16:creationId xmlns:a16="http://schemas.microsoft.com/office/drawing/2014/main" id="{00000000-0008-0000-0100-00005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5" name="Text Box 15">
          <a:extLst>
            <a:ext uri="{FF2B5EF4-FFF2-40B4-BE49-F238E27FC236}">
              <a16:creationId xmlns:a16="http://schemas.microsoft.com/office/drawing/2014/main" id="{00000000-0008-0000-0100-00005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6" name="Text Box 15">
          <a:extLst>
            <a:ext uri="{FF2B5EF4-FFF2-40B4-BE49-F238E27FC236}">
              <a16:creationId xmlns:a16="http://schemas.microsoft.com/office/drawing/2014/main" id="{00000000-0008-0000-0100-00005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7" name="Text Box 15">
          <a:extLst>
            <a:ext uri="{FF2B5EF4-FFF2-40B4-BE49-F238E27FC236}">
              <a16:creationId xmlns:a16="http://schemas.microsoft.com/office/drawing/2014/main" id="{00000000-0008-0000-0100-00005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8" name="Text Box 15">
          <a:extLst>
            <a:ext uri="{FF2B5EF4-FFF2-40B4-BE49-F238E27FC236}">
              <a16:creationId xmlns:a16="http://schemas.microsoft.com/office/drawing/2014/main" id="{00000000-0008-0000-0100-00005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9" name="Text Box 15">
          <a:extLst>
            <a:ext uri="{FF2B5EF4-FFF2-40B4-BE49-F238E27FC236}">
              <a16:creationId xmlns:a16="http://schemas.microsoft.com/office/drawing/2014/main" id="{00000000-0008-0000-0100-00005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0" name="Text Box 15">
          <a:extLst>
            <a:ext uri="{FF2B5EF4-FFF2-40B4-BE49-F238E27FC236}">
              <a16:creationId xmlns:a16="http://schemas.microsoft.com/office/drawing/2014/main" id="{00000000-0008-0000-0100-00005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1" name="Text Box 15">
          <a:extLst>
            <a:ext uri="{FF2B5EF4-FFF2-40B4-BE49-F238E27FC236}">
              <a16:creationId xmlns:a16="http://schemas.microsoft.com/office/drawing/2014/main" id="{00000000-0008-0000-0100-00005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2" name="Text Box 15">
          <a:extLst>
            <a:ext uri="{FF2B5EF4-FFF2-40B4-BE49-F238E27FC236}">
              <a16:creationId xmlns:a16="http://schemas.microsoft.com/office/drawing/2014/main" id="{00000000-0008-0000-0100-00005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3" name="Text Box 15">
          <a:extLst>
            <a:ext uri="{FF2B5EF4-FFF2-40B4-BE49-F238E27FC236}">
              <a16:creationId xmlns:a16="http://schemas.microsoft.com/office/drawing/2014/main" id="{00000000-0008-0000-0100-00005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4" name="Text Box 15">
          <a:extLst>
            <a:ext uri="{FF2B5EF4-FFF2-40B4-BE49-F238E27FC236}">
              <a16:creationId xmlns:a16="http://schemas.microsoft.com/office/drawing/2014/main" id="{00000000-0008-0000-0100-00005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15" name="Text Box 15">
          <a:extLst>
            <a:ext uri="{FF2B5EF4-FFF2-40B4-BE49-F238E27FC236}">
              <a16:creationId xmlns:a16="http://schemas.microsoft.com/office/drawing/2014/main" id="{00000000-0008-0000-0100-00005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16" name="Text Box 15">
          <a:extLst>
            <a:ext uri="{FF2B5EF4-FFF2-40B4-BE49-F238E27FC236}">
              <a16:creationId xmlns:a16="http://schemas.microsoft.com/office/drawing/2014/main" id="{00000000-0008-0000-0100-00005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17" name="Text Box 15">
          <a:extLst>
            <a:ext uri="{FF2B5EF4-FFF2-40B4-BE49-F238E27FC236}">
              <a16:creationId xmlns:a16="http://schemas.microsoft.com/office/drawing/2014/main" id="{00000000-0008-0000-0100-00005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18" name="Text Box 15">
          <a:extLst>
            <a:ext uri="{FF2B5EF4-FFF2-40B4-BE49-F238E27FC236}">
              <a16:creationId xmlns:a16="http://schemas.microsoft.com/office/drawing/2014/main" id="{00000000-0008-0000-0100-00005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19" name="Text Box 15">
          <a:extLst>
            <a:ext uri="{FF2B5EF4-FFF2-40B4-BE49-F238E27FC236}">
              <a16:creationId xmlns:a16="http://schemas.microsoft.com/office/drawing/2014/main" id="{00000000-0008-0000-0100-00005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0" name="Text Box 15">
          <a:extLst>
            <a:ext uri="{FF2B5EF4-FFF2-40B4-BE49-F238E27FC236}">
              <a16:creationId xmlns:a16="http://schemas.microsoft.com/office/drawing/2014/main" id="{00000000-0008-0000-0100-00006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1" name="Text Box 15">
          <a:extLst>
            <a:ext uri="{FF2B5EF4-FFF2-40B4-BE49-F238E27FC236}">
              <a16:creationId xmlns:a16="http://schemas.microsoft.com/office/drawing/2014/main" id="{00000000-0008-0000-0100-00006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2" name="Text Box 15">
          <a:extLst>
            <a:ext uri="{FF2B5EF4-FFF2-40B4-BE49-F238E27FC236}">
              <a16:creationId xmlns:a16="http://schemas.microsoft.com/office/drawing/2014/main" id="{00000000-0008-0000-0100-00006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3" name="Text Box 15">
          <a:extLst>
            <a:ext uri="{FF2B5EF4-FFF2-40B4-BE49-F238E27FC236}">
              <a16:creationId xmlns:a16="http://schemas.microsoft.com/office/drawing/2014/main" id="{00000000-0008-0000-0100-00006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4" name="Text Box 15">
          <a:extLst>
            <a:ext uri="{FF2B5EF4-FFF2-40B4-BE49-F238E27FC236}">
              <a16:creationId xmlns:a16="http://schemas.microsoft.com/office/drawing/2014/main" id="{00000000-0008-0000-0100-00006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5" name="Text Box 15">
          <a:extLst>
            <a:ext uri="{FF2B5EF4-FFF2-40B4-BE49-F238E27FC236}">
              <a16:creationId xmlns:a16="http://schemas.microsoft.com/office/drawing/2014/main" id="{00000000-0008-0000-0100-00006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6" name="Text Box 15">
          <a:extLst>
            <a:ext uri="{FF2B5EF4-FFF2-40B4-BE49-F238E27FC236}">
              <a16:creationId xmlns:a16="http://schemas.microsoft.com/office/drawing/2014/main" id="{00000000-0008-0000-0100-00006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7" name="Text Box 15">
          <a:extLst>
            <a:ext uri="{FF2B5EF4-FFF2-40B4-BE49-F238E27FC236}">
              <a16:creationId xmlns:a16="http://schemas.microsoft.com/office/drawing/2014/main" id="{00000000-0008-0000-0100-00006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8" name="Text Box 15">
          <a:extLst>
            <a:ext uri="{FF2B5EF4-FFF2-40B4-BE49-F238E27FC236}">
              <a16:creationId xmlns:a16="http://schemas.microsoft.com/office/drawing/2014/main" id="{00000000-0008-0000-0100-00006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9" name="Text Box 15">
          <a:extLst>
            <a:ext uri="{FF2B5EF4-FFF2-40B4-BE49-F238E27FC236}">
              <a16:creationId xmlns:a16="http://schemas.microsoft.com/office/drawing/2014/main" id="{00000000-0008-0000-0100-00006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30" name="Text Box 15">
          <a:extLst>
            <a:ext uri="{FF2B5EF4-FFF2-40B4-BE49-F238E27FC236}">
              <a16:creationId xmlns:a16="http://schemas.microsoft.com/office/drawing/2014/main" id="{00000000-0008-0000-0100-00006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31" name="Text Box 15">
          <a:extLst>
            <a:ext uri="{FF2B5EF4-FFF2-40B4-BE49-F238E27FC236}">
              <a16:creationId xmlns:a16="http://schemas.microsoft.com/office/drawing/2014/main" id="{00000000-0008-0000-0100-00006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32" name="Text Box 15">
          <a:extLst>
            <a:ext uri="{FF2B5EF4-FFF2-40B4-BE49-F238E27FC236}">
              <a16:creationId xmlns:a16="http://schemas.microsoft.com/office/drawing/2014/main" id="{00000000-0008-0000-0100-00006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3" name="Text Box 15">
          <a:extLst>
            <a:ext uri="{FF2B5EF4-FFF2-40B4-BE49-F238E27FC236}">
              <a16:creationId xmlns:a16="http://schemas.microsoft.com/office/drawing/2014/main" id="{00000000-0008-0000-0100-00006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4" name="Text Box 15">
          <a:extLst>
            <a:ext uri="{FF2B5EF4-FFF2-40B4-BE49-F238E27FC236}">
              <a16:creationId xmlns:a16="http://schemas.microsoft.com/office/drawing/2014/main" id="{00000000-0008-0000-0100-00006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5" name="Text Box 15">
          <a:extLst>
            <a:ext uri="{FF2B5EF4-FFF2-40B4-BE49-F238E27FC236}">
              <a16:creationId xmlns:a16="http://schemas.microsoft.com/office/drawing/2014/main" id="{00000000-0008-0000-0100-00006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6" name="Text Box 15">
          <a:extLst>
            <a:ext uri="{FF2B5EF4-FFF2-40B4-BE49-F238E27FC236}">
              <a16:creationId xmlns:a16="http://schemas.microsoft.com/office/drawing/2014/main" id="{00000000-0008-0000-0100-00007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7" name="Text Box 15">
          <a:extLst>
            <a:ext uri="{FF2B5EF4-FFF2-40B4-BE49-F238E27FC236}">
              <a16:creationId xmlns:a16="http://schemas.microsoft.com/office/drawing/2014/main" id="{00000000-0008-0000-0100-00007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8" name="Text Box 15">
          <a:extLst>
            <a:ext uri="{FF2B5EF4-FFF2-40B4-BE49-F238E27FC236}">
              <a16:creationId xmlns:a16="http://schemas.microsoft.com/office/drawing/2014/main" id="{00000000-0008-0000-0100-00007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9" name="Text Box 15">
          <a:extLst>
            <a:ext uri="{FF2B5EF4-FFF2-40B4-BE49-F238E27FC236}">
              <a16:creationId xmlns:a16="http://schemas.microsoft.com/office/drawing/2014/main" id="{00000000-0008-0000-0100-00007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0" name="Text Box 15">
          <a:extLst>
            <a:ext uri="{FF2B5EF4-FFF2-40B4-BE49-F238E27FC236}">
              <a16:creationId xmlns:a16="http://schemas.microsoft.com/office/drawing/2014/main" id="{00000000-0008-0000-0100-00007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1" name="Text Box 15">
          <a:extLst>
            <a:ext uri="{FF2B5EF4-FFF2-40B4-BE49-F238E27FC236}">
              <a16:creationId xmlns:a16="http://schemas.microsoft.com/office/drawing/2014/main" id="{00000000-0008-0000-0100-00007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2" name="Text Box 15">
          <a:extLst>
            <a:ext uri="{FF2B5EF4-FFF2-40B4-BE49-F238E27FC236}">
              <a16:creationId xmlns:a16="http://schemas.microsoft.com/office/drawing/2014/main" id="{00000000-0008-0000-0100-00007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43" name="Text Box 15">
          <a:extLst>
            <a:ext uri="{FF2B5EF4-FFF2-40B4-BE49-F238E27FC236}">
              <a16:creationId xmlns:a16="http://schemas.microsoft.com/office/drawing/2014/main" id="{00000000-0008-0000-0100-00007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44" name="Text Box 15">
          <a:extLst>
            <a:ext uri="{FF2B5EF4-FFF2-40B4-BE49-F238E27FC236}">
              <a16:creationId xmlns:a16="http://schemas.microsoft.com/office/drawing/2014/main" id="{00000000-0008-0000-0100-00007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45" name="Text Box 15">
          <a:extLst>
            <a:ext uri="{FF2B5EF4-FFF2-40B4-BE49-F238E27FC236}">
              <a16:creationId xmlns:a16="http://schemas.microsoft.com/office/drawing/2014/main" id="{00000000-0008-0000-0100-00007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46" name="Text Box 15">
          <a:extLst>
            <a:ext uri="{FF2B5EF4-FFF2-40B4-BE49-F238E27FC236}">
              <a16:creationId xmlns:a16="http://schemas.microsoft.com/office/drawing/2014/main" id="{00000000-0008-0000-0100-00007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47" name="Text Box 15">
          <a:extLst>
            <a:ext uri="{FF2B5EF4-FFF2-40B4-BE49-F238E27FC236}">
              <a16:creationId xmlns:a16="http://schemas.microsoft.com/office/drawing/2014/main" id="{00000000-0008-0000-0100-00007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8" name="Text Box 15">
          <a:extLst>
            <a:ext uri="{FF2B5EF4-FFF2-40B4-BE49-F238E27FC236}">
              <a16:creationId xmlns:a16="http://schemas.microsoft.com/office/drawing/2014/main" id="{00000000-0008-0000-0100-00007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9" name="Text Box 15">
          <a:extLst>
            <a:ext uri="{FF2B5EF4-FFF2-40B4-BE49-F238E27FC236}">
              <a16:creationId xmlns:a16="http://schemas.microsoft.com/office/drawing/2014/main" id="{00000000-0008-0000-0100-00007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0" name="Text Box 15">
          <a:extLst>
            <a:ext uri="{FF2B5EF4-FFF2-40B4-BE49-F238E27FC236}">
              <a16:creationId xmlns:a16="http://schemas.microsoft.com/office/drawing/2014/main" id="{00000000-0008-0000-0100-00007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1" name="Text Box 15">
          <a:extLst>
            <a:ext uri="{FF2B5EF4-FFF2-40B4-BE49-F238E27FC236}">
              <a16:creationId xmlns:a16="http://schemas.microsoft.com/office/drawing/2014/main" id="{00000000-0008-0000-0100-00007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2" name="Text Box 15">
          <a:extLst>
            <a:ext uri="{FF2B5EF4-FFF2-40B4-BE49-F238E27FC236}">
              <a16:creationId xmlns:a16="http://schemas.microsoft.com/office/drawing/2014/main" id="{00000000-0008-0000-0100-00008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3" name="Text Box 15">
          <a:extLst>
            <a:ext uri="{FF2B5EF4-FFF2-40B4-BE49-F238E27FC236}">
              <a16:creationId xmlns:a16="http://schemas.microsoft.com/office/drawing/2014/main" id="{00000000-0008-0000-0100-00008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4" name="Text Box 15">
          <a:extLst>
            <a:ext uri="{FF2B5EF4-FFF2-40B4-BE49-F238E27FC236}">
              <a16:creationId xmlns:a16="http://schemas.microsoft.com/office/drawing/2014/main" id="{00000000-0008-0000-0100-00008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5" name="Text Box 15">
          <a:extLst>
            <a:ext uri="{FF2B5EF4-FFF2-40B4-BE49-F238E27FC236}">
              <a16:creationId xmlns:a16="http://schemas.microsoft.com/office/drawing/2014/main" id="{00000000-0008-0000-0100-00008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6" name="Text Box 15">
          <a:extLst>
            <a:ext uri="{FF2B5EF4-FFF2-40B4-BE49-F238E27FC236}">
              <a16:creationId xmlns:a16="http://schemas.microsoft.com/office/drawing/2014/main" id="{00000000-0008-0000-0100-00008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7" name="Text Box 15">
          <a:extLst>
            <a:ext uri="{FF2B5EF4-FFF2-40B4-BE49-F238E27FC236}">
              <a16:creationId xmlns:a16="http://schemas.microsoft.com/office/drawing/2014/main" id="{00000000-0008-0000-0100-00008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58" name="Text Box 15">
          <a:extLst>
            <a:ext uri="{FF2B5EF4-FFF2-40B4-BE49-F238E27FC236}">
              <a16:creationId xmlns:a16="http://schemas.microsoft.com/office/drawing/2014/main" id="{00000000-0008-0000-0100-00008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59" name="Text Box 15">
          <a:extLst>
            <a:ext uri="{FF2B5EF4-FFF2-40B4-BE49-F238E27FC236}">
              <a16:creationId xmlns:a16="http://schemas.microsoft.com/office/drawing/2014/main" id="{00000000-0008-0000-0100-00008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60" name="Text Box 15">
          <a:extLst>
            <a:ext uri="{FF2B5EF4-FFF2-40B4-BE49-F238E27FC236}">
              <a16:creationId xmlns:a16="http://schemas.microsoft.com/office/drawing/2014/main" id="{00000000-0008-0000-0100-00008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61" name="Text Box 15">
          <a:extLst>
            <a:ext uri="{FF2B5EF4-FFF2-40B4-BE49-F238E27FC236}">
              <a16:creationId xmlns:a16="http://schemas.microsoft.com/office/drawing/2014/main" id="{00000000-0008-0000-0100-00008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62" name="Text Box 15">
          <a:extLst>
            <a:ext uri="{FF2B5EF4-FFF2-40B4-BE49-F238E27FC236}">
              <a16:creationId xmlns:a16="http://schemas.microsoft.com/office/drawing/2014/main" id="{00000000-0008-0000-0100-00008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3" name="Text Box 15">
          <a:extLst>
            <a:ext uri="{FF2B5EF4-FFF2-40B4-BE49-F238E27FC236}">
              <a16:creationId xmlns:a16="http://schemas.microsoft.com/office/drawing/2014/main" id="{00000000-0008-0000-0100-00008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4" name="Text Box 15">
          <a:extLst>
            <a:ext uri="{FF2B5EF4-FFF2-40B4-BE49-F238E27FC236}">
              <a16:creationId xmlns:a16="http://schemas.microsoft.com/office/drawing/2014/main" id="{00000000-0008-0000-0100-00008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5" name="Text Box 15">
          <a:extLst>
            <a:ext uri="{FF2B5EF4-FFF2-40B4-BE49-F238E27FC236}">
              <a16:creationId xmlns:a16="http://schemas.microsoft.com/office/drawing/2014/main" id="{00000000-0008-0000-0100-00008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6" name="Text Box 15">
          <a:extLst>
            <a:ext uri="{FF2B5EF4-FFF2-40B4-BE49-F238E27FC236}">
              <a16:creationId xmlns:a16="http://schemas.microsoft.com/office/drawing/2014/main" id="{00000000-0008-0000-0100-00008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7" name="Text Box 15">
          <a:extLst>
            <a:ext uri="{FF2B5EF4-FFF2-40B4-BE49-F238E27FC236}">
              <a16:creationId xmlns:a16="http://schemas.microsoft.com/office/drawing/2014/main" id="{00000000-0008-0000-0100-00008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8" name="Text Box 15">
          <a:extLst>
            <a:ext uri="{FF2B5EF4-FFF2-40B4-BE49-F238E27FC236}">
              <a16:creationId xmlns:a16="http://schemas.microsoft.com/office/drawing/2014/main" id="{00000000-0008-0000-0100-00009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9" name="Text Box 15">
          <a:extLst>
            <a:ext uri="{FF2B5EF4-FFF2-40B4-BE49-F238E27FC236}">
              <a16:creationId xmlns:a16="http://schemas.microsoft.com/office/drawing/2014/main" id="{00000000-0008-0000-0100-00009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70" name="Text Box 15">
          <a:extLst>
            <a:ext uri="{FF2B5EF4-FFF2-40B4-BE49-F238E27FC236}">
              <a16:creationId xmlns:a16="http://schemas.microsoft.com/office/drawing/2014/main" id="{00000000-0008-0000-0100-00009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71" name="Text Box 15">
          <a:extLst>
            <a:ext uri="{FF2B5EF4-FFF2-40B4-BE49-F238E27FC236}">
              <a16:creationId xmlns:a16="http://schemas.microsoft.com/office/drawing/2014/main" id="{00000000-0008-0000-0100-00009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72" name="Text Box 15">
          <a:extLst>
            <a:ext uri="{FF2B5EF4-FFF2-40B4-BE49-F238E27FC236}">
              <a16:creationId xmlns:a16="http://schemas.microsoft.com/office/drawing/2014/main" id="{00000000-0008-0000-0100-00009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73" name="Text Box 15">
          <a:extLst>
            <a:ext uri="{FF2B5EF4-FFF2-40B4-BE49-F238E27FC236}">
              <a16:creationId xmlns:a16="http://schemas.microsoft.com/office/drawing/2014/main" id="{00000000-0008-0000-0100-00009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74" name="Text Box 15">
          <a:extLst>
            <a:ext uri="{FF2B5EF4-FFF2-40B4-BE49-F238E27FC236}">
              <a16:creationId xmlns:a16="http://schemas.microsoft.com/office/drawing/2014/main" id="{00000000-0008-0000-0100-00009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75" name="Text Box 15">
          <a:extLst>
            <a:ext uri="{FF2B5EF4-FFF2-40B4-BE49-F238E27FC236}">
              <a16:creationId xmlns:a16="http://schemas.microsoft.com/office/drawing/2014/main" id="{00000000-0008-0000-0100-00009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76" name="Text Box 15">
          <a:extLst>
            <a:ext uri="{FF2B5EF4-FFF2-40B4-BE49-F238E27FC236}">
              <a16:creationId xmlns:a16="http://schemas.microsoft.com/office/drawing/2014/main" id="{00000000-0008-0000-0100-00009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77" name="Text Box 15">
          <a:extLst>
            <a:ext uri="{FF2B5EF4-FFF2-40B4-BE49-F238E27FC236}">
              <a16:creationId xmlns:a16="http://schemas.microsoft.com/office/drawing/2014/main" id="{00000000-0008-0000-0100-00009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78" name="Text Box 15">
          <a:extLst>
            <a:ext uri="{FF2B5EF4-FFF2-40B4-BE49-F238E27FC236}">
              <a16:creationId xmlns:a16="http://schemas.microsoft.com/office/drawing/2014/main" id="{00000000-0008-0000-0100-00009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79" name="Text Box 15">
          <a:extLst>
            <a:ext uri="{FF2B5EF4-FFF2-40B4-BE49-F238E27FC236}">
              <a16:creationId xmlns:a16="http://schemas.microsoft.com/office/drawing/2014/main" id="{00000000-0008-0000-0100-00009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0" name="Text Box 15">
          <a:extLst>
            <a:ext uri="{FF2B5EF4-FFF2-40B4-BE49-F238E27FC236}">
              <a16:creationId xmlns:a16="http://schemas.microsoft.com/office/drawing/2014/main" id="{00000000-0008-0000-0100-00009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1" name="Text Box 15">
          <a:extLst>
            <a:ext uri="{FF2B5EF4-FFF2-40B4-BE49-F238E27FC236}">
              <a16:creationId xmlns:a16="http://schemas.microsoft.com/office/drawing/2014/main" id="{00000000-0008-0000-0100-00009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2" name="Text Box 15">
          <a:extLst>
            <a:ext uri="{FF2B5EF4-FFF2-40B4-BE49-F238E27FC236}">
              <a16:creationId xmlns:a16="http://schemas.microsoft.com/office/drawing/2014/main" id="{00000000-0008-0000-0100-00009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3" name="Text Box 15">
          <a:extLst>
            <a:ext uri="{FF2B5EF4-FFF2-40B4-BE49-F238E27FC236}">
              <a16:creationId xmlns:a16="http://schemas.microsoft.com/office/drawing/2014/main" id="{00000000-0008-0000-0100-00009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4" name="Text Box 15">
          <a:extLst>
            <a:ext uri="{FF2B5EF4-FFF2-40B4-BE49-F238E27FC236}">
              <a16:creationId xmlns:a16="http://schemas.microsoft.com/office/drawing/2014/main" id="{00000000-0008-0000-0100-0000A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5" name="Text Box 15">
          <a:extLst>
            <a:ext uri="{FF2B5EF4-FFF2-40B4-BE49-F238E27FC236}">
              <a16:creationId xmlns:a16="http://schemas.microsoft.com/office/drawing/2014/main" id="{00000000-0008-0000-0100-0000A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6" name="Text Box 15">
          <a:extLst>
            <a:ext uri="{FF2B5EF4-FFF2-40B4-BE49-F238E27FC236}">
              <a16:creationId xmlns:a16="http://schemas.microsoft.com/office/drawing/2014/main" id="{00000000-0008-0000-0100-0000A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7" name="Text Box 15">
          <a:extLst>
            <a:ext uri="{FF2B5EF4-FFF2-40B4-BE49-F238E27FC236}">
              <a16:creationId xmlns:a16="http://schemas.microsoft.com/office/drawing/2014/main" id="{00000000-0008-0000-0100-0000A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88" name="Text Box 15">
          <a:extLst>
            <a:ext uri="{FF2B5EF4-FFF2-40B4-BE49-F238E27FC236}">
              <a16:creationId xmlns:a16="http://schemas.microsoft.com/office/drawing/2014/main" id="{00000000-0008-0000-0100-0000A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89" name="Text Box 15">
          <a:extLst>
            <a:ext uri="{FF2B5EF4-FFF2-40B4-BE49-F238E27FC236}">
              <a16:creationId xmlns:a16="http://schemas.microsoft.com/office/drawing/2014/main" id="{00000000-0008-0000-0100-0000A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90" name="Text Box 15">
          <a:extLst>
            <a:ext uri="{FF2B5EF4-FFF2-40B4-BE49-F238E27FC236}">
              <a16:creationId xmlns:a16="http://schemas.microsoft.com/office/drawing/2014/main" id="{00000000-0008-0000-0100-0000A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91" name="Text Box 15">
          <a:extLst>
            <a:ext uri="{FF2B5EF4-FFF2-40B4-BE49-F238E27FC236}">
              <a16:creationId xmlns:a16="http://schemas.microsoft.com/office/drawing/2014/main" id="{00000000-0008-0000-0100-0000A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92" name="Text Box 15">
          <a:extLst>
            <a:ext uri="{FF2B5EF4-FFF2-40B4-BE49-F238E27FC236}">
              <a16:creationId xmlns:a16="http://schemas.microsoft.com/office/drawing/2014/main" id="{00000000-0008-0000-0100-0000A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3" name="Text Box 15">
          <a:extLst>
            <a:ext uri="{FF2B5EF4-FFF2-40B4-BE49-F238E27FC236}">
              <a16:creationId xmlns:a16="http://schemas.microsoft.com/office/drawing/2014/main" id="{00000000-0008-0000-0100-0000A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4" name="Text Box 15">
          <a:extLst>
            <a:ext uri="{FF2B5EF4-FFF2-40B4-BE49-F238E27FC236}">
              <a16:creationId xmlns:a16="http://schemas.microsoft.com/office/drawing/2014/main" id="{00000000-0008-0000-0100-0000A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5" name="Text Box 15">
          <a:extLst>
            <a:ext uri="{FF2B5EF4-FFF2-40B4-BE49-F238E27FC236}">
              <a16:creationId xmlns:a16="http://schemas.microsoft.com/office/drawing/2014/main" id="{00000000-0008-0000-0100-0000A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6" name="Text Box 15">
          <a:extLst>
            <a:ext uri="{FF2B5EF4-FFF2-40B4-BE49-F238E27FC236}">
              <a16:creationId xmlns:a16="http://schemas.microsoft.com/office/drawing/2014/main" id="{00000000-0008-0000-0100-0000A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7" name="Text Box 15">
          <a:extLst>
            <a:ext uri="{FF2B5EF4-FFF2-40B4-BE49-F238E27FC236}">
              <a16:creationId xmlns:a16="http://schemas.microsoft.com/office/drawing/2014/main" id="{00000000-0008-0000-0100-0000A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8" name="Text Box 15">
          <a:extLst>
            <a:ext uri="{FF2B5EF4-FFF2-40B4-BE49-F238E27FC236}">
              <a16:creationId xmlns:a16="http://schemas.microsoft.com/office/drawing/2014/main" id="{00000000-0008-0000-0100-0000A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9" name="Text Box 15">
          <a:extLst>
            <a:ext uri="{FF2B5EF4-FFF2-40B4-BE49-F238E27FC236}">
              <a16:creationId xmlns:a16="http://schemas.microsoft.com/office/drawing/2014/main" id="{00000000-0008-0000-0100-0000A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0" name="Text Box 15">
          <a:extLst>
            <a:ext uri="{FF2B5EF4-FFF2-40B4-BE49-F238E27FC236}">
              <a16:creationId xmlns:a16="http://schemas.microsoft.com/office/drawing/2014/main" id="{00000000-0008-0000-0100-0000B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1" name="Text Box 15">
          <a:extLst>
            <a:ext uri="{FF2B5EF4-FFF2-40B4-BE49-F238E27FC236}">
              <a16:creationId xmlns:a16="http://schemas.microsoft.com/office/drawing/2014/main" id="{00000000-0008-0000-0100-0000B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2" name="Text Box 15">
          <a:extLst>
            <a:ext uri="{FF2B5EF4-FFF2-40B4-BE49-F238E27FC236}">
              <a16:creationId xmlns:a16="http://schemas.microsoft.com/office/drawing/2014/main" id="{00000000-0008-0000-0100-0000B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203" name="Text Box 15">
          <a:extLst>
            <a:ext uri="{FF2B5EF4-FFF2-40B4-BE49-F238E27FC236}">
              <a16:creationId xmlns:a16="http://schemas.microsoft.com/office/drawing/2014/main" id="{00000000-0008-0000-0100-0000B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204" name="Text Box 15">
          <a:extLst>
            <a:ext uri="{FF2B5EF4-FFF2-40B4-BE49-F238E27FC236}">
              <a16:creationId xmlns:a16="http://schemas.microsoft.com/office/drawing/2014/main" id="{00000000-0008-0000-0100-0000B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205" name="Text Box 15">
          <a:extLst>
            <a:ext uri="{FF2B5EF4-FFF2-40B4-BE49-F238E27FC236}">
              <a16:creationId xmlns:a16="http://schemas.microsoft.com/office/drawing/2014/main" id="{00000000-0008-0000-0100-0000B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206" name="Text Box 15">
          <a:extLst>
            <a:ext uri="{FF2B5EF4-FFF2-40B4-BE49-F238E27FC236}">
              <a16:creationId xmlns:a16="http://schemas.microsoft.com/office/drawing/2014/main" id="{00000000-0008-0000-0100-0000B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207" name="Text Box 15">
          <a:extLst>
            <a:ext uri="{FF2B5EF4-FFF2-40B4-BE49-F238E27FC236}">
              <a16:creationId xmlns:a16="http://schemas.microsoft.com/office/drawing/2014/main" id="{00000000-0008-0000-0100-0000B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8" name="Text Box 15">
          <a:extLst>
            <a:ext uri="{FF2B5EF4-FFF2-40B4-BE49-F238E27FC236}">
              <a16:creationId xmlns:a16="http://schemas.microsoft.com/office/drawing/2014/main" id="{00000000-0008-0000-0100-0000B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9" name="Text Box 15">
          <a:extLst>
            <a:ext uri="{FF2B5EF4-FFF2-40B4-BE49-F238E27FC236}">
              <a16:creationId xmlns:a16="http://schemas.microsoft.com/office/drawing/2014/main" id="{00000000-0008-0000-0100-0000B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0" name="Text Box 15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1" name="Text Box 15">
          <a:extLst>
            <a:ext uri="{FF2B5EF4-FFF2-40B4-BE49-F238E27FC236}">
              <a16:creationId xmlns:a16="http://schemas.microsoft.com/office/drawing/2014/main" id="{00000000-0008-0000-0100-0000B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2" name="Text Box 15">
          <a:extLst>
            <a:ext uri="{FF2B5EF4-FFF2-40B4-BE49-F238E27FC236}">
              <a16:creationId xmlns:a16="http://schemas.microsoft.com/office/drawing/2014/main" id="{00000000-0008-0000-0100-0000B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3" name="Text Box 15">
          <a:extLst>
            <a:ext uri="{FF2B5EF4-FFF2-40B4-BE49-F238E27FC236}">
              <a16:creationId xmlns:a16="http://schemas.microsoft.com/office/drawing/2014/main" id="{00000000-0008-0000-0100-0000B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4" name="Text Box 15">
          <a:extLst>
            <a:ext uri="{FF2B5EF4-FFF2-40B4-BE49-F238E27FC236}">
              <a16:creationId xmlns:a16="http://schemas.microsoft.com/office/drawing/2014/main" id="{00000000-0008-0000-0100-0000B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5" name="Text Box 15">
          <a:extLst>
            <a:ext uri="{FF2B5EF4-FFF2-40B4-BE49-F238E27FC236}">
              <a16:creationId xmlns:a16="http://schemas.microsoft.com/office/drawing/2014/main" id="{00000000-0008-0000-0100-0000B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6" name="Text Box 15">
          <a:extLst>
            <a:ext uri="{FF2B5EF4-FFF2-40B4-BE49-F238E27FC236}">
              <a16:creationId xmlns:a16="http://schemas.microsoft.com/office/drawing/2014/main" id="{00000000-0008-0000-0100-0000C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7" name="Text Box 15">
          <a:extLst>
            <a:ext uri="{FF2B5EF4-FFF2-40B4-BE49-F238E27FC236}">
              <a16:creationId xmlns:a16="http://schemas.microsoft.com/office/drawing/2014/main" id="{00000000-0008-0000-0100-0000C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8" name="Text Box 15">
          <a:extLst>
            <a:ext uri="{FF2B5EF4-FFF2-40B4-BE49-F238E27FC236}">
              <a16:creationId xmlns:a16="http://schemas.microsoft.com/office/drawing/2014/main" id="{00000000-0008-0000-0100-0000C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9" name="Text Box 15">
          <a:extLst>
            <a:ext uri="{FF2B5EF4-FFF2-40B4-BE49-F238E27FC236}">
              <a16:creationId xmlns:a16="http://schemas.microsoft.com/office/drawing/2014/main" id="{00000000-0008-0000-0100-0000C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0" name="Text Box 15">
          <a:extLst>
            <a:ext uri="{FF2B5EF4-FFF2-40B4-BE49-F238E27FC236}">
              <a16:creationId xmlns:a16="http://schemas.microsoft.com/office/drawing/2014/main" id="{00000000-0008-0000-0100-0000C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1" name="Text Box 15">
          <a:extLst>
            <a:ext uri="{FF2B5EF4-FFF2-40B4-BE49-F238E27FC236}">
              <a16:creationId xmlns:a16="http://schemas.microsoft.com/office/drawing/2014/main" id="{00000000-0008-0000-0100-0000C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2" name="Text Box 15">
          <a:extLst>
            <a:ext uri="{FF2B5EF4-FFF2-40B4-BE49-F238E27FC236}">
              <a16:creationId xmlns:a16="http://schemas.microsoft.com/office/drawing/2014/main" id="{00000000-0008-0000-0100-0000C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3" name="Text Box 15">
          <a:extLst>
            <a:ext uri="{FF2B5EF4-FFF2-40B4-BE49-F238E27FC236}">
              <a16:creationId xmlns:a16="http://schemas.microsoft.com/office/drawing/2014/main" id="{00000000-0008-0000-0100-0000C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4" name="Text Box 15">
          <a:extLst>
            <a:ext uri="{FF2B5EF4-FFF2-40B4-BE49-F238E27FC236}">
              <a16:creationId xmlns:a16="http://schemas.microsoft.com/office/drawing/2014/main" id="{00000000-0008-0000-0100-0000C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5" name="Text Box 15">
          <a:extLst>
            <a:ext uri="{FF2B5EF4-FFF2-40B4-BE49-F238E27FC236}">
              <a16:creationId xmlns:a16="http://schemas.microsoft.com/office/drawing/2014/main" id="{00000000-0008-0000-0100-0000C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6" name="Text Box 15">
          <a:extLst>
            <a:ext uri="{FF2B5EF4-FFF2-40B4-BE49-F238E27FC236}">
              <a16:creationId xmlns:a16="http://schemas.microsoft.com/office/drawing/2014/main" id="{00000000-0008-0000-0100-0000C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7" name="Text Box 15">
          <a:extLst>
            <a:ext uri="{FF2B5EF4-FFF2-40B4-BE49-F238E27FC236}">
              <a16:creationId xmlns:a16="http://schemas.microsoft.com/office/drawing/2014/main" id="{00000000-0008-0000-0100-0000C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8" name="Text Box 15">
          <a:extLst>
            <a:ext uri="{FF2B5EF4-FFF2-40B4-BE49-F238E27FC236}">
              <a16:creationId xmlns:a16="http://schemas.microsoft.com/office/drawing/2014/main" id="{00000000-0008-0000-0100-0000C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9" name="Text Box 15">
          <a:extLst>
            <a:ext uri="{FF2B5EF4-FFF2-40B4-BE49-F238E27FC236}">
              <a16:creationId xmlns:a16="http://schemas.microsoft.com/office/drawing/2014/main" id="{00000000-0008-0000-0100-0000C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0" name="Text Box 15">
          <a:extLst>
            <a:ext uri="{FF2B5EF4-FFF2-40B4-BE49-F238E27FC236}">
              <a16:creationId xmlns:a16="http://schemas.microsoft.com/office/drawing/2014/main" id="{00000000-0008-0000-0100-0000C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1" name="Text Box 15">
          <a:extLst>
            <a:ext uri="{FF2B5EF4-FFF2-40B4-BE49-F238E27FC236}">
              <a16:creationId xmlns:a16="http://schemas.microsoft.com/office/drawing/2014/main" id="{00000000-0008-0000-0100-0000C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2" name="Text Box 15">
          <a:extLst>
            <a:ext uri="{FF2B5EF4-FFF2-40B4-BE49-F238E27FC236}">
              <a16:creationId xmlns:a16="http://schemas.microsoft.com/office/drawing/2014/main" id="{00000000-0008-0000-0100-0000D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3" name="Text Box 15">
          <a:extLst>
            <a:ext uri="{FF2B5EF4-FFF2-40B4-BE49-F238E27FC236}">
              <a16:creationId xmlns:a16="http://schemas.microsoft.com/office/drawing/2014/main" id="{00000000-0008-0000-0100-0000D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4" name="Text Box 15">
          <a:extLst>
            <a:ext uri="{FF2B5EF4-FFF2-40B4-BE49-F238E27FC236}">
              <a16:creationId xmlns:a16="http://schemas.microsoft.com/office/drawing/2014/main" id="{00000000-0008-0000-0100-0000D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5" name="Text Box 15">
          <a:extLst>
            <a:ext uri="{FF2B5EF4-FFF2-40B4-BE49-F238E27FC236}">
              <a16:creationId xmlns:a16="http://schemas.microsoft.com/office/drawing/2014/main" id="{00000000-0008-0000-0100-0000D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6" name="Text Box 15">
          <a:extLst>
            <a:ext uri="{FF2B5EF4-FFF2-40B4-BE49-F238E27FC236}">
              <a16:creationId xmlns:a16="http://schemas.microsoft.com/office/drawing/2014/main" id="{00000000-0008-0000-0100-0000D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7" name="Text Box 15">
          <a:extLst>
            <a:ext uri="{FF2B5EF4-FFF2-40B4-BE49-F238E27FC236}">
              <a16:creationId xmlns:a16="http://schemas.microsoft.com/office/drawing/2014/main" id="{00000000-0008-0000-0100-0000D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8" name="Text Box 15">
          <a:extLst>
            <a:ext uri="{FF2B5EF4-FFF2-40B4-BE49-F238E27FC236}">
              <a16:creationId xmlns:a16="http://schemas.microsoft.com/office/drawing/2014/main" id="{00000000-0008-0000-0100-0000D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9" name="Text Box 15">
          <a:extLst>
            <a:ext uri="{FF2B5EF4-FFF2-40B4-BE49-F238E27FC236}">
              <a16:creationId xmlns:a16="http://schemas.microsoft.com/office/drawing/2014/main" id="{00000000-0008-0000-0100-0000D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0" name="Text Box 15">
          <a:extLst>
            <a:ext uri="{FF2B5EF4-FFF2-40B4-BE49-F238E27FC236}">
              <a16:creationId xmlns:a16="http://schemas.microsoft.com/office/drawing/2014/main" id="{00000000-0008-0000-0100-0000D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1" name="Text Box 15">
          <a:extLst>
            <a:ext uri="{FF2B5EF4-FFF2-40B4-BE49-F238E27FC236}">
              <a16:creationId xmlns:a16="http://schemas.microsoft.com/office/drawing/2014/main" id="{00000000-0008-0000-0100-0000D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2" name="Text Box 15">
          <a:extLst>
            <a:ext uri="{FF2B5EF4-FFF2-40B4-BE49-F238E27FC236}">
              <a16:creationId xmlns:a16="http://schemas.microsoft.com/office/drawing/2014/main" id="{00000000-0008-0000-0100-0000D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3" name="Text Box 15">
          <a:extLst>
            <a:ext uri="{FF2B5EF4-FFF2-40B4-BE49-F238E27FC236}">
              <a16:creationId xmlns:a16="http://schemas.microsoft.com/office/drawing/2014/main" id="{00000000-0008-0000-0100-0000D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4" name="Text Box 15">
          <a:extLst>
            <a:ext uri="{FF2B5EF4-FFF2-40B4-BE49-F238E27FC236}">
              <a16:creationId xmlns:a16="http://schemas.microsoft.com/office/drawing/2014/main" id="{00000000-0008-0000-0100-0000D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5" name="Text Box 15">
          <a:extLst>
            <a:ext uri="{FF2B5EF4-FFF2-40B4-BE49-F238E27FC236}">
              <a16:creationId xmlns:a16="http://schemas.microsoft.com/office/drawing/2014/main" id="{00000000-0008-0000-0100-0000D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6" name="Text Box 15">
          <a:extLst>
            <a:ext uri="{FF2B5EF4-FFF2-40B4-BE49-F238E27FC236}">
              <a16:creationId xmlns:a16="http://schemas.microsoft.com/office/drawing/2014/main" id="{00000000-0008-0000-0100-0000D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7" name="Text Box 15">
          <a:extLst>
            <a:ext uri="{FF2B5EF4-FFF2-40B4-BE49-F238E27FC236}">
              <a16:creationId xmlns:a16="http://schemas.microsoft.com/office/drawing/2014/main" id="{00000000-0008-0000-0100-0000D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8" name="Text Box 15">
          <a:extLst>
            <a:ext uri="{FF2B5EF4-FFF2-40B4-BE49-F238E27FC236}">
              <a16:creationId xmlns:a16="http://schemas.microsoft.com/office/drawing/2014/main" id="{00000000-0008-0000-0100-0000E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9" name="Text Box 15">
          <a:extLst>
            <a:ext uri="{FF2B5EF4-FFF2-40B4-BE49-F238E27FC236}">
              <a16:creationId xmlns:a16="http://schemas.microsoft.com/office/drawing/2014/main" id="{00000000-0008-0000-0100-0000E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0" name="Text Box 15">
          <a:extLst>
            <a:ext uri="{FF2B5EF4-FFF2-40B4-BE49-F238E27FC236}">
              <a16:creationId xmlns:a16="http://schemas.microsoft.com/office/drawing/2014/main" id="{00000000-0008-0000-0100-0000E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1" name="Text Box 15">
          <a:extLst>
            <a:ext uri="{FF2B5EF4-FFF2-40B4-BE49-F238E27FC236}">
              <a16:creationId xmlns:a16="http://schemas.microsoft.com/office/drawing/2014/main" id="{00000000-0008-0000-0100-0000E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2" name="Text Box 15">
          <a:extLst>
            <a:ext uri="{FF2B5EF4-FFF2-40B4-BE49-F238E27FC236}">
              <a16:creationId xmlns:a16="http://schemas.microsoft.com/office/drawing/2014/main" id="{00000000-0008-0000-0100-0000E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3" name="Text Box 15">
          <a:extLst>
            <a:ext uri="{FF2B5EF4-FFF2-40B4-BE49-F238E27FC236}">
              <a16:creationId xmlns:a16="http://schemas.microsoft.com/office/drawing/2014/main" id="{00000000-0008-0000-0100-0000E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4" name="Text Box 15">
          <a:extLst>
            <a:ext uri="{FF2B5EF4-FFF2-40B4-BE49-F238E27FC236}">
              <a16:creationId xmlns:a16="http://schemas.microsoft.com/office/drawing/2014/main" id="{00000000-0008-0000-0100-0000E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5" name="Text Box 15">
          <a:extLst>
            <a:ext uri="{FF2B5EF4-FFF2-40B4-BE49-F238E27FC236}">
              <a16:creationId xmlns:a16="http://schemas.microsoft.com/office/drawing/2014/main" id="{00000000-0008-0000-0100-0000E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6" name="Text Box 15">
          <a:extLst>
            <a:ext uri="{FF2B5EF4-FFF2-40B4-BE49-F238E27FC236}">
              <a16:creationId xmlns:a16="http://schemas.microsoft.com/office/drawing/2014/main" id="{00000000-0008-0000-0100-0000E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7" name="Text Box 15">
          <a:extLst>
            <a:ext uri="{FF2B5EF4-FFF2-40B4-BE49-F238E27FC236}">
              <a16:creationId xmlns:a16="http://schemas.microsoft.com/office/drawing/2014/main" id="{00000000-0008-0000-0100-0000E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8" name="Text Box 15">
          <a:extLst>
            <a:ext uri="{FF2B5EF4-FFF2-40B4-BE49-F238E27FC236}">
              <a16:creationId xmlns:a16="http://schemas.microsoft.com/office/drawing/2014/main" id="{00000000-0008-0000-0100-0000E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9" name="Text Box 15">
          <a:extLst>
            <a:ext uri="{FF2B5EF4-FFF2-40B4-BE49-F238E27FC236}">
              <a16:creationId xmlns:a16="http://schemas.microsoft.com/office/drawing/2014/main" id="{00000000-0008-0000-0100-0000E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0" name="Text Box 15">
          <a:extLst>
            <a:ext uri="{FF2B5EF4-FFF2-40B4-BE49-F238E27FC236}">
              <a16:creationId xmlns:a16="http://schemas.microsoft.com/office/drawing/2014/main" id="{00000000-0008-0000-0100-0000E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1" name="Text Box 15">
          <a:extLst>
            <a:ext uri="{FF2B5EF4-FFF2-40B4-BE49-F238E27FC236}">
              <a16:creationId xmlns:a16="http://schemas.microsoft.com/office/drawing/2014/main" id="{00000000-0008-0000-0100-0000E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2" name="Text Box 15">
          <a:extLst>
            <a:ext uri="{FF2B5EF4-FFF2-40B4-BE49-F238E27FC236}">
              <a16:creationId xmlns:a16="http://schemas.microsoft.com/office/drawing/2014/main" id="{00000000-0008-0000-0100-0000E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3" name="Text Box 15">
          <a:extLst>
            <a:ext uri="{FF2B5EF4-FFF2-40B4-BE49-F238E27FC236}">
              <a16:creationId xmlns:a16="http://schemas.microsoft.com/office/drawing/2014/main" id="{00000000-0008-0000-0100-0000E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4" name="Text Box 15">
          <a:extLst>
            <a:ext uri="{FF2B5EF4-FFF2-40B4-BE49-F238E27FC236}">
              <a16:creationId xmlns:a16="http://schemas.microsoft.com/office/drawing/2014/main" id="{00000000-0008-0000-0100-0000F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5" name="Text Box 15">
          <a:extLst>
            <a:ext uri="{FF2B5EF4-FFF2-40B4-BE49-F238E27FC236}">
              <a16:creationId xmlns:a16="http://schemas.microsoft.com/office/drawing/2014/main" id="{00000000-0008-0000-0100-0000F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6" name="Text Box 15">
          <a:extLst>
            <a:ext uri="{FF2B5EF4-FFF2-40B4-BE49-F238E27FC236}">
              <a16:creationId xmlns:a16="http://schemas.microsoft.com/office/drawing/2014/main" id="{00000000-0008-0000-0100-0000F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7" name="Text Box 15">
          <a:extLst>
            <a:ext uri="{FF2B5EF4-FFF2-40B4-BE49-F238E27FC236}">
              <a16:creationId xmlns:a16="http://schemas.microsoft.com/office/drawing/2014/main" id="{00000000-0008-0000-0100-0000F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8" name="Text Box 15">
          <a:extLst>
            <a:ext uri="{FF2B5EF4-FFF2-40B4-BE49-F238E27FC236}">
              <a16:creationId xmlns:a16="http://schemas.microsoft.com/office/drawing/2014/main" id="{00000000-0008-0000-0100-0000F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9" name="Text Box 15">
          <a:extLst>
            <a:ext uri="{FF2B5EF4-FFF2-40B4-BE49-F238E27FC236}">
              <a16:creationId xmlns:a16="http://schemas.microsoft.com/office/drawing/2014/main" id="{00000000-0008-0000-0100-0000F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70" name="Text Box 15">
          <a:extLst>
            <a:ext uri="{FF2B5EF4-FFF2-40B4-BE49-F238E27FC236}">
              <a16:creationId xmlns:a16="http://schemas.microsoft.com/office/drawing/2014/main" id="{00000000-0008-0000-0100-0000F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71" name="Text Box 15">
          <a:extLst>
            <a:ext uri="{FF2B5EF4-FFF2-40B4-BE49-F238E27FC236}">
              <a16:creationId xmlns:a16="http://schemas.microsoft.com/office/drawing/2014/main" id="{00000000-0008-0000-0100-0000F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72" name="Text Box 15">
          <a:extLst>
            <a:ext uri="{FF2B5EF4-FFF2-40B4-BE49-F238E27FC236}">
              <a16:creationId xmlns:a16="http://schemas.microsoft.com/office/drawing/2014/main" id="{00000000-0008-0000-0100-0000F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73" name="Text Box 15">
          <a:extLst>
            <a:ext uri="{FF2B5EF4-FFF2-40B4-BE49-F238E27FC236}">
              <a16:creationId xmlns:a16="http://schemas.microsoft.com/office/drawing/2014/main" id="{00000000-0008-0000-0100-0000F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74" name="Text Box 15">
          <a:extLst>
            <a:ext uri="{FF2B5EF4-FFF2-40B4-BE49-F238E27FC236}">
              <a16:creationId xmlns:a16="http://schemas.microsoft.com/office/drawing/2014/main" id="{00000000-0008-0000-0100-0000F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75" name="Text Box 15">
          <a:extLst>
            <a:ext uri="{FF2B5EF4-FFF2-40B4-BE49-F238E27FC236}">
              <a16:creationId xmlns:a16="http://schemas.microsoft.com/office/drawing/2014/main" id="{00000000-0008-0000-0100-0000F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76" name="Text Box 15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77" name="Text Box 15">
          <a:extLst>
            <a:ext uri="{FF2B5EF4-FFF2-40B4-BE49-F238E27FC236}">
              <a16:creationId xmlns:a16="http://schemas.microsoft.com/office/drawing/2014/main" id="{00000000-0008-0000-0100-0000F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78" name="Text Box 15">
          <a:extLst>
            <a:ext uri="{FF2B5EF4-FFF2-40B4-BE49-F238E27FC236}">
              <a16:creationId xmlns:a16="http://schemas.microsoft.com/office/drawing/2014/main" id="{00000000-0008-0000-0100-0000F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79" name="Text Box 15">
          <a:extLst>
            <a:ext uri="{FF2B5EF4-FFF2-40B4-BE49-F238E27FC236}">
              <a16:creationId xmlns:a16="http://schemas.microsoft.com/office/drawing/2014/main" id="{00000000-0008-0000-0100-0000F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0" name="Text Box 15">
          <a:extLst>
            <a:ext uri="{FF2B5EF4-FFF2-40B4-BE49-F238E27FC236}">
              <a16:creationId xmlns:a16="http://schemas.microsoft.com/office/drawing/2014/main" id="{00000000-0008-0000-0100-00000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1" name="Text Box 15">
          <a:extLst>
            <a:ext uri="{FF2B5EF4-FFF2-40B4-BE49-F238E27FC236}">
              <a16:creationId xmlns:a16="http://schemas.microsoft.com/office/drawing/2014/main" id="{00000000-0008-0000-0100-00000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2" name="Text Box 15">
          <a:extLst>
            <a:ext uri="{FF2B5EF4-FFF2-40B4-BE49-F238E27FC236}">
              <a16:creationId xmlns:a16="http://schemas.microsoft.com/office/drawing/2014/main" id="{00000000-0008-0000-0100-00000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3" name="Text Box 15">
          <a:extLst>
            <a:ext uri="{FF2B5EF4-FFF2-40B4-BE49-F238E27FC236}">
              <a16:creationId xmlns:a16="http://schemas.microsoft.com/office/drawing/2014/main" id="{00000000-0008-0000-0100-00000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4" name="Text Box 15">
          <a:extLst>
            <a:ext uri="{FF2B5EF4-FFF2-40B4-BE49-F238E27FC236}">
              <a16:creationId xmlns:a16="http://schemas.microsoft.com/office/drawing/2014/main" id="{00000000-0008-0000-0100-00000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5" name="Text Box 15">
          <a:extLst>
            <a:ext uri="{FF2B5EF4-FFF2-40B4-BE49-F238E27FC236}">
              <a16:creationId xmlns:a16="http://schemas.microsoft.com/office/drawing/2014/main" id="{00000000-0008-0000-0100-00000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86" name="Text Box 15">
          <a:extLst>
            <a:ext uri="{FF2B5EF4-FFF2-40B4-BE49-F238E27FC236}">
              <a16:creationId xmlns:a16="http://schemas.microsoft.com/office/drawing/2014/main" id="{00000000-0008-0000-0100-00000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87" name="Text Box 15">
          <a:extLst>
            <a:ext uri="{FF2B5EF4-FFF2-40B4-BE49-F238E27FC236}">
              <a16:creationId xmlns:a16="http://schemas.microsoft.com/office/drawing/2014/main" id="{00000000-0008-0000-0100-00000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88" name="Text Box 15">
          <a:extLst>
            <a:ext uri="{FF2B5EF4-FFF2-40B4-BE49-F238E27FC236}">
              <a16:creationId xmlns:a16="http://schemas.microsoft.com/office/drawing/2014/main" id="{00000000-0008-0000-0100-00000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89" name="Text Box 15">
          <a:extLst>
            <a:ext uri="{FF2B5EF4-FFF2-40B4-BE49-F238E27FC236}">
              <a16:creationId xmlns:a16="http://schemas.microsoft.com/office/drawing/2014/main" id="{00000000-0008-0000-0100-00000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90" name="Text Box 15">
          <a:extLst>
            <a:ext uri="{FF2B5EF4-FFF2-40B4-BE49-F238E27FC236}">
              <a16:creationId xmlns:a16="http://schemas.microsoft.com/office/drawing/2014/main" id="{00000000-0008-0000-0100-00000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1" name="Text Box 15">
          <a:extLst>
            <a:ext uri="{FF2B5EF4-FFF2-40B4-BE49-F238E27FC236}">
              <a16:creationId xmlns:a16="http://schemas.microsoft.com/office/drawing/2014/main" id="{00000000-0008-0000-0100-00000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2" name="Text Box 15">
          <a:extLst>
            <a:ext uri="{FF2B5EF4-FFF2-40B4-BE49-F238E27FC236}">
              <a16:creationId xmlns:a16="http://schemas.microsoft.com/office/drawing/2014/main" id="{00000000-0008-0000-0100-00000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3" name="Text Box 15">
          <a:extLst>
            <a:ext uri="{FF2B5EF4-FFF2-40B4-BE49-F238E27FC236}">
              <a16:creationId xmlns:a16="http://schemas.microsoft.com/office/drawing/2014/main" id="{00000000-0008-0000-0100-00000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4" name="Text Box 15">
          <a:extLst>
            <a:ext uri="{FF2B5EF4-FFF2-40B4-BE49-F238E27FC236}">
              <a16:creationId xmlns:a16="http://schemas.microsoft.com/office/drawing/2014/main" id="{00000000-0008-0000-0100-00000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5" name="Text Box 15">
          <a:extLst>
            <a:ext uri="{FF2B5EF4-FFF2-40B4-BE49-F238E27FC236}">
              <a16:creationId xmlns:a16="http://schemas.microsoft.com/office/drawing/2014/main" id="{00000000-0008-0000-0100-00000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6" name="Text Box 15">
          <a:extLst>
            <a:ext uri="{FF2B5EF4-FFF2-40B4-BE49-F238E27FC236}">
              <a16:creationId xmlns:a16="http://schemas.microsoft.com/office/drawing/2014/main" id="{00000000-0008-0000-0100-00001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7" name="Text Box 15">
          <a:extLst>
            <a:ext uri="{FF2B5EF4-FFF2-40B4-BE49-F238E27FC236}">
              <a16:creationId xmlns:a16="http://schemas.microsoft.com/office/drawing/2014/main" id="{00000000-0008-0000-0100-00001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8" name="Text Box 15">
          <a:extLst>
            <a:ext uri="{FF2B5EF4-FFF2-40B4-BE49-F238E27FC236}">
              <a16:creationId xmlns:a16="http://schemas.microsoft.com/office/drawing/2014/main" id="{00000000-0008-0000-0100-00001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9" name="Text Box 15">
          <a:extLst>
            <a:ext uri="{FF2B5EF4-FFF2-40B4-BE49-F238E27FC236}">
              <a16:creationId xmlns:a16="http://schemas.microsoft.com/office/drawing/2014/main" id="{00000000-0008-0000-0100-00001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00" name="Text Box 15">
          <a:extLst>
            <a:ext uri="{FF2B5EF4-FFF2-40B4-BE49-F238E27FC236}">
              <a16:creationId xmlns:a16="http://schemas.microsoft.com/office/drawing/2014/main" id="{00000000-0008-0000-0100-00001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01" name="Text Box 15">
          <a:extLst>
            <a:ext uri="{FF2B5EF4-FFF2-40B4-BE49-F238E27FC236}">
              <a16:creationId xmlns:a16="http://schemas.microsoft.com/office/drawing/2014/main" id="{00000000-0008-0000-0100-00001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02" name="Text Box 15">
          <a:extLst>
            <a:ext uri="{FF2B5EF4-FFF2-40B4-BE49-F238E27FC236}">
              <a16:creationId xmlns:a16="http://schemas.microsoft.com/office/drawing/2014/main" id="{00000000-0008-0000-0100-00001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03" name="Text Box 15">
          <a:extLst>
            <a:ext uri="{FF2B5EF4-FFF2-40B4-BE49-F238E27FC236}">
              <a16:creationId xmlns:a16="http://schemas.microsoft.com/office/drawing/2014/main" id="{00000000-0008-0000-0100-00001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04" name="Text Box 15">
          <a:extLst>
            <a:ext uri="{FF2B5EF4-FFF2-40B4-BE49-F238E27FC236}">
              <a16:creationId xmlns:a16="http://schemas.microsoft.com/office/drawing/2014/main" id="{00000000-0008-0000-0100-00001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05" name="Text Box 15">
          <a:extLst>
            <a:ext uri="{FF2B5EF4-FFF2-40B4-BE49-F238E27FC236}">
              <a16:creationId xmlns:a16="http://schemas.microsoft.com/office/drawing/2014/main" id="{00000000-0008-0000-0100-00001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06" name="Text Box 15">
          <a:extLst>
            <a:ext uri="{FF2B5EF4-FFF2-40B4-BE49-F238E27FC236}">
              <a16:creationId xmlns:a16="http://schemas.microsoft.com/office/drawing/2014/main" id="{00000000-0008-0000-0100-00001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07" name="Text Box 15">
          <a:extLst>
            <a:ext uri="{FF2B5EF4-FFF2-40B4-BE49-F238E27FC236}">
              <a16:creationId xmlns:a16="http://schemas.microsoft.com/office/drawing/2014/main" id="{00000000-0008-0000-0100-00001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08" name="Text Box 15">
          <a:extLst>
            <a:ext uri="{FF2B5EF4-FFF2-40B4-BE49-F238E27FC236}">
              <a16:creationId xmlns:a16="http://schemas.microsoft.com/office/drawing/2014/main" id="{00000000-0008-0000-0100-00001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09" name="Text Box 15">
          <a:extLst>
            <a:ext uri="{FF2B5EF4-FFF2-40B4-BE49-F238E27FC236}">
              <a16:creationId xmlns:a16="http://schemas.microsoft.com/office/drawing/2014/main" id="{00000000-0008-0000-0100-00001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0" name="Text Box 15">
          <a:extLst>
            <a:ext uri="{FF2B5EF4-FFF2-40B4-BE49-F238E27FC236}">
              <a16:creationId xmlns:a16="http://schemas.microsoft.com/office/drawing/2014/main" id="{00000000-0008-0000-0100-00001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1" name="Text Box 15">
          <a:extLst>
            <a:ext uri="{FF2B5EF4-FFF2-40B4-BE49-F238E27FC236}">
              <a16:creationId xmlns:a16="http://schemas.microsoft.com/office/drawing/2014/main" id="{00000000-0008-0000-0100-00001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2" name="Text Box 15">
          <a:extLst>
            <a:ext uri="{FF2B5EF4-FFF2-40B4-BE49-F238E27FC236}">
              <a16:creationId xmlns:a16="http://schemas.microsoft.com/office/drawing/2014/main" id="{00000000-0008-0000-0100-00002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3" name="Text Box 15">
          <a:extLst>
            <a:ext uri="{FF2B5EF4-FFF2-40B4-BE49-F238E27FC236}">
              <a16:creationId xmlns:a16="http://schemas.microsoft.com/office/drawing/2014/main" id="{00000000-0008-0000-0100-00002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4" name="Text Box 15">
          <a:extLst>
            <a:ext uri="{FF2B5EF4-FFF2-40B4-BE49-F238E27FC236}">
              <a16:creationId xmlns:a16="http://schemas.microsoft.com/office/drawing/2014/main" id="{00000000-0008-0000-0100-00002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5" name="Text Box 15">
          <a:extLst>
            <a:ext uri="{FF2B5EF4-FFF2-40B4-BE49-F238E27FC236}">
              <a16:creationId xmlns:a16="http://schemas.microsoft.com/office/drawing/2014/main" id="{00000000-0008-0000-0100-00002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16" name="Text Box 15">
          <a:extLst>
            <a:ext uri="{FF2B5EF4-FFF2-40B4-BE49-F238E27FC236}">
              <a16:creationId xmlns:a16="http://schemas.microsoft.com/office/drawing/2014/main" id="{00000000-0008-0000-0100-00002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17" name="Text Box 15">
          <a:extLst>
            <a:ext uri="{FF2B5EF4-FFF2-40B4-BE49-F238E27FC236}">
              <a16:creationId xmlns:a16="http://schemas.microsoft.com/office/drawing/2014/main" id="{00000000-0008-0000-0100-00002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18" name="Text Box 15">
          <a:extLst>
            <a:ext uri="{FF2B5EF4-FFF2-40B4-BE49-F238E27FC236}">
              <a16:creationId xmlns:a16="http://schemas.microsoft.com/office/drawing/2014/main" id="{00000000-0008-0000-0100-00002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19" name="Text Box 15">
          <a:extLst>
            <a:ext uri="{FF2B5EF4-FFF2-40B4-BE49-F238E27FC236}">
              <a16:creationId xmlns:a16="http://schemas.microsoft.com/office/drawing/2014/main" id="{00000000-0008-0000-0100-00002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20" name="Text Box 15">
          <a:extLst>
            <a:ext uri="{FF2B5EF4-FFF2-40B4-BE49-F238E27FC236}">
              <a16:creationId xmlns:a16="http://schemas.microsoft.com/office/drawing/2014/main" id="{00000000-0008-0000-0100-00002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1" name="Text Box 15">
          <a:extLst>
            <a:ext uri="{FF2B5EF4-FFF2-40B4-BE49-F238E27FC236}">
              <a16:creationId xmlns:a16="http://schemas.microsoft.com/office/drawing/2014/main" id="{00000000-0008-0000-0100-00002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2" name="Text Box 15">
          <a:extLst>
            <a:ext uri="{FF2B5EF4-FFF2-40B4-BE49-F238E27FC236}">
              <a16:creationId xmlns:a16="http://schemas.microsoft.com/office/drawing/2014/main" id="{00000000-0008-0000-0100-00002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3" name="Text Box 15">
          <a:extLst>
            <a:ext uri="{FF2B5EF4-FFF2-40B4-BE49-F238E27FC236}">
              <a16:creationId xmlns:a16="http://schemas.microsoft.com/office/drawing/2014/main" id="{00000000-0008-0000-0100-00002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4" name="Text Box 15">
          <a:extLst>
            <a:ext uri="{FF2B5EF4-FFF2-40B4-BE49-F238E27FC236}">
              <a16:creationId xmlns:a16="http://schemas.microsoft.com/office/drawing/2014/main" id="{00000000-0008-0000-0100-00002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5" name="Text Box 15">
          <a:extLst>
            <a:ext uri="{FF2B5EF4-FFF2-40B4-BE49-F238E27FC236}">
              <a16:creationId xmlns:a16="http://schemas.microsoft.com/office/drawing/2014/main" id="{00000000-0008-0000-0100-00002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6" name="Text Box 15">
          <a:extLst>
            <a:ext uri="{FF2B5EF4-FFF2-40B4-BE49-F238E27FC236}">
              <a16:creationId xmlns:a16="http://schemas.microsoft.com/office/drawing/2014/main" id="{00000000-0008-0000-0100-00002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7" name="Text Box 15">
          <a:extLst>
            <a:ext uri="{FF2B5EF4-FFF2-40B4-BE49-F238E27FC236}">
              <a16:creationId xmlns:a16="http://schemas.microsoft.com/office/drawing/2014/main" id="{00000000-0008-0000-0100-00002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8" name="Text Box 15">
          <a:extLst>
            <a:ext uri="{FF2B5EF4-FFF2-40B4-BE49-F238E27FC236}">
              <a16:creationId xmlns:a16="http://schemas.microsoft.com/office/drawing/2014/main" id="{00000000-0008-0000-0100-00003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9" name="Text Box 15">
          <a:extLst>
            <a:ext uri="{FF2B5EF4-FFF2-40B4-BE49-F238E27FC236}">
              <a16:creationId xmlns:a16="http://schemas.microsoft.com/office/drawing/2014/main" id="{00000000-0008-0000-0100-00003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30" name="Text Box 15">
          <a:extLst>
            <a:ext uri="{FF2B5EF4-FFF2-40B4-BE49-F238E27FC236}">
              <a16:creationId xmlns:a16="http://schemas.microsoft.com/office/drawing/2014/main" id="{00000000-0008-0000-0100-00003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31" name="Text Box 15">
          <a:extLst>
            <a:ext uri="{FF2B5EF4-FFF2-40B4-BE49-F238E27FC236}">
              <a16:creationId xmlns:a16="http://schemas.microsoft.com/office/drawing/2014/main" id="{00000000-0008-0000-0100-00003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32" name="Text Box 15">
          <a:extLst>
            <a:ext uri="{FF2B5EF4-FFF2-40B4-BE49-F238E27FC236}">
              <a16:creationId xmlns:a16="http://schemas.microsoft.com/office/drawing/2014/main" id="{00000000-0008-0000-0100-00003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33" name="Text Box 15">
          <a:extLst>
            <a:ext uri="{FF2B5EF4-FFF2-40B4-BE49-F238E27FC236}">
              <a16:creationId xmlns:a16="http://schemas.microsoft.com/office/drawing/2014/main" id="{00000000-0008-0000-0100-00003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34" name="Text Box 15">
          <a:extLst>
            <a:ext uri="{FF2B5EF4-FFF2-40B4-BE49-F238E27FC236}">
              <a16:creationId xmlns:a16="http://schemas.microsoft.com/office/drawing/2014/main" id="{00000000-0008-0000-0100-00003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35" name="Text Box 15">
          <a:extLst>
            <a:ext uri="{FF2B5EF4-FFF2-40B4-BE49-F238E27FC236}">
              <a16:creationId xmlns:a16="http://schemas.microsoft.com/office/drawing/2014/main" id="{00000000-0008-0000-0100-00003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36" name="Text Box 15">
          <a:extLst>
            <a:ext uri="{FF2B5EF4-FFF2-40B4-BE49-F238E27FC236}">
              <a16:creationId xmlns:a16="http://schemas.microsoft.com/office/drawing/2014/main" id="{00000000-0008-0000-0100-00003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37" name="Text Box 15">
          <a:extLst>
            <a:ext uri="{FF2B5EF4-FFF2-40B4-BE49-F238E27FC236}">
              <a16:creationId xmlns:a16="http://schemas.microsoft.com/office/drawing/2014/main" id="{00000000-0008-0000-0100-00003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38" name="Text Box 15">
          <a:extLst>
            <a:ext uri="{FF2B5EF4-FFF2-40B4-BE49-F238E27FC236}">
              <a16:creationId xmlns:a16="http://schemas.microsoft.com/office/drawing/2014/main" id="{00000000-0008-0000-0100-00003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39" name="Text Box 15">
          <a:extLst>
            <a:ext uri="{FF2B5EF4-FFF2-40B4-BE49-F238E27FC236}">
              <a16:creationId xmlns:a16="http://schemas.microsoft.com/office/drawing/2014/main" id="{00000000-0008-0000-0100-00003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0" name="Text Box 15">
          <a:extLst>
            <a:ext uri="{FF2B5EF4-FFF2-40B4-BE49-F238E27FC236}">
              <a16:creationId xmlns:a16="http://schemas.microsoft.com/office/drawing/2014/main" id="{00000000-0008-0000-0100-00003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1" name="Text Box 15">
          <a:extLst>
            <a:ext uri="{FF2B5EF4-FFF2-40B4-BE49-F238E27FC236}">
              <a16:creationId xmlns:a16="http://schemas.microsoft.com/office/drawing/2014/main" id="{00000000-0008-0000-0100-00003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2" name="Text Box 15">
          <a:extLst>
            <a:ext uri="{FF2B5EF4-FFF2-40B4-BE49-F238E27FC236}">
              <a16:creationId xmlns:a16="http://schemas.microsoft.com/office/drawing/2014/main" id="{00000000-0008-0000-0100-00003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3" name="Text Box 15">
          <a:extLst>
            <a:ext uri="{FF2B5EF4-FFF2-40B4-BE49-F238E27FC236}">
              <a16:creationId xmlns:a16="http://schemas.microsoft.com/office/drawing/2014/main" id="{00000000-0008-0000-0100-00003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4" name="Text Box 15">
          <a:extLst>
            <a:ext uri="{FF2B5EF4-FFF2-40B4-BE49-F238E27FC236}">
              <a16:creationId xmlns:a16="http://schemas.microsoft.com/office/drawing/2014/main" id="{00000000-0008-0000-0100-00004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5" name="Text Box 15">
          <a:extLst>
            <a:ext uri="{FF2B5EF4-FFF2-40B4-BE49-F238E27FC236}">
              <a16:creationId xmlns:a16="http://schemas.microsoft.com/office/drawing/2014/main" id="{00000000-0008-0000-0100-00004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46" name="Text Box 15">
          <a:extLst>
            <a:ext uri="{FF2B5EF4-FFF2-40B4-BE49-F238E27FC236}">
              <a16:creationId xmlns:a16="http://schemas.microsoft.com/office/drawing/2014/main" id="{00000000-0008-0000-0100-00004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47" name="Text Box 15">
          <a:extLst>
            <a:ext uri="{FF2B5EF4-FFF2-40B4-BE49-F238E27FC236}">
              <a16:creationId xmlns:a16="http://schemas.microsoft.com/office/drawing/2014/main" id="{00000000-0008-0000-0100-00004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48" name="Text Box 15">
          <a:extLst>
            <a:ext uri="{FF2B5EF4-FFF2-40B4-BE49-F238E27FC236}">
              <a16:creationId xmlns:a16="http://schemas.microsoft.com/office/drawing/2014/main" id="{00000000-0008-0000-0100-00004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49" name="Text Box 15">
          <a:extLst>
            <a:ext uri="{FF2B5EF4-FFF2-40B4-BE49-F238E27FC236}">
              <a16:creationId xmlns:a16="http://schemas.microsoft.com/office/drawing/2014/main" id="{00000000-0008-0000-0100-00004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50" name="Text Box 15">
          <a:extLst>
            <a:ext uri="{FF2B5EF4-FFF2-40B4-BE49-F238E27FC236}">
              <a16:creationId xmlns:a16="http://schemas.microsoft.com/office/drawing/2014/main" id="{00000000-0008-0000-0100-00004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1" name="Text Box 15">
          <a:extLst>
            <a:ext uri="{FF2B5EF4-FFF2-40B4-BE49-F238E27FC236}">
              <a16:creationId xmlns:a16="http://schemas.microsoft.com/office/drawing/2014/main" id="{00000000-0008-0000-0100-00004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2" name="Text Box 15">
          <a:extLst>
            <a:ext uri="{FF2B5EF4-FFF2-40B4-BE49-F238E27FC236}">
              <a16:creationId xmlns:a16="http://schemas.microsoft.com/office/drawing/2014/main" id="{00000000-0008-0000-0100-00004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3" name="Text Box 15">
          <a:extLst>
            <a:ext uri="{FF2B5EF4-FFF2-40B4-BE49-F238E27FC236}">
              <a16:creationId xmlns:a16="http://schemas.microsoft.com/office/drawing/2014/main" id="{00000000-0008-0000-0100-00004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4" name="Text Box 15">
          <a:extLst>
            <a:ext uri="{FF2B5EF4-FFF2-40B4-BE49-F238E27FC236}">
              <a16:creationId xmlns:a16="http://schemas.microsoft.com/office/drawing/2014/main" id="{00000000-0008-0000-0100-00004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5" name="Text Box 15">
          <a:extLst>
            <a:ext uri="{FF2B5EF4-FFF2-40B4-BE49-F238E27FC236}">
              <a16:creationId xmlns:a16="http://schemas.microsoft.com/office/drawing/2014/main" id="{00000000-0008-0000-0100-00004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6" name="Text Box 15">
          <a:extLst>
            <a:ext uri="{FF2B5EF4-FFF2-40B4-BE49-F238E27FC236}">
              <a16:creationId xmlns:a16="http://schemas.microsoft.com/office/drawing/2014/main" id="{00000000-0008-0000-0100-00004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7" name="Text Box 15">
          <a:extLst>
            <a:ext uri="{FF2B5EF4-FFF2-40B4-BE49-F238E27FC236}">
              <a16:creationId xmlns:a16="http://schemas.microsoft.com/office/drawing/2014/main" id="{00000000-0008-0000-0100-00004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8" name="Text Box 15">
          <a:extLst>
            <a:ext uri="{FF2B5EF4-FFF2-40B4-BE49-F238E27FC236}">
              <a16:creationId xmlns:a16="http://schemas.microsoft.com/office/drawing/2014/main" id="{00000000-0008-0000-0100-00004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9" name="Text Box 15">
          <a:extLst>
            <a:ext uri="{FF2B5EF4-FFF2-40B4-BE49-F238E27FC236}">
              <a16:creationId xmlns:a16="http://schemas.microsoft.com/office/drawing/2014/main" id="{00000000-0008-0000-0100-00004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60" name="Text Box 15">
          <a:extLst>
            <a:ext uri="{FF2B5EF4-FFF2-40B4-BE49-F238E27FC236}">
              <a16:creationId xmlns:a16="http://schemas.microsoft.com/office/drawing/2014/main" id="{00000000-0008-0000-0100-00005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1" name="Text Box 15">
          <a:extLst>
            <a:ext uri="{FF2B5EF4-FFF2-40B4-BE49-F238E27FC236}">
              <a16:creationId xmlns:a16="http://schemas.microsoft.com/office/drawing/2014/main" id="{00000000-0008-0000-0100-00005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2" name="Text Box 15">
          <a:extLst>
            <a:ext uri="{FF2B5EF4-FFF2-40B4-BE49-F238E27FC236}">
              <a16:creationId xmlns:a16="http://schemas.microsoft.com/office/drawing/2014/main" id="{00000000-0008-0000-0100-00005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3" name="Text Box 15">
          <a:extLst>
            <a:ext uri="{FF2B5EF4-FFF2-40B4-BE49-F238E27FC236}">
              <a16:creationId xmlns:a16="http://schemas.microsoft.com/office/drawing/2014/main" id="{00000000-0008-0000-0100-00005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4" name="Text Box 15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5" name="Text Box 15">
          <a:extLst>
            <a:ext uri="{FF2B5EF4-FFF2-40B4-BE49-F238E27FC236}">
              <a16:creationId xmlns:a16="http://schemas.microsoft.com/office/drawing/2014/main" id="{00000000-0008-0000-0100-00005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6" name="Text Box 15">
          <a:extLst>
            <a:ext uri="{FF2B5EF4-FFF2-40B4-BE49-F238E27FC236}">
              <a16:creationId xmlns:a16="http://schemas.microsoft.com/office/drawing/2014/main" id="{00000000-0008-0000-0100-00005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7" name="Text Box 15">
          <a:extLst>
            <a:ext uri="{FF2B5EF4-FFF2-40B4-BE49-F238E27FC236}">
              <a16:creationId xmlns:a16="http://schemas.microsoft.com/office/drawing/2014/main" id="{00000000-0008-0000-0100-00005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8" name="Text Box 15">
          <a:extLst>
            <a:ext uri="{FF2B5EF4-FFF2-40B4-BE49-F238E27FC236}">
              <a16:creationId xmlns:a16="http://schemas.microsoft.com/office/drawing/2014/main" id="{00000000-0008-0000-0100-00005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9" name="Text Box 15">
          <a:extLst>
            <a:ext uri="{FF2B5EF4-FFF2-40B4-BE49-F238E27FC236}">
              <a16:creationId xmlns:a16="http://schemas.microsoft.com/office/drawing/2014/main" id="{00000000-0008-0000-0100-00005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0" name="Text Box 15">
          <a:extLst>
            <a:ext uri="{FF2B5EF4-FFF2-40B4-BE49-F238E27FC236}">
              <a16:creationId xmlns:a16="http://schemas.microsoft.com/office/drawing/2014/main" id="{00000000-0008-0000-0100-00005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1" name="Text Box 15">
          <a:extLst>
            <a:ext uri="{FF2B5EF4-FFF2-40B4-BE49-F238E27FC236}">
              <a16:creationId xmlns:a16="http://schemas.microsoft.com/office/drawing/2014/main" id="{00000000-0008-0000-0100-00005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2" name="Text Box 15">
          <a:extLst>
            <a:ext uri="{FF2B5EF4-FFF2-40B4-BE49-F238E27FC236}">
              <a16:creationId xmlns:a16="http://schemas.microsoft.com/office/drawing/2014/main" id="{00000000-0008-0000-0100-00005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3" name="Text Box 15">
          <a:extLst>
            <a:ext uri="{FF2B5EF4-FFF2-40B4-BE49-F238E27FC236}">
              <a16:creationId xmlns:a16="http://schemas.microsoft.com/office/drawing/2014/main" id="{00000000-0008-0000-0100-00005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4" name="Text Box 15">
          <a:extLst>
            <a:ext uri="{FF2B5EF4-FFF2-40B4-BE49-F238E27FC236}">
              <a16:creationId xmlns:a16="http://schemas.microsoft.com/office/drawing/2014/main" id="{00000000-0008-0000-0100-00005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5" name="Text Box 15">
          <a:extLst>
            <a:ext uri="{FF2B5EF4-FFF2-40B4-BE49-F238E27FC236}">
              <a16:creationId xmlns:a16="http://schemas.microsoft.com/office/drawing/2014/main" id="{00000000-0008-0000-0100-00005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6" name="Text Box 15">
          <a:extLst>
            <a:ext uri="{FF2B5EF4-FFF2-40B4-BE49-F238E27FC236}">
              <a16:creationId xmlns:a16="http://schemas.microsoft.com/office/drawing/2014/main" id="{00000000-0008-0000-0100-00006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7" name="Text Box 15">
          <a:extLst>
            <a:ext uri="{FF2B5EF4-FFF2-40B4-BE49-F238E27FC236}">
              <a16:creationId xmlns:a16="http://schemas.microsoft.com/office/drawing/2014/main" id="{00000000-0008-0000-0100-00006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8" name="Text Box 15">
          <a:extLst>
            <a:ext uri="{FF2B5EF4-FFF2-40B4-BE49-F238E27FC236}">
              <a16:creationId xmlns:a16="http://schemas.microsoft.com/office/drawing/2014/main" id="{00000000-0008-0000-0100-00006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9" name="Text Box 15">
          <a:extLst>
            <a:ext uri="{FF2B5EF4-FFF2-40B4-BE49-F238E27FC236}">
              <a16:creationId xmlns:a16="http://schemas.microsoft.com/office/drawing/2014/main" id="{00000000-0008-0000-0100-00006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0" name="Text Box 15">
          <a:extLst>
            <a:ext uri="{FF2B5EF4-FFF2-40B4-BE49-F238E27FC236}">
              <a16:creationId xmlns:a16="http://schemas.microsoft.com/office/drawing/2014/main" id="{00000000-0008-0000-0100-00006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1" name="Text Box 15">
          <a:extLst>
            <a:ext uri="{FF2B5EF4-FFF2-40B4-BE49-F238E27FC236}">
              <a16:creationId xmlns:a16="http://schemas.microsoft.com/office/drawing/2014/main" id="{00000000-0008-0000-0100-00006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2" name="Text Box 15">
          <a:extLst>
            <a:ext uri="{FF2B5EF4-FFF2-40B4-BE49-F238E27FC236}">
              <a16:creationId xmlns:a16="http://schemas.microsoft.com/office/drawing/2014/main" id="{00000000-0008-0000-0100-00006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3" name="Text Box 15">
          <a:extLst>
            <a:ext uri="{FF2B5EF4-FFF2-40B4-BE49-F238E27FC236}">
              <a16:creationId xmlns:a16="http://schemas.microsoft.com/office/drawing/2014/main" id="{00000000-0008-0000-0100-00006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4" name="Text Box 15">
          <a:extLst>
            <a:ext uri="{FF2B5EF4-FFF2-40B4-BE49-F238E27FC236}">
              <a16:creationId xmlns:a16="http://schemas.microsoft.com/office/drawing/2014/main" id="{00000000-0008-0000-0100-00006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5" name="Text Box 15">
          <a:extLst>
            <a:ext uri="{FF2B5EF4-FFF2-40B4-BE49-F238E27FC236}">
              <a16:creationId xmlns:a16="http://schemas.microsoft.com/office/drawing/2014/main" id="{00000000-0008-0000-0100-00006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6" name="Text Box 15">
          <a:extLst>
            <a:ext uri="{FF2B5EF4-FFF2-40B4-BE49-F238E27FC236}">
              <a16:creationId xmlns:a16="http://schemas.microsoft.com/office/drawing/2014/main" id="{00000000-0008-0000-0100-00006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7" name="Text Box 15">
          <a:extLst>
            <a:ext uri="{FF2B5EF4-FFF2-40B4-BE49-F238E27FC236}">
              <a16:creationId xmlns:a16="http://schemas.microsoft.com/office/drawing/2014/main" id="{00000000-0008-0000-0100-00006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8" name="Text Box 15">
          <a:extLst>
            <a:ext uri="{FF2B5EF4-FFF2-40B4-BE49-F238E27FC236}">
              <a16:creationId xmlns:a16="http://schemas.microsoft.com/office/drawing/2014/main" id="{00000000-0008-0000-0100-00006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9" name="Text Box 15">
          <a:extLst>
            <a:ext uri="{FF2B5EF4-FFF2-40B4-BE49-F238E27FC236}">
              <a16:creationId xmlns:a16="http://schemas.microsoft.com/office/drawing/2014/main" id="{00000000-0008-0000-0100-00006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0" name="Text Box 15">
          <a:extLst>
            <a:ext uri="{FF2B5EF4-FFF2-40B4-BE49-F238E27FC236}">
              <a16:creationId xmlns:a16="http://schemas.microsoft.com/office/drawing/2014/main" id="{00000000-0008-0000-0100-00006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1" name="Text Box 15">
          <a:extLst>
            <a:ext uri="{FF2B5EF4-FFF2-40B4-BE49-F238E27FC236}">
              <a16:creationId xmlns:a16="http://schemas.microsoft.com/office/drawing/2014/main" id="{00000000-0008-0000-0100-00006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2" name="Text Box 15">
          <a:extLst>
            <a:ext uri="{FF2B5EF4-FFF2-40B4-BE49-F238E27FC236}">
              <a16:creationId xmlns:a16="http://schemas.microsoft.com/office/drawing/2014/main" id="{00000000-0008-0000-0100-00007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3" name="Text Box 15">
          <a:extLst>
            <a:ext uri="{FF2B5EF4-FFF2-40B4-BE49-F238E27FC236}">
              <a16:creationId xmlns:a16="http://schemas.microsoft.com/office/drawing/2014/main" id="{00000000-0008-0000-0100-00007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4" name="Text Box 15">
          <a:extLst>
            <a:ext uri="{FF2B5EF4-FFF2-40B4-BE49-F238E27FC236}">
              <a16:creationId xmlns:a16="http://schemas.microsoft.com/office/drawing/2014/main" id="{00000000-0008-0000-0100-00007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5" name="Text Box 15">
          <a:extLst>
            <a:ext uri="{FF2B5EF4-FFF2-40B4-BE49-F238E27FC236}">
              <a16:creationId xmlns:a16="http://schemas.microsoft.com/office/drawing/2014/main" id="{00000000-0008-0000-0100-00007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6" name="Text Box 15">
          <a:extLst>
            <a:ext uri="{FF2B5EF4-FFF2-40B4-BE49-F238E27FC236}">
              <a16:creationId xmlns:a16="http://schemas.microsoft.com/office/drawing/2014/main" id="{00000000-0008-0000-0100-00007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7" name="Text Box 15">
          <a:extLst>
            <a:ext uri="{FF2B5EF4-FFF2-40B4-BE49-F238E27FC236}">
              <a16:creationId xmlns:a16="http://schemas.microsoft.com/office/drawing/2014/main" id="{00000000-0008-0000-0100-00007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8" name="Text Box 15">
          <a:extLst>
            <a:ext uri="{FF2B5EF4-FFF2-40B4-BE49-F238E27FC236}">
              <a16:creationId xmlns:a16="http://schemas.microsoft.com/office/drawing/2014/main" id="{00000000-0008-0000-0100-00007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9" name="Text Box 15">
          <a:extLst>
            <a:ext uri="{FF2B5EF4-FFF2-40B4-BE49-F238E27FC236}">
              <a16:creationId xmlns:a16="http://schemas.microsoft.com/office/drawing/2014/main" id="{00000000-0008-0000-0100-00007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0" name="Text Box 15">
          <a:extLst>
            <a:ext uri="{FF2B5EF4-FFF2-40B4-BE49-F238E27FC236}">
              <a16:creationId xmlns:a16="http://schemas.microsoft.com/office/drawing/2014/main" id="{00000000-0008-0000-0100-00007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1" name="Text Box 15">
          <a:extLst>
            <a:ext uri="{FF2B5EF4-FFF2-40B4-BE49-F238E27FC236}">
              <a16:creationId xmlns:a16="http://schemas.microsoft.com/office/drawing/2014/main" id="{00000000-0008-0000-0100-00007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2" name="Text Box 15">
          <a:extLst>
            <a:ext uri="{FF2B5EF4-FFF2-40B4-BE49-F238E27FC236}">
              <a16:creationId xmlns:a16="http://schemas.microsoft.com/office/drawing/2014/main" id="{00000000-0008-0000-0100-00007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3" name="Text Box 15">
          <a:extLst>
            <a:ext uri="{FF2B5EF4-FFF2-40B4-BE49-F238E27FC236}">
              <a16:creationId xmlns:a16="http://schemas.microsoft.com/office/drawing/2014/main" id="{00000000-0008-0000-0100-00007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4" name="Text Box 15">
          <a:extLst>
            <a:ext uri="{FF2B5EF4-FFF2-40B4-BE49-F238E27FC236}">
              <a16:creationId xmlns:a16="http://schemas.microsoft.com/office/drawing/2014/main" id="{00000000-0008-0000-0100-00007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5" name="Text Box 15">
          <a:extLst>
            <a:ext uri="{FF2B5EF4-FFF2-40B4-BE49-F238E27FC236}">
              <a16:creationId xmlns:a16="http://schemas.microsoft.com/office/drawing/2014/main" id="{00000000-0008-0000-0100-00007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6" name="Text Box 15">
          <a:extLst>
            <a:ext uri="{FF2B5EF4-FFF2-40B4-BE49-F238E27FC236}">
              <a16:creationId xmlns:a16="http://schemas.microsoft.com/office/drawing/2014/main" id="{00000000-0008-0000-0100-00007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7" name="Text Box 15">
          <a:extLst>
            <a:ext uri="{FF2B5EF4-FFF2-40B4-BE49-F238E27FC236}">
              <a16:creationId xmlns:a16="http://schemas.microsoft.com/office/drawing/2014/main" id="{00000000-0008-0000-0100-00007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8" name="Text Box 15">
          <a:extLst>
            <a:ext uri="{FF2B5EF4-FFF2-40B4-BE49-F238E27FC236}">
              <a16:creationId xmlns:a16="http://schemas.microsoft.com/office/drawing/2014/main" id="{00000000-0008-0000-0100-00008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9" name="Text Box 15">
          <a:extLst>
            <a:ext uri="{FF2B5EF4-FFF2-40B4-BE49-F238E27FC236}">
              <a16:creationId xmlns:a16="http://schemas.microsoft.com/office/drawing/2014/main" id="{00000000-0008-0000-0100-00008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0" name="Text Box 15">
          <a:extLst>
            <a:ext uri="{FF2B5EF4-FFF2-40B4-BE49-F238E27FC236}">
              <a16:creationId xmlns:a16="http://schemas.microsoft.com/office/drawing/2014/main" id="{00000000-0008-0000-0100-00008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1" name="Text Box 15">
          <a:extLst>
            <a:ext uri="{FF2B5EF4-FFF2-40B4-BE49-F238E27FC236}">
              <a16:creationId xmlns:a16="http://schemas.microsoft.com/office/drawing/2014/main" id="{00000000-0008-0000-0100-00008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2" name="Text Box 15">
          <a:extLst>
            <a:ext uri="{FF2B5EF4-FFF2-40B4-BE49-F238E27FC236}">
              <a16:creationId xmlns:a16="http://schemas.microsoft.com/office/drawing/2014/main" id="{00000000-0008-0000-0100-00008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3" name="Text Box 15">
          <a:extLst>
            <a:ext uri="{FF2B5EF4-FFF2-40B4-BE49-F238E27FC236}">
              <a16:creationId xmlns:a16="http://schemas.microsoft.com/office/drawing/2014/main" id="{00000000-0008-0000-0100-00008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4" name="Text Box 15">
          <a:extLst>
            <a:ext uri="{FF2B5EF4-FFF2-40B4-BE49-F238E27FC236}">
              <a16:creationId xmlns:a16="http://schemas.microsoft.com/office/drawing/2014/main" id="{00000000-0008-0000-0100-00008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5" name="Text Box 15">
          <a:extLst>
            <a:ext uri="{FF2B5EF4-FFF2-40B4-BE49-F238E27FC236}">
              <a16:creationId xmlns:a16="http://schemas.microsoft.com/office/drawing/2014/main" id="{00000000-0008-0000-0100-00008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6" name="Text Box 15">
          <a:extLst>
            <a:ext uri="{FF2B5EF4-FFF2-40B4-BE49-F238E27FC236}">
              <a16:creationId xmlns:a16="http://schemas.microsoft.com/office/drawing/2014/main" id="{00000000-0008-0000-0100-00008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7" name="Text Box 15">
          <a:extLst>
            <a:ext uri="{FF2B5EF4-FFF2-40B4-BE49-F238E27FC236}">
              <a16:creationId xmlns:a16="http://schemas.microsoft.com/office/drawing/2014/main" id="{00000000-0008-0000-0100-00008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8" name="Text Box 15">
          <a:extLst>
            <a:ext uri="{FF2B5EF4-FFF2-40B4-BE49-F238E27FC236}">
              <a16:creationId xmlns:a16="http://schemas.microsoft.com/office/drawing/2014/main" id="{00000000-0008-0000-0100-00008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9" name="Text Box 15">
          <a:extLst>
            <a:ext uri="{FF2B5EF4-FFF2-40B4-BE49-F238E27FC236}">
              <a16:creationId xmlns:a16="http://schemas.microsoft.com/office/drawing/2014/main" id="{00000000-0008-0000-0100-00008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0" name="Text Box 15">
          <a:extLst>
            <a:ext uri="{FF2B5EF4-FFF2-40B4-BE49-F238E27FC236}">
              <a16:creationId xmlns:a16="http://schemas.microsoft.com/office/drawing/2014/main" id="{00000000-0008-0000-0100-00008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1" name="Text Box 15">
          <a:extLst>
            <a:ext uri="{FF2B5EF4-FFF2-40B4-BE49-F238E27FC236}">
              <a16:creationId xmlns:a16="http://schemas.microsoft.com/office/drawing/2014/main" id="{00000000-0008-0000-0100-00008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2" name="Text Box 15">
          <a:extLst>
            <a:ext uri="{FF2B5EF4-FFF2-40B4-BE49-F238E27FC236}">
              <a16:creationId xmlns:a16="http://schemas.microsoft.com/office/drawing/2014/main" id="{00000000-0008-0000-0100-00008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3" name="Text Box 15">
          <a:extLst>
            <a:ext uri="{FF2B5EF4-FFF2-40B4-BE49-F238E27FC236}">
              <a16:creationId xmlns:a16="http://schemas.microsoft.com/office/drawing/2014/main" id="{00000000-0008-0000-0100-00008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4" name="Text Box 15">
          <a:extLst>
            <a:ext uri="{FF2B5EF4-FFF2-40B4-BE49-F238E27FC236}">
              <a16:creationId xmlns:a16="http://schemas.microsoft.com/office/drawing/2014/main" id="{00000000-0008-0000-0100-00009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5" name="Text Box 15">
          <a:extLst>
            <a:ext uri="{FF2B5EF4-FFF2-40B4-BE49-F238E27FC236}">
              <a16:creationId xmlns:a16="http://schemas.microsoft.com/office/drawing/2014/main" id="{00000000-0008-0000-0100-00009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6" name="Text Box 15">
          <a:extLst>
            <a:ext uri="{FF2B5EF4-FFF2-40B4-BE49-F238E27FC236}">
              <a16:creationId xmlns:a16="http://schemas.microsoft.com/office/drawing/2014/main" id="{00000000-0008-0000-0100-00009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7" name="Text Box 15">
          <a:extLst>
            <a:ext uri="{FF2B5EF4-FFF2-40B4-BE49-F238E27FC236}">
              <a16:creationId xmlns:a16="http://schemas.microsoft.com/office/drawing/2014/main" id="{00000000-0008-0000-0100-00009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8" name="Text Box 15">
          <a:extLst>
            <a:ext uri="{FF2B5EF4-FFF2-40B4-BE49-F238E27FC236}">
              <a16:creationId xmlns:a16="http://schemas.microsoft.com/office/drawing/2014/main" id="{00000000-0008-0000-0100-00009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9" name="Text Box 15">
          <a:extLst>
            <a:ext uri="{FF2B5EF4-FFF2-40B4-BE49-F238E27FC236}">
              <a16:creationId xmlns:a16="http://schemas.microsoft.com/office/drawing/2014/main" id="{00000000-0008-0000-0100-00009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0" name="Text Box 15">
          <a:extLst>
            <a:ext uri="{FF2B5EF4-FFF2-40B4-BE49-F238E27FC236}">
              <a16:creationId xmlns:a16="http://schemas.microsoft.com/office/drawing/2014/main" id="{00000000-0008-0000-0100-00009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1" name="Text Box 15">
          <a:extLst>
            <a:ext uri="{FF2B5EF4-FFF2-40B4-BE49-F238E27FC236}">
              <a16:creationId xmlns:a16="http://schemas.microsoft.com/office/drawing/2014/main" id="{00000000-0008-0000-0100-00009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2" name="Text Box 15">
          <a:extLst>
            <a:ext uri="{FF2B5EF4-FFF2-40B4-BE49-F238E27FC236}">
              <a16:creationId xmlns:a16="http://schemas.microsoft.com/office/drawing/2014/main" id="{00000000-0008-0000-0100-00009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3" name="Text Box 15">
          <a:extLst>
            <a:ext uri="{FF2B5EF4-FFF2-40B4-BE49-F238E27FC236}">
              <a16:creationId xmlns:a16="http://schemas.microsoft.com/office/drawing/2014/main" id="{00000000-0008-0000-0100-00009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4" name="Text Box 15">
          <a:extLst>
            <a:ext uri="{FF2B5EF4-FFF2-40B4-BE49-F238E27FC236}">
              <a16:creationId xmlns:a16="http://schemas.microsoft.com/office/drawing/2014/main" id="{00000000-0008-0000-0100-00009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5" name="Text Box 15">
          <a:extLst>
            <a:ext uri="{FF2B5EF4-FFF2-40B4-BE49-F238E27FC236}">
              <a16:creationId xmlns:a16="http://schemas.microsoft.com/office/drawing/2014/main" id="{00000000-0008-0000-0100-00009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6" name="Text Box 15">
          <a:extLst>
            <a:ext uri="{FF2B5EF4-FFF2-40B4-BE49-F238E27FC236}">
              <a16:creationId xmlns:a16="http://schemas.microsoft.com/office/drawing/2014/main" id="{00000000-0008-0000-0100-00009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7" name="Text Box 15">
          <a:extLst>
            <a:ext uri="{FF2B5EF4-FFF2-40B4-BE49-F238E27FC236}">
              <a16:creationId xmlns:a16="http://schemas.microsoft.com/office/drawing/2014/main" id="{00000000-0008-0000-0100-00009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8" name="Text Box 15">
          <a:extLst>
            <a:ext uri="{FF2B5EF4-FFF2-40B4-BE49-F238E27FC236}">
              <a16:creationId xmlns:a16="http://schemas.microsoft.com/office/drawing/2014/main" id="{00000000-0008-0000-0100-00009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9" name="Text Box 15">
          <a:extLst>
            <a:ext uri="{FF2B5EF4-FFF2-40B4-BE49-F238E27FC236}">
              <a16:creationId xmlns:a16="http://schemas.microsoft.com/office/drawing/2014/main" id="{00000000-0008-0000-0100-00009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0" name="Text Box 15">
          <a:extLst>
            <a:ext uri="{FF2B5EF4-FFF2-40B4-BE49-F238E27FC236}">
              <a16:creationId xmlns:a16="http://schemas.microsoft.com/office/drawing/2014/main" id="{00000000-0008-0000-0100-0000A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1" name="Text Box 15">
          <a:extLst>
            <a:ext uri="{FF2B5EF4-FFF2-40B4-BE49-F238E27FC236}">
              <a16:creationId xmlns:a16="http://schemas.microsoft.com/office/drawing/2014/main" id="{00000000-0008-0000-0100-0000A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2" name="Text Box 15">
          <a:extLst>
            <a:ext uri="{FF2B5EF4-FFF2-40B4-BE49-F238E27FC236}">
              <a16:creationId xmlns:a16="http://schemas.microsoft.com/office/drawing/2014/main" id="{00000000-0008-0000-0100-0000A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3" name="Text Box 15">
          <a:extLst>
            <a:ext uri="{FF2B5EF4-FFF2-40B4-BE49-F238E27FC236}">
              <a16:creationId xmlns:a16="http://schemas.microsoft.com/office/drawing/2014/main" id="{00000000-0008-0000-0100-0000A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4" name="Text Box 15">
          <a:extLst>
            <a:ext uri="{FF2B5EF4-FFF2-40B4-BE49-F238E27FC236}">
              <a16:creationId xmlns:a16="http://schemas.microsoft.com/office/drawing/2014/main" id="{00000000-0008-0000-0100-0000A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5" name="Text Box 15">
          <a:extLst>
            <a:ext uri="{FF2B5EF4-FFF2-40B4-BE49-F238E27FC236}">
              <a16:creationId xmlns:a16="http://schemas.microsoft.com/office/drawing/2014/main" id="{00000000-0008-0000-0100-0000A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6" name="Text Box 15">
          <a:extLst>
            <a:ext uri="{FF2B5EF4-FFF2-40B4-BE49-F238E27FC236}">
              <a16:creationId xmlns:a16="http://schemas.microsoft.com/office/drawing/2014/main" id="{00000000-0008-0000-0100-0000A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7" name="Text Box 15">
          <a:extLst>
            <a:ext uri="{FF2B5EF4-FFF2-40B4-BE49-F238E27FC236}">
              <a16:creationId xmlns:a16="http://schemas.microsoft.com/office/drawing/2014/main" id="{00000000-0008-0000-0100-0000A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8" name="Text Box 15">
          <a:extLst>
            <a:ext uri="{FF2B5EF4-FFF2-40B4-BE49-F238E27FC236}">
              <a16:creationId xmlns:a16="http://schemas.microsoft.com/office/drawing/2014/main" id="{00000000-0008-0000-0100-0000A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9" name="Text Box 15">
          <a:extLst>
            <a:ext uri="{FF2B5EF4-FFF2-40B4-BE49-F238E27FC236}">
              <a16:creationId xmlns:a16="http://schemas.microsoft.com/office/drawing/2014/main" id="{00000000-0008-0000-0100-0000A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0" name="Text Box 15">
          <a:extLst>
            <a:ext uri="{FF2B5EF4-FFF2-40B4-BE49-F238E27FC236}">
              <a16:creationId xmlns:a16="http://schemas.microsoft.com/office/drawing/2014/main" id="{00000000-0008-0000-0100-0000A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1" name="Text Box 15">
          <a:extLst>
            <a:ext uri="{FF2B5EF4-FFF2-40B4-BE49-F238E27FC236}">
              <a16:creationId xmlns:a16="http://schemas.microsoft.com/office/drawing/2014/main" id="{00000000-0008-0000-0100-0000A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2" name="Text Box 15">
          <a:extLst>
            <a:ext uri="{FF2B5EF4-FFF2-40B4-BE49-F238E27FC236}">
              <a16:creationId xmlns:a16="http://schemas.microsoft.com/office/drawing/2014/main" id="{00000000-0008-0000-0100-0000A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3" name="Text Box 15">
          <a:extLst>
            <a:ext uri="{FF2B5EF4-FFF2-40B4-BE49-F238E27FC236}">
              <a16:creationId xmlns:a16="http://schemas.microsoft.com/office/drawing/2014/main" id="{00000000-0008-0000-0100-0000A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4" name="Text Box 15">
          <a:extLst>
            <a:ext uri="{FF2B5EF4-FFF2-40B4-BE49-F238E27FC236}">
              <a16:creationId xmlns:a16="http://schemas.microsoft.com/office/drawing/2014/main" id="{00000000-0008-0000-0100-0000A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5" name="Text Box 15">
          <a:extLst>
            <a:ext uri="{FF2B5EF4-FFF2-40B4-BE49-F238E27FC236}">
              <a16:creationId xmlns:a16="http://schemas.microsoft.com/office/drawing/2014/main" id="{00000000-0008-0000-0100-0000A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6" name="Text Box 15">
          <a:extLst>
            <a:ext uri="{FF2B5EF4-FFF2-40B4-BE49-F238E27FC236}">
              <a16:creationId xmlns:a16="http://schemas.microsoft.com/office/drawing/2014/main" id="{00000000-0008-0000-0100-0000B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7" name="Text Box 15">
          <a:extLst>
            <a:ext uri="{FF2B5EF4-FFF2-40B4-BE49-F238E27FC236}">
              <a16:creationId xmlns:a16="http://schemas.microsoft.com/office/drawing/2014/main" id="{00000000-0008-0000-0100-0000B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8" name="Text Box 15">
          <a:extLst>
            <a:ext uri="{FF2B5EF4-FFF2-40B4-BE49-F238E27FC236}">
              <a16:creationId xmlns:a16="http://schemas.microsoft.com/office/drawing/2014/main" id="{00000000-0008-0000-0100-0000B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9" name="Text Box 15">
          <a:extLst>
            <a:ext uri="{FF2B5EF4-FFF2-40B4-BE49-F238E27FC236}">
              <a16:creationId xmlns:a16="http://schemas.microsoft.com/office/drawing/2014/main" id="{00000000-0008-0000-0100-0000B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0" name="Text Box 15">
          <a:extLst>
            <a:ext uri="{FF2B5EF4-FFF2-40B4-BE49-F238E27FC236}">
              <a16:creationId xmlns:a16="http://schemas.microsoft.com/office/drawing/2014/main" id="{00000000-0008-0000-0100-0000B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1" name="Text Box 15">
          <a:extLst>
            <a:ext uri="{FF2B5EF4-FFF2-40B4-BE49-F238E27FC236}">
              <a16:creationId xmlns:a16="http://schemas.microsoft.com/office/drawing/2014/main" id="{00000000-0008-0000-0100-0000B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2" name="Text Box 15">
          <a:extLst>
            <a:ext uri="{FF2B5EF4-FFF2-40B4-BE49-F238E27FC236}">
              <a16:creationId xmlns:a16="http://schemas.microsoft.com/office/drawing/2014/main" id="{00000000-0008-0000-0100-0000B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3" name="Text Box 15">
          <a:extLst>
            <a:ext uri="{FF2B5EF4-FFF2-40B4-BE49-F238E27FC236}">
              <a16:creationId xmlns:a16="http://schemas.microsoft.com/office/drawing/2014/main" id="{00000000-0008-0000-0100-0000B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4" name="Text Box 15">
          <a:extLst>
            <a:ext uri="{FF2B5EF4-FFF2-40B4-BE49-F238E27FC236}">
              <a16:creationId xmlns:a16="http://schemas.microsoft.com/office/drawing/2014/main" id="{00000000-0008-0000-0100-0000B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5" name="Text Box 15">
          <a:extLst>
            <a:ext uri="{FF2B5EF4-FFF2-40B4-BE49-F238E27FC236}">
              <a16:creationId xmlns:a16="http://schemas.microsoft.com/office/drawing/2014/main" id="{00000000-0008-0000-0100-0000B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6" name="Text Box 15">
          <a:extLst>
            <a:ext uri="{FF2B5EF4-FFF2-40B4-BE49-F238E27FC236}">
              <a16:creationId xmlns:a16="http://schemas.microsoft.com/office/drawing/2014/main" id="{00000000-0008-0000-0100-0000B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7" name="Text Box 15">
          <a:extLst>
            <a:ext uri="{FF2B5EF4-FFF2-40B4-BE49-F238E27FC236}">
              <a16:creationId xmlns:a16="http://schemas.microsoft.com/office/drawing/2014/main" id="{00000000-0008-0000-0100-0000B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8" name="Text Box 15">
          <a:extLst>
            <a:ext uri="{FF2B5EF4-FFF2-40B4-BE49-F238E27FC236}">
              <a16:creationId xmlns:a16="http://schemas.microsoft.com/office/drawing/2014/main" id="{00000000-0008-0000-0100-0000B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9" name="Text Box 15">
          <a:extLst>
            <a:ext uri="{FF2B5EF4-FFF2-40B4-BE49-F238E27FC236}">
              <a16:creationId xmlns:a16="http://schemas.microsoft.com/office/drawing/2014/main" id="{00000000-0008-0000-0100-0000B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0" name="Text Box 15">
          <a:extLst>
            <a:ext uri="{FF2B5EF4-FFF2-40B4-BE49-F238E27FC236}">
              <a16:creationId xmlns:a16="http://schemas.microsoft.com/office/drawing/2014/main" id="{00000000-0008-0000-0100-0000B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1" name="Text Box 15">
          <a:extLst>
            <a:ext uri="{FF2B5EF4-FFF2-40B4-BE49-F238E27FC236}">
              <a16:creationId xmlns:a16="http://schemas.microsoft.com/office/drawing/2014/main" id="{00000000-0008-0000-0100-0000B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2" name="Text Box 15">
          <a:extLst>
            <a:ext uri="{FF2B5EF4-FFF2-40B4-BE49-F238E27FC236}">
              <a16:creationId xmlns:a16="http://schemas.microsoft.com/office/drawing/2014/main" id="{00000000-0008-0000-0100-0000C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3" name="Text Box 15">
          <a:extLst>
            <a:ext uri="{FF2B5EF4-FFF2-40B4-BE49-F238E27FC236}">
              <a16:creationId xmlns:a16="http://schemas.microsoft.com/office/drawing/2014/main" id="{00000000-0008-0000-0100-0000C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4" name="Text Box 15">
          <a:extLst>
            <a:ext uri="{FF2B5EF4-FFF2-40B4-BE49-F238E27FC236}">
              <a16:creationId xmlns:a16="http://schemas.microsoft.com/office/drawing/2014/main" id="{00000000-0008-0000-0100-0000C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5" name="Text Box 15">
          <a:extLst>
            <a:ext uri="{FF2B5EF4-FFF2-40B4-BE49-F238E27FC236}">
              <a16:creationId xmlns:a16="http://schemas.microsoft.com/office/drawing/2014/main" id="{00000000-0008-0000-0100-0000C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6" name="Text Box 15">
          <a:extLst>
            <a:ext uri="{FF2B5EF4-FFF2-40B4-BE49-F238E27FC236}">
              <a16:creationId xmlns:a16="http://schemas.microsoft.com/office/drawing/2014/main" id="{00000000-0008-0000-0100-0000C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7" name="Text Box 15">
          <a:extLst>
            <a:ext uri="{FF2B5EF4-FFF2-40B4-BE49-F238E27FC236}">
              <a16:creationId xmlns:a16="http://schemas.microsoft.com/office/drawing/2014/main" id="{00000000-0008-0000-0100-0000C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8" name="Text Box 15">
          <a:extLst>
            <a:ext uri="{FF2B5EF4-FFF2-40B4-BE49-F238E27FC236}">
              <a16:creationId xmlns:a16="http://schemas.microsoft.com/office/drawing/2014/main" id="{00000000-0008-0000-0100-0000C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9" name="Text Box 15">
          <a:extLst>
            <a:ext uri="{FF2B5EF4-FFF2-40B4-BE49-F238E27FC236}">
              <a16:creationId xmlns:a16="http://schemas.microsoft.com/office/drawing/2014/main" id="{00000000-0008-0000-0100-0000C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0" name="Text Box 15">
          <a:extLst>
            <a:ext uri="{FF2B5EF4-FFF2-40B4-BE49-F238E27FC236}">
              <a16:creationId xmlns:a16="http://schemas.microsoft.com/office/drawing/2014/main" id="{00000000-0008-0000-0100-0000C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1" name="Text Box 15">
          <a:extLst>
            <a:ext uri="{FF2B5EF4-FFF2-40B4-BE49-F238E27FC236}">
              <a16:creationId xmlns:a16="http://schemas.microsoft.com/office/drawing/2014/main" id="{00000000-0008-0000-0100-0000C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2" name="Text Box 15">
          <a:extLst>
            <a:ext uri="{FF2B5EF4-FFF2-40B4-BE49-F238E27FC236}">
              <a16:creationId xmlns:a16="http://schemas.microsoft.com/office/drawing/2014/main" id="{00000000-0008-0000-0100-0000C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3" name="Text Box 15">
          <a:extLst>
            <a:ext uri="{FF2B5EF4-FFF2-40B4-BE49-F238E27FC236}">
              <a16:creationId xmlns:a16="http://schemas.microsoft.com/office/drawing/2014/main" id="{00000000-0008-0000-0100-0000C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4" name="Text Box 15">
          <a:extLst>
            <a:ext uri="{FF2B5EF4-FFF2-40B4-BE49-F238E27FC236}">
              <a16:creationId xmlns:a16="http://schemas.microsoft.com/office/drawing/2014/main" id="{00000000-0008-0000-0100-0000C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5" name="Text Box 15">
          <a:extLst>
            <a:ext uri="{FF2B5EF4-FFF2-40B4-BE49-F238E27FC236}">
              <a16:creationId xmlns:a16="http://schemas.microsoft.com/office/drawing/2014/main" id="{00000000-0008-0000-0100-0000C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6" name="Text Box 15">
          <a:extLst>
            <a:ext uri="{FF2B5EF4-FFF2-40B4-BE49-F238E27FC236}">
              <a16:creationId xmlns:a16="http://schemas.microsoft.com/office/drawing/2014/main" id="{00000000-0008-0000-0100-0000C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7" name="Text Box 15">
          <a:extLst>
            <a:ext uri="{FF2B5EF4-FFF2-40B4-BE49-F238E27FC236}">
              <a16:creationId xmlns:a16="http://schemas.microsoft.com/office/drawing/2014/main" id="{00000000-0008-0000-0100-0000C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8" name="Text Box 15">
          <a:extLst>
            <a:ext uri="{FF2B5EF4-FFF2-40B4-BE49-F238E27FC236}">
              <a16:creationId xmlns:a16="http://schemas.microsoft.com/office/drawing/2014/main" id="{00000000-0008-0000-0100-0000D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9" name="Text Box 15">
          <a:extLst>
            <a:ext uri="{FF2B5EF4-FFF2-40B4-BE49-F238E27FC236}">
              <a16:creationId xmlns:a16="http://schemas.microsoft.com/office/drawing/2014/main" id="{00000000-0008-0000-0100-0000D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0" name="Text Box 15">
          <a:extLst>
            <a:ext uri="{FF2B5EF4-FFF2-40B4-BE49-F238E27FC236}">
              <a16:creationId xmlns:a16="http://schemas.microsoft.com/office/drawing/2014/main" id="{00000000-0008-0000-0100-0000D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1" name="Text Box 15">
          <a:extLst>
            <a:ext uri="{FF2B5EF4-FFF2-40B4-BE49-F238E27FC236}">
              <a16:creationId xmlns:a16="http://schemas.microsoft.com/office/drawing/2014/main" id="{00000000-0008-0000-0100-0000D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2" name="Text Box 15">
          <a:extLst>
            <a:ext uri="{FF2B5EF4-FFF2-40B4-BE49-F238E27FC236}">
              <a16:creationId xmlns:a16="http://schemas.microsoft.com/office/drawing/2014/main" id="{00000000-0008-0000-0100-0000D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3" name="Text Box 15">
          <a:extLst>
            <a:ext uri="{FF2B5EF4-FFF2-40B4-BE49-F238E27FC236}">
              <a16:creationId xmlns:a16="http://schemas.microsoft.com/office/drawing/2014/main" id="{00000000-0008-0000-0100-0000D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4" name="Text Box 15">
          <a:extLst>
            <a:ext uri="{FF2B5EF4-FFF2-40B4-BE49-F238E27FC236}">
              <a16:creationId xmlns:a16="http://schemas.microsoft.com/office/drawing/2014/main" id="{00000000-0008-0000-0100-0000D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5" name="Text Box 15">
          <a:extLst>
            <a:ext uri="{FF2B5EF4-FFF2-40B4-BE49-F238E27FC236}">
              <a16:creationId xmlns:a16="http://schemas.microsoft.com/office/drawing/2014/main" id="{00000000-0008-0000-0100-0000D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6" name="Text Box 15">
          <a:extLst>
            <a:ext uri="{FF2B5EF4-FFF2-40B4-BE49-F238E27FC236}">
              <a16:creationId xmlns:a16="http://schemas.microsoft.com/office/drawing/2014/main" id="{00000000-0008-0000-0100-0000D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7" name="Text Box 15">
          <a:extLst>
            <a:ext uri="{FF2B5EF4-FFF2-40B4-BE49-F238E27FC236}">
              <a16:creationId xmlns:a16="http://schemas.microsoft.com/office/drawing/2014/main" id="{00000000-0008-0000-0100-0000D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8" name="Text Box 15">
          <a:extLst>
            <a:ext uri="{FF2B5EF4-FFF2-40B4-BE49-F238E27FC236}">
              <a16:creationId xmlns:a16="http://schemas.microsoft.com/office/drawing/2014/main" id="{00000000-0008-0000-0100-0000D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9" name="Text Box 15">
          <a:extLst>
            <a:ext uri="{FF2B5EF4-FFF2-40B4-BE49-F238E27FC236}">
              <a16:creationId xmlns:a16="http://schemas.microsoft.com/office/drawing/2014/main" id="{00000000-0008-0000-0100-0000D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0" name="Text Box 15">
          <a:extLst>
            <a:ext uri="{FF2B5EF4-FFF2-40B4-BE49-F238E27FC236}">
              <a16:creationId xmlns:a16="http://schemas.microsoft.com/office/drawing/2014/main" id="{00000000-0008-0000-0100-0000D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1" name="Text Box 15">
          <a:extLst>
            <a:ext uri="{FF2B5EF4-FFF2-40B4-BE49-F238E27FC236}">
              <a16:creationId xmlns:a16="http://schemas.microsoft.com/office/drawing/2014/main" id="{00000000-0008-0000-0100-0000D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2" name="Text Box 15">
          <a:extLst>
            <a:ext uri="{FF2B5EF4-FFF2-40B4-BE49-F238E27FC236}">
              <a16:creationId xmlns:a16="http://schemas.microsoft.com/office/drawing/2014/main" id="{00000000-0008-0000-0100-0000D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3" name="Text Box 15">
          <a:extLst>
            <a:ext uri="{FF2B5EF4-FFF2-40B4-BE49-F238E27FC236}">
              <a16:creationId xmlns:a16="http://schemas.microsoft.com/office/drawing/2014/main" id="{00000000-0008-0000-0100-0000D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4" name="Text Box 15">
          <a:extLst>
            <a:ext uri="{FF2B5EF4-FFF2-40B4-BE49-F238E27FC236}">
              <a16:creationId xmlns:a16="http://schemas.microsoft.com/office/drawing/2014/main" id="{00000000-0008-0000-0100-0000E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5" name="Text Box 15">
          <a:extLst>
            <a:ext uri="{FF2B5EF4-FFF2-40B4-BE49-F238E27FC236}">
              <a16:creationId xmlns:a16="http://schemas.microsoft.com/office/drawing/2014/main" id="{00000000-0008-0000-0100-0000E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6" name="Text Box 15">
          <a:extLst>
            <a:ext uri="{FF2B5EF4-FFF2-40B4-BE49-F238E27FC236}">
              <a16:creationId xmlns:a16="http://schemas.microsoft.com/office/drawing/2014/main" id="{00000000-0008-0000-0100-0000E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7" name="Text Box 15">
          <a:extLst>
            <a:ext uri="{FF2B5EF4-FFF2-40B4-BE49-F238E27FC236}">
              <a16:creationId xmlns:a16="http://schemas.microsoft.com/office/drawing/2014/main" id="{00000000-0008-0000-0100-0000E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8" name="Text Box 15">
          <a:extLst>
            <a:ext uri="{FF2B5EF4-FFF2-40B4-BE49-F238E27FC236}">
              <a16:creationId xmlns:a16="http://schemas.microsoft.com/office/drawing/2014/main" id="{00000000-0008-0000-0100-0000E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9" name="Text Box 15">
          <a:extLst>
            <a:ext uri="{FF2B5EF4-FFF2-40B4-BE49-F238E27FC236}">
              <a16:creationId xmlns:a16="http://schemas.microsoft.com/office/drawing/2014/main" id="{00000000-0008-0000-0100-0000E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0" name="Text Box 15">
          <a:extLst>
            <a:ext uri="{FF2B5EF4-FFF2-40B4-BE49-F238E27FC236}">
              <a16:creationId xmlns:a16="http://schemas.microsoft.com/office/drawing/2014/main" id="{00000000-0008-0000-0100-0000E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1" name="Text Box 15">
          <a:extLst>
            <a:ext uri="{FF2B5EF4-FFF2-40B4-BE49-F238E27FC236}">
              <a16:creationId xmlns:a16="http://schemas.microsoft.com/office/drawing/2014/main" id="{00000000-0008-0000-0100-0000E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2" name="Text Box 15">
          <a:extLst>
            <a:ext uri="{FF2B5EF4-FFF2-40B4-BE49-F238E27FC236}">
              <a16:creationId xmlns:a16="http://schemas.microsoft.com/office/drawing/2014/main" id="{00000000-0008-0000-0100-0000E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3" name="Text Box 15">
          <a:extLst>
            <a:ext uri="{FF2B5EF4-FFF2-40B4-BE49-F238E27FC236}">
              <a16:creationId xmlns:a16="http://schemas.microsoft.com/office/drawing/2014/main" id="{00000000-0008-0000-0100-0000E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4" name="Text Box 15">
          <a:extLst>
            <a:ext uri="{FF2B5EF4-FFF2-40B4-BE49-F238E27FC236}">
              <a16:creationId xmlns:a16="http://schemas.microsoft.com/office/drawing/2014/main" id="{00000000-0008-0000-0100-0000E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5" name="Text Box 15">
          <a:extLst>
            <a:ext uri="{FF2B5EF4-FFF2-40B4-BE49-F238E27FC236}">
              <a16:creationId xmlns:a16="http://schemas.microsoft.com/office/drawing/2014/main" id="{00000000-0008-0000-0100-0000E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6" name="Text Box 15">
          <a:extLst>
            <a:ext uri="{FF2B5EF4-FFF2-40B4-BE49-F238E27FC236}">
              <a16:creationId xmlns:a16="http://schemas.microsoft.com/office/drawing/2014/main" id="{00000000-0008-0000-0100-0000E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7" name="Text Box 15">
          <a:extLst>
            <a:ext uri="{FF2B5EF4-FFF2-40B4-BE49-F238E27FC236}">
              <a16:creationId xmlns:a16="http://schemas.microsoft.com/office/drawing/2014/main" id="{00000000-0008-0000-0100-0000E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8" name="Text Box 15">
          <a:extLst>
            <a:ext uri="{FF2B5EF4-FFF2-40B4-BE49-F238E27FC236}">
              <a16:creationId xmlns:a16="http://schemas.microsoft.com/office/drawing/2014/main" id="{00000000-0008-0000-0100-0000E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9" name="Text Box 15">
          <a:extLst>
            <a:ext uri="{FF2B5EF4-FFF2-40B4-BE49-F238E27FC236}">
              <a16:creationId xmlns:a16="http://schemas.microsoft.com/office/drawing/2014/main" id="{00000000-0008-0000-0100-0000E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0" name="Text Box 15">
          <a:extLst>
            <a:ext uri="{FF2B5EF4-FFF2-40B4-BE49-F238E27FC236}">
              <a16:creationId xmlns:a16="http://schemas.microsoft.com/office/drawing/2014/main" id="{00000000-0008-0000-0100-0000F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1" name="Text Box 15">
          <a:extLst>
            <a:ext uri="{FF2B5EF4-FFF2-40B4-BE49-F238E27FC236}">
              <a16:creationId xmlns:a16="http://schemas.microsoft.com/office/drawing/2014/main" id="{00000000-0008-0000-0100-0000F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2" name="Text Box 15">
          <a:extLst>
            <a:ext uri="{FF2B5EF4-FFF2-40B4-BE49-F238E27FC236}">
              <a16:creationId xmlns:a16="http://schemas.microsoft.com/office/drawing/2014/main" id="{00000000-0008-0000-0100-0000F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3" name="Text Box 15">
          <a:extLst>
            <a:ext uri="{FF2B5EF4-FFF2-40B4-BE49-F238E27FC236}">
              <a16:creationId xmlns:a16="http://schemas.microsoft.com/office/drawing/2014/main" id="{00000000-0008-0000-0100-0000F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4" name="Text Box 15">
          <a:extLst>
            <a:ext uri="{FF2B5EF4-FFF2-40B4-BE49-F238E27FC236}">
              <a16:creationId xmlns:a16="http://schemas.microsoft.com/office/drawing/2014/main" id="{00000000-0008-0000-0100-0000F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5" name="Text Box 15">
          <a:extLst>
            <a:ext uri="{FF2B5EF4-FFF2-40B4-BE49-F238E27FC236}">
              <a16:creationId xmlns:a16="http://schemas.microsoft.com/office/drawing/2014/main" id="{00000000-0008-0000-0100-0000F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6" name="Text Box 15">
          <a:extLst>
            <a:ext uri="{FF2B5EF4-FFF2-40B4-BE49-F238E27FC236}">
              <a16:creationId xmlns:a16="http://schemas.microsoft.com/office/drawing/2014/main" id="{00000000-0008-0000-0100-0000F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7" name="Text Box 15">
          <a:extLst>
            <a:ext uri="{FF2B5EF4-FFF2-40B4-BE49-F238E27FC236}">
              <a16:creationId xmlns:a16="http://schemas.microsoft.com/office/drawing/2014/main" id="{00000000-0008-0000-0100-0000F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8" name="Text Box 15">
          <a:extLst>
            <a:ext uri="{FF2B5EF4-FFF2-40B4-BE49-F238E27FC236}">
              <a16:creationId xmlns:a16="http://schemas.microsoft.com/office/drawing/2014/main" id="{00000000-0008-0000-0100-0000F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9" name="Text Box 15">
          <a:extLst>
            <a:ext uri="{FF2B5EF4-FFF2-40B4-BE49-F238E27FC236}">
              <a16:creationId xmlns:a16="http://schemas.microsoft.com/office/drawing/2014/main" id="{00000000-0008-0000-0100-0000F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0" name="Text Box 15">
          <a:extLst>
            <a:ext uri="{FF2B5EF4-FFF2-40B4-BE49-F238E27FC236}">
              <a16:creationId xmlns:a16="http://schemas.microsoft.com/office/drawing/2014/main" id="{00000000-0008-0000-0100-0000F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1" name="Text Box 15">
          <a:extLst>
            <a:ext uri="{FF2B5EF4-FFF2-40B4-BE49-F238E27FC236}">
              <a16:creationId xmlns:a16="http://schemas.microsoft.com/office/drawing/2014/main" id="{00000000-0008-0000-0100-0000F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2" name="Text Box 15">
          <a:extLst>
            <a:ext uri="{FF2B5EF4-FFF2-40B4-BE49-F238E27FC236}">
              <a16:creationId xmlns:a16="http://schemas.microsoft.com/office/drawing/2014/main" id="{00000000-0008-0000-0100-0000F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3" name="Text Box 15">
          <a:extLst>
            <a:ext uri="{FF2B5EF4-FFF2-40B4-BE49-F238E27FC236}">
              <a16:creationId xmlns:a16="http://schemas.microsoft.com/office/drawing/2014/main" id="{00000000-0008-0000-0100-0000F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4" name="Text Box 15">
          <a:extLst>
            <a:ext uri="{FF2B5EF4-FFF2-40B4-BE49-F238E27FC236}">
              <a16:creationId xmlns:a16="http://schemas.microsoft.com/office/drawing/2014/main" id="{00000000-0008-0000-0100-0000F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5" name="Text Box 15">
          <a:extLst>
            <a:ext uri="{FF2B5EF4-FFF2-40B4-BE49-F238E27FC236}">
              <a16:creationId xmlns:a16="http://schemas.microsoft.com/office/drawing/2014/main" id="{00000000-0008-0000-0100-0000F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6" name="Text Box 15">
          <a:extLst>
            <a:ext uri="{FF2B5EF4-FFF2-40B4-BE49-F238E27FC236}">
              <a16:creationId xmlns:a16="http://schemas.microsoft.com/office/drawing/2014/main" id="{00000000-0008-0000-0100-00000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7" name="Text Box 15">
          <a:extLst>
            <a:ext uri="{FF2B5EF4-FFF2-40B4-BE49-F238E27FC236}">
              <a16:creationId xmlns:a16="http://schemas.microsoft.com/office/drawing/2014/main" id="{00000000-0008-0000-0100-00000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8" name="Text Box 15">
          <a:extLst>
            <a:ext uri="{FF2B5EF4-FFF2-40B4-BE49-F238E27FC236}">
              <a16:creationId xmlns:a16="http://schemas.microsoft.com/office/drawing/2014/main" id="{00000000-0008-0000-0100-00000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9" name="Text Box 15">
          <a:extLst>
            <a:ext uri="{FF2B5EF4-FFF2-40B4-BE49-F238E27FC236}">
              <a16:creationId xmlns:a16="http://schemas.microsoft.com/office/drawing/2014/main" id="{00000000-0008-0000-0100-00000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0" name="Text Box 15">
          <a:extLst>
            <a:ext uri="{FF2B5EF4-FFF2-40B4-BE49-F238E27FC236}">
              <a16:creationId xmlns:a16="http://schemas.microsoft.com/office/drawing/2014/main" id="{00000000-0008-0000-0100-00000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1" name="Text Box 15">
          <a:extLst>
            <a:ext uri="{FF2B5EF4-FFF2-40B4-BE49-F238E27FC236}">
              <a16:creationId xmlns:a16="http://schemas.microsoft.com/office/drawing/2014/main" id="{00000000-0008-0000-0100-00000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2" name="Text Box 15">
          <a:extLst>
            <a:ext uri="{FF2B5EF4-FFF2-40B4-BE49-F238E27FC236}">
              <a16:creationId xmlns:a16="http://schemas.microsoft.com/office/drawing/2014/main" id="{00000000-0008-0000-0100-00000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3" name="Text Box 15">
          <a:extLst>
            <a:ext uri="{FF2B5EF4-FFF2-40B4-BE49-F238E27FC236}">
              <a16:creationId xmlns:a16="http://schemas.microsoft.com/office/drawing/2014/main" id="{00000000-0008-0000-0100-00000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4" name="Text Box 15">
          <a:extLst>
            <a:ext uri="{FF2B5EF4-FFF2-40B4-BE49-F238E27FC236}">
              <a16:creationId xmlns:a16="http://schemas.microsoft.com/office/drawing/2014/main" id="{00000000-0008-0000-0100-00000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5" name="Text Box 15">
          <a:extLst>
            <a:ext uri="{FF2B5EF4-FFF2-40B4-BE49-F238E27FC236}">
              <a16:creationId xmlns:a16="http://schemas.microsoft.com/office/drawing/2014/main" id="{00000000-0008-0000-0100-00000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6" name="Text Box 15">
          <a:extLst>
            <a:ext uri="{FF2B5EF4-FFF2-40B4-BE49-F238E27FC236}">
              <a16:creationId xmlns:a16="http://schemas.microsoft.com/office/drawing/2014/main" id="{00000000-0008-0000-0100-00000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7" name="Text Box 15">
          <a:extLst>
            <a:ext uri="{FF2B5EF4-FFF2-40B4-BE49-F238E27FC236}">
              <a16:creationId xmlns:a16="http://schemas.microsoft.com/office/drawing/2014/main" id="{00000000-0008-0000-0100-00000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8" name="Text Box 15">
          <a:extLst>
            <a:ext uri="{FF2B5EF4-FFF2-40B4-BE49-F238E27FC236}">
              <a16:creationId xmlns:a16="http://schemas.microsoft.com/office/drawing/2014/main" id="{00000000-0008-0000-0100-00000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9" name="Text Box 15">
          <a:extLst>
            <a:ext uri="{FF2B5EF4-FFF2-40B4-BE49-F238E27FC236}">
              <a16:creationId xmlns:a16="http://schemas.microsoft.com/office/drawing/2014/main" id="{00000000-0008-0000-0100-00000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0" name="Text Box 15">
          <a:extLst>
            <a:ext uri="{FF2B5EF4-FFF2-40B4-BE49-F238E27FC236}">
              <a16:creationId xmlns:a16="http://schemas.microsoft.com/office/drawing/2014/main" id="{00000000-0008-0000-0100-00000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1" name="Text Box 15">
          <a:extLst>
            <a:ext uri="{FF2B5EF4-FFF2-40B4-BE49-F238E27FC236}">
              <a16:creationId xmlns:a16="http://schemas.microsoft.com/office/drawing/2014/main" id="{00000000-0008-0000-0100-00000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2" name="Text Box 15">
          <a:extLst>
            <a:ext uri="{FF2B5EF4-FFF2-40B4-BE49-F238E27FC236}">
              <a16:creationId xmlns:a16="http://schemas.microsoft.com/office/drawing/2014/main" id="{00000000-0008-0000-0100-00001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3" name="Text Box 15">
          <a:extLst>
            <a:ext uri="{FF2B5EF4-FFF2-40B4-BE49-F238E27FC236}">
              <a16:creationId xmlns:a16="http://schemas.microsoft.com/office/drawing/2014/main" id="{00000000-0008-0000-0100-00001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4" name="Text Box 15">
          <a:extLst>
            <a:ext uri="{FF2B5EF4-FFF2-40B4-BE49-F238E27FC236}">
              <a16:creationId xmlns:a16="http://schemas.microsoft.com/office/drawing/2014/main" id="{00000000-0008-0000-0100-00001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5" name="Text Box 15">
          <a:extLst>
            <a:ext uri="{FF2B5EF4-FFF2-40B4-BE49-F238E27FC236}">
              <a16:creationId xmlns:a16="http://schemas.microsoft.com/office/drawing/2014/main" id="{00000000-0008-0000-0100-00001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6" name="Text Box 15">
          <a:extLst>
            <a:ext uri="{FF2B5EF4-FFF2-40B4-BE49-F238E27FC236}">
              <a16:creationId xmlns:a16="http://schemas.microsoft.com/office/drawing/2014/main" id="{00000000-0008-0000-0100-00001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7" name="Text Box 15">
          <a:extLst>
            <a:ext uri="{FF2B5EF4-FFF2-40B4-BE49-F238E27FC236}">
              <a16:creationId xmlns:a16="http://schemas.microsoft.com/office/drawing/2014/main" id="{00000000-0008-0000-0100-00001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8" name="Text Box 15">
          <a:extLst>
            <a:ext uri="{FF2B5EF4-FFF2-40B4-BE49-F238E27FC236}">
              <a16:creationId xmlns:a16="http://schemas.microsoft.com/office/drawing/2014/main" id="{00000000-0008-0000-0100-00001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9" name="Text Box 15">
          <a:extLst>
            <a:ext uri="{FF2B5EF4-FFF2-40B4-BE49-F238E27FC236}">
              <a16:creationId xmlns:a16="http://schemas.microsoft.com/office/drawing/2014/main" id="{00000000-0008-0000-0100-00001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0" name="Text Box 15">
          <a:extLst>
            <a:ext uri="{FF2B5EF4-FFF2-40B4-BE49-F238E27FC236}">
              <a16:creationId xmlns:a16="http://schemas.microsoft.com/office/drawing/2014/main" id="{00000000-0008-0000-0100-00001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1" name="Text Box 15">
          <a:extLst>
            <a:ext uri="{FF2B5EF4-FFF2-40B4-BE49-F238E27FC236}">
              <a16:creationId xmlns:a16="http://schemas.microsoft.com/office/drawing/2014/main" id="{00000000-0008-0000-0100-00001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2" name="Text Box 15">
          <a:extLst>
            <a:ext uri="{FF2B5EF4-FFF2-40B4-BE49-F238E27FC236}">
              <a16:creationId xmlns:a16="http://schemas.microsoft.com/office/drawing/2014/main" id="{00000000-0008-0000-0100-00001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3" name="Text Box 15">
          <a:extLst>
            <a:ext uri="{FF2B5EF4-FFF2-40B4-BE49-F238E27FC236}">
              <a16:creationId xmlns:a16="http://schemas.microsoft.com/office/drawing/2014/main" id="{00000000-0008-0000-0100-00001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4" name="Text Box 15">
          <a:extLst>
            <a:ext uri="{FF2B5EF4-FFF2-40B4-BE49-F238E27FC236}">
              <a16:creationId xmlns:a16="http://schemas.microsoft.com/office/drawing/2014/main" id="{00000000-0008-0000-0100-00001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5" name="Text Box 15">
          <a:extLst>
            <a:ext uri="{FF2B5EF4-FFF2-40B4-BE49-F238E27FC236}">
              <a16:creationId xmlns:a16="http://schemas.microsoft.com/office/drawing/2014/main" id="{00000000-0008-0000-0100-00001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6" name="Text Box 15">
          <a:extLst>
            <a:ext uri="{FF2B5EF4-FFF2-40B4-BE49-F238E27FC236}">
              <a16:creationId xmlns:a16="http://schemas.microsoft.com/office/drawing/2014/main" id="{00000000-0008-0000-0100-00001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7" name="Text Box 15">
          <a:extLst>
            <a:ext uri="{FF2B5EF4-FFF2-40B4-BE49-F238E27FC236}">
              <a16:creationId xmlns:a16="http://schemas.microsoft.com/office/drawing/2014/main" id="{00000000-0008-0000-0100-00001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8" name="Text Box 15">
          <a:extLst>
            <a:ext uri="{FF2B5EF4-FFF2-40B4-BE49-F238E27FC236}">
              <a16:creationId xmlns:a16="http://schemas.microsoft.com/office/drawing/2014/main" id="{00000000-0008-0000-0100-00002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9" name="Text Box 15">
          <a:extLst>
            <a:ext uri="{FF2B5EF4-FFF2-40B4-BE49-F238E27FC236}">
              <a16:creationId xmlns:a16="http://schemas.microsoft.com/office/drawing/2014/main" id="{00000000-0008-0000-0100-00002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0" name="Text Box 15">
          <a:extLst>
            <a:ext uri="{FF2B5EF4-FFF2-40B4-BE49-F238E27FC236}">
              <a16:creationId xmlns:a16="http://schemas.microsoft.com/office/drawing/2014/main" id="{00000000-0008-0000-0100-00002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1" name="Text Box 15">
          <a:extLst>
            <a:ext uri="{FF2B5EF4-FFF2-40B4-BE49-F238E27FC236}">
              <a16:creationId xmlns:a16="http://schemas.microsoft.com/office/drawing/2014/main" id="{00000000-0008-0000-0100-00002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2" name="Text Box 15">
          <a:extLst>
            <a:ext uri="{FF2B5EF4-FFF2-40B4-BE49-F238E27FC236}">
              <a16:creationId xmlns:a16="http://schemas.microsoft.com/office/drawing/2014/main" id="{00000000-0008-0000-0100-00002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3" name="Text Box 15">
          <a:extLst>
            <a:ext uri="{FF2B5EF4-FFF2-40B4-BE49-F238E27FC236}">
              <a16:creationId xmlns:a16="http://schemas.microsoft.com/office/drawing/2014/main" id="{00000000-0008-0000-0100-00002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4" name="Text Box 15">
          <a:extLst>
            <a:ext uri="{FF2B5EF4-FFF2-40B4-BE49-F238E27FC236}">
              <a16:creationId xmlns:a16="http://schemas.microsoft.com/office/drawing/2014/main" id="{00000000-0008-0000-0100-00002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5" name="Text Box 15">
          <a:extLst>
            <a:ext uri="{FF2B5EF4-FFF2-40B4-BE49-F238E27FC236}">
              <a16:creationId xmlns:a16="http://schemas.microsoft.com/office/drawing/2014/main" id="{00000000-0008-0000-0100-00002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6" name="Text Box 15">
          <a:extLst>
            <a:ext uri="{FF2B5EF4-FFF2-40B4-BE49-F238E27FC236}">
              <a16:creationId xmlns:a16="http://schemas.microsoft.com/office/drawing/2014/main" id="{00000000-0008-0000-0100-00002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7" name="Text Box 15">
          <a:extLst>
            <a:ext uri="{FF2B5EF4-FFF2-40B4-BE49-F238E27FC236}">
              <a16:creationId xmlns:a16="http://schemas.microsoft.com/office/drawing/2014/main" id="{00000000-0008-0000-0100-00002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8" name="Text Box 15">
          <a:extLst>
            <a:ext uri="{FF2B5EF4-FFF2-40B4-BE49-F238E27FC236}">
              <a16:creationId xmlns:a16="http://schemas.microsoft.com/office/drawing/2014/main" id="{00000000-0008-0000-0100-00002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9" name="Text Box 15">
          <a:extLst>
            <a:ext uri="{FF2B5EF4-FFF2-40B4-BE49-F238E27FC236}">
              <a16:creationId xmlns:a16="http://schemas.microsoft.com/office/drawing/2014/main" id="{00000000-0008-0000-0100-00002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0" name="Text Box 15">
          <a:extLst>
            <a:ext uri="{FF2B5EF4-FFF2-40B4-BE49-F238E27FC236}">
              <a16:creationId xmlns:a16="http://schemas.microsoft.com/office/drawing/2014/main" id="{00000000-0008-0000-0100-00002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1" name="Text Box 15">
          <a:extLst>
            <a:ext uri="{FF2B5EF4-FFF2-40B4-BE49-F238E27FC236}">
              <a16:creationId xmlns:a16="http://schemas.microsoft.com/office/drawing/2014/main" id="{00000000-0008-0000-0100-00002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2" name="Text Box 15">
          <a:extLst>
            <a:ext uri="{FF2B5EF4-FFF2-40B4-BE49-F238E27FC236}">
              <a16:creationId xmlns:a16="http://schemas.microsoft.com/office/drawing/2014/main" id="{00000000-0008-0000-0100-00002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3" name="Text Box 15">
          <a:extLst>
            <a:ext uri="{FF2B5EF4-FFF2-40B4-BE49-F238E27FC236}">
              <a16:creationId xmlns:a16="http://schemas.microsoft.com/office/drawing/2014/main" id="{00000000-0008-0000-0100-00002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4" name="Text Box 15">
          <a:extLst>
            <a:ext uri="{FF2B5EF4-FFF2-40B4-BE49-F238E27FC236}">
              <a16:creationId xmlns:a16="http://schemas.microsoft.com/office/drawing/2014/main" id="{00000000-0008-0000-0100-00003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5" name="Text Box 15">
          <a:extLst>
            <a:ext uri="{FF2B5EF4-FFF2-40B4-BE49-F238E27FC236}">
              <a16:creationId xmlns:a16="http://schemas.microsoft.com/office/drawing/2014/main" id="{00000000-0008-0000-0100-00003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6" name="Text Box 15">
          <a:extLst>
            <a:ext uri="{FF2B5EF4-FFF2-40B4-BE49-F238E27FC236}">
              <a16:creationId xmlns:a16="http://schemas.microsoft.com/office/drawing/2014/main" id="{00000000-0008-0000-0100-00003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7" name="Text Box 15">
          <a:extLst>
            <a:ext uri="{FF2B5EF4-FFF2-40B4-BE49-F238E27FC236}">
              <a16:creationId xmlns:a16="http://schemas.microsoft.com/office/drawing/2014/main" id="{00000000-0008-0000-0100-00003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8" name="Text Box 15">
          <a:extLst>
            <a:ext uri="{FF2B5EF4-FFF2-40B4-BE49-F238E27FC236}">
              <a16:creationId xmlns:a16="http://schemas.microsoft.com/office/drawing/2014/main" id="{00000000-0008-0000-0100-00003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9" name="Text Box 15">
          <a:extLst>
            <a:ext uri="{FF2B5EF4-FFF2-40B4-BE49-F238E27FC236}">
              <a16:creationId xmlns:a16="http://schemas.microsoft.com/office/drawing/2014/main" id="{00000000-0008-0000-0100-00003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0" name="Text Box 15">
          <a:extLst>
            <a:ext uri="{FF2B5EF4-FFF2-40B4-BE49-F238E27FC236}">
              <a16:creationId xmlns:a16="http://schemas.microsoft.com/office/drawing/2014/main" id="{00000000-0008-0000-0100-00003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1" name="Text Box 15">
          <a:extLst>
            <a:ext uri="{FF2B5EF4-FFF2-40B4-BE49-F238E27FC236}">
              <a16:creationId xmlns:a16="http://schemas.microsoft.com/office/drawing/2014/main" id="{00000000-0008-0000-0100-00003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2" name="Text Box 15">
          <a:extLst>
            <a:ext uri="{FF2B5EF4-FFF2-40B4-BE49-F238E27FC236}">
              <a16:creationId xmlns:a16="http://schemas.microsoft.com/office/drawing/2014/main" id="{00000000-0008-0000-0100-00003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3" name="Text Box 15">
          <a:extLst>
            <a:ext uri="{FF2B5EF4-FFF2-40B4-BE49-F238E27FC236}">
              <a16:creationId xmlns:a16="http://schemas.microsoft.com/office/drawing/2014/main" id="{00000000-0008-0000-0100-00003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4" name="Text Box 15">
          <a:extLst>
            <a:ext uri="{FF2B5EF4-FFF2-40B4-BE49-F238E27FC236}">
              <a16:creationId xmlns:a16="http://schemas.microsoft.com/office/drawing/2014/main" id="{00000000-0008-0000-0100-00003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5" name="Text Box 15">
          <a:extLst>
            <a:ext uri="{FF2B5EF4-FFF2-40B4-BE49-F238E27FC236}">
              <a16:creationId xmlns:a16="http://schemas.microsoft.com/office/drawing/2014/main" id="{00000000-0008-0000-0100-00003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6" name="Text Box 15">
          <a:extLst>
            <a:ext uri="{FF2B5EF4-FFF2-40B4-BE49-F238E27FC236}">
              <a16:creationId xmlns:a16="http://schemas.microsoft.com/office/drawing/2014/main" id="{00000000-0008-0000-0100-00003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597" name="Text Box 15">
          <a:extLst>
            <a:ext uri="{FF2B5EF4-FFF2-40B4-BE49-F238E27FC236}">
              <a16:creationId xmlns:a16="http://schemas.microsoft.com/office/drawing/2014/main" id="{00000000-0008-0000-0100-00003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598" name="Text Box 15">
          <a:extLst>
            <a:ext uri="{FF2B5EF4-FFF2-40B4-BE49-F238E27FC236}">
              <a16:creationId xmlns:a16="http://schemas.microsoft.com/office/drawing/2014/main" id="{00000000-0008-0000-0100-00003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599" name="Text Box 15">
          <a:extLst>
            <a:ext uri="{FF2B5EF4-FFF2-40B4-BE49-F238E27FC236}">
              <a16:creationId xmlns:a16="http://schemas.microsoft.com/office/drawing/2014/main" id="{00000000-0008-0000-0100-00003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0" name="Text Box 15">
          <a:extLst>
            <a:ext uri="{FF2B5EF4-FFF2-40B4-BE49-F238E27FC236}">
              <a16:creationId xmlns:a16="http://schemas.microsoft.com/office/drawing/2014/main" id="{00000000-0008-0000-0100-00004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1" name="Text Box 15">
          <a:extLst>
            <a:ext uri="{FF2B5EF4-FFF2-40B4-BE49-F238E27FC236}">
              <a16:creationId xmlns:a16="http://schemas.microsoft.com/office/drawing/2014/main" id="{00000000-0008-0000-0100-00004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2" name="Text Box 15">
          <a:extLst>
            <a:ext uri="{FF2B5EF4-FFF2-40B4-BE49-F238E27FC236}">
              <a16:creationId xmlns:a16="http://schemas.microsoft.com/office/drawing/2014/main" id="{00000000-0008-0000-0100-00004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3" name="Text Box 15">
          <a:extLst>
            <a:ext uri="{FF2B5EF4-FFF2-40B4-BE49-F238E27FC236}">
              <a16:creationId xmlns:a16="http://schemas.microsoft.com/office/drawing/2014/main" id="{00000000-0008-0000-0100-00004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4" name="Text Box 15">
          <a:extLst>
            <a:ext uri="{FF2B5EF4-FFF2-40B4-BE49-F238E27FC236}">
              <a16:creationId xmlns:a16="http://schemas.microsoft.com/office/drawing/2014/main" id="{00000000-0008-0000-0100-00004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5" name="Text Box 15">
          <a:extLst>
            <a:ext uri="{FF2B5EF4-FFF2-40B4-BE49-F238E27FC236}">
              <a16:creationId xmlns:a16="http://schemas.microsoft.com/office/drawing/2014/main" id="{00000000-0008-0000-0100-00004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6" name="Text Box 15">
          <a:extLst>
            <a:ext uri="{FF2B5EF4-FFF2-40B4-BE49-F238E27FC236}">
              <a16:creationId xmlns:a16="http://schemas.microsoft.com/office/drawing/2014/main" id="{00000000-0008-0000-0100-00004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7" name="Text Box 15">
          <a:extLst>
            <a:ext uri="{FF2B5EF4-FFF2-40B4-BE49-F238E27FC236}">
              <a16:creationId xmlns:a16="http://schemas.microsoft.com/office/drawing/2014/main" id="{00000000-0008-0000-0100-00004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8" name="Text Box 15">
          <a:extLst>
            <a:ext uri="{FF2B5EF4-FFF2-40B4-BE49-F238E27FC236}">
              <a16:creationId xmlns:a16="http://schemas.microsoft.com/office/drawing/2014/main" id="{00000000-0008-0000-0100-00004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9" name="Text Box 15">
          <a:extLst>
            <a:ext uri="{FF2B5EF4-FFF2-40B4-BE49-F238E27FC236}">
              <a16:creationId xmlns:a16="http://schemas.microsoft.com/office/drawing/2014/main" id="{00000000-0008-0000-0100-00004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10" name="Text Box 15">
          <a:extLst>
            <a:ext uri="{FF2B5EF4-FFF2-40B4-BE49-F238E27FC236}">
              <a16:creationId xmlns:a16="http://schemas.microsoft.com/office/drawing/2014/main" id="{00000000-0008-0000-0100-00004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11" name="Text Box 15">
          <a:extLst>
            <a:ext uri="{FF2B5EF4-FFF2-40B4-BE49-F238E27FC236}">
              <a16:creationId xmlns:a16="http://schemas.microsoft.com/office/drawing/2014/main" id="{00000000-0008-0000-0100-00004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12" name="Text Box 15">
          <a:extLst>
            <a:ext uri="{FF2B5EF4-FFF2-40B4-BE49-F238E27FC236}">
              <a16:creationId xmlns:a16="http://schemas.microsoft.com/office/drawing/2014/main" id="{00000000-0008-0000-0100-00004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13" name="Text Box 15">
          <a:extLst>
            <a:ext uri="{FF2B5EF4-FFF2-40B4-BE49-F238E27FC236}">
              <a16:creationId xmlns:a16="http://schemas.microsoft.com/office/drawing/2014/main" id="{00000000-0008-0000-0100-00004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14" name="Text Box 15">
          <a:extLst>
            <a:ext uri="{FF2B5EF4-FFF2-40B4-BE49-F238E27FC236}">
              <a16:creationId xmlns:a16="http://schemas.microsoft.com/office/drawing/2014/main" id="{00000000-0008-0000-0100-00004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15" name="Text Box 15">
          <a:extLst>
            <a:ext uri="{FF2B5EF4-FFF2-40B4-BE49-F238E27FC236}">
              <a16:creationId xmlns:a16="http://schemas.microsoft.com/office/drawing/2014/main" id="{00000000-0008-0000-0100-00004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16" name="Text Box 15">
          <a:extLst>
            <a:ext uri="{FF2B5EF4-FFF2-40B4-BE49-F238E27FC236}">
              <a16:creationId xmlns:a16="http://schemas.microsoft.com/office/drawing/2014/main" id="{00000000-0008-0000-0100-00005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17" name="Text Box 15">
          <a:extLst>
            <a:ext uri="{FF2B5EF4-FFF2-40B4-BE49-F238E27FC236}">
              <a16:creationId xmlns:a16="http://schemas.microsoft.com/office/drawing/2014/main" id="{00000000-0008-0000-0100-00005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18" name="Text Box 15">
          <a:extLst>
            <a:ext uri="{FF2B5EF4-FFF2-40B4-BE49-F238E27FC236}">
              <a16:creationId xmlns:a16="http://schemas.microsoft.com/office/drawing/2014/main" id="{00000000-0008-0000-0100-00005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19" name="Text Box 15">
          <a:extLst>
            <a:ext uri="{FF2B5EF4-FFF2-40B4-BE49-F238E27FC236}">
              <a16:creationId xmlns:a16="http://schemas.microsoft.com/office/drawing/2014/main" id="{00000000-0008-0000-0100-00005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20" name="Text Box 15">
          <a:extLst>
            <a:ext uri="{FF2B5EF4-FFF2-40B4-BE49-F238E27FC236}">
              <a16:creationId xmlns:a16="http://schemas.microsoft.com/office/drawing/2014/main" id="{00000000-0008-0000-0100-00005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21" name="Text Box 15">
          <a:extLst>
            <a:ext uri="{FF2B5EF4-FFF2-40B4-BE49-F238E27FC236}">
              <a16:creationId xmlns:a16="http://schemas.microsoft.com/office/drawing/2014/main" id="{00000000-0008-0000-0100-00005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22" name="Text Box 15">
          <a:extLst>
            <a:ext uri="{FF2B5EF4-FFF2-40B4-BE49-F238E27FC236}">
              <a16:creationId xmlns:a16="http://schemas.microsoft.com/office/drawing/2014/main" id="{00000000-0008-0000-0100-00005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23" name="Text Box 15">
          <a:extLst>
            <a:ext uri="{FF2B5EF4-FFF2-40B4-BE49-F238E27FC236}">
              <a16:creationId xmlns:a16="http://schemas.microsoft.com/office/drawing/2014/main" id="{00000000-0008-0000-0100-00005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24" name="Text Box 15">
          <a:extLst>
            <a:ext uri="{FF2B5EF4-FFF2-40B4-BE49-F238E27FC236}">
              <a16:creationId xmlns:a16="http://schemas.microsoft.com/office/drawing/2014/main" id="{00000000-0008-0000-0100-00005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25" name="Text Box 15">
          <a:extLst>
            <a:ext uri="{FF2B5EF4-FFF2-40B4-BE49-F238E27FC236}">
              <a16:creationId xmlns:a16="http://schemas.microsoft.com/office/drawing/2014/main" id="{00000000-0008-0000-0100-00005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26" name="Text Box 15">
          <a:extLst>
            <a:ext uri="{FF2B5EF4-FFF2-40B4-BE49-F238E27FC236}">
              <a16:creationId xmlns:a16="http://schemas.microsoft.com/office/drawing/2014/main" id="{00000000-0008-0000-0100-00005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27" name="Text Box 15">
          <a:extLst>
            <a:ext uri="{FF2B5EF4-FFF2-40B4-BE49-F238E27FC236}">
              <a16:creationId xmlns:a16="http://schemas.microsoft.com/office/drawing/2014/main" id="{00000000-0008-0000-0100-00005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28" name="Text Box 15">
          <a:extLst>
            <a:ext uri="{FF2B5EF4-FFF2-40B4-BE49-F238E27FC236}">
              <a16:creationId xmlns:a16="http://schemas.microsoft.com/office/drawing/2014/main" id="{00000000-0008-0000-0100-00005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29" name="Text Box 15">
          <a:extLst>
            <a:ext uri="{FF2B5EF4-FFF2-40B4-BE49-F238E27FC236}">
              <a16:creationId xmlns:a16="http://schemas.microsoft.com/office/drawing/2014/main" id="{00000000-0008-0000-0100-00005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0" name="Text Box 15">
          <a:extLst>
            <a:ext uri="{FF2B5EF4-FFF2-40B4-BE49-F238E27FC236}">
              <a16:creationId xmlns:a16="http://schemas.microsoft.com/office/drawing/2014/main" id="{00000000-0008-0000-0100-00005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1" name="Text Box 15">
          <a:extLst>
            <a:ext uri="{FF2B5EF4-FFF2-40B4-BE49-F238E27FC236}">
              <a16:creationId xmlns:a16="http://schemas.microsoft.com/office/drawing/2014/main" id="{00000000-0008-0000-0100-00005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2" name="Text Box 15">
          <a:extLst>
            <a:ext uri="{FF2B5EF4-FFF2-40B4-BE49-F238E27FC236}">
              <a16:creationId xmlns:a16="http://schemas.microsoft.com/office/drawing/2014/main" id="{00000000-0008-0000-0100-00006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3" name="Text Box 15">
          <a:extLst>
            <a:ext uri="{FF2B5EF4-FFF2-40B4-BE49-F238E27FC236}">
              <a16:creationId xmlns:a16="http://schemas.microsoft.com/office/drawing/2014/main" id="{00000000-0008-0000-0100-00006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4" name="Text Box 15">
          <a:extLst>
            <a:ext uri="{FF2B5EF4-FFF2-40B4-BE49-F238E27FC236}">
              <a16:creationId xmlns:a16="http://schemas.microsoft.com/office/drawing/2014/main" id="{00000000-0008-0000-0100-00006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5" name="Text Box 15">
          <a:extLst>
            <a:ext uri="{FF2B5EF4-FFF2-40B4-BE49-F238E27FC236}">
              <a16:creationId xmlns:a16="http://schemas.microsoft.com/office/drawing/2014/main" id="{00000000-0008-0000-0100-00006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6" name="Text Box 15">
          <a:extLst>
            <a:ext uri="{FF2B5EF4-FFF2-40B4-BE49-F238E27FC236}">
              <a16:creationId xmlns:a16="http://schemas.microsoft.com/office/drawing/2014/main" id="{00000000-0008-0000-0100-00006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7" name="Text Box 15">
          <a:extLst>
            <a:ext uri="{FF2B5EF4-FFF2-40B4-BE49-F238E27FC236}">
              <a16:creationId xmlns:a16="http://schemas.microsoft.com/office/drawing/2014/main" id="{00000000-0008-0000-0100-00006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8" name="Text Box 15">
          <a:extLst>
            <a:ext uri="{FF2B5EF4-FFF2-40B4-BE49-F238E27FC236}">
              <a16:creationId xmlns:a16="http://schemas.microsoft.com/office/drawing/2014/main" id="{00000000-0008-0000-0100-00006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9" name="Text Box 15">
          <a:extLst>
            <a:ext uri="{FF2B5EF4-FFF2-40B4-BE49-F238E27FC236}">
              <a16:creationId xmlns:a16="http://schemas.microsoft.com/office/drawing/2014/main" id="{00000000-0008-0000-0100-00006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40" name="Text Box 15">
          <a:extLst>
            <a:ext uri="{FF2B5EF4-FFF2-40B4-BE49-F238E27FC236}">
              <a16:creationId xmlns:a16="http://schemas.microsoft.com/office/drawing/2014/main" id="{00000000-0008-0000-0100-00006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41" name="Text Box 15">
          <a:extLst>
            <a:ext uri="{FF2B5EF4-FFF2-40B4-BE49-F238E27FC236}">
              <a16:creationId xmlns:a16="http://schemas.microsoft.com/office/drawing/2014/main" id="{00000000-0008-0000-0100-00006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42" name="Text Box 15">
          <a:extLst>
            <a:ext uri="{FF2B5EF4-FFF2-40B4-BE49-F238E27FC236}">
              <a16:creationId xmlns:a16="http://schemas.microsoft.com/office/drawing/2014/main" id="{00000000-0008-0000-0100-00006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43" name="Text Box 15">
          <a:extLst>
            <a:ext uri="{FF2B5EF4-FFF2-40B4-BE49-F238E27FC236}">
              <a16:creationId xmlns:a16="http://schemas.microsoft.com/office/drawing/2014/main" id="{00000000-0008-0000-0100-00006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44" name="Text Box 15">
          <a:extLst>
            <a:ext uri="{FF2B5EF4-FFF2-40B4-BE49-F238E27FC236}">
              <a16:creationId xmlns:a16="http://schemas.microsoft.com/office/drawing/2014/main" id="{00000000-0008-0000-0100-00006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45" name="Text Box 15">
          <a:extLst>
            <a:ext uri="{FF2B5EF4-FFF2-40B4-BE49-F238E27FC236}">
              <a16:creationId xmlns:a16="http://schemas.microsoft.com/office/drawing/2014/main" id="{00000000-0008-0000-0100-00006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46" name="Text Box 15">
          <a:extLst>
            <a:ext uri="{FF2B5EF4-FFF2-40B4-BE49-F238E27FC236}">
              <a16:creationId xmlns:a16="http://schemas.microsoft.com/office/drawing/2014/main" id="{00000000-0008-0000-0100-00006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47" name="Text Box 15">
          <a:extLst>
            <a:ext uri="{FF2B5EF4-FFF2-40B4-BE49-F238E27FC236}">
              <a16:creationId xmlns:a16="http://schemas.microsoft.com/office/drawing/2014/main" id="{00000000-0008-0000-0100-00006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48" name="Text Box 15">
          <a:extLst>
            <a:ext uri="{FF2B5EF4-FFF2-40B4-BE49-F238E27FC236}">
              <a16:creationId xmlns:a16="http://schemas.microsoft.com/office/drawing/2014/main" id="{00000000-0008-0000-0100-00007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49" name="Text Box 15">
          <a:extLst>
            <a:ext uri="{FF2B5EF4-FFF2-40B4-BE49-F238E27FC236}">
              <a16:creationId xmlns:a16="http://schemas.microsoft.com/office/drawing/2014/main" id="{00000000-0008-0000-0100-00007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50" name="Text Box 15">
          <a:extLst>
            <a:ext uri="{FF2B5EF4-FFF2-40B4-BE49-F238E27FC236}">
              <a16:creationId xmlns:a16="http://schemas.microsoft.com/office/drawing/2014/main" id="{00000000-0008-0000-0100-00007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51" name="Text Box 15">
          <a:extLst>
            <a:ext uri="{FF2B5EF4-FFF2-40B4-BE49-F238E27FC236}">
              <a16:creationId xmlns:a16="http://schemas.microsoft.com/office/drawing/2014/main" id="{00000000-0008-0000-0100-00007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52" name="Text Box 15">
          <a:extLst>
            <a:ext uri="{FF2B5EF4-FFF2-40B4-BE49-F238E27FC236}">
              <a16:creationId xmlns:a16="http://schemas.microsoft.com/office/drawing/2014/main" id="{00000000-0008-0000-0100-00007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53" name="Text Box 15">
          <a:extLst>
            <a:ext uri="{FF2B5EF4-FFF2-40B4-BE49-F238E27FC236}">
              <a16:creationId xmlns:a16="http://schemas.microsoft.com/office/drawing/2014/main" id="{00000000-0008-0000-0100-00007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54" name="Text Box 15">
          <a:extLst>
            <a:ext uri="{FF2B5EF4-FFF2-40B4-BE49-F238E27FC236}">
              <a16:creationId xmlns:a16="http://schemas.microsoft.com/office/drawing/2014/main" id="{00000000-0008-0000-0100-00007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55" name="Text Box 15">
          <a:extLst>
            <a:ext uri="{FF2B5EF4-FFF2-40B4-BE49-F238E27FC236}">
              <a16:creationId xmlns:a16="http://schemas.microsoft.com/office/drawing/2014/main" id="{00000000-0008-0000-0100-00007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56" name="Text Box 15">
          <a:extLst>
            <a:ext uri="{FF2B5EF4-FFF2-40B4-BE49-F238E27FC236}">
              <a16:creationId xmlns:a16="http://schemas.microsoft.com/office/drawing/2014/main" id="{00000000-0008-0000-0100-00007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57" name="Text Box 15">
          <a:extLst>
            <a:ext uri="{FF2B5EF4-FFF2-40B4-BE49-F238E27FC236}">
              <a16:creationId xmlns:a16="http://schemas.microsoft.com/office/drawing/2014/main" id="{00000000-0008-0000-0100-00007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58" name="Text Box 15">
          <a:extLst>
            <a:ext uri="{FF2B5EF4-FFF2-40B4-BE49-F238E27FC236}">
              <a16:creationId xmlns:a16="http://schemas.microsoft.com/office/drawing/2014/main" id="{00000000-0008-0000-0100-00007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59" name="Text Box 15">
          <a:extLst>
            <a:ext uri="{FF2B5EF4-FFF2-40B4-BE49-F238E27FC236}">
              <a16:creationId xmlns:a16="http://schemas.microsoft.com/office/drawing/2014/main" id="{00000000-0008-0000-0100-00007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0" name="Text Box 15">
          <a:extLst>
            <a:ext uri="{FF2B5EF4-FFF2-40B4-BE49-F238E27FC236}">
              <a16:creationId xmlns:a16="http://schemas.microsoft.com/office/drawing/2014/main" id="{00000000-0008-0000-0100-00007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1" name="Text Box 15">
          <a:extLst>
            <a:ext uri="{FF2B5EF4-FFF2-40B4-BE49-F238E27FC236}">
              <a16:creationId xmlns:a16="http://schemas.microsoft.com/office/drawing/2014/main" id="{00000000-0008-0000-0100-00007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2" name="Text Box 15">
          <a:extLst>
            <a:ext uri="{FF2B5EF4-FFF2-40B4-BE49-F238E27FC236}">
              <a16:creationId xmlns:a16="http://schemas.microsoft.com/office/drawing/2014/main" id="{00000000-0008-0000-0100-00007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3" name="Text Box 15">
          <a:extLst>
            <a:ext uri="{FF2B5EF4-FFF2-40B4-BE49-F238E27FC236}">
              <a16:creationId xmlns:a16="http://schemas.microsoft.com/office/drawing/2014/main" id="{00000000-0008-0000-0100-00007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4" name="Text Box 15">
          <a:extLst>
            <a:ext uri="{FF2B5EF4-FFF2-40B4-BE49-F238E27FC236}">
              <a16:creationId xmlns:a16="http://schemas.microsoft.com/office/drawing/2014/main" id="{00000000-0008-0000-0100-00008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5" name="Text Box 15">
          <a:extLst>
            <a:ext uri="{FF2B5EF4-FFF2-40B4-BE49-F238E27FC236}">
              <a16:creationId xmlns:a16="http://schemas.microsoft.com/office/drawing/2014/main" id="{00000000-0008-0000-0100-00008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6" name="Text Box 15">
          <a:extLst>
            <a:ext uri="{FF2B5EF4-FFF2-40B4-BE49-F238E27FC236}">
              <a16:creationId xmlns:a16="http://schemas.microsoft.com/office/drawing/2014/main" id="{00000000-0008-0000-0100-00008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7" name="Text Box 15">
          <a:extLst>
            <a:ext uri="{FF2B5EF4-FFF2-40B4-BE49-F238E27FC236}">
              <a16:creationId xmlns:a16="http://schemas.microsoft.com/office/drawing/2014/main" id="{00000000-0008-0000-0100-00008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8" name="Text Box 15">
          <a:extLst>
            <a:ext uri="{FF2B5EF4-FFF2-40B4-BE49-F238E27FC236}">
              <a16:creationId xmlns:a16="http://schemas.microsoft.com/office/drawing/2014/main" id="{00000000-0008-0000-0100-00008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9" name="Text Box 15">
          <a:extLst>
            <a:ext uri="{FF2B5EF4-FFF2-40B4-BE49-F238E27FC236}">
              <a16:creationId xmlns:a16="http://schemas.microsoft.com/office/drawing/2014/main" id="{00000000-0008-0000-0100-00008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70" name="Text Box 15">
          <a:extLst>
            <a:ext uri="{FF2B5EF4-FFF2-40B4-BE49-F238E27FC236}">
              <a16:creationId xmlns:a16="http://schemas.microsoft.com/office/drawing/2014/main" id="{00000000-0008-0000-0100-00008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71" name="Text Box 15">
          <a:extLst>
            <a:ext uri="{FF2B5EF4-FFF2-40B4-BE49-F238E27FC236}">
              <a16:creationId xmlns:a16="http://schemas.microsoft.com/office/drawing/2014/main" id="{00000000-0008-0000-0100-00008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72" name="Text Box 15">
          <a:extLst>
            <a:ext uri="{FF2B5EF4-FFF2-40B4-BE49-F238E27FC236}">
              <a16:creationId xmlns:a16="http://schemas.microsoft.com/office/drawing/2014/main" id="{00000000-0008-0000-0100-00008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73" name="Text Box 15">
          <a:extLst>
            <a:ext uri="{FF2B5EF4-FFF2-40B4-BE49-F238E27FC236}">
              <a16:creationId xmlns:a16="http://schemas.microsoft.com/office/drawing/2014/main" id="{00000000-0008-0000-0100-00008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74" name="Text Box 15">
          <a:extLst>
            <a:ext uri="{FF2B5EF4-FFF2-40B4-BE49-F238E27FC236}">
              <a16:creationId xmlns:a16="http://schemas.microsoft.com/office/drawing/2014/main" id="{00000000-0008-0000-0100-00008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75" name="Text Box 15">
          <a:extLst>
            <a:ext uri="{FF2B5EF4-FFF2-40B4-BE49-F238E27FC236}">
              <a16:creationId xmlns:a16="http://schemas.microsoft.com/office/drawing/2014/main" id="{00000000-0008-0000-0100-00008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76" name="Text Box 15">
          <a:extLst>
            <a:ext uri="{FF2B5EF4-FFF2-40B4-BE49-F238E27FC236}">
              <a16:creationId xmlns:a16="http://schemas.microsoft.com/office/drawing/2014/main" id="{00000000-0008-0000-0100-00008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77" name="Text Box 15">
          <a:extLst>
            <a:ext uri="{FF2B5EF4-FFF2-40B4-BE49-F238E27FC236}">
              <a16:creationId xmlns:a16="http://schemas.microsoft.com/office/drawing/2014/main" id="{00000000-0008-0000-0100-00008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78" name="Text Box 15">
          <a:extLst>
            <a:ext uri="{FF2B5EF4-FFF2-40B4-BE49-F238E27FC236}">
              <a16:creationId xmlns:a16="http://schemas.microsoft.com/office/drawing/2014/main" id="{00000000-0008-0000-0100-00008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79" name="Text Box 15">
          <a:extLst>
            <a:ext uri="{FF2B5EF4-FFF2-40B4-BE49-F238E27FC236}">
              <a16:creationId xmlns:a16="http://schemas.microsoft.com/office/drawing/2014/main" id="{00000000-0008-0000-0100-00008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80" name="Text Box 15">
          <a:extLst>
            <a:ext uri="{FF2B5EF4-FFF2-40B4-BE49-F238E27FC236}">
              <a16:creationId xmlns:a16="http://schemas.microsoft.com/office/drawing/2014/main" id="{00000000-0008-0000-0100-00009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81" name="Text Box 15">
          <a:extLst>
            <a:ext uri="{FF2B5EF4-FFF2-40B4-BE49-F238E27FC236}">
              <a16:creationId xmlns:a16="http://schemas.microsoft.com/office/drawing/2014/main" id="{00000000-0008-0000-0100-00009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82" name="Text Box 15">
          <a:extLst>
            <a:ext uri="{FF2B5EF4-FFF2-40B4-BE49-F238E27FC236}">
              <a16:creationId xmlns:a16="http://schemas.microsoft.com/office/drawing/2014/main" id="{00000000-0008-0000-0100-00009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83" name="Text Box 15">
          <a:extLst>
            <a:ext uri="{FF2B5EF4-FFF2-40B4-BE49-F238E27FC236}">
              <a16:creationId xmlns:a16="http://schemas.microsoft.com/office/drawing/2014/main" id="{00000000-0008-0000-0100-00009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84" name="Text Box 15">
          <a:extLst>
            <a:ext uri="{FF2B5EF4-FFF2-40B4-BE49-F238E27FC236}">
              <a16:creationId xmlns:a16="http://schemas.microsoft.com/office/drawing/2014/main" id="{00000000-0008-0000-0100-00009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5" name="Text Box 15">
          <a:extLst>
            <a:ext uri="{FF2B5EF4-FFF2-40B4-BE49-F238E27FC236}">
              <a16:creationId xmlns:a16="http://schemas.microsoft.com/office/drawing/2014/main" id="{00000000-0008-0000-0100-00009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6" name="Text Box 15">
          <a:extLst>
            <a:ext uri="{FF2B5EF4-FFF2-40B4-BE49-F238E27FC236}">
              <a16:creationId xmlns:a16="http://schemas.microsoft.com/office/drawing/2014/main" id="{00000000-0008-0000-0100-00009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7" name="Text Box 15">
          <a:extLst>
            <a:ext uri="{FF2B5EF4-FFF2-40B4-BE49-F238E27FC236}">
              <a16:creationId xmlns:a16="http://schemas.microsoft.com/office/drawing/2014/main" id="{00000000-0008-0000-0100-00009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8" name="Text Box 15">
          <a:extLst>
            <a:ext uri="{FF2B5EF4-FFF2-40B4-BE49-F238E27FC236}">
              <a16:creationId xmlns:a16="http://schemas.microsoft.com/office/drawing/2014/main" id="{00000000-0008-0000-0100-00009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9" name="Text Box 15">
          <a:extLst>
            <a:ext uri="{FF2B5EF4-FFF2-40B4-BE49-F238E27FC236}">
              <a16:creationId xmlns:a16="http://schemas.microsoft.com/office/drawing/2014/main" id="{00000000-0008-0000-0100-00009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0" name="Text Box 15">
          <a:extLst>
            <a:ext uri="{FF2B5EF4-FFF2-40B4-BE49-F238E27FC236}">
              <a16:creationId xmlns:a16="http://schemas.microsoft.com/office/drawing/2014/main" id="{00000000-0008-0000-0100-00009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1" name="Text Box 15">
          <a:extLst>
            <a:ext uri="{FF2B5EF4-FFF2-40B4-BE49-F238E27FC236}">
              <a16:creationId xmlns:a16="http://schemas.microsoft.com/office/drawing/2014/main" id="{00000000-0008-0000-0100-00009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2" name="Text Box 15">
          <a:extLst>
            <a:ext uri="{FF2B5EF4-FFF2-40B4-BE49-F238E27FC236}">
              <a16:creationId xmlns:a16="http://schemas.microsoft.com/office/drawing/2014/main" id="{00000000-0008-0000-0100-00009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3" name="Text Box 15">
          <a:extLst>
            <a:ext uri="{FF2B5EF4-FFF2-40B4-BE49-F238E27FC236}">
              <a16:creationId xmlns:a16="http://schemas.microsoft.com/office/drawing/2014/main" id="{00000000-0008-0000-0100-00009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4" name="Text Box 15">
          <a:extLst>
            <a:ext uri="{FF2B5EF4-FFF2-40B4-BE49-F238E27FC236}">
              <a16:creationId xmlns:a16="http://schemas.microsoft.com/office/drawing/2014/main" id="{00000000-0008-0000-0100-00009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5" name="Text Box 15">
          <a:extLst>
            <a:ext uri="{FF2B5EF4-FFF2-40B4-BE49-F238E27FC236}">
              <a16:creationId xmlns:a16="http://schemas.microsoft.com/office/drawing/2014/main" id="{00000000-0008-0000-0100-00009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6" name="Text Box 15">
          <a:extLst>
            <a:ext uri="{FF2B5EF4-FFF2-40B4-BE49-F238E27FC236}">
              <a16:creationId xmlns:a16="http://schemas.microsoft.com/office/drawing/2014/main" id="{00000000-0008-0000-0100-0000A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7" name="Text Box 15">
          <a:extLst>
            <a:ext uri="{FF2B5EF4-FFF2-40B4-BE49-F238E27FC236}">
              <a16:creationId xmlns:a16="http://schemas.microsoft.com/office/drawing/2014/main" id="{00000000-0008-0000-0100-0000A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8" name="Text Box 15">
          <a:extLst>
            <a:ext uri="{FF2B5EF4-FFF2-40B4-BE49-F238E27FC236}">
              <a16:creationId xmlns:a16="http://schemas.microsoft.com/office/drawing/2014/main" id="{00000000-0008-0000-0100-0000A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9" name="Text Box 15">
          <a:extLst>
            <a:ext uri="{FF2B5EF4-FFF2-40B4-BE49-F238E27FC236}">
              <a16:creationId xmlns:a16="http://schemas.microsoft.com/office/drawing/2014/main" id="{00000000-0008-0000-0100-0000A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0" name="Text Box 15">
          <a:extLst>
            <a:ext uri="{FF2B5EF4-FFF2-40B4-BE49-F238E27FC236}">
              <a16:creationId xmlns:a16="http://schemas.microsoft.com/office/drawing/2014/main" id="{00000000-0008-0000-0100-0000A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1" name="Text Box 15">
          <a:extLst>
            <a:ext uri="{FF2B5EF4-FFF2-40B4-BE49-F238E27FC236}">
              <a16:creationId xmlns:a16="http://schemas.microsoft.com/office/drawing/2014/main" id="{00000000-0008-0000-0100-0000A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2" name="Text Box 15">
          <a:extLst>
            <a:ext uri="{FF2B5EF4-FFF2-40B4-BE49-F238E27FC236}">
              <a16:creationId xmlns:a16="http://schemas.microsoft.com/office/drawing/2014/main" id="{00000000-0008-0000-0100-0000A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3" name="Text Box 15">
          <a:extLst>
            <a:ext uri="{FF2B5EF4-FFF2-40B4-BE49-F238E27FC236}">
              <a16:creationId xmlns:a16="http://schemas.microsoft.com/office/drawing/2014/main" id="{00000000-0008-0000-0100-0000A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4" name="Text Box 15">
          <a:extLst>
            <a:ext uri="{FF2B5EF4-FFF2-40B4-BE49-F238E27FC236}">
              <a16:creationId xmlns:a16="http://schemas.microsoft.com/office/drawing/2014/main" id="{00000000-0008-0000-0100-0000A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5" name="Text Box 15">
          <a:extLst>
            <a:ext uri="{FF2B5EF4-FFF2-40B4-BE49-F238E27FC236}">
              <a16:creationId xmlns:a16="http://schemas.microsoft.com/office/drawing/2014/main" id="{00000000-0008-0000-0100-0000A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6" name="Text Box 15">
          <a:extLst>
            <a:ext uri="{FF2B5EF4-FFF2-40B4-BE49-F238E27FC236}">
              <a16:creationId xmlns:a16="http://schemas.microsoft.com/office/drawing/2014/main" id="{00000000-0008-0000-0100-0000A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7" name="Text Box 15">
          <a:extLst>
            <a:ext uri="{FF2B5EF4-FFF2-40B4-BE49-F238E27FC236}">
              <a16:creationId xmlns:a16="http://schemas.microsoft.com/office/drawing/2014/main" id="{00000000-0008-0000-0100-0000A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8" name="Text Box 15">
          <a:extLst>
            <a:ext uri="{FF2B5EF4-FFF2-40B4-BE49-F238E27FC236}">
              <a16:creationId xmlns:a16="http://schemas.microsoft.com/office/drawing/2014/main" id="{00000000-0008-0000-0100-0000A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9" name="Text Box 15">
          <a:extLst>
            <a:ext uri="{FF2B5EF4-FFF2-40B4-BE49-F238E27FC236}">
              <a16:creationId xmlns:a16="http://schemas.microsoft.com/office/drawing/2014/main" id="{00000000-0008-0000-0100-0000A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0" name="Text Box 15">
          <a:extLst>
            <a:ext uri="{FF2B5EF4-FFF2-40B4-BE49-F238E27FC236}">
              <a16:creationId xmlns:a16="http://schemas.microsoft.com/office/drawing/2014/main" id="{00000000-0008-0000-0100-0000A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1" name="Text Box 15">
          <a:extLst>
            <a:ext uri="{FF2B5EF4-FFF2-40B4-BE49-F238E27FC236}">
              <a16:creationId xmlns:a16="http://schemas.microsoft.com/office/drawing/2014/main" id="{00000000-0008-0000-0100-0000A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2" name="Text Box 15">
          <a:extLst>
            <a:ext uri="{FF2B5EF4-FFF2-40B4-BE49-F238E27FC236}">
              <a16:creationId xmlns:a16="http://schemas.microsoft.com/office/drawing/2014/main" id="{00000000-0008-0000-0100-0000B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3" name="Text Box 15">
          <a:extLst>
            <a:ext uri="{FF2B5EF4-FFF2-40B4-BE49-F238E27FC236}">
              <a16:creationId xmlns:a16="http://schemas.microsoft.com/office/drawing/2014/main" id="{00000000-0008-0000-0100-0000B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4" name="Text Box 15">
          <a:extLst>
            <a:ext uri="{FF2B5EF4-FFF2-40B4-BE49-F238E27FC236}">
              <a16:creationId xmlns:a16="http://schemas.microsoft.com/office/drawing/2014/main" id="{00000000-0008-0000-0100-0000B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5" name="Text Box 15">
          <a:extLst>
            <a:ext uri="{FF2B5EF4-FFF2-40B4-BE49-F238E27FC236}">
              <a16:creationId xmlns:a16="http://schemas.microsoft.com/office/drawing/2014/main" id="{00000000-0008-0000-0100-0000B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6" name="Text Box 15">
          <a:extLst>
            <a:ext uri="{FF2B5EF4-FFF2-40B4-BE49-F238E27FC236}">
              <a16:creationId xmlns:a16="http://schemas.microsoft.com/office/drawing/2014/main" id="{00000000-0008-0000-0100-0000B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7" name="Text Box 15">
          <a:extLst>
            <a:ext uri="{FF2B5EF4-FFF2-40B4-BE49-F238E27FC236}">
              <a16:creationId xmlns:a16="http://schemas.microsoft.com/office/drawing/2014/main" id="{00000000-0008-0000-0100-0000B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8" name="Text Box 15">
          <a:extLst>
            <a:ext uri="{FF2B5EF4-FFF2-40B4-BE49-F238E27FC236}">
              <a16:creationId xmlns:a16="http://schemas.microsoft.com/office/drawing/2014/main" id="{00000000-0008-0000-0100-0000B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9" name="Text Box 15">
          <a:extLst>
            <a:ext uri="{FF2B5EF4-FFF2-40B4-BE49-F238E27FC236}">
              <a16:creationId xmlns:a16="http://schemas.microsoft.com/office/drawing/2014/main" id="{00000000-0008-0000-0100-0000B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0" name="Text Box 15">
          <a:extLst>
            <a:ext uri="{FF2B5EF4-FFF2-40B4-BE49-F238E27FC236}">
              <a16:creationId xmlns:a16="http://schemas.microsoft.com/office/drawing/2014/main" id="{00000000-0008-0000-0100-0000B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1" name="Text Box 15">
          <a:extLst>
            <a:ext uri="{FF2B5EF4-FFF2-40B4-BE49-F238E27FC236}">
              <a16:creationId xmlns:a16="http://schemas.microsoft.com/office/drawing/2014/main" id="{00000000-0008-0000-0100-0000B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2" name="Text Box 15">
          <a:extLst>
            <a:ext uri="{FF2B5EF4-FFF2-40B4-BE49-F238E27FC236}">
              <a16:creationId xmlns:a16="http://schemas.microsoft.com/office/drawing/2014/main" id="{00000000-0008-0000-0100-0000B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3" name="Text Box 15">
          <a:extLst>
            <a:ext uri="{FF2B5EF4-FFF2-40B4-BE49-F238E27FC236}">
              <a16:creationId xmlns:a16="http://schemas.microsoft.com/office/drawing/2014/main" id="{00000000-0008-0000-0100-0000B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4" name="Text Box 15">
          <a:extLst>
            <a:ext uri="{FF2B5EF4-FFF2-40B4-BE49-F238E27FC236}">
              <a16:creationId xmlns:a16="http://schemas.microsoft.com/office/drawing/2014/main" id="{00000000-0008-0000-0100-0000B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5" name="Text Box 15">
          <a:extLst>
            <a:ext uri="{FF2B5EF4-FFF2-40B4-BE49-F238E27FC236}">
              <a16:creationId xmlns:a16="http://schemas.microsoft.com/office/drawing/2014/main" id="{00000000-0008-0000-0100-0000B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6" name="Text Box 15">
          <a:extLst>
            <a:ext uri="{FF2B5EF4-FFF2-40B4-BE49-F238E27FC236}">
              <a16:creationId xmlns:a16="http://schemas.microsoft.com/office/drawing/2014/main" id="{00000000-0008-0000-0100-0000B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7" name="Text Box 15">
          <a:extLst>
            <a:ext uri="{FF2B5EF4-FFF2-40B4-BE49-F238E27FC236}">
              <a16:creationId xmlns:a16="http://schemas.microsoft.com/office/drawing/2014/main" id="{00000000-0008-0000-0100-0000B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8" name="Text Box 15">
          <a:extLst>
            <a:ext uri="{FF2B5EF4-FFF2-40B4-BE49-F238E27FC236}">
              <a16:creationId xmlns:a16="http://schemas.microsoft.com/office/drawing/2014/main" id="{00000000-0008-0000-0100-0000C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9" name="Text Box 15">
          <a:extLst>
            <a:ext uri="{FF2B5EF4-FFF2-40B4-BE49-F238E27FC236}">
              <a16:creationId xmlns:a16="http://schemas.microsoft.com/office/drawing/2014/main" id="{00000000-0008-0000-0100-0000C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0" name="Text Box 15">
          <a:extLst>
            <a:ext uri="{FF2B5EF4-FFF2-40B4-BE49-F238E27FC236}">
              <a16:creationId xmlns:a16="http://schemas.microsoft.com/office/drawing/2014/main" id="{00000000-0008-0000-0100-0000C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1" name="Text Box 15">
          <a:extLst>
            <a:ext uri="{FF2B5EF4-FFF2-40B4-BE49-F238E27FC236}">
              <a16:creationId xmlns:a16="http://schemas.microsoft.com/office/drawing/2014/main" id="{00000000-0008-0000-0100-0000C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2" name="Text Box 15">
          <a:extLst>
            <a:ext uri="{FF2B5EF4-FFF2-40B4-BE49-F238E27FC236}">
              <a16:creationId xmlns:a16="http://schemas.microsoft.com/office/drawing/2014/main" id="{00000000-0008-0000-0100-0000C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3" name="Text Box 15">
          <a:extLst>
            <a:ext uri="{FF2B5EF4-FFF2-40B4-BE49-F238E27FC236}">
              <a16:creationId xmlns:a16="http://schemas.microsoft.com/office/drawing/2014/main" id="{00000000-0008-0000-0100-0000C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4" name="Text Box 15">
          <a:extLst>
            <a:ext uri="{FF2B5EF4-FFF2-40B4-BE49-F238E27FC236}">
              <a16:creationId xmlns:a16="http://schemas.microsoft.com/office/drawing/2014/main" id="{00000000-0008-0000-0100-0000C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5" name="Text Box 15">
          <a:extLst>
            <a:ext uri="{FF2B5EF4-FFF2-40B4-BE49-F238E27FC236}">
              <a16:creationId xmlns:a16="http://schemas.microsoft.com/office/drawing/2014/main" id="{00000000-0008-0000-0100-0000C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6" name="Text Box 15">
          <a:extLst>
            <a:ext uri="{FF2B5EF4-FFF2-40B4-BE49-F238E27FC236}">
              <a16:creationId xmlns:a16="http://schemas.microsoft.com/office/drawing/2014/main" id="{00000000-0008-0000-0100-0000C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7" name="Text Box 15">
          <a:extLst>
            <a:ext uri="{FF2B5EF4-FFF2-40B4-BE49-F238E27FC236}">
              <a16:creationId xmlns:a16="http://schemas.microsoft.com/office/drawing/2014/main" id="{00000000-0008-0000-0100-0000C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8" name="Text Box 15">
          <a:extLst>
            <a:ext uri="{FF2B5EF4-FFF2-40B4-BE49-F238E27FC236}">
              <a16:creationId xmlns:a16="http://schemas.microsoft.com/office/drawing/2014/main" id="{00000000-0008-0000-0100-0000C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9" name="Text Box 15">
          <a:extLst>
            <a:ext uri="{FF2B5EF4-FFF2-40B4-BE49-F238E27FC236}">
              <a16:creationId xmlns:a16="http://schemas.microsoft.com/office/drawing/2014/main" id="{00000000-0008-0000-0100-0000C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0" name="Text Box 15">
          <a:extLst>
            <a:ext uri="{FF2B5EF4-FFF2-40B4-BE49-F238E27FC236}">
              <a16:creationId xmlns:a16="http://schemas.microsoft.com/office/drawing/2014/main" id="{00000000-0008-0000-0100-0000C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1" name="Text Box 15">
          <a:extLst>
            <a:ext uri="{FF2B5EF4-FFF2-40B4-BE49-F238E27FC236}">
              <a16:creationId xmlns:a16="http://schemas.microsoft.com/office/drawing/2014/main" id="{00000000-0008-0000-0100-0000C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2" name="Text Box 15">
          <a:extLst>
            <a:ext uri="{FF2B5EF4-FFF2-40B4-BE49-F238E27FC236}">
              <a16:creationId xmlns:a16="http://schemas.microsoft.com/office/drawing/2014/main" id="{00000000-0008-0000-0100-0000C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3" name="Text Box 15">
          <a:extLst>
            <a:ext uri="{FF2B5EF4-FFF2-40B4-BE49-F238E27FC236}">
              <a16:creationId xmlns:a16="http://schemas.microsoft.com/office/drawing/2014/main" id="{00000000-0008-0000-0100-0000C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4" name="Text Box 15">
          <a:extLst>
            <a:ext uri="{FF2B5EF4-FFF2-40B4-BE49-F238E27FC236}">
              <a16:creationId xmlns:a16="http://schemas.microsoft.com/office/drawing/2014/main" id="{00000000-0008-0000-0100-0000D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5" name="Text Box 15">
          <a:extLst>
            <a:ext uri="{FF2B5EF4-FFF2-40B4-BE49-F238E27FC236}">
              <a16:creationId xmlns:a16="http://schemas.microsoft.com/office/drawing/2014/main" id="{00000000-0008-0000-0100-0000D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6" name="Text Box 15">
          <a:extLst>
            <a:ext uri="{FF2B5EF4-FFF2-40B4-BE49-F238E27FC236}">
              <a16:creationId xmlns:a16="http://schemas.microsoft.com/office/drawing/2014/main" id="{00000000-0008-0000-0100-0000D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7" name="Text Box 15">
          <a:extLst>
            <a:ext uri="{FF2B5EF4-FFF2-40B4-BE49-F238E27FC236}">
              <a16:creationId xmlns:a16="http://schemas.microsoft.com/office/drawing/2014/main" id="{00000000-0008-0000-0100-0000D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8" name="Text Box 15">
          <a:extLst>
            <a:ext uri="{FF2B5EF4-FFF2-40B4-BE49-F238E27FC236}">
              <a16:creationId xmlns:a16="http://schemas.microsoft.com/office/drawing/2014/main" id="{00000000-0008-0000-0100-0000D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9" name="Text Box 15">
          <a:extLst>
            <a:ext uri="{FF2B5EF4-FFF2-40B4-BE49-F238E27FC236}">
              <a16:creationId xmlns:a16="http://schemas.microsoft.com/office/drawing/2014/main" id="{00000000-0008-0000-0100-0000D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0" name="Text Box 15">
          <a:extLst>
            <a:ext uri="{FF2B5EF4-FFF2-40B4-BE49-F238E27FC236}">
              <a16:creationId xmlns:a16="http://schemas.microsoft.com/office/drawing/2014/main" id="{00000000-0008-0000-0100-0000D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1" name="Text Box 15">
          <a:extLst>
            <a:ext uri="{FF2B5EF4-FFF2-40B4-BE49-F238E27FC236}">
              <a16:creationId xmlns:a16="http://schemas.microsoft.com/office/drawing/2014/main" id="{00000000-0008-0000-0100-0000D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2" name="Text Box 15">
          <a:extLst>
            <a:ext uri="{FF2B5EF4-FFF2-40B4-BE49-F238E27FC236}">
              <a16:creationId xmlns:a16="http://schemas.microsoft.com/office/drawing/2014/main" id="{00000000-0008-0000-0100-0000D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3" name="Text Box 15">
          <a:extLst>
            <a:ext uri="{FF2B5EF4-FFF2-40B4-BE49-F238E27FC236}">
              <a16:creationId xmlns:a16="http://schemas.microsoft.com/office/drawing/2014/main" id="{00000000-0008-0000-0100-0000D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4" name="Text Box 15">
          <a:extLst>
            <a:ext uri="{FF2B5EF4-FFF2-40B4-BE49-F238E27FC236}">
              <a16:creationId xmlns:a16="http://schemas.microsoft.com/office/drawing/2014/main" id="{00000000-0008-0000-0100-0000D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5" name="Text Box 15">
          <a:extLst>
            <a:ext uri="{FF2B5EF4-FFF2-40B4-BE49-F238E27FC236}">
              <a16:creationId xmlns:a16="http://schemas.microsoft.com/office/drawing/2014/main" id="{00000000-0008-0000-0100-0000D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6" name="Text Box 15">
          <a:extLst>
            <a:ext uri="{FF2B5EF4-FFF2-40B4-BE49-F238E27FC236}">
              <a16:creationId xmlns:a16="http://schemas.microsoft.com/office/drawing/2014/main" id="{00000000-0008-0000-0100-0000D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7" name="Text Box 15">
          <a:extLst>
            <a:ext uri="{FF2B5EF4-FFF2-40B4-BE49-F238E27FC236}">
              <a16:creationId xmlns:a16="http://schemas.microsoft.com/office/drawing/2014/main" id="{00000000-0008-0000-0100-0000D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8" name="Text Box 15">
          <a:extLst>
            <a:ext uri="{FF2B5EF4-FFF2-40B4-BE49-F238E27FC236}">
              <a16:creationId xmlns:a16="http://schemas.microsoft.com/office/drawing/2014/main" id="{00000000-0008-0000-0100-0000D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9" name="Text Box 15">
          <a:extLst>
            <a:ext uri="{FF2B5EF4-FFF2-40B4-BE49-F238E27FC236}">
              <a16:creationId xmlns:a16="http://schemas.microsoft.com/office/drawing/2014/main" id="{00000000-0008-0000-0100-0000D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0" name="Text Box 15">
          <a:extLst>
            <a:ext uri="{FF2B5EF4-FFF2-40B4-BE49-F238E27FC236}">
              <a16:creationId xmlns:a16="http://schemas.microsoft.com/office/drawing/2014/main" id="{00000000-0008-0000-0100-0000E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1" name="Text Box 15">
          <a:extLst>
            <a:ext uri="{FF2B5EF4-FFF2-40B4-BE49-F238E27FC236}">
              <a16:creationId xmlns:a16="http://schemas.microsoft.com/office/drawing/2014/main" id="{00000000-0008-0000-0100-0000E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2" name="Text Box 15">
          <a:extLst>
            <a:ext uri="{FF2B5EF4-FFF2-40B4-BE49-F238E27FC236}">
              <a16:creationId xmlns:a16="http://schemas.microsoft.com/office/drawing/2014/main" id="{00000000-0008-0000-0100-0000E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3" name="Text Box 15">
          <a:extLst>
            <a:ext uri="{FF2B5EF4-FFF2-40B4-BE49-F238E27FC236}">
              <a16:creationId xmlns:a16="http://schemas.microsoft.com/office/drawing/2014/main" id="{00000000-0008-0000-0100-0000E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4" name="Text Box 15">
          <a:extLst>
            <a:ext uri="{FF2B5EF4-FFF2-40B4-BE49-F238E27FC236}">
              <a16:creationId xmlns:a16="http://schemas.microsoft.com/office/drawing/2014/main" id="{00000000-0008-0000-0100-0000E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5" name="Text Box 15">
          <a:extLst>
            <a:ext uri="{FF2B5EF4-FFF2-40B4-BE49-F238E27FC236}">
              <a16:creationId xmlns:a16="http://schemas.microsoft.com/office/drawing/2014/main" id="{00000000-0008-0000-0100-0000E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6" name="Text Box 15">
          <a:extLst>
            <a:ext uri="{FF2B5EF4-FFF2-40B4-BE49-F238E27FC236}">
              <a16:creationId xmlns:a16="http://schemas.microsoft.com/office/drawing/2014/main" id="{00000000-0008-0000-0100-0000E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7" name="Text Box 15">
          <a:extLst>
            <a:ext uri="{FF2B5EF4-FFF2-40B4-BE49-F238E27FC236}">
              <a16:creationId xmlns:a16="http://schemas.microsoft.com/office/drawing/2014/main" id="{00000000-0008-0000-0100-0000E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8" name="Text Box 15">
          <a:extLst>
            <a:ext uri="{FF2B5EF4-FFF2-40B4-BE49-F238E27FC236}">
              <a16:creationId xmlns:a16="http://schemas.microsoft.com/office/drawing/2014/main" id="{00000000-0008-0000-0100-0000E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9" name="Text Box 15">
          <a:extLst>
            <a:ext uri="{FF2B5EF4-FFF2-40B4-BE49-F238E27FC236}">
              <a16:creationId xmlns:a16="http://schemas.microsoft.com/office/drawing/2014/main" id="{00000000-0008-0000-0100-0000E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0" name="Text Box 15">
          <a:extLst>
            <a:ext uri="{FF2B5EF4-FFF2-40B4-BE49-F238E27FC236}">
              <a16:creationId xmlns:a16="http://schemas.microsoft.com/office/drawing/2014/main" id="{00000000-0008-0000-0100-0000E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1" name="Text Box 15">
          <a:extLst>
            <a:ext uri="{FF2B5EF4-FFF2-40B4-BE49-F238E27FC236}">
              <a16:creationId xmlns:a16="http://schemas.microsoft.com/office/drawing/2014/main" id="{00000000-0008-0000-0100-0000E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2" name="Text Box 15">
          <a:extLst>
            <a:ext uri="{FF2B5EF4-FFF2-40B4-BE49-F238E27FC236}">
              <a16:creationId xmlns:a16="http://schemas.microsoft.com/office/drawing/2014/main" id="{00000000-0008-0000-0100-0000E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3" name="Text Box 15">
          <a:extLst>
            <a:ext uri="{FF2B5EF4-FFF2-40B4-BE49-F238E27FC236}">
              <a16:creationId xmlns:a16="http://schemas.microsoft.com/office/drawing/2014/main" id="{00000000-0008-0000-0100-0000E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4" name="Text Box 15">
          <a:extLst>
            <a:ext uri="{FF2B5EF4-FFF2-40B4-BE49-F238E27FC236}">
              <a16:creationId xmlns:a16="http://schemas.microsoft.com/office/drawing/2014/main" id="{00000000-0008-0000-0100-0000E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5" name="Text Box 15">
          <a:extLst>
            <a:ext uri="{FF2B5EF4-FFF2-40B4-BE49-F238E27FC236}">
              <a16:creationId xmlns:a16="http://schemas.microsoft.com/office/drawing/2014/main" id="{00000000-0008-0000-0100-0000E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6" name="Text Box 15">
          <a:extLst>
            <a:ext uri="{FF2B5EF4-FFF2-40B4-BE49-F238E27FC236}">
              <a16:creationId xmlns:a16="http://schemas.microsoft.com/office/drawing/2014/main" id="{00000000-0008-0000-0100-0000F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7" name="Text Box 15">
          <a:extLst>
            <a:ext uri="{FF2B5EF4-FFF2-40B4-BE49-F238E27FC236}">
              <a16:creationId xmlns:a16="http://schemas.microsoft.com/office/drawing/2014/main" id="{00000000-0008-0000-0100-0000F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8" name="Text Box 15">
          <a:extLst>
            <a:ext uri="{FF2B5EF4-FFF2-40B4-BE49-F238E27FC236}">
              <a16:creationId xmlns:a16="http://schemas.microsoft.com/office/drawing/2014/main" id="{00000000-0008-0000-0100-0000F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9" name="Text Box 15">
          <a:extLst>
            <a:ext uri="{FF2B5EF4-FFF2-40B4-BE49-F238E27FC236}">
              <a16:creationId xmlns:a16="http://schemas.microsoft.com/office/drawing/2014/main" id="{00000000-0008-0000-0100-0000F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0" name="Text Box 15">
          <a:extLst>
            <a:ext uri="{FF2B5EF4-FFF2-40B4-BE49-F238E27FC236}">
              <a16:creationId xmlns:a16="http://schemas.microsoft.com/office/drawing/2014/main" id="{00000000-0008-0000-0100-0000F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1" name="Text Box 15">
          <a:extLst>
            <a:ext uri="{FF2B5EF4-FFF2-40B4-BE49-F238E27FC236}">
              <a16:creationId xmlns:a16="http://schemas.microsoft.com/office/drawing/2014/main" id="{00000000-0008-0000-0100-0000F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2" name="Text Box 15">
          <a:extLst>
            <a:ext uri="{FF2B5EF4-FFF2-40B4-BE49-F238E27FC236}">
              <a16:creationId xmlns:a16="http://schemas.microsoft.com/office/drawing/2014/main" id="{00000000-0008-0000-0100-0000F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3" name="Text Box 15">
          <a:extLst>
            <a:ext uri="{FF2B5EF4-FFF2-40B4-BE49-F238E27FC236}">
              <a16:creationId xmlns:a16="http://schemas.microsoft.com/office/drawing/2014/main" id="{00000000-0008-0000-0100-0000F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4" name="Text Box 15">
          <a:extLst>
            <a:ext uri="{FF2B5EF4-FFF2-40B4-BE49-F238E27FC236}">
              <a16:creationId xmlns:a16="http://schemas.microsoft.com/office/drawing/2014/main" id="{00000000-0008-0000-0100-0000F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5" name="Text Box 15">
          <a:extLst>
            <a:ext uri="{FF2B5EF4-FFF2-40B4-BE49-F238E27FC236}">
              <a16:creationId xmlns:a16="http://schemas.microsoft.com/office/drawing/2014/main" id="{00000000-0008-0000-0100-0000F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6" name="Text Box 15">
          <a:extLst>
            <a:ext uri="{FF2B5EF4-FFF2-40B4-BE49-F238E27FC236}">
              <a16:creationId xmlns:a16="http://schemas.microsoft.com/office/drawing/2014/main" id="{00000000-0008-0000-0100-0000F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7" name="Text Box 15">
          <a:extLst>
            <a:ext uri="{FF2B5EF4-FFF2-40B4-BE49-F238E27FC236}">
              <a16:creationId xmlns:a16="http://schemas.microsoft.com/office/drawing/2014/main" id="{00000000-0008-0000-0100-0000F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8" name="Text Box 15">
          <a:extLst>
            <a:ext uri="{FF2B5EF4-FFF2-40B4-BE49-F238E27FC236}">
              <a16:creationId xmlns:a16="http://schemas.microsoft.com/office/drawing/2014/main" id="{00000000-0008-0000-0100-0000F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9" name="Text Box 15">
          <a:extLst>
            <a:ext uri="{FF2B5EF4-FFF2-40B4-BE49-F238E27FC236}">
              <a16:creationId xmlns:a16="http://schemas.microsoft.com/office/drawing/2014/main" id="{00000000-0008-0000-0100-0000F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0" name="Text Box 15">
          <a:extLst>
            <a:ext uri="{FF2B5EF4-FFF2-40B4-BE49-F238E27FC236}">
              <a16:creationId xmlns:a16="http://schemas.microsoft.com/office/drawing/2014/main" id="{00000000-0008-0000-0100-0000F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1" name="Text Box 15">
          <a:extLst>
            <a:ext uri="{FF2B5EF4-FFF2-40B4-BE49-F238E27FC236}">
              <a16:creationId xmlns:a16="http://schemas.microsoft.com/office/drawing/2014/main" id="{00000000-0008-0000-0100-0000F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2" name="Text Box 15">
          <a:extLst>
            <a:ext uri="{FF2B5EF4-FFF2-40B4-BE49-F238E27FC236}">
              <a16:creationId xmlns:a16="http://schemas.microsoft.com/office/drawing/2014/main" id="{00000000-0008-0000-0100-000000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3" name="Text Box 15">
          <a:extLst>
            <a:ext uri="{FF2B5EF4-FFF2-40B4-BE49-F238E27FC236}">
              <a16:creationId xmlns:a16="http://schemas.microsoft.com/office/drawing/2014/main" id="{00000000-0008-0000-0100-000001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4" name="Text Box 15">
          <a:extLst>
            <a:ext uri="{FF2B5EF4-FFF2-40B4-BE49-F238E27FC236}">
              <a16:creationId xmlns:a16="http://schemas.microsoft.com/office/drawing/2014/main" id="{00000000-0008-0000-0100-000002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5" name="Text Box 15">
          <a:extLst>
            <a:ext uri="{FF2B5EF4-FFF2-40B4-BE49-F238E27FC236}">
              <a16:creationId xmlns:a16="http://schemas.microsoft.com/office/drawing/2014/main" id="{00000000-0008-0000-0100-000003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6" name="Text Box 15">
          <a:extLst>
            <a:ext uri="{FF2B5EF4-FFF2-40B4-BE49-F238E27FC236}">
              <a16:creationId xmlns:a16="http://schemas.microsoft.com/office/drawing/2014/main" id="{00000000-0008-0000-0100-000004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7" name="Text Box 15">
          <a:extLst>
            <a:ext uri="{FF2B5EF4-FFF2-40B4-BE49-F238E27FC236}">
              <a16:creationId xmlns:a16="http://schemas.microsoft.com/office/drawing/2014/main" id="{00000000-0008-0000-0100-000005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8" name="Text Box 15">
          <a:extLst>
            <a:ext uri="{FF2B5EF4-FFF2-40B4-BE49-F238E27FC236}">
              <a16:creationId xmlns:a16="http://schemas.microsoft.com/office/drawing/2014/main" id="{00000000-0008-0000-0100-000006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9" name="Text Box 15">
          <a:extLst>
            <a:ext uri="{FF2B5EF4-FFF2-40B4-BE49-F238E27FC236}">
              <a16:creationId xmlns:a16="http://schemas.microsoft.com/office/drawing/2014/main" id="{00000000-0008-0000-0100-000007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0" name="Text Box 15">
          <a:extLst>
            <a:ext uri="{FF2B5EF4-FFF2-40B4-BE49-F238E27FC236}">
              <a16:creationId xmlns:a16="http://schemas.microsoft.com/office/drawing/2014/main" id="{00000000-0008-0000-0100-000008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1" name="Text Box 15">
          <a:extLst>
            <a:ext uri="{FF2B5EF4-FFF2-40B4-BE49-F238E27FC236}">
              <a16:creationId xmlns:a16="http://schemas.microsoft.com/office/drawing/2014/main" id="{00000000-0008-0000-0100-000009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2" name="Text Box 15">
          <a:extLst>
            <a:ext uri="{FF2B5EF4-FFF2-40B4-BE49-F238E27FC236}">
              <a16:creationId xmlns:a16="http://schemas.microsoft.com/office/drawing/2014/main" id="{00000000-0008-0000-0100-00000A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3" name="Text Box 15">
          <a:extLst>
            <a:ext uri="{FF2B5EF4-FFF2-40B4-BE49-F238E27FC236}">
              <a16:creationId xmlns:a16="http://schemas.microsoft.com/office/drawing/2014/main" id="{00000000-0008-0000-0100-00000B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4" name="Text Box 15">
          <a:extLst>
            <a:ext uri="{FF2B5EF4-FFF2-40B4-BE49-F238E27FC236}">
              <a16:creationId xmlns:a16="http://schemas.microsoft.com/office/drawing/2014/main" id="{00000000-0008-0000-0100-00000C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5" name="Text Box 15">
          <a:extLst>
            <a:ext uri="{FF2B5EF4-FFF2-40B4-BE49-F238E27FC236}">
              <a16:creationId xmlns:a16="http://schemas.microsoft.com/office/drawing/2014/main" id="{00000000-0008-0000-0100-00000D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6" name="Text Box 15">
          <a:extLst>
            <a:ext uri="{FF2B5EF4-FFF2-40B4-BE49-F238E27FC236}">
              <a16:creationId xmlns:a16="http://schemas.microsoft.com/office/drawing/2014/main" id="{00000000-0008-0000-0100-00000E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7" name="Text Box 15">
          <a:extLst>
            <a:ext uri="{FF2B5EF4-FFF2-40B4-BE49-F238E27FC236}">
              <a16:creationId xmlns:a16="http://schemas.microsoft.com/office/drawing/2014/main" id="{00000000-0008-0000-0100-00000F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8" name="Text Box 15">
          <a:extLst>
            <a:ext uri="{FF2B5EF4-FFF2-40B4-BE49-F238E27FC236}">
              <a16:creationId xmlns:a16="http://schemas.microsoft.com/office/drawing/2014/main" id="{00000000-0008-0000-0100-000010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9" name="Text Box 15">
          <a:extLst>
            <a:ext uri="{FF2B5EF4-FFF2-40B4-BE49-F238E27FC236}">
              <a16:creationId xmlns:a16="http://schemas.microsoft.com/office/drawing/2014/main" id="{00000000-0008-0000-0100-000011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0" name="Text Box 15">
          <a:extLst>
            <a:ext uri="{FF2B5EF4-FFF2-40B4-BE49-F238E27FC236}">
              <a16:creationId xmlns:a16="http://schemas.microsoft.com/office/drawing/2014/main" id="{00000000-0008-0000-0100-000012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1" name="Text Box 15">
          <a:extLst>
            <a:ext uri="{FF2B5EF4-FFF2-40B4-BE49-F238E27FC236}">
              <a16:creationId xmlns:a16="http://schemas.microsoft.com/office/drawing/2014/main" id="{00000000-0008-0000-0100-000013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2" name="Text Box 15">
          <a:extLst>
            <a:ext uri="{FF2B5EF4-FFF2-40B4-BE49-F238E27FC236}">
              <a16:creationId xmlns:a16="http://schemas.microsoft.com/office/drawing/2014/main" id="{00000000-0008-0000-0100-000014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3" name="Text Box 15">
          <a:extLst>
            <a:ext uri="{FF2B5EF4-FFF2-40B4-BE49-F238E27FC236}">
              <a16:creationId xmlns:a16="http://schemas.microsoft.com/office/drawing/2014/main" id="{00000000-0008-0000-0100-000015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4" name="Text Box 15">
          <a:extLst>
            <a:ext uri="{FF2B5EF4-FFF2-40B4-BE49-F238E27FC236}">
              <a16:creationId xmlns:a16="http://schemas.microsoft.com/office/drawing/2014/main" id="{00000000-0008-0000-0100-000016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5" name="Text Box 15">
          <a:extLst>
            <a:ext uri="{FF2B5EF4-FFF2-40B4-BE49-F238E27FC236}">
              <a16:creationId xmlns:a16="http://schemas.microsoft.com/office/drawing/2014/main" id="{00000000-0008-0000-0100-000017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6" name="Text Box 15">
          <a:extLst>
            <a:ext uri="{FF2B5EF4-FFF2-40B4-BE49-F238E27FC236}">
              <a16:creationId xmlns:a16="http://schemas.microsoft.com/office/drawing/2014/main" id="{00000000-0008-0000-0100-000018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7" name="Text Box 15">
          <a:extLst>
            <a:ext uri="{FF2B5EF4-FFF2-40B4-BE49-F238E27FC236}">
              <a16:creationId xmlns:a16="http://schemas.microsoft.com/office/drawing/2014/main" id="{00000000-0008-0000-0100-000019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8" name="Text Box 15">
          <a:extLst>
            <a:ext uri="{FF2B5EF4-FFF2-40B4-BE49-F238E27FC236}">
              <a16:creationId xmlns:a16="http://schemas.microsoft.com/office/drawing/2014/main" id="{00000000-0008-0000-0100-00001A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9" name="Text Box 15">
          <a:extLst>
            <a:ext uri="{FF2B5EF4-FFF2-40B4-BE49-F238E27FC236}">
              <a16:creationId xmlns:a16="http://schemas.microsoft.com/office/drawing/2014/main" id="{00000000-0008-0000-0100-00001B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0" name="Text Box 15">
          <a:extLst>
            <a:ext uri="{FF2B5EF4-FFF2-40B4-BE49-F238E27FC236}">
              <a16:creationId xmlns:a16="http://schemas.microsoft.com/office/drawing/2014/main" id="{00000000-0008-0000-0100-00001C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1" name="Text Box 15">
          <a:extLst>
            <a:ext uri="{FF2B5EF4-FFF2-40B4-BE49-F238E27FC236}">
              <a16:creationId xmlns:a16="http://schemas.microsoft.com/office/drawing/2014/main" id="{00000000-0008-0000-0100-00001D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2" name="Text Box 15">
          <a:extLst>
            <a:ext uri="{FF2B5EF4-FFF2-40B4-BE49-F238E27FC236}">
              <a16:creationId xmlns:a16="http://schemas.microsoft.com/office/drawing/2014/main" id="{00000000-0008-0000-0100-00001E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3" name="Text Box 15">
          <a:extLst>
            <a:ext uri="{FF2B5EF4-FFF2-40B4-BE49-F238E27FC236}">
              <a16:creationId xmlns:a16="http://schemas.microsoft.com/office/drawing/2014/main" id="{00000000-0008-0000-0100-00001F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4" name="Text Box 15">
          <a:extLst>
            <a:ext uri="{FF2B5EF4-FFF2-40B4-BE49-F238E27FC236}">
              <a16:creationId xmlns:a16="http://schemas.microsoft.com/office/drawing/2014/main" id="{00000000-0008-0000-0100-000020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5" name="Text Box 15">
          <a:extLst>
            <a:ext uri="{FF2B5EF4-FFF2-40B4-BE49-F238E27FC236}">
              <a16:creationId xmlns:a16="http://schemas.microsoft.com/office/drawing/2014/main" id="{00000000-0008-0000-0100-000021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6" name="Text Box 15">
          <a:extLst>
            <a:ext uri="{FF2B5EF4-FFF2-40B4-BE49-F238E27FC236}">
              <a16:creationId xmlns:a16="http://schemas.microsoft.com/office/drawing/2014/main" id="{00000000-0008-0000-0100-000022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7" name="Text Box 15">
          <a:extLst>
            <a:ext uri="{FF2B5EF4-FFF2-40B4-BE49-F238E27FC236}">
              <a16:creationId xmlns:a16="http://schemas.microsoft.com/office/drawing/2014/main" id="{00000000-0008-0000-0100-000023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8" name="Text Box 15">
          <a:extLst>
            <a:ext uri="{FF2B5EF4-FFF2-40B4-BE49-F238E27FC236}">
              <a16:creationId xmlns:a16="http://schemas.microsoft.com/office/drawing/2014/main" id="{00000000-0008-0000-0100-000024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9" name="Text Box 15">
          <a:extLst>
            <a:ext uri="{FF2B5EF4-FFF2-40B4-BE49-F238E27FC236}">
              <a16:creationId xmlns:a16="http://schemas.microsoft.com/office/drawing/2014/main" id="{00000000-0008-0000-0100-000025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0" name="Text Box 15">
          <a:extLst>
            <a:ext uri="{FF2B5EF4-FFF2-40B4-BE49-F238E27FC236}">
              <a16:creationId xmlns:a16="http://schemas.microsoft.com/office/drawing/2014/main" id="{00000000-0008-0000-0100-000026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1" name="Text Box 15">
          <a:extLst>
            <a:ext uri="{FF2B5EF4-FFF2-40B4-BE49-F238E27FC236}">
              <a16:creationId xmlns:a16="http://schemas.microsoft.com/office/drawing/2014/main" id="{00000000-0008-0000-0100-000027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2" name="Text Box 15">
          <a:extLst>
            <a:ext uri="{FF2B5EF4-FFF2-40B4-BE49-F238E27FC236}">
              <a16:creationId xmlns:a16="http://schemas.microsoft.com/office/drawing/2014/main" id="{00000000-0008-0000-0100-000028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3" name="Text Box 15">
          <a:extLst>
            <a:ext uri="{FF2B5EF4-FFF2-40B4-BE49-F238E27FC236}">
              <a16:creationId xmlns:a16="http://schemas.microsoft.com/office/drawing/2014/main" id="{00000000-0008-0000-0100-000029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4" name="Text Box 15">
          <a:extLst>
            <a:ext uri="{FF2B5EF4-FFF2-40B4-BE49-F238E27FC236}">
              <a16:creationId xmlns:a16="http://schemas.microsoft.com/office/drawing/2014/main" id="{00000000-0008-0000-0100-00002A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5" name="Text Box 15">
          <a:extLst>
            <a:ext uri="{FF2B5EF4-FFF2-40B4-BE49-F238E27FC236}">
              <a16:creationId xmlns:a16="http://schemas.microsoft.com/office/drawing/2014/main" id="{00000000-0008-0000-0100-00002B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6" name="Text Box 15">
          <a:extLst>
            <a:ext uri="{FF2B5EF4-FFF2-40B4-BE49-F238E27FC236}">
              <a16:creationId xmlns:a16="http://schemas.microsoft.com/office/drawing/2014/main" id="{00000000-0008-0000-0100-00002C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7" name="Text Box 15">
          <a:extLst>
            <a:ext uri="{FF2B5EF4-FFF2-40B4-BE49-F238E27FC236}">
              <a16:creationId xmlns:a16="http://schemas.microsoft.com/office/drawing/2014/main" id="{00000000-0008-0000-0100-00002D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8" name="Text Box 15">
          <a:extLst>
            <a:ext uri="{FF2B5EF4-FFF2-40B4-BE49-F238E27FC236}">
              <a16:creationId xmlns:a16="http://schemas.microsoft.com/office/drawing/2014/main" id="{00000000-0008-0000-0100-00002E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9" name="Text Box 15">
          <a:extLst>
            <a:ext uri="{FF2B5EF4-FFF2-40B4-BE49-F238E27FC236}">
              <a16:creationId xmlns:a16="http://schemas.microsoft.com/office/drawing/2014/main" id="{00000000-0008-0000-0100-00002F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0" name="Text Box 15">
          <a:extLst>
            <a:ext uri="{FF2B5EF4-FFF2-40B4-BE49-F238E27FC236}">
              <a16:creationId xmlns:a16="http://schemas.microsoft.com/office/drawing/2014/main" id="{00000000-0008-0000-0100-000030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1" name="Text Box 15">
          <a:extLst>
            <a:ext uri="{FF2B5EF4-FFF2-40B4-BE49-F238E27FC236}">
              <a16:creationId xmlns:a16="http://schemas.microsoft.com/office/drawing/2014/main" id="{00000000-0008-0000-0100-000031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2" name="Text Box 15">
          <a:extLst>
            <a:ext uri="{FF2B5EF4-FFF2-40B4-BE49-F238E27FC236}">
              <a16:creationId xmlns:a16="http://schemas.microsoft.com/office/drawing/2014/main" id="{00000000-0008-0000-0100-000032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3" name="Text Box 15">
          <a:extLst>
            <a:ext uri="{FF2B5EF4-FFF2-40B4-BE49-F238E27FC236}">
              <a16:creationId xmlns:a16="http://schemas.microsoft.com/office/drawing/2014/main" id="{00000000-0008-0000-0100-000033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4" name="Text Box 15">
          <a:extLst>
            <a:ext uri="{FF2B5EF4-FFF2-40B4-BE49-F238E27FC236}">
              <a16:creationId xmlns:a16="http://schemas.microsoft.com/office/drawing/2014/main" id="{00000000-0008-0000-0100-000034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5" name="Text Box 15">
          <a:extLst>
            <a:ext uri="{FF2B5EF4-FFF2-40B4-BE49-F238E27FC236}">
              <a16:creationId xmlns:a16="http://schemas.microsoft.com/office/drawing/2014/main" id="{00000000-0008-0000-0100-000035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6" name="Text Box 15">
          <a:extLst>
            <a:ext uri="{FF2B5EF4-FFF2-40B4-BE49-F238E27FC236}">
              <a16:creationId xmlns:a16="http://schemas.microsoft.com/office/drawing/2014/main" id="{00000000-0008-0000-0100-000036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7" name="Text Box 15">
          <a:extLst>
            <a:ext uri="{FF2B5EF4-FFF2-40B4-BE49-F238E27FC236}">
              <a16:creationId xmlns:a16="http://schemas.microsoft.com/office/drawing/2014/main" id="{00000000-0008-0000-0100-000037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8" name="Text Box 15">
          <a:extLst>
            <a:ext uri="{FF2B5EF4-FFF2-40B4-BE49-F238E27FC236}">
              <a16:creationId xmlns:a16="http://schemas.microsoft.com/office/drawing/2014/main" id="{00000000-0008-0000-0100-000038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9" name="Text Box 15">
          <a:extLst>
            <a:ext uri="{FF2B5EF4-FFF2-40B4-BE49-F238E27FC236}">
              <a16:creationId xmlns:a16="http://schemas.microsoft.com/office/drawing/2014/main" id="{00000000-0008-0000-0100-000039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0" name="Text Box 15">
          <a:extLst>
            <a:ext uri="{FF2B5EF4-FFF2-40B4-BE49-F238E27FC236}">
              <a16:creationId xmlns:a16="http://schemas.microsoft.com/office/drawing/2014/main" id="{00000000-0008-0000-0100-00003A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1" name="Text Box 15">
          <a:extLst>
            <a:ext uri="{FF2B5EF4-FFF2-40B4-BE49-F238E27FC236}">
              <a16:creationId xmlns:a16="http://schemas.microsoft.com/office/drawing/2014/main" id="{00000000-0008-0000-0100-00003B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2" name="Text Box 15">
          <a:extLst>
            <a:ext uri="{FF2B5EF4-FFF2-40B4-BE49-F238E27FC236}">
              <a16:creationId xmlns:a16="http://schemas.microsoft.com/office/drawing/2014/main" id="{00000000-0008-0000-0100-00003C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3" name="Text Box 15">
          <a:extLst>
            <a:ext uri="{FF2B5EF4-FFF2-40B4-BE49-F238E27FC236}">
              <a16:creationId xmlns:a16="http://schemas.microsoft.com/office/drawing/2014/main" id="{00000000-0008-0000-0100-00003D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4" name="Text Box 15">
          <a:extLst>
            <a:ext uri="{FF2B5EF4-FFF2-40B4-BE49-F238E27FC236}">
              <a16:creationId xmlns:a16="http://schemas.microsoft.com/office/drawing/2014/main" id="{00000000-0008-0000-0100-00003E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5" name="Text Box 15">
          <a:extLst>
            <a:ext uri="{FF2B5EF4-FFF2-40B4-BE49-F238E27FC236}">
              <a16:creationId xmlns:a16="http://schemas.microsoft.com/office/drawing/2014/main" id="{00000000-0008-0000-0100-00003F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6" name="Text Box 15">
          <a:extLst>
            <a:ext uri="{FF2B5EF4-FFF2-40B4-BE49-F238E27FC236}">
              <a16:creationId xmlns:a16="http://schemas.microsoft.com/office/drawing/2014/main" id="{00000000-0008-0000-0100-000040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7" name="Text Box 15">
          <a:extLst>
            <a:ext uri="{FF2B5EF4-FFF2-40B4-BE49-F238E27FC236}">
              <a16:creationId xmlns:a16="http://schemas.microsoft.com/office/drawing/2014/main" id="{00000000-0008-0000-0100-000041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8" name="Text Box 15">
          <a:extLst>
            <a:ext uri="{FF2B5EF4-FFF2-40B4-BE49-F238E27FC236}">
              <a16:creationId xmlns:a16="http://schemas.microsoft.com/office/drawing/2014/main" id="{00000000-0008-0000-0100-000042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59" name="Text Box 3">
          <a:extLst>
            <a:ext uri="{FF2B5EF4-FFF2-40B4-BE49-F238E27FC236}">
              <a16:creationId xmlns:a16="http://schemas.microsoft.com/office/drawing/2014/main" id="{00000000-0008-0000-0100-00004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60" name="Text Box 32">
          <a:extLst>
            <a:ext uri="{FF2B5EF4-FFF2-40B4-BE49-F238E27FC236}">
              <a16:creationId xmlns:a16="http://schemas.microsoft.com/office/drawing/2014/main" id="{00000000-0008-0000-0100-00004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61" name="Text Box 3">
          <a:extLst>
            <a:ext uri="{FF2B5EF4-FFF2-40B4-BE49-F238E27FC236}">
              <a16:creationId xmlns:a16="http://schemas.microsoft.com/office/drawing/2014/main" id="{00000000-0008-0000-0100-00004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62" name="Text Box 63">
          <a:extLst>
            <a:ext uri="{FF2B5EF4-FFF2-40B4-BE49-F238E27FC236}">
              <a16:creationId xmlns:a16="http://schemas.microsoft.com/office/drawing/2014/main" id="{00000000-0008-0000-0100-00004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63" name="Text Box 3">
          <a:extLst>
            <a:ext uri="{FF2B5EF4-FFF2-40B4-BE49-F238E27FC236}">
              <a16:creationId xmlns:a16="http://schemas.microsoft.com/office/drawing/2014/main" id="{00000000-0008-0000-0100-00004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64" name="Text Box 32">
          <a:extLst>
            <a:ext uri="{FF2B5EF4-FFF2-40B4-BE49-F238E27FC236}">
              <a16:creationId xmlns:a16="http://schemas.microsoft.com/office/drawing/2014/main" id="{00000000-0008-0000-0100-00004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65" name="Text Box 3">
          <a:extLst>
            <a:ext uri="{FF2B5EF4-FFF2-40B4-BE49-F238E27FC236}">
              <a16:creationId xmlns:a16="http://schemas.microsoft.com/office/drawing/2014/main" id="{00000000-0008-0000-0100-00004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66" name="Text Box 63">
          <a:extLst>
            <a:ext uri="{FF2B5EF4-FFF2-40B4-BE49-F238E27FC236}">
              <a16:creationId xmlns:a16="http://schemas.microsoft.com/office/drawing/2014/main" id="{00000000-0008-0000-0100-00004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67" name="Text Box 3">
          <a:extLst>
            <a:ext uri="{FF2B5EF4-FFF2-40B4-BE49-F238E27FC236}">
              <a16:creationId xmlns:a16="http://schemas.microsoft.com/office/drawing/2014/main" id="{00000000-0008-0000-0100-00004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68" name="Text Box 32">
          <a:extLst>
            <a:ext uri="{FF2B5EF4-FFF2-40B4-BE49-F238E27FC236}">
              <a16:creationId xmlns:a16="http://schemas.microsoft.com/office/drawing/2014/main" id="{00000000-0008-0000-0100-00004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69" name="Text Box 3">
          <a:extLst>
            <a:ext uri="{FF2B5EF4-FFF2-40B4-BE49-F238E27FC236}">
              <a16:creationId xmlns:a16="http://schemas.microsoft.com/office/drawing/2014/main" id="{00000000-0008-0000-0100-00004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70" name="Text Box 63">
          <a:extLst>
            <a:ext uri="{FF2B5EF4-FFF2-40B4-BE49-F238E27FC236}">
              <a16:creationId xmlns:a16="http://schemas.microsoft.com/office/drawing/2014/main" id="{00000000-0008-0000-0100-00004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71" name="Text Box 3">
          <a:extLst>
            <a:ext uri="{FF2B5EF4-FFF2-40B4-BE49-F238E27FC236}">
              <a16:creationId xmlns:a16="http://schemas.microsoft.com/office/drawing/2014/main" id="{00000000-0008-0000-0100-00004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72" name="Text Box 32">
          <a:extLst>
            <a:ext uri="{FF2B5EF4-FFF2-40B4-BE49-F238E27FC236}">
              <a16:creationId xmlns:a16="http://schemas.microsoft.com/office/drawing/2014/main" id="{00000000-0008-0000-0100-00005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73" name="Text Box 3">
          <a:extLst>
            <a:ext uri="{FF2B5EF4-FFF2-40B4-BE49-F238E27FC236}">
              <a16:creationId xmlns:a16="http://schemas.microsoft.com/office/drawing/2014/main" id="{00000000-0008-0000-0100-00005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74" name="Text Box 63">
          <a:extLst>
            <a:ext uri="{FF2B5EF4-FFF2-40B4-BE49-F238E27FC236}">
              <a16:creationId xmlns:a16="http://schemas.microsoft.com/office/drawing/2014/main" id="{00000000-0008-0000-0100-00005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75" name="Text Box 3">
          <a:extLst>
            <a:ext uri="{FF2B5EF4-FFF2-40B4-BE49-F238E27FC236}">
              <a16:creationId xmlns:a16="http://schemas.microsoft.com/office/drawing/2014/main" id="{00000000-0008-0000-0100-00005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76" name="Text Box 32">
          <a:extLst>
            <a:ext uri="{FF2B5EF4-FFF2-40B4-BE49-F238E27FC236}">
              <a16:creationId xmlns:a16="http://schemas.microsoft.com/office/drawing/2014/main" id="{00000000-0008-0000-0100-00005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77" name="Text Box 3">
          <a:extLst>
            <a:ext uri="{FF2B5EF4-FFF2-40B4-BE49-F238E27FC236}">
              <a16:creationId xmlns:a16="http://schemas.microsoft.com/office/drawing/2014/main" id="{00000000-0008-0000-0100-00005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78" name="Text Box 63">
          <a:extLst>
            <a:ext uri="{FF2B5EF4-FFF2-40B4-BE49-F238E27FC236}">
              <a16:creationId xmlns:a16="http://schemas.microsoft.com/office/drawing/2014/main" id="{00000000-0008-0000-0100-00005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79" name="Text Box 3">
          <a:extLst>
            <a:ext uri="{FF2B5EF4-FFF2-40B4-BE49-F238E27FC236}">
              <a16:creationId xmlns:a16="http://schemas.microsoft.com/office/drawing/2014/main" id="{00000000-0008-0000-0100-00005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80" name="Text Box 32">
          <a:extLst>
            <a:ext uri="{FF2B5EF4-FFF2-40B4-BE49-F238E27FC236}">
              <a16:creationId xmlns:a16="http://schemas.microsoft.com/office/drawing/2014/main" id="{00000000-0008-0000-0100-00005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81" name="Text Box 3">
          <a:extLst>
            <a:ext uri="{FF2B5EF4-FFF2-40B4-BE49-F238E27FC236}">
              <a16:creationId xmlns:a16="http://schemas.microsoft.com/office/drawing/2014/main" id="{00000000-0008-0000-0100-00005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82" name="Text Box 63">
          <a:extLst>
            <a:ext uri="{FF2B5EF4-FFF2-40B4-BE49-F238E27FC236}">
              <a16:creationId xmlns:a16="http://schemas.microsoft.com/office/drawing/2014/main" id="{00000000-0008-0000-0100-00005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83" name="Text Box 3">
          <a:extLst>
            <a:ext uri="{FF2B5EF4-FFF2-40B4-BE49-F238E27FC236}">
              <a16:creationId xmlns:a16="http://schemas.microsoft.com/office/drawing/2014/main" id="{00000000-0008-0000-0100-00005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84" name="Text Box 32">
          <a:extLst>
            <a:ext uri="{FF2B5EF4-FFF2-40B4-BE49-F238E27FC236}">
              <a16:creationId xmlns:a16="http://schemas.microsoft.com/office/drawing/2014/main" id="{00000000-0008-0000-0100-00005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85" name="Text Box 3">
          <a:extLst>
            <a:ext uri="{FF2B5EF4-FFF2-40B4-BE49-F238E27FC236}">
              <a16:creationId xmlns:a16="http://schemas.microsoft.com/office/drawing/2014/main" id="{00000000-0008-0000-0100-00005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86" name="Text Box 63">
          <a:extLst>
            <a:ext uri="{FF2B5EF4-FFF2-40B4-BE49-F238E27FC236}">
              <a16:creationId xmlns:a16="http://schemas.microsoft.com/office/drawing/2014/main" id="{00000000-0008-0000-0100-00005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87" name="Text Box 3">
          <a:extLst>
            <a:ext uri="{FF2B5EF4-FFF2-40B4-BE49-F238E27FC236}">
              <a16:creationId xmlns:a16="http://schemas.microsoft.com/office/drawing/2014/main" id="{00000000-0008-0000-0100-00005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88" name="Text Box 32">
          <a:extLst>
            <a:ext uri="{FF2B5EF4-FFF2-40B4-BE49-F238E27FC236}">
              <a16:creationId xmlns:a16="http://schemas.microsoft.com/office/drawing/2014/main" id="{00000000-0008-0000-0100-00006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89" name="Text Box 3">
          <a:extLst>
            <a:ext uri="{FF2B5EF4-FFF2-40B4-BE49-F238E27FC236}">
              <a16:creationId xmlns:a16="http://schemas.microsoft.com/office/drawing/2014/main" id="{00000000-0008-0000-0100-00006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90" name="Text Box 63">
          <a:extLst>
            <a:ext uri="{FF2B5EF4-FFF2-40B4-BE49-F238E27FC236}">
              <a16:creationId xmlns:a16="http://schemas.microsoft.com/office/drawing/2014/main" id="{00000000-0008-0000-0100-00006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91" name="Text Box 3">
          <a:extLst>
            <a:ext uri="{FF2B5EF4-FFF2-40B4-BE49-F238E27FC236}">
              <a16:creationId xmlns:a16="http://schemas.microsoft.com/office/drawing/2014/main" id="{00000000-0008-0000-0100-00006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92" name="Text Box 32">
          <a:extLst>
            <a:ext uri="{FF2B5EF4-FFF2-40B4-BE49-F238E27FC236}">
              <a16:creationId xmlns:a16="http://schemas.microsoft.com/office/drawing/2014/main" id="{00000000-0008-0000-0100-00006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93" name="Text Box 3">
          <a:extLst>
            <a:ext uri="{FF2B5EF4-FFF2-40B4-BE49-F238E27FC236}">
              <a16:creationId xmlns:a16="http://schemas.microsoft.com/office/drawing/2014/main" id="{00000000-0008-0000-0100-00006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94" name="Text Box 63">
          <a:extLst>
            <a:ext uri="{FF2B5EF4-FFF2-40B4-BE49-F238E27FC236}">
              <a16:creationId xmlns:a16="http://schemas.microsoft.com/office/drawing/2014/main" id="{00000000-0008-0000-0100-00006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95" name="Text Box 3">
          <a:extLst>
            <a:ext uri="{FF2B5EF4-FFF2-40B4-BE49-F238E27FC236}">
              <a16:creationId xmlns:a16="http://schemas.microsoft.com/office/drawing/2014/main" id="{00000000-0008-0000-0100-00006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96" name="Text Box 32">
          <a:extLst>
            <a:ext uri="{FF2B5EF4-FFF2-40B4-BE49-F238E27FC236}">
              <a16:creationId xmlns:a16="http://schemas.microsoft.com/office/drawing/2014/main" id="{00000000-0008-0000-0100-00006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97" name="Text Box 3">
          <a:extLst>
            <a:ext uri="{FF2B5EF4-FFF2-40B4-BE49-F238E27FC236}">
              <a16:creationId xmlns:a16="http://schemas.microsoft.com/office/drawing/2014/main" id="{00000000-0008-0000-0100-00006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98" name="Text Box 63">
          <a:extLst>
            <a:ext uri="{FF2B5EF4-FFF2-40B4-BE49-F238E27FC236}">
              <a16:creationId xmlns:a16="http://schemas.microsoft.com/office/drawing/2014/main" id="{00000000-0008-0000-0100-00006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99" name="Text Box 3">
          <a:extLst>
            <a:ext uri="{FF2B5EF4-FFF2-40B4-BE49-F238E27FC236}">
              <a16:creationId xmlns:a16="http://schemas.microsoft.com/office/drawing/2014/main" id="{00000000-0008-0000-0100-00006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00" name="Text Box 32">
          <a:extLst>
            <a:ext uri="{FF2B5EF4-FFF2-40B4-BE49-F238E27FC236}">
              <a16:creationId xmlns:a16="http://schemas.microsoft.com/office/drawing/2014/main" id="{00000000-0008-0000-0100-00006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01" name="Text Box 3">
          <a:extLst>
            <a:ext uri="{FF2B5EF4-FFF2-40B4-BE49-F238E27FC236}">
              <a16:creationId xmlns:a16="http://schemas.microsoft.com/office/drawing/2014/main" id="{00000000-0008-0000-0100-00006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02" name="Text Box 63">
          <a:extLst>
            <a:ext uri="{FF2B5EF4-FFF2-40B4-BE49-F238E27FC236}">
              <a16:creationId xmlns:a16="http://schemas.microsoft.com/office/drawing/2014/main" id="{00000000-0008-0000-0100-00006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03" name="Text Box 3">
          <a:extLst>
            <a:ext uri="{FF2B5EF4-FFF2-40B4-BE49-F238E27FC236}">
              <a16:creationId xmlns:a16="http://schemas.microsoft.com/office/drawing/2014/main" id="{00000000-0008-0000-0100-00006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04" name="Text Box 32">
          <a:extLst>
            <a:ext uri="{FF2B5EF4-FFF2-40B4-BE49-F238E27FC236}">
              <a16:creationId xmlns:a16="http://schemas.microsoft.com/office/drawing/2014/main" id="{00000000-0008-0000-0100-00007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05" name="Text Box 3">
          <a:extLst>
            <a:ext uri="{FF2B5EF4-FFF2-40B4-BE49-F238E27FC236}">
              <a16:creationId xmlns:a16="http://schemas.microsoft.com/office/drawing/2014/main" id="{00000000-0008-0000-0100-00007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06" name="Text Box 63">
          <a:extLst>
            <a:ext uri="{FF2B5EF4-FFF2-40B4-BE49-F238E27FC236}">
              <a16:creationId xmlns:a16="http://schemas.microsoft.com/office/drawing/2014/main" id="{00000000-0008-0000-0100-00007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07" name="Text Box 3">
          <a:extLst>
            <a:ext uri="{FF2B5EF4-FFF2-40B4-BE49-F238E27FC236}">
              <a16:creationId xmlns:a16="http://schemas.microsoft.com/office/drawing/2014/main" id="{00000000-0008-0000-0100-00007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08" name="Text Box 32">
          <a:extLst>
            <a:ext uri="{FF2B5EF4-FFF2-40B4-BE49-F238E27FC236}">
              <a16:creationId xmlns:a16="http://schemas.microsoft.com/office/drawing/2014/main" id="{00000000-0008-0000-0100-00007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09" name="Text Box 3">
          <a:extLst>
            <a:ext uri="{FF2B5EF4-FFF2-40B4-BE49-F238E27FC236}">
              <a16:creationId xmlns:a16="http://schemas.microsoft.com/office/drawing/2014/main" id="{00000000-0008-0000-0100-00007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10" name="Text Box 63">
          <a:extLst>
            <a:ext uri="{FF2B5EF4-FFF2-40B4-BE49-F238E27FC236}">
              <a16:creationId xmlns:a16="http://schemas.microsoft.com/office/drawing/2014/main" id="{00000000-0008-0000-0100-00007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11" name="Text Box 3">
          <a:extLst>
            <a:ext uri="{FF2B5EF4-FFF2-40B4-BE49-F238E27FC236}">
              <a16:creationId xmlns:a16="http://schemas.microsoft.com/office/drawing/2014/main" id="{00000000-0008-0000-0100-00007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12" name="Text Box 32">
          <a:extLst>
            <a:ext uri="{FF2B5EF4-FFF2-40B4-BE49-F238E27FC236}">
              <a16:creationId xmlns:a16="http://schemas.microsoft.com/office/drawing/2014/main" id="{00000000-0008-0000-0100-00007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13" name="Text Box 3">
          <a:extLst>
            <a:ext uri="{FF2B5EF4-FFF2-40B4-BE49-F238E27FC236}">
              <a16:creationId xmlns:a16="http://schemas.microsoft.com/office/drawing/2014/main" id="{00000000-0008-0000-0100-00007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14" name="Text Box 63">
          <a:extLst>
            <a:ext uri="{FF2B5EF4-FFF2-40B4-BE49-F238E27FC236}">
              <a16:creationId xmlns:a16="http://schemas.microsoft.com/office/drawing/2014/main" id="{00000000-0008-0000-0100-00007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15" name="Text Box 3">
          <a:extLst>
            <a:ext uri="{FF2B5EF4-FFF2-40B4-BE49-F238E27FC236}">
              <a16:creationId xmlns:a16="http://schemas.microsoft.com/office/drawing/2014/main" id="{00000000-0008-0000-0100-00007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16" name="Text Box 32">
          <a:extLst>
            <a:ext uri="{FF2B5EF4-FFF2-40B4-BE49-F238E27FC236}">
              <a16:creationId xmlns:a16="http://schemas.microsoft.com/office/drawing/2014/main" id="{00000000-0008-0000-0100-00007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17" name="Text Box 3">
          <a:extLst>
            <a:ext uri="{FF2B5EF4-FFF2-40B4-BE49-F238E27FC236}">
              <a16:creationId xmlns:a16="http://schemas.microsoft.com/office/drawing/2014/main" id="{00000000-0008-0000-0100-00007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18" name="Text Box 63">
          <a:extLst>
            <a:ext uri="{FF2B5EF4-FFF2-40B4-BE49-F238E27FC236}">
              <a16:creationId xmlns:a16="http://schemas.microsoft.com/office/drawing/2014/main" id="{00000000-0008-0000-0100-00007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19" name="Text Box 3">
          <a:extLst>
            <a:ext uri="{FF2B5EF4-FFF2-40B4-BE49-F238E27FC236}">
              <a16:creationId xmlns:a16="http://schemas.microsoft.com/office/drawing/2014/main" id="{00000000-0008-0000-0100-00007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20" name="Text Box 32">
          <a:extLst>
            <a:ext uri="{FF2B5EF4-FFF2-40B4-BE49-F238E27FC236}">
              <a16:creationId xmlns:a16="http://schemas.microsoft.com/office/drawing/2014/main" id="{00000000-0008-0000-0100-00008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21" name="Text Box 3">
          <a:extLst>
            <a:ext uri="{FF2B5EF4-FFF2-40B4-BE49-F238E27FC236}">
              <a16:creationId xmlns:a16="http://schemas.microsoft.com/office/drawing/2014/main" id="{00000000-0008-0000-0100-00008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22" name="Text Box 63">
          <a:extLst>
            <a:ext uri="{FF2B5EF4-FFF2-40B4-BE49-F238E27FC236}">
              <a16:creationId xmlns:a16="http://schemas.microsoft.com/office/drawing/2014/main" id="{00000000-0008-0000-0100-00008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23" name="Text Box 3">
          <a:extLst>
            <a:ext uri="{FF2B5EF4-FFF2-40B4-BE49-F238E27FC236}">
              <a16:creationId xmlns:a16="http://schemas.microsoft.com/office/drawing/2014/main" id="{00000000-0008-0000-0100-00008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24" name="Text Box 32">
          <a:extLst>
            <a:ext uri="{FF2B5EF4-FFF2-40B4-BE49-F238E27FC236}">
              <a16:creationId xmlns:a16="http://schemas.microsoft.com/office/drawing/2014/main" id="{00000000-0008-0000-0100-00008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25" name="Text Box 3">
          <a:extLst>
            <a:ext uri="{FF2B5EF4-FFF2-40B4-BE49-F238E27FC236}">
              <a16:creationId xmlns:a16="http://schemas.microsoft.com/office/drawing/2014/main" id="{00000000-0008-0000-0100-00008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26" name="Text Box 63">
          <a:extLst>
            <a:ext uri="{FF2B5EF4-FFF2-40B4-BE49-F238E27FC236}">
              <a16:creationId xmlns:a16="http://schemas.microsoft.com/office/drawing/2014/main" id="{00000000-0008-0000-0100-00008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27" name="Text Box 3">
          <a:extLst>
            <a:ext uri="{FF2B5EF4-FFF2-40B4-BE49-F238E27FC236}">
              <a16:creationId xmlns:a16="http://schemas.microsoft.com/office/drawing/2014/main" id="{00000000-0008-0000-0100-00008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28" name="Text Box 32">
          <a:extLst>
            <a:ext uri="{FF2B5EF4-FFF2-40B4-BE49-F238E27FC236}">
              <a16:creationId xmlns:a16="http://schemas.microsoft.com/office/drawing/2014/main" id="{00000000-0008-0000-0100-00008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29" name="Text Box 3">
          <a:extLst>
            <a:ext uri="{FF2B5EF4-FFF2-40B4-BE49-F238E27FC236}">
              <a16:creationId xmlns:a16="http://schemas.microsoft.com/office/drawing/2014/main" id="{00000000-0008-0000-0100-00008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30" name="Text Box 63">
          <a:extLst>
            <a:ext uri="{FF2B5EF4-FFF2-40B4-BE49-F238E27FC236}">
              <a16:creationId xmlns:a16="http://schemas.microsoft.com/office/drawing/2014/main" id="{00000000-0008-0000-0100-00008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31" name="Text Box 3">
          <a:extLst>
            <a:ext uri="{FF2B5EF4-FFF2-40B4-BE49-F238E27FC236}">
              <a16:creationId xmlns:a16="http://schemas.microsoft.com/office/drawing/2014/main" id="{00000000-0008-0000-0100-00008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32" name="Text Box 32">
          <a:extLst>
            <a:ext uri="{FF2B5EF4-FFF2-40B4-BE49-F238E27FC236}">
              <a16:creationId xmlns:a16="http://schemas.microsoft.com/office/drawing/2014/main" id="{00000000-0008-0000-0100-00008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33" name="Text Box 3">
          <a:extLst>
            <a:ext uri="{FF2B5EF4-FFF2-40B4-BE49-F238E27FC236}">
              <a16:creationId xmlns:a16="http://schemas.microsoft.com/office/drawing/2014/main" id="{00000000-0008-0000-0100-00008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34" name="Text Box 63">
          <a:extLst>
            <a:ext uri="{FF2B5EF4-FFF2-40B4-BE49-F238E27FC236}">
              <a16:creationId xmlns:a16="http://schemas.microsoft.com/office/drawing/2014/main" id="{00000000-0008-0000-0100-00008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35" name="Text Box 3">
          <a:extLst>
            <a:ext uri="{FF2B5EF4-FFF2-40B4-BE49-F238E27FC236}">
              <a16:creationId xmlns:a16="http://schemas.microsoft.com/office/drawing/2014/main" id="{00000000-0008-0000-0100-00008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36" name="Text Box 32">
          <a:extLst>
            <a:ext uri="{FF2B5EF4-FFF2-40B4-BE49-F238E27FC236}">
              <a16:creationId xmlns:a16="http://schemas.microsoft.com/office/drawing/2014/main" id="{00000000-0008-0000-0100-00009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37" name="Text Box 3">
          <a:extLst>
            <a:ext uri="{FF2B5EF4-FFF2-40B4-BE49-F238E27FC236}">
              <a16:creationId xmlns:a16="http://schemas.microsoft.com/office/drawing/2014/main" id="{00000000-0008-0000-0100-00009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38" name="Text Box 63">
          <a:extLst>
            <a:ext uri="{FF2B5EF4-FFF2-40B4-BE49-F238E27FC236}">
              <a16:creationId xmlns:a16="http://schemas.microsoft.com/office/drawing/2014/main" id="{00000000-0008-0000-0100-00009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39" name="Text Box 3">
          <a:extLst>
            <a:ext uri="{FF2B5EF4-FFF2-40B4-BE49-F238E27FC236}">
              <a16:creationId xmlns:a16="http://schemas.microsoft.com/office/drawing/2014/main" id="{00000000-0008-0000-0100-00009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40" name="Text Box 32">
          <a:extLst>
            <a:ext uri="{FF2B5EF4-FFF2-40B4-BE49-F238E27FC236}">
              <a16:creationId xmlns:a16="http://schemas.microsoft.com/office/drawing/2014/main" id="{00000000-0008-0000-0100-00009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41" name="Text Box 3">
          <a:extLst>
            <a:ext uri="{FF2B5EF4-FFF2-40B4-BE49-F238E27FC236}">
              <a16:creationId xmlns:a16="http://schemas.microsoft.com/office/drawing/2014/main" id="{00000000-0008-0000-0100-00009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42" name="Text Box 63">
          <a:extLst>
            <a:ext uri="{FF2B5EF4-FFF2-40B4-BE49-F238E27FC236}">
              <a16:creationId xmlns:a16="http://schemas.microsoft.com/office/drawing/2014/main" id="{00000000-0008-0000-0100-00009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43" name="Text Box 3">
          <a:extLst>
            <a:ext uri="{FF2B5EF4-FFF2-40B4-BE49-F238E27FC236}">
              <a16:creationId xmlns:a16="http://schemas.microsoft.com/office/drawing/2014/main" id="{00000000-0008-0000-0100-00009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44" name="Text Box 32">
          <a:extLst>
            <a:ext uri="{FF2B5EF4-FFF2-40B4-BE49-F238E27FC236}">
              <a16:creationId xmlns:a16="http://schemas.microsoft.com/office/drawing/2014/main" id="{00000000-0008-0000-0100-00009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45" name="Text Box 3">
          <a:extLst>
            <a:ext uri="{FF2B5EF4-FFF2-40B4-BE49-F238E27FC236}">
              <a16:creationId xmlns:a16="http://schemas.microsoft.com/office/drawing/2014/main" id="{00000000-0008-0000-0100-00009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46" name="Text Box 63">
          <a:extLst>
            <a:ext uri="{FF2B5EF4-FFF2-40B4-BE49-F238E27FC236}">
              <a16:creationId xmlns:a16="http://schemas.microsoft.com/office/drawing/2014/main" id="{00000000-0008-0000-0100-00009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47" name="Text Box 3">
          <a:extLst>
            <a:ext uri="{FF2B5EF4-FFF2-40B4-BE49-F238E27FC236}">
              <a16:creationId xmlns:a16="http://schemas.microsoft.com/office/drawing/2014/main" id="{00000000-0008-0000-0100-00009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48" name="Text Box 32">
          <a:extLst>
            <a:ext uri="{FF2B5EF4-FFF2-40B4-BE49-F238E27FC236}">
              <a16:creationId xmlns:a16="http://schemas.microsoft.com/office/drawing/2014/main" id="{00000000-0008-0000-0100-00009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49" name="Text Box 3">
          <a:extLst>
            <a:ext uri="{FF2B5EF4-FFF2-40B4-BE49-F238E27FC236}">
              <a16:creationId xmlns:a16="http://schemas.microsoft.com/office/drawing/2014/main" id="{00000000-0008-0000-0100-00009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50" name="Text Box 63">
          <a:extLst>
            <a:ext uri="{FF2B5EF4-FFF2-40B4-BE49-F238E27FC236}">
              <a16:creationId xmlns:a16="http://schemas.microsoft.com/office/drawing/2014/main" id="{00000000-0008-0000-0100-00009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51" name="Text Box 3">
          <a:extLst>
            <a:ext uri="{FF2B5EF4-FFF2-40B4-BE49-F238E27FC236}">
              <a16:creationId xmlns:a16="http://schemas.microsoft.com/office/drawing/2014/main" id="{00000000-0008-0000-0100-00009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52" name="Text Box 32">
          <a:extLst>
            <a:ext uri="{FF2B5EF4-FFF2-40B4-BE49-F238E27FC236}">
              <a16:creationId xmlns:a16="http://schemas.microsoft.com/office/drawing/2014/main" id="{00000000-0008-0000-0100-0000A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53" name="Text Box 3">
          <a:extLst>
            <a:ext uri="{FF2B5EF4-FFF2-40B4-BE49-F238E27FC236}">
              <a16:creationId xmlns:a16="http://schemas.microsoft.com/office/drawing/2014/main" id="{00000000-0008-0000-0100-0000A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54" name="Text Box 63">
          <a:extLst>
            <a:ext uri="{FF2B5EF4-FFF2-40B4-BE49-F238E27FC236}">
              <a16:creationId xmlns:a16="http://schemas.microsoft.com/office/drawing/2014/main" id="{00000000-0008-0000-0100-0000A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55" name="Text Box 3">
          <a:extLst>
            <a:ext uri="{FF2B5EF4-FFF2-40B4-BE49-F238E27FC236}">
              <a16:creationId xmlns:a16="http://schemas.microsoft.com/office/drawing/2014/main" id="{00000000-0008-0000-0100-0000A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56" name="Text Box 32">
          <a:extLst>
            <a:ext uri="{FF2B5EF4-FFF2-40B4-BE49-F238E27FC236}">
              <a16:creationId xmlns:a16="http://schemas.microsoft.com/office/drawing/2014/main" id="{00000000-0008-0000-0100-0000A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57" name="Text Box 3">
          <a:extLst>
            <a:ext uri="{FF2B5EF4-FFF2-40B4-BE49-F238E27FC236}">
              <a16:creationId xmlns:a16="http://schemas.microsoft.com/office/drawing/2014/main" id="{00000000-0008-0000-0100-0000A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58" name="Text Box 63">
          <a:extLst>
            <a:ext uri="{FF2B5EF4-FFF2-40B4-BE49-F238E27FC236}">
              <a16:creationId xmlns:a16="http://schemas.microsoft.com/office/drawing/2014/main" id="{00000000-0008-0000-0100-0000A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59" name="Text Box 3">
          <a:extLst>
            <a:ext uri="{FF2B5EF4-FFF2-40B4-BE49-F238E27FC236}">
              <a16:creationId xmlns:a16="http://schemas.microsoft.com/office/drawing/2014/main" id="{00000000-0008-0000-0100-0000A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60" name="Text Box 32">
          <a:extLst>
            <a:ext uri="{FF2B5EF4-FFF2-40B4-BE49-F238E27FC236}">
              <a16:creationId xmlns:a16="http://schemas.microsoft.com/office/drawing/2014/main" id="{00000000-0008-0000-0100-0000A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61" name="Text Box 3">
          <a:extLst>
            <a:ext uri="{FF2B5EF4-FFF2-40B4-BE49-F238E27FC236}">
              <a16:creationId xmlns:a16="http://schemas.microsoft.com/office/drawing/2014/main" id="{00000000-0008-0000-0100-0000A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62" name="Text Box 63">
          <a:extLst>
            <a:ext uri="{FF2B5EF4-FFF2-40B4-BE49-F238E27FC236}">
              <a16:creationId xmlns:a16="http://schemas.microsoft.com/office/drawing/2014/main" id="{00000000-0008-0000-0100-0000A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63" name="Text Box 3">
          <a:extLst>
            <a:ext uri="{FF2B5EF4-FFF2-40B4-BE49-F238E27FC236}">
              <a16:creationId xmlns:a16="http://schemas.microsoft.com/office/drawing/2014/main" id="{00000000-0008-0000-0100-0000A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64" name="Text Box 32">
          <a:extLst>
            <a:ext uri="{FF2B5EF4-FFF2-40B4-BE49-F238E27FC236}">
              <a16:creationId xmlns:a16="http://schemas.microsoft.com/office/drawing/2014/main" id="{00000000-0008-0000-0100-0000A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65" name="Text Box 3">
          <a:extLst>
            <a:ext uri="{FF2B5EF4-FFF2-40B4-BE49-F238E27FC236}">
              <a16:creationId xmlns:a16="http://schemas.microsoft.com/office/drawing/2014/main" id="{00000000-0008-0000-0100-0000A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66" name="Text Box 63">
          <a:extLst>
            <a:ext uri="{FF2B5EF4-FFF2-40B4-BE49-F238E27FC236}">
              <a16:creationId xmlns:a16="http://schemas.microsoft.com/office/drawing/2014/main" id="{00000000-0008-0000-0100-0000A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67" name="Text Box 3">
          <a:extLst>
            <a:ext uri="{FF2B5EF4-FFF2-40B4-BE49-F238E27FC236}">
              <a16:creationId xmlns:a16="http://schemas.microsoft.com/office/drawing/2014/main" id="{00000000-0008-0000-0100-0000A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68" name="Text Box 32">
          <a:extLst>
            <a:ext uri="{FF2B5EF4-FFF2-40B4-BE49-F238E27FC236}">
              <a16:creationId xmlns:a16="http://schemas.microsoft.com/office/drawing/2014/main" id="{00000000-0008-0000-0100-0000B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69" name="Text Box 3">
          <a:extLst>
            <a:ext uri="{FF2B5EF4-FFF2-40B4-BE49-F238E27FC236}">
              <a16:creationId xmlns:a16="http://schemas.microsoft.com/office/drawing/2014/main" id="{00000000-0008-0000-0100-0000B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70" name="Text Box 63">
          <a:extLst>
            <a:ext uri="{FF2B5EF4-FFF2-40B4-BE49-F238E27FC236}">
              <a16:creationId xmlns:a16="http://schemas.microsoft.com/office/drawing/2014/main" id="{00000000-0008-0000-0100-0000B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71" name="Text Box 3">
          <a:extLst>
            <a:ext uri="{FF2B5EF4-FFF2-40B4-BE49-F238E27FC236}">
              <a16:creationId xmlns:a16="http://schemas.microsoft.com/office/drawing/2014/main" id="{00000000-0008-0000-0100-0000B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72" name="Text Box 32">
          <a:extLst>
            <a:ext uri="{FF2B5EF4-FFF2-40B4-BE49-F238E27FC236}">
              <a16:creationId xmlns:a16="http://schemas.microsoft.com/office/drawing/2014/main" id="{00000000-0008-0000-0100-0000B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73" name="Text Box 3">
          <a:extLst>
            <a:ext uri="{FF2B5EF4-FFF2-40B4-BE49-F238E27FC236}">
              <a16:creationId xmlns:a16="http://schemas.microsoft.com/office/drawing/2014/main" id="{00000000-0008-0000-0100-0000B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74" name="Text Box 63">
          <a:extLst>
            <a:ext uri="{FF2B5EF4-FFF2-40B4-BE49-F238E27FC236}">
              <a16:creationId xmlns:a16="http://schemas.microsoft.com/office/drawing/2014/main" id="{00000000-0008-0000-0100-0000B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75" name="Text Box 3">
          <a:extLst>
            <a:ext uri="{FF2B5EF4-FFF2-40B4-BE49-F238E27FC236}">
              <a16:creationId xmlns:a16="http://schemas.microsoft.com/office/drawing/2014/main" id="{00000000-0008-0000-0100-0000B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76" name="Text Box 32">
          <a:extLst>
            <a:ext uri="{FF2B5EF4-FFF2-40B4-BE49-F238E27FC236}">
              <a16:creationId xmlns:a16="http://schemas.microsoft.com/office/drawing/2014/main" id="{00000000-0008-0000-0100-0000B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77" name="Text Box 3">
          <a:extLst>
            <a:ext uri="{FF2B5EF4-FFF2-40B4-BE49-F238E27FC236}">
              <a16:creationId xmlns:a16="http://schemas.microsoft.com/office/drawing/2014/main" id="{00000000-0008-0000-0100-0000B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78" name="Text Box 63">
          <a:extLst>
            <a:ext uri="{FF2B5EF4-FFF2-40B4-BE49-F238E27FC236}">
              <a16:creationId xmlns:a16="http://schemas.microsoft.com/office/drawing/2014/main" id="{00000000-0008-0000-0100-0000B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79" name="Text Box 3">
          <a:extLst>
            <a:ext uri="{FF2B5EF4-FFF2-40B4-BE49-F238E27FC236}">
              <a16:creationId xmlns:a16="http://schemas.microsoft.com/office/drawing/2014/main" id="{00000000-0008-0000-0100-0000B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0" name="Text Box 32">
          <a:extLst>
            <a:ext uri="{FF2B5EF4-FFF2-40B4-BE49-F238E27FC236}">
              <a16:creationId xmlns:a16="http://schemas.microsoft.com/office/drawing/2014/main" id="{00000000-0008-0000-0100-0000B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81" name="Text Box 3">
          <a:extLst>
            <a:ext uri="{FF2B5EF4-FFF2-40B4-BE49-F238E27FC236}">
              <a16:creationId xmlns:a16="http://schemas.microsoft.com/office/drawing/2014/main" id="{00000000-0008-0000-0100-0000B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2" name="Text Box 63">
          <a:extLst>
            <a:ext uri="{FF2B5EF4-FFF2-40B4-BE49-F238E27FC236}">
              <a16:creationId xmlns:a16="http://schemas.microsoft.com/office/drawing/2014/main" id="{00000000-0008-0000-0100-0000B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83" name="Text Box 3">
          <a:extLst>
            <a:ext uri="{FF2B5EF4-FFF2-40B4-BE49-F238E27FC236}">
              <a16:creationId xmlns:a16="http://schemas.microsoft.com/office/drawing/2014/main" id="{00000000-0008-0000-0100-0000B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4" name="Text Box 32">
          <a:extLst>
            <a:ext uri="{FF2B5EF4-FFF2-40B4-BE49-F238E27FC236}">
              <a16:creationId xmlns:a16="http://schemas.microsoft.com/office/drawing/2014/main" id="{00000000-0008-0000-0100-0000C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85" name="Text Box 3">
          <a:extLst>
            <a:ext uri="{FF2B5EF4-FFF2-40B4-BE49-F238E27FC236}">
              <a16:creationId xmlns:a16="http://schemas.microsoft.com/office/drawing/2014/main" id="{00000000-0008-0000-0100-0000C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6" name="Text Box 63">
          <a:extLst>
            <a:ext uri="{FF2B5EF4-FFF2-40B4-BE49-F238E27FC236}">
              <a16:creationId xmlns:a16="http://schemas.microsoft.com/office/drawing/2014/main" id="{00000000-0008-0000-0100-0000C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7" name="Text Box 32">
          <a:extLst>
            <a:ext uri="{FF2B5EF4-FFF2-40B4-BE49-F238E27FC236}">
              <a16:creationId xmlns:a16="http://schemas.microsoft.com/office/drawing/2014/main" id="{00000000-0008-0000-0100-0000C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88" name="Text Box 3">
          <a:extLst>
            <a:ext uri="{FF2B5EF4-FFF2-40B4-BE49-F238E27FC236}">
              <a16:creationId xmlns:a16="http://schemas.microsoft.com/office/drawing/2014/main" id="{00000000-0008-0000-0100-0000C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9" name="Text Box 63">
          <a:extLst>
            <a:ext uri="{FF2B5EF4-FFF2-40B4-BE49-F238E27FC236}">
              <a16:creationId xmlns:a16="http://schemas.microsoft.com/office/drawing/2014/main" id="{00000000-0008-0000-0100-0000C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90" name="Text Box 3">
          <a:extLst>
            <a:ext uri="{FF2B5EF4-FFF2-40B4-BE49-F238E27FC236}">
              <a16:creationId xmlns:a16="http://schemas.microsoft.com/office/drawing/2014/main" id="{00000000-0008-0000-0100-0000C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91" name="Text Box 32">
          <a:extLst>
            <a:ext uri="{FF2B5EF4-FFF2-40B4-BE49-F238E27FC236}">
              <a16:creationId xmlns:a16="http://schemas.microsoft.com/office/drawing/2014/main" id="{00000000-0008-0000-0100-0000C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92" name="Text Box 3">
          <a:extLst>
            <a:ext uri="{FF2B5EF4-FFF2-40B4-BE49-F238E27FC236}">
              <a16:creationId xmlns:a16="http://schemas.microsoft.com/office/drawing/2014/main" id="{00000000-0008-0000-0100-0000C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93" name="Text Box 63">
          <a:extLst>
            <a:ext uri="{FF2B5EF4-FFF2-40B4-BE49-F238E27FC236}">
              <a16:creationId xmlns:a16="http://schemas.microsoft.com/office/drawing/2014/main" id="{00000000-0008-0000-0100-0000C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94" name="Text Box 3">
          <a:extLst>
            <a:ext uri="{FF2B5EF4-FFF2-40B4-BE49-F238E27FC236}">
              <a16:creationId xmlns:a16="http://schemas.microsoft.com/office/drawing/2014/main" id="{00000000-0008-0000-0100-0000C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95" name="Text Box 32">
          <a:extLst>
            <a:ext uri="{FF2B5EF4-FFF2-40B4-BE49-F238E27FC236}">
              <a16:creationId xmlns:a16="http://schemas.microsoft.com/office/drawing/2014/main" id="{00000000-0008-0000-0100-0000C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96" name="Text Box 3">
          <a:extLst>
            <a:ext uri="{FF2B5EF4-FFF2-40B4-BE49-F238E27FC236}">
              <a16:creationId xmlns:a16="http://schemas.microsoft.com/office/drawing/2014/main" id="{00000000-0008-0000-0100-0000C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97" name="Text Box 63">
          <a:extLst>
            <a:ext uri="{FF2B5EF4-FFF2-40B4-BE49-F238E27FC236}">
              <a16:creationId xmlns:a16="http://schemas.microsoft.com/office/drawing/2014/main" id="{00000000-0008-0000-0100-0000C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98" name="Text Box 3">
          <a:extLst>
            <a:ext uri="{FF2B5EF4-FFF2-40B4-BE49-F238E27FC236}">
              <a16:creationId xmlns:a16="http://schemas.microsoft.com/office/drawing/2014/main" id="{00000000-0008-0000-0100-0000C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99" name="Text Box 32">
          <a:extLst>
            <a:ext uri="{FF2B5EF4-FFF2-40B4-BE49-F238E27FC236}">
              <a16:creationId xmlns:a16="http://schemas.microsoft.com/office/drawing/2014/main" id="{00000000-0008-0000-0100-0000C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00" name="Text Box 3">
          <a:extLst>
            <a:ext uri="{FF2B5EF4-FFF2-40B4-BE49-F238E27FC236}">
              <a16:creationId xmlns:a16="http://schemas.microsoft.com/office/drawing/2014/main" id="{00000000-0008-0000-0100-0000D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01" name="Text Box 63">
          <a:extLst>
            <a:ext uri="{FF2B5EF4-FFF2-40B4-BE49-F238E27FC236}">
              <a16:creationId xmlns:a16="http://schemas.microsoft.com/office/drawing/2014/main" id="{00000000-0008-0000-0100-0000D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02" name="Text Box 3">
          <a:extLst>
            <a:ext uri="{FF2B5EF4-FFF2-40B4-BE49-F238E27FC236}">
              <a16:creationId xmlns:a16="http://schemas.microsoft.com/office/drawing/2014/main" id="{00000000-0008-0000-0100-0000D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03" name="Text Box 32">
          <a:extLst>
            <a:ext uri="{FF2B5EF4-FFF2-40B4-BE49-F238E27FC236}">
              <a16:creationId xmlns:a16="http://schemas.microsoft.com/office/drawing/2014/main" id="{00000000-0008-0000-0100-0000D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04" name="Text Box 3">
          <a:extLst>
            <a:ext uri="{FF2B5EF4-FFF2-40B4-BE49-F238E27FC236}">
              <a16:creationId xmlns:a16="http://schemas.microsoft.com/office/drawing/2014/main" id="{00000000-0008-0000-0100-0000D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05" name="Text Box 63">
          <a:extLst>
            <a:ext uri="{FF2B5EF4-FFF2-40B4-BE49-F238E27FC236}">
              <a16:creationId xmlns:a16="http://schemas.microsoft.com/office/drawing/2014/main" id="{00000000-0008-0000-0100-0000D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06" name="Text Box 3">
          <a:extLst>
            <a:ext uri="{FF2B5EF4-FFF2-40B4-BE49-F238E27FC236}">
              <a16:creationId xmlns:a16="http://schemas.microsoft.com/office/drawing/2014/main" id="{00000000-0008-0000-0100-0000D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07" name="Text Box 32">
          <a:extLst>
            <a:ext uri="{FF2B5EF4-FFF2-40B4-BE49-F238E27FC236}">
              <a16:creationId xmlns:a16="http://schemas.microsoft.com/office/drawing/2014/main" id="{00000000-0008-0000-0100-0000D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08" name="Text Box 3">
          <a:extLst>
            <a:ext uri="{FF2B5EF4-FFF2-40B4-BE49-F238E27FC236}">
              <a16:creationId xmlns:a16="http://schemas.microsoft.com/office/drawing/2014/main" id="{00000000-0008-0000-0100-0000D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09" name="Text Box 63">
          <a:extLst>
            <a:ext uri="{FF2B5EF4-FFF2-40B4-BE49-F238E27FC236}">
              <a16:creationId xmlns:a16="http://schemas.microsoft.com/office/drawing/2014/main" id="{00000000-0008-0000-0100-0000D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10" name="Text Box 3">
          <a:extLst>
            <a:ext uri="{FF2B5EF4-FFF2-40B4-BE49-F238E27FC236}">
              <a16:creationId xmlns:a16="http://schemas.microsoft.com/office/drawing/2014/main" id="{00000000-0008-0000-0100-0000D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11" name="Text Box 32">
          <a:extLst>
            <a:ext uri="{FF2B5EF4-FFF2-40B4-BE49-F238E27FC236}">
              <a16:creationId xmlns:a16="http://schemas.microsoft.com/office/drawing/2014/main" id="{00000000-0008-0000-0100-0000D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12" name="Text Box 3">
          <a:extLst>
            <a:ext uri="{FF2B5EF4-FFF2-40B4-BE49-F238E27FC236}">
              <a16:creationId xmlns:a16="http://schemas.microsoft.com/office/drawing/2014/main" id="{00000000-0008-0000-0100-0000D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13" name="Text Box 63">
          <a:extLst>
            <a:ext uri="{FF2B5EF4-FFF2-40B4-BE49-F238E27FC236}">
              <a16:creationId xmlns:a16="http://schemas.microsoft.com/office/drawing/2014/main" id="{00000000-0008-0000-0100-0000D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14" name="Text Box 3">
          <a:extLst>
            <a:ext uri="{FF2B5EF4-FFF2-40B4-BE49-F238E27FC236}">
              <a16:creationId xmlns:a16="http://schemas.microsoft.com/office/drawing/2014/main" id="{00000000-0008-0000-0100-0000D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15" name="Text Box 32">
          <a:extLst>
            <a:ext uri="{FF2B5EF4-FFF2-40B4-BE49-F238E27FC236}">
              <a16:creationId xmlns:a16="http://schemas.microsoft.com/office/drawing/2014/main" id="{00000000-0008-0000-0100-0000D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16" name="Text Box 3">
          <a:extLst>
            <a:ext uri="{FF2B5EF4-FFF2-40B4-BE49-F238E27FC236}">
              <a16:creationId xmlns:a16="http://schemas.microsoft.com/office/drawing/2014/main" id="{00000000-0008-0000-0100-0000E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17" name="Text Box 63">
          <a:extLst>
            <a:ext uri="{FF2B5EF4-FFF2-40B4-BE49-F238E27FC236}">
              <a16:creationId xmlns:a16="http://schemas.microsoft.com/office/drawing/2014/main" id="{00000000-0008-0000-0100-0000E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18" name="Text Box 3">
          <a:extLst>
            <a:ext uri="{FF2B5EF4-FFF2-40B4-BE49-F238E27FC236}">
              <a16:creationId xmlns:a16="http://schemas.microsoft.com/office/drawing/2014/main" id="{00000000-0008-0000-0100-0000E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19" name="Text Box 32">
          <a:extLst>
            <a:ext uri="{FF2B5EF4-FFF2-40B4-BE49-F238E27FC236}">
              <a16:creationId xmlns:a16="http://schemas.microsoft.com/office/drawing/2014/main" id="{00000000-0008-0000-0100-0000E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20" name="Text Box 3">
          <a:extLst>
            <a:ext uri="{FF2B5EF4-FFF2-40B4-BE49-F238E27FC236}">
              <a16:creationId xmlns:a16="http://schemas.microsoft.com/office/drawing/2014/main" id="{00000000-0008-0000-0100-0000E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21" name="Text Box 63">
          <a:extLst>
            <a:ext uri="{FF2B5EF4-FFF2-40B4-BE49-F238E27FC236}">
              <a16:creationId xmlns:a16="http://schemas.microsoft.com/office/drawing/2014/main" id="{00000000-0008-0000-0100-0000E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22" name="Text Box 3">
          <a:extLst>
            <a:ext uri="{FF2B5EF4-FFF2-40B4-BE49-F238E27FC236}">
              <a16:creationId xmlns:a16="http://schemas.microsoft.com/office/drawing/2014/main" id="{00000000-0008-0000-0100-0000E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23" name="Text Box 32">
          <a:extLst>
            <a:ext uri="{FF2B5EF4-FFF2-40B4-BE49-F238E27FC236}">
              <a16:creationId xmlns:a16="http://schemas.microsoft.com/office/drawing/2014/main" id="{00000000-0008-0000-0100-0000E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24" name="Text Box 3">
          <a:extLst>
            <a:ext uri="{FF2B5EF4-FFF2-40B4-BE49-F238E27FC236}">
              <a16:creationId xmlns:a16="http://schemas.microsoft.com/office/drawing/2014/main" id="{00000000-0008-0000-0100-0000E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25" name="Text Box 63">
          <a:extLst>
            <a:ext uri="{FF2B5EF4-FFF2-40B4-BE49-F238E27FC236}">
              <a16:creationId xmlns:a16="http://schemas.microsoft.com/office/drawing/2014/main" id="{00000000-0008-0000-0100-0000E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26" name="Text Box 3">
          <a:extLst>
            <a:ext uri="{FF2B5EF4-FFF2-40B4-BE49-F238E27FC236}">
              <a16:creationId xmlns:a16="http://schemas.microsoft.com/office/drawing/2014/main" id="{00000000-0008-0000-0100-0000E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27" name="Text Box 32">
          <a:extLst>
            <a:ext uri="{FF2B5EF4-FFF2-40B4-BE49-F238E27FC236}">
              <a16:creationId xmlns:a16="http://schemas.microsoft.com/office/drawing/2014/main" id="{00000000-0008-0000-0100-0000E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28" name="Text Box 3">
          <a:extLst>
            <a:ext uri="{FF2B5EF4-FFF2-40B4-BE49-F238E27FC236}">
              <a16:creationId xmlns:a16="http://schemas.microsoft.com/office/drawing/2014/main" id="{00000000-0008-0000-0100-0000E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29" name="Text Box 63">
          <a:extLst>
            <a:ext uri="{FF2B5EF4-FFF2-40B4-BE49-F238E27FC236}">
              <a16:creationId xmlns:a16="http://schemas.microsoft.com/office/drawing/2014/main" id="{00000000-0008-0000-0100-0000E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30" name="Text Box 3">
          <a:extLst>
            <a:ext uri="{FF2B5EF4-FFF2-40B4-BE49-F238E27FC236}">
              <a16:creationId xmlns:a16="http://schemas.microsoft.com/office/drawing/2014/main" id="{00000000-0008-0000-0100-0000E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31" name="Text Box 32">
          <a:extLst>
            <a:ext uri="{FF2B5EF4-FFF2-40B4-BE49-F238E27FC236}">
              <a16:creationId xmlns:a16="http://schemas.microsoft.com/office/drawing/2014/main" id="{00000000-0008-0000-0100-0000E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32" name="Text Box 3">
          <a:extLst>
            <a:ext uri="{FF2B5EF4-FFF2-40B4-BE49-F238E27FC236}">
              <a16:creationId xmlns:a16="http://schemas.microsoft.com/office/drawing/2014/main" id="{00000000-0008-0000-0100-0000F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33" name="Text Box 63">
          <a:extLst>
            <a:ext uri="{FF2B5EF4-FFF2-40B4-BE49-F238E27FC236}">
              <a16:creationId xmlns:a16="http://schemas.microsoft.com/office/drawing/2014/main" id="{00000000-0008-0000-0100-0000F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34" name="Text Box 3">
          <a:extLst>
            <a:ext uri="{FF2B5EF4-FFF2-40B4-BE49-F238E27FC236}">
              <a16:creationId xmlns:a16="http://schemas.microsoft.com/office/drawing/2014/main" id="{00000000-0008-0000-0100-0000F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35" name="Text Box 32">
          <a:extLst>
            <a:ext uri="{FF2B5EF4-FFF2-40B4-BE49-F238E27FC236}">
              <a16:creationId xmlns:a16="http://schemas.microsoft.com/office/drawing/2014/main" id="{00000000-0008-0000-0100-0000F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36" name="Text Box 3">
          <a:extLst>
            <a:ext uri="{FF2B5EF4-FFF2-40B4-BE49-F238E27FC236}">
              <a16:creationId xmlns:a16="http://schemas.microsoft.com/office/drawing/2014/main" id="{00000000-0008-0000-0100-0000F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37" name="Text Box 63">
          <a:extLst>
            <a:ext uri="{FF2B5EF4-FFF2-40B4-BE49-F238E27FC236}">
              <a16:creationId xmlns:a16="http://schemas.microsoft.com/office/drawing/2014/main" id="{00000000-0008-0000-0100-0000F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38" name="Text Box 3">
          <a:extLst>
            <a:ext uri="{FF2B5EF4-FFF2-40B4-BE49-F238E27FC236}">
              <a16:creationId xmlns:a16="http://schemas.microsoft.com/office/drawing/2014/main" id="{00000000-0008-0000-0100-0000F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39" name="Text Box 32">
          <a:extLst>
            <a:ext uri="{FF2B5EF4-FFF2-40B4-BE49-F238E27FC236}">
              <a16:creationId xmlns:a16="http://schemas.microsoft.com/office/drawing/2014/main" id="{00000000-0008-0000-0100-0000F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40" name="Text Box 3">
          <a:extLst>
            <a:ext uri="{FF2B5EF4-FFF2-40B4-BE49-F238E27FC236}">
              <a16:creationId xmlns:a16="http://schemas.microsoft.com/office/drawing/2014/main" id="{00000000-0008-0000-0100-0000F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41" name="Text Box 63">
          <a:extLst>
            <a:ext uri="{FF2B5EF4-FFF2-40B4-BE49-F238E27FC236}">
              <a16:creationId xmlns:a16="http://schemas.microsoft.com/office/drawing/2014/main" id="{00000000-0008-0000-0100-0000F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42" name="Text Box 3">
          <a:extLst>
            <a:ext uri="{FF2B5EF4-FFF2-40B4-BE49-F238E27FC236}">
              <a16:creationId xmlns:a16="http://schemas.microsoft.com/office/drawing/2014/main" id="{00000000-0008-0000-0100-0000F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43" name="Text Box 32">
          <a:extLst>
            <a:ext uri="{FF2B5EF4-FFF2-40B4-BE49-F238E27FC236}">
              <a16:creationId xmlns:a16="http://schemas.microsoft.com/office/drawing/2014/main" id="{00000000-0008-0000-0100-0000F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44" name="Text Box 3">
          <a:extLst>
            <a:ext uri="{FF2B5EF4-FFF2-40B4-BE49-F238E27FC236}">
              <a16:creationId xmlns:a16="http://schemas.microsoft.com/office/drawing/2014/main" id="{00000000-0008-0000-0100-0000F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45" name="Text Box 63">
          <a:extLst>
            <a:ext uri="{FF2B5EF4-FFF2-40B4-BE49-F238E27FC236}">
              <a16:creationId xmlns:a16="http://schemas.microsoft.com/office/drawing/2014/main" id="{00000000-0008-0000-0100-0000F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46" name="Text Box 3">
          <a:extLst>
            <a:ext uri="{FF2B5EF4-FFF2-40B4-BE49-F238E27FC236}">
              <a16:creationId xmlns:a16="http://schemas.microsoft.com/office/drawing/2014/main" id="{00000000-0008-0000-0100-0000F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47" name="Text Box 32">
          <a:extLst>
            <a:ext uri="{FF2B5EF4-FFF2-40B4-BE49-F238E27FC236}">
              <a16:creationId xmlns:a16="http://schemas.microsoft.com/office/drawing/2014/main" id="{00000000-0008-0000-0100-0000F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48" name="Text Box 3">
          <a:extLst>
            <a:ext uri="{FF2B5EF4-FFF2-40B4-BE49-F238E27FC236}">
              <a16:creationId xmlns:a16="http://schemas.microsoft.com/office/drawing/2014/main" id="{00000000-0008-0000-0100-000000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49" name="Text Box 63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50" name="Text Box 3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51" name="Text Box 32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52" name="Text Box 3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53" name="Text Box 63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54" name="Text Box 3">
          <a:extLst>
            <a:ext uri="{FF2B5EF4-FFF2-40B4-BE49-F238E27FC236}">
              <a16:creationId xmlns:a16="http://schemas.microsoft.com/office/drawing/2014/main" id="{00000000-0008-0000-0100-000006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55" name="Text Box 32">
          <a:extLst>
            <a:ext uri="{FF2B5EF4-FFF2-40B4-BE49-F238E27FC236}">
              <a16:creationId xmlns:a16="http://schemas.microsoft.com/office/drawing/2014/main" id="{00000000-0008-0000-0100-000007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56" name="Text Box 3">
          <a:extLst>
            <a:ext uri="{FF2B5EF4-FFF2-40B4-BE49-F238E27FC236}">
              <a16:creationId xmlns:a16="http://schemas.microsoft.com/office/drawing/2014/main" id="{00000000-0008-0000-0100-000008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57" name="Text Box 63">
          <a:extLst>
            <a:ext uri="{FF2B5EF4-FFF2-40B4-BE49-F238E27FC236}">
              <a16:creationId xmlns:a16="http://schemas.microsoft.com/office/drawing/2014/main" id="{00000000-0008-0000-0100-000009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58" name="Text Box 3">
          <a:extLst>
            <a:ext uri="{FF2B5EF4-FFF2-40B4-BE49-F238E27FC236}">
              <a16:creationId xmlns:a16="http://schemas.microsoft.com/office/drawing/2014/main" id="{00000000-0008-0000-0100-00000A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59" name="Text Box 32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60" name="Text Box 3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61" name="Text Box 63">
          <a:extLst>
            <a:ext uri="{FF2B5EF4-FFF2-40B4-BE49-F238E27FC236}">
              <a16:creationId xmlns:a16="http://schemas.microsoft.com/office/drawing/2014/main" id="{00000000-0008-0000-0100-00000D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62" name="Text Box 3">
          <a:extLst>
            <a:ext uri="{FF2B5EF4-FFF2-40B4-BE49-F238E27FC236}">
              <a16:creationId xmlns:a16="http://schemas.microsoft.com/office/drawing/2014/main" id="{00000000-0008-0000-0100-00000E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63" name="Text Box 32">
          <a:extLst>
            <a:ext uri="{FF2B5EF4-FFF2-40B4-BE49-F238E27FC236}">
              <a16:creationId xmlns:a16="http://schemas.microsoft.com/office/drawing/2014/main" id="{00000000-0008-0000-0100-00000F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64" name="Text Box 3">
          <a:extLst>
            <a:ext uri="{FF2B5EF4-FFF2-40B4-BE49-F238E27FC236}">
              <a16:creationId xmlns:a16="http://schemas.microsoft.com/office/drawing/2014/main" id="{00000000-0008-0000-0100-000010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65" name="Text Box 63">
          <a:extLst>
            <a:ext uri="{FF2B5EF4-FFF2-40B4-BE49-F238E27FC236}">
              <a16:creationId xmlns:a16="http://schemas.microsoft.com/office/drawing/2014/main" id="{00000000-0008-0000-0100-000011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66" name="Text Box 3">
          <a:extLst>
            <a:ext uri="{FF2B5EF4-FFF2-40B4-BE49-F238E27FC236}">
              <a16:creationId xmlns:a16="http://schemas.microsoft.com/office/drawing/2014/main" id="{00000000-0008-0000-0100-000012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67" name="Text Box 32">
          <a:extLst>
            <a:ext uri="{FF2B5EF4-FFF2-40B4-BE49-F238E27FC236}">
              <a16:creationId xmlns:a16="http://schemas.microsoft.com/office/drawing/2014/main" id="{00000000-0008-0000-0100-000013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68" name="Text Box 3">
          <a:extLst>
            <a:ext uri="{FF2B5EF4-FFF2-40B4-BE49-F238E27FC236}">
              <a16:creationId xmlns:a16="http://schemas.microsoft.com/office/drawing/2014/main" id="{00000000-0008-0000-0100-000014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69" name="Text Box 63">
          <a:extLst>
            <a:ext uri="{FF2B5EF4-FFF2-40B4-BE49-F238E27FC236}">
              <a16:creationId xmlns:a16="http://schemas.microsoft.com/office/drawing/2014/main" id="{00000000-0008-0000-0100-000015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70" name="Text Box 3">
          <a:extLst>
            <a:ext uri="{FF2B5EF4-FFF2-40B4-BE49-F238E27FC236}">
              <a16:creationId xmlns:a16="http://schemas.microsoft.com/office/drawing/2014/main" id="{00000000-0008-0000-0100-000016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71" name="Text Box 32">
          <a:extLst>
            <a:ext uri="{FF2B5EF4-FFF2-40B4-BE49-F238E27FC236}">
              <a16:creationId xmlns:a16="http://schemas.microsoft.com/office/drawing/2014/main" id="{00000000-0008-0000-0100-000017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72" name="Text Box 3">
          <a:extLst>
            <a:ext uri="{FF2B5EF4-FFF2-40B4-BE49-F238E27FC236}">
              <a16:creationId xmlns:a16="http://schemas.microsoft.com/office/drawing/2014/main" id="{00000000-0008-0000-0100-000018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73" name="Text Box 63">
          <a:extLst>
            <a:ext uri="{FF2B5EF4-FFF2-40B4-BE49-F238E27FC236}">
              <a16:creationId xmlns:a16="http://schemas.microsoft.com/office/drawing/2014/main" id="{00000000-0008-0000-0100-000019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74" name="Text Box 3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75" name="Text Box 32">
          <a:extLst>
            <a:ext uri="{FF2B5EF4-FFF2-40B4-BE49-F238E27FC236}">
              <a16:creationId xmlns:a16="http://schemas.microsoft.com/office/drawing/2014/main" id="{00000000-0008-0000-0100-00001B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76" name="Text Box 3">
          <a:extLst>
            <a:ext uri="{FF2B5EF4-FFF2-40B4-BE49-F238E27FC236}">
              <a16:creationId xmlns:a16="http://schemas.microsoft.com/office/drawing/2014/main" id="{00000000-0008-0000-0100-00001C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77" name="Text Box 63">
          <a:extLst>
            <a:ext uri="{FF2B5EF4-FFF2-40B4-BE49-F238E27FC236}">
              <a16:creationId xmlns:a16="http://schemas.microsoft.com/office/drawing/2014/main" id="{00000000-0008-0000-0100-00001D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78" name="Text Box 3">
          <a:extLst>
            <a:ext uri="{FF2B5EF4-FFF2-40B4-BE49-F238E27FC236}">
              <a16:creationId xmlns:a16="http://schemas.microsoft.com/office/drawing/2014/main" id="{00000000-0008-0000-0100-00001E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79" name="Text Box 32">
          <a:extLst>
            <a:ext uri="{FF2B5EF4-FFF2-40B4-BE49-F238E27FC236}">
              <a16:creationId xmlns:a16="http://schemas.microsoft.com/office/drawing/2014/main" id="{00000000-0008-0000-0100-00001F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80" name="Text Box 3">
          <a:extLst>
            <a:ext uri="{FF2B5EF4-FFF2-40B4-BE49-F238E27FC236}">
              <a16:creationId xmlns:a16="http://schemas.microsoft.com/office/drawing/2014/main" id="{00000000-0008-0000-0100-000020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81" name="Text Box 63">
          <a:extLst>
            <a:ext uri="{FF2B5EF4-FFF2-40B4-BE49-F238E27FC236}">
              <a16:creationId xmlns:a16="http://schemas.microsoft.com/office/drawing/2014/main" id="{00000000-0008-0000-0100-000021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82" name="Text Box 3">
          <a:extLst>
            <a:ext uri="{FF2B5EF4-FFF2-40B4-BE49-F238E27FC236}">
              <a16:creationId xmlns:a16="http://schemas.microsoft.com/office/drawing/2014/main" id="{00000000-0008-0000-0100-000022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83" name="Text Box 32">
          <a:extLst>
            <a:ext uri="{FF2B5EF4-FFF2-40B4-BE49-F238E27FC236}">
              <a16:creationId xmlns:a16="http://schemas.microsoft.com/office/drawing/2014/main" id="{00000000-0008-0000-0100-000023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84" name="Text Box 3">
          <a:extLst>
            <a:ext uri="{FF2B5EF4-FFF2-40B4-BE49-F238E27FC236}">
              <a16:creationId xmlns:a16="http://schemas.microsoft.com/office/drawing/2014/main" id="{00000000-0008-0000-0100-000024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85" name="Text Box 63">
          <a:extLst>
            <a:ext uri="{FF2B5EF4-FFF2-40B4-BE49-F238E27FC236}">
              <a16:creationId xmlns:a16="http://schemas.microsoft.com/office/drawing/2014/main" id="{00000000-0008-0000-0100-000025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86" name="Text Box 3">
          <a:extLst>
            <a:ext uri="{FF2B5EF4-FFF2-40B4-BE49-F238E27FC236}">
              <a16:creationId xmlns:a16="http://schemas.microsoft.com/office/drawing/2014/main" id="{00000000-0008-0000-0100-000026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87" name="Text Box 32">
          <a:extLst>
            <a:ext uri="{FF2B5EF4-FFF2-40B4-BE49-F238E27FC236}">
              <a16:creationId xmlns:a16="http://schemas.microsoft.com/office/drawing/2014/main" id="{00000000-0008-0000-0100-000027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88" name="Text Box 3">
          <a:extLst>
            <a:ext uri="{FF2B5EF4-FFF2-40B4-BE49-F238E27FC236}">
              <a16:creationId xmlns:a16="http://schemas.microsoft.com/office/drawing/2014/main" id="{00000000-0008-0000-0100-000028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89" name="Text Box 63">
          <a:extLst>
            <a:ext uri="{FF2B5EF4-FFF2-40B4-BE49-F238E27FC236}">
              <a16:creationId xmlns:a16="http://schemas.microsoft.com/office/drawing/2014/main" id="{00000000-0008-0000-0100-000029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90" name="Text Box 3">
          <a:extLst>
            <a:ext uri="{FF2B5EF4-FFF2-40B4-BE49-F238E27FC236}">
              <a16:creationId xmlns:a16="http://schemas.microsoft.com/office/drawing/2014/main" id="{00000000-0008-0000-0100-00002A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91" name="Text Box 32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92" name="Text Box 3">
          <a:extLst>
            <a:ext uri="{FF2B5EF4-FFF2-40B4-BE49-F238E27FC236}">
              <a16:creationId xmlns:a16="http://schemas.microsoft.com/office/drawing/2014/main" id="{00000000-0008-0000-0100-00002C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93" name="Text Box 63">
          <a:extLst>
            <a:ext uri="{FF2B5EF4-FFF2-40B4-BE49-F238E27FC236}">
              <a16:creationId xmlns:a16="http://schemas.microsoft.com/office/drawing/2014/main" id="{00000000-0008-0000-0100-00002D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94" name="Text Box 3">
          <a:extLst>
            <a:ext uri="{FF2B5EF4-FFF2-40B4-BE49-F238E27FC236}">
              <a16:creationId xmlns:a16="http://schemas.microsoft.com/office/drawing/2014/main" id="{00000000-0008-0000-0100-00002E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95" name="Text Box 32">
          <a:extLst>
            <a:ext uri="{FF2B5EF4-FFF2-40B4-BE49-F238E27FC236}">
              <a16:creationId xmlns:a16="http://schemas.microsoft.com/office/drawing/2014/main" id="{00000000-0008-0000-0100-00002F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96" name="Text Box 3">
          <a:extLst>
            <a:ext uri="{FF2B5EF4-FFF2-40B4-BE49-F238E27FC236}">
              <a16:creationId xmlns:a16="http://schemas.microsoft.com/office/drawing/2014/main" id="{00000000-0008-0000-0100-000030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97" name="Text Box 63">
          <a:extLst>
            <a:ext uri="{FF2B5EF4-FFF2-40B4-BE49-F238E27FC236}">
              <a16:creationId xmlns:a16="http://schemas.microsoft.com/office/drawing/2014/main" id="{00000000-0008-0000-0100-000031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98" name="Text Box 3">
          <a:extLst>
            <a:ext uri="{FF2B5EF4-FFF2-40B4-BE49-F238E27FC236}">
              <a16:creationId xmlns:a16="http://schemas.microsoft.com/office/drawing/2014/main" id="{00000000-0008-0000-0100-000032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99" name="Text Box 32">
          <a:extLst>
            <a:ext uri="{FF2B5EF4-FFF2-40B4-BE49-F238E27FC236}">
              <a16:creationId xmlns:a16="http://schemas.microsoft.com/office/drawing/2014/main" id="{00000000-0008-0000-0100-000033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00" name="Text Box 3">
          <a:extLst>
            <a:ext uri="{FF2B5EF4-FFF2-40B4-BE49-F238E27FC236}">
              <a16:creationId xmlns:a16="http://schemas.microsoft.com/office/drawing/2014/main" id="{00000000-0008-0000-0100-000034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01" name="Text Box 63">
          <a:extLst>
            <a:ext uri="{FF2B5EF4-FFF2-40B4-BE49-F238E27FC236}">
              <a16:creationId xmlns:a16="http://schemas.microsoft.com/office/drawing/2014/main" id="{00000000-0008-0000-0100-000035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02" name="Text Box 3">
          <a:extLst>
            <a:ext uri="{FF2B5EF4-FFF2-40B4-BE49-F238E27FC236}">
              <a16:creationId xmlns:a16="http://schemas.microsoft.com/office/drawing/2014/main" id="{00000000-0008-0000-0100-000036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03" name="Text Box 32">
          <a:extLst>
            <a:ext uri="{FF2B5EF4-FFF2-40B4-BE49-F238E27FC236}">
              <a16:creationId xmlns:a16="http://schemas.microsoft.com/office/drawing/2014/main" id="{00000000-0008-0000-0100-000037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04" name="Text Box 3">
          <a:extLst>
            <a:ext uri="{FF2B5EF4-FFF2-40B4-BE49-F238E27FC236}">
              <a16:creationId xmlns:a16="http://schemas.microsoft.com/office/drawing/2014/main" id="{00000000-0008-0000-0100-000038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05" name="Text Box 63">
          <a:extLst>
            <a:ext uri="{FF2B5EF4-FFF2-40B4-BE49-F238E27FC236}">
              <a16:creationId xmlns:a16="http://schemas.microsoft.com/office/drawing/2014/main" id="{00000000-0008-0000-0100-000039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06" name="Text Box 3">
          <a:extLst>
            <a:ext uri="{FF2B5EF4-FFF2-40B4-BE49-F238E27FC236}">
              <a16:creationId xmlns:a16="http://schemas.microsoft.com/office/drawing/2014/main" id="{00000000-0008-0000-0100-00003A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07" name="Text Box 32">
          <a:extLst>
            <a:ext uri="{FF2B5EF4-FFF2-40B4-BE49-F238E27FC236}">
              <a16:creationId xmlns:a16="http://schemas.microsoft.com/office/drawing/2014/main" id="{00000000-0008-0000-0100-00003B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08" name="Text Box 3">
          <a:extLst>
            <a:ext uri="{FF2B5EF4-FFF2-40B4-BE49-F238E27FC236}">
              <a16:creationId xmlns:a16="http://schemas.microsoft.com/office/drawing/2014/main" id="{00000000-0008-0000-0100-00003C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09" name="Text Box 63">
          <a:extLst>
            <a:ext uri="{FF2B5EF4-FFF2-40B4-BE49-F238E27FC236}">
              <a16:creationId xmlns:a16="http://schemas.microsoft.com/office/drawing/2014/main" id="{00000000-0008-0000-0100-00003D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10" name="Text Box 3">
          <a:extLst>
            <a:ext uri="{FF2B5EF4-FFF2-40B4-BE49-F238E27FC236}">
              <a16:creationId xmlns:a16="http://schemas.microsoft.com/office/drawing/2014/main" id="{00000000-0008-0000-0100-00003E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11" name="Text Box 32">
          <a:extLst>
            <a:ext uri="{FF2B5EF4-FFF2-40B4-BE49-F238E27FC236}">
              <a16:creationId xmlns:a16="http://schemas.microsoft.com/office/drawing/2014/main" id="{00000000-0008-0000-0100-00003F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12" name="Text Box 3">
          <a:extLst>
            <a:ext uri="{FF2B5EF4-FFF2-40B4-BE49-F238E27FC236}">
              <a16:creationId xmlns:a16="http://schemas.microsoft.com/office/drawing/2014/main" id="{00000000-0008-0000-0100-000040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13" name="Text Box 63">
          <a:extLst>
            <a:ext uri="{FF2B5EF4-FFF2-40B4-BE49-F238E27FC236}">
              <a16:creationId xmlns:a16="http://schemas.microsoft.com/office/drawing/2014/main" id="{00000000-0008-0000-0100-000041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0</xdr:colOff>
      <xdr:row>44</xdr:row>
      <xdr:rowOff>152400</xdr:rowOff>
    </xdr:to>
    <xdr:sp macro="" textlink="">
      <xdr:nvSpPr>
        <xdr:cNvPr id="2114" name="Text Box 3">
          <a:extLst>
            <a:ext uri="{FF2B5EF4-FFF2-40B4-BE49-F238E27FC236}">
              <a16:creationId xmlns:a16="http://schemas.microsoft.com/office/drawing/2014/main" id="{00000000-0008-0000-0100-000042080000}"/>
            </a:ext>
          </a:extLst>
        </xdr:cNvPr>
        <xdr:cNvSpPr txBox="1">
          <a:spLocks noChangeArrowheads="1"/>
        </xdr:cNvSpPr>
      </xdr:nvSpPr>
      <xdr:spPr bwMode="auto">
        <a:xfrm>
          <a:off x="485775" y="769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" name="Text Box 15">
          <a:extLst>
            <a:ext uri="{FF2B5EF4-FFF2-40B4-BE49-F238E27FC236}">
              <a16:creationId xmlns:a16="http://schemas.microsoft.com/office/drawing/2014/main" id="{1ECBBD65-8D6D-481F-BC5D-50BA37C1B80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" name="Text Box 15">
          <a:extLst>
            <a:ext uri="{FF2B5EF4-FFF2-40B4-BE49-F238E27FC236}">
              <a16:creationId xmlns:a16="http://schemas.microsoft.com/office/drawing/2014/main" id="{B1CA8C46-E28D-494B-9A95-A5E80ACB64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" name="Text Box 15">
          <a:extLst>
            <a:ext uri="{FF2B5EF4-FFF2-40B4-BE49-F238E27FC236}">
              <a16:creationId xmlns:a16="http://schemas.microsoft.com/office/drawing/2014/main" id="{CD5D9DD3-0AD6-46A0-BD05-6DB7DE4E51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" name="Text Box 15">
          <a:extLst>
            <a:ext uri="{FF2B5EF4-FFF2-40B4-BE49-F238E27FC236}">
              <a16:creationId xmlns:a16="http://schemas.microsoft.com/office/drawing/2014/main" id="{41917B20-9933-4E18-9B3A-38ACFDD5B2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" name="Text Box 15">
          <a:extLst>
            <a:ext uri="{FF2B5EF4-FFF2-40B4-BE49-F238E27FC236}">
              <a16:creationId xmlns:a16="http://schemas.microsoft.com/office/drawing/2014/main" id="{824F1DDD-8DA1-4B59-A750-2B8DA64D5E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" name="Text Box 15">
          <a:extLst>
            <a:ext uri="{FF2B5EF4-FFF2-40B4-BE49-F238E27FC236}">
              <a16:creationId xmlns:a16="http://schemas.microsoft.com/office/drawing/2014/main" id="{5B375CBD-2710-48F3-B479-1527CCB0DB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" name="Text Box 15">
          <a:extLst>
            <a:ext uri="{FF2B5EF4-FFF2-40B4-BE49-F238E27FC236}">
              <a16:creationId xmlns:a16="http://schemas.microsoft.com/office/drawing/2014/main" id="{746846BA-BA0C-4140-AF8B-CA5051C78E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9" name="Text Box 15">
          <a:extLst>
            <a:ext uri="{FF2B5EF4-FFF2-40B4-BE49-F238E27FC236}">
              <a16:creationId xmlns:a16="http://schemas.microsoft.com/office/drawing/2014/main" id="{1F0E3B95-0F2E-4075-8CBD-F8A8BC24BA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0" name="Text Box 15">
          <a:extLst>
            <a:ext uri="{FF2B5EF4-FFF2-40B4-BE49-F238E27FC236}">
              <a16:creationId xmlns:a16="http://schemas.microsoft.com/office/drawing/2014/main" id="{2860020E-D906-459D-8B6E-444706F47E4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C6A3FBCA-00FE-40AF-8A81-04B8642DC5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2" name="Text Box 15">
          <a:extLst>
            <a:ext uri="{FF2B5EF4-FFF2-40B4-BE49-F238E27FC236}">
              <a16:creationId xmlns:a16="http://schemas.microsoft.com/office/drawing/2014/main" id="{69269F45-6BF7-4FE5-9BFD-2D9321C2D8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3" name="Text Box 15">
          <a:extLst>
            <a:ext uri="{FF2B5EF4-FFF2-40B4-BE49-F238E27FC236}">
              <a16:creationId xmlns:a16="http://schemas.microsoft.com/office/drawing/2014/main" id="{FD4C2C60-9AFE-4D97-B0E6-64508EDC7A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49CB424D-E6F4-4848-A910-5118FD8861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id="{7EE73B5C-F025-4C5A-963A-7AEF5389E8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07B92C64-F005-4EC1-BD84-26004CEE22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7" name="Text Box 15">
          <a:extLst>
            <a:ext uri="{FF2B5EF4-FFF2-40B4-BE49-F238E27FC236}">
              <a16:creationId xmlns:a16="http://schemas.microsoft.com/office/drawing/2014/main" id="{E9BA6D7D-946D-4FAA-9776-FE94047012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" name="Text Box 15">
          <a:extLst>
            <a:ext uri="{FF2B5EF4-FFF2-40B4-BE49-F238E27FC236}">
              <a16:creationId xmlns:a16="http://schemas.microsoft.com/office/drawing/2014/main" id="{223B31D5-960D-4488-80C4-1FA594E32D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" name="Text Box 15">
          <a:extLst>
            <a:ext uri="{FF2B5EF4-FFF2-40B4-BE49-F238E27FC236}">
              <a16:creationId xmlns:a16="http://schemas.microsoft.com/office/drawing/2014/main" id="{33A96BB6-9416-4562-A11F-E15FCA572B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" name="Text Box 15">
          <a:extLst>
            <a:ext uri="{FF2B5EF4-FFF2-40B4-BE49-F238E27FC236}">
              <a16:creationId xmlns:a16="http://schemas.microsoft.com/office/drawing/2014/main" id="{65865199-19D4-497B-A229-1E4AACBB37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" name="Text Box 15">
          <a:extLst>
            <a:ext uri="{FF2B5EF4-FFF2-40B4-BE49-F238E27FC236}">
              <a16:creationId xmlns:a16="http://schemas.microsoft.com/office/drawing/2014/main" id="{081DE3DB-8258-4541-8857-D0F4EEE997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" name="Text Box 15">
          <a:extLst>
            <a:ext uri="{FF2B5EF4-FFF2-40B4-BE49-F238E27FC236}">
              <a16:creationId xmlns:a16="http://schemas.microsoft.com/office/drawing/2014/main" id="{C9AB33EF-16B5-4C71-A290-E3C055AF1C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" name="Text Box 15">
          <a:extLst>
            <a:ext uri="{FF2B5EF4-FFF2-40B4-BE49-F238E27FC236}">
              <a16:creationId xmlns:a16="http://schemas.microsoft.com/office/drawing/2014/main" id="{45B18795-6DEF-43E2-97E7-03D0C86F70A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" name="Text Box 15">
          <a:extLst>
            <a:ext uri="{FF2B5EF4-FFF2-40B4-BE49-F238E27FC236}">
              <a16:creationId xmlns:a16="http://schemas.microsoft.com/office/drawing/2014/main" id="{71BCD1EE-542C-4475-BD6B-565AC407460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" name="Text Box 15">
          <a:extLst>
            <a:ext uri="{FF2B5EF4-FFF2-40B4-BE49-F238E27FC236}">
              <a16:creationId xmlns:a16="http://schemas.microsoft.com/office/drawing/2014/main" id="{F22AAAD0-1995-4936-A066-BA6F102BCA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6" name="Text Box 15">
          <a:extLst>
            <a:ext uri="{FF2B5EF4-FFF2-40B4-BE49-F238E27FC236}">
              <a16:creationId xmlns:a16="http://schemas.microsoft.com/office/drawing/2014/main" id="{72A911F6-28EC-47FE-B197-ABBEF9391F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7" name="Text Box 15">
          <a:extLst>
            <a:ext uri="{FF2B5EF4-FFF2-40B4-BE49-F238E27FC236}">
              <a16:creationId xmlns:a16="http://schemas.microsoft.com/office/drawing/2014/main" id="{DDA49862-429E-4816-BB43-3D8BDD6B7BA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8" name="Text Box 15">
          <a:extLst>
            <a:ext uri="{FF2B5EF4-FFF2-40B4-BE49-F238E27FC236}">
              <a16:creationId xmlns:a16="http://schemas.microsoft.com/office/drawing/2014/main" id="{31CD0CCC-5738-431F-B11D-32971005FF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9" name="Text Box 15">
          <a:extLst>
            <a:ext uri="{FF2B5EF4-FFF2-40B4-BE49-F238E27FC236}">
              <a16:creationId xmlns:a16="http://schemas.microsoft.com/office/drawing/2014/main" id="{4E506788-B867-4D6C-94CA-8582A86543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30" name="Text Box 15">
          <a:extLst>
            <a:ext uri="{FF2B5EF4-FFF2-40B4-BE49-F238E27FC236}">
              <a16:creationId xmlns:a16="http://schemas.microsoft.com/office/drawing/2014/main" id="{78DC1033-A744-447C-B391-ECC697DFDB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31" name="Text Box 15">
          <a:extLst>
            <a:ext uri="{FF2B5EF4-FFF2-40B4-BE49-F238E27FC236}">
              <a16:creationId xmlns:a16="http://schemas.microsoft.com/office/drawing/2014/main" id="{B1E231B7-6BA6-4FEF-BE5B-B3D8535017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2" name="Text Box 15">
          <a:extLst>
            <a:ext uri="{FF2B5EF4-FFF2-40B4-BE49-F238E27FC236}">
              <a16:creationId xmlns:a16="http://schemas.microsoft.com/office/drawing/2014/main" id="{6A8929ED-2853-439A-AA98-D1B143EBA3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3" name="Text Box 15">
          <a:extLst>
            <a:ext uri="{FF2B5EF4-FFF2-40B4-BE49-F238E27FC236}">
              <a16:creationId xmlns:a16="http://schemas.microsoft.com/office/drawing/2014/main" id="{9499FA9F-9596-4D43-8446-CC40A35E3DB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4" name="Text Box 15">
          <a:extLst>
            <a:ext uri="{FF2B5EF4-FFF2-40B4-BE49-F238E27FC236}">
              <a16:creationId xmlns:a16="http://schemas.microsoft.com/office/drawing/2014/main" id="{1C7483C9-A4AE-486E-9520-2DD97F3DF02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5" name="Text Box 15">
          <a:extLst>
            <a:ext uri="{FF2B5EF4-FFF2-40B4-BE49-F238E27FC236}">
              <a16:creationId xmlns:a16="http://schemas.microsoft.com/office/drawing/2014/main" id="{7C6B653E-0ACA-4360-A1EA-44809BF3BB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6" name="Text Box 15">
          <a:extLst>
            <a:ext uri="{FF2B5EF4-FFF2-40B4-BE49-F238E27FC236}">
              <a16:creationId xmlns:a16="http://schemas.microsoft.com/office/drawing/2014/main" id="{995E75A5-5694-4290-98C5-5A189A7F0F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7" name="Text Box 15">
          <a:extLst>
            <a:ext uri="{FF2B5EF4-FFF2-40B4-BE49-F238E27FC236}">
              <a16:creationId xmlns:a16="http://schemas.microsoft.com/office/drawing/2014/main" id="{671DEAC6-94AE-4AB0-AC4C-65042B6B079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8" name="Text Box 15">
          <a:extLst>
            <a:ext uri="{FF2B5EF4-FFF2-40B4-BE49-F238E27FC236}">
              <a16:creationId xmlns:a16="http://schemas.microsoft.com/office/drawing/2014/main" id="{DFF4DF7E-81A8-484F-84E7-6AD094D13E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9" name="Text Box 15">
          <a:extLst>
            <a:ext uri="{FF2B5EF4-FFF2-40B4-BE49-F238E27FC236}">
              <a16:creationId xmlns:a16="http://schemas.microsoft.com/office/drawing/2014/main" id="{7273C856-7076-4144-8530-91DD06033A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0" name="Text Box 15">
          <a:extLst>
            <a:ext uri="{FF2B5EF4-FFF2-40B4-BE49-F238E27FC236}">
              <a16:creationId xmlns:a16="http://schemas.microsoft.com/office/drawing/2014/main" id="{33C33BFC-B416-4617-8535-2823628CA0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1" name="Text Box 15">
          <a:extLst>
            <a:ext uri="{FF2B5EF4-FFF2-40B4-BE49-F238E27FC236}">
              <a16:creationId xmlns:a16="http://schemas.microsoft.com/office/drawing/2014/main" id="{9E05C4CF-DB81-4A5F-86C9-54BD5929CD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42" name="Text Box 15">
          <a:extLst>
            <a:ext uri="{FF2B5EF4-FFF2-40B4-BE49-F238E27FC236}">
              <a16:creationId xmlns:a16="http://schemas.microsoft.com/office/drawing/2014/main" id="{F037967D-C656-4630-917B-7A33772A51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43" name="Text Box 15">
          <a:extLst>
            <a:ext uri="{FF2B5EF4-FFF2-40B4-BE49-F238E27FC236}">
              <a16:creationId xmlns:a16="http://schemas.microsoft.com/office/drawing/2014/main" id="{D48120F9-7368-42B9-B70A-F55D9895D8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44" name="Text Box 15">
          <a:extLst>
            <a:ext uri="{FF2B5EF4-FFF2-40B4-BE49-F238E27FC236}">
              <a16:creationId xmlns:a16="http://schemas.microsoft.com/office/drawing/2014/main" id="{1D7EF833-2F47-4C82-A253-92E4853D0A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45" name="Text Box 15">
          <a:extLst>
            <a:ext uri="{FF2B5EF4-FFF2-40B4-BE49-F238E27FC236}">
              <a16:creationId xmlns:a16="http://schemas.microsoft.com/office/drawing/2014/main" id="{5093E6A5-0356-4F2C-9808-77ED200AE1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46" name="Text Box 15">
          <a:extLst>
            <a:ext uri="{FF2B5EF4-FFF2-40B4-BE49-F238E27FC236}">
              <a16:creationId xmlns:a16="http://schemas.microsoft.com/office/drawing/2014/main" id="{7023DBA5-8E9F-4B07-9120-F9EB581528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7" name="Text Box 15">
          <a:extLst>
            <a:ext uri="{FF2B5EF4-FFF2-40B4-BE49-F238E27FC236}">
              <a16:creationId xmlns:a16="http://schemas.microsoft.com/office/drawing/2014/main" id="{0157B622-AF1C-47DE-8B2D-4BE816FBB3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8" name="Text Box 15">
          <a:extLst>
            <a:ext uri="{FF2B5EF4-FFF2-40B4-BE49-F238E27FC236}">
              <a16:creationId xmlns:a16="http://schemas.microsoft.com/office/drawing/2014/main" id="{6A9C1623-0237-445C-ACAB-3B7F43EEF7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9" name="Text Box 15">
          <a:extLst>
            <a:ext uri="{FF2B5EF4-FFF2-40B4-BE49-F238E27FC236}">
              <a16:creationId xmlns:a16="http://schemas.microsoft.com/office/drawing/2014/main" id="{8A6055FB-A4DC-4985-9769-34ADBA3AD7D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0" name="Text Box 15">
          <a:extLst>
            <a:ext uri="{FF2B5EF4-FFF2-40B4-BE49-F238E27FC236}">
              <a16:creationId xmlns:a16="http://schemas.microsoft.com/office/drawing/2014/main" id="{2DEB9ADC-9191-4AFB-B001-FE4D218019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1" name="Text Box 15">
          <a:extLst>
            <a:ext uri="{FF2B5EF4-FFF2-40B4-BE49-F238E27FC236}">
              <a16:creationId xmlns:a16="http://schemas.microsoft.com/office/drawing/2014/main" id="{C9E7B8A9-664F-4DB8-AA83-A1090FF3ED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2" name="Text Box 15">
          <a:extLst>
            <a:ext uri="{FF2B5EF4-FFF2-40B4-BE49-F238E27FC236}">
              <a16:creationId xmlns:a16="http://schemas.microsoft.com/office/drawing/2014/main" id="{6964527E-61F9-47F4-87D8-3A1E6985D3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3" name="Text Box 15">
          <a:extLst>
            <a:ext uri="{FF2B5EF4-FFF2-40B4-BE49-F238E27FC236}">
              <a16:creationId xmlns:a16="http://schemas.microsoft.com/office/drawing/2014/main" id="{F1938A1E-9DA9-461E-AA2F-0E4AC5600B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4" name="Text Box 15">
          <a:extLst>
            <a:ext uri="{FF2B5EF4-FFF2-40B4-BE49-F238E27FC236}">
              <a16:creationId xmlns:a16="http://schemas.microsoft.com/office/drawing/2014/main" id="{898B1E36-5C8F-4C5D-9B80-D13A14DB66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5" name="Text Box 15">
          <a:extLst>
            <a:ext uri="{FF2B5EF4-FFF2-40B4-BE49-F238E27FC236}">
              <a16:creationId xmlns:a16="http://schemas.microsoft.com/office/drawing/2014/main" id="{29C3E84C-C3E3-4D26-B2DB-455FF3D6CF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6" name="Text Box 15">
          <a:extLst>
            <a:ext uri="{FF2B5EF4-FFF2-40B4-BE49-F238E27FC236}">
              <a16:creationId xmlns:a16="http://schemas.microsoft.com/office/drawing/2014/main" id="{5C719D30-9C2F-402C-B03E-232DB087388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57" name="Text Box 15">
          <a:extLst>
            <a:ext uri="{FF2B5EF4-FFF2-40B4-BE49-F238E27FC236}">
              <a16:creationId xmlns:a16="http://schemas.microsoft.com/office/drawing/2014/main" id="{5AF2A162-4A07-4D1B-9089-C38D2236B1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58" name="Text Box 15">
          <a:extLst>
            <a:ext uri="{FF2B5EF4-FFF2-40B4-BE49-F238E27FC236}">
              <a16:creationId xmlns:a16="http://schemas.microsoft.com/office/drawing/2014/main" id="{878AC697-F26B-4C98-A3EA-48057D01DA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59" name="Text Box 15">
          <a:extLst>
            <a:ext uri="{FF2B5EF4-FFF2-40B4-BE49-F238E27FC236}">
              <a16:creationId xmlns:a16="http://schemas.microsoft.com/office/drawing/2014/main" id="{6F66EFD1-7B9E-489D-BD20-DD98ECADCB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60" name="Text Box 15">
          <a:extLst>
            <a:ext uri="{FF2B5EF4-FFF2-40B4-BE49-F238E27FC236}">
              <a16:creationId xmlns:a16="http://schemas.microsoft.com/office/drawing/2014/main" id="{E1BAD953-697C-4069-AE0E-F57B3616BA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61" name="Text Box 15">
          <a:extLst>
            <a:ext uri="{FF2B5EF4-FFF2-40B4-BE49-F238E27FC236}">
              <a16:creationId xmlns:a16="http://schemas.microsoft.com/office/drawing/2014/main" id="{09C2C11E-D7D8-41AC-9245-17A8B8E036F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2" name="Text Box 15">
          <a:extLst>
            <a:ext uri="{FF2B5EF4-FFF2-40B4-BE49-F238E27FC236}">
              <a16:creationId xmlns:a16="http://schemas.microsoft.com/office/drawing/2014/main" id="{3E848247-3E16-4802-988C-B61DFF4C5D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3" name="Text Box 15">
          <a:extLst>
            <a:ext uri="{FF2B5EF4-FFF2-40B4-BE49-F238E27FC236}">
              <a16:creationId xmlns:a16="http://schemas.microsoft.com/office/drawing/2014/main" id="{54649552-BCAB-4B83-927F-3DDDFF092D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4" name="Text Box 15">
          <a:extLst>
            <a:ext uri="{FF2B5EF4-FFF2-40B4-BE49-F238E27FC236}">
              <a16:creationId xmlns:a16="http://schemas.microsoft.com/office/drawing/2014/main" id="{3E8D3861-314F-46A5-A149-012CFD79443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5" name="Text Box 15">
          <a:extLst>
            <a:ext uri="{FF2B5EF4-FFF2-40B4-BE49-F238E27FC236}">
              <a16:creationId xmlns:a16="http://schemas.microsoft.com/office/drawing/2014/main" id="{6EF96CC5-4E4D-493A-86F5-7E9235824E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6" name="Text Box 15">
          <a:extLst>
            <a:ext uri="{FF2B5EF4-FFF2-40B4-BE49-F238E27FC236}">
              <a16:creationId xmlns:a16="http://schemas.microsoft.com/office/drawing/2014/main" id="{D48F20F3-A62C-4314-BE25-A438F79609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7" name="Text Box 15">
          <a:extLst>
            <a:ext uri="{FF2B5EF4-FFF2-40B4-BE49-F238E27FC236}">
              <a16:creationId xmlns:a16="http://schemas.microsoft.com/office/drawing/2014/main" id="{F49008CB-7C5E-47F4-A74D-26862459BB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8" name="Text Box 15">
          <a:extLst>
            <a:ext uri="{FF2B5EF4-FFF2-40B4-BE49-F238E27FC236}">
              <a16:creationId xmlns:a16="http://schemas.microsoft.com/office/drawing/2014/main" id="{CFBDF8BE-3245-48F9-9E51-71457822C6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9" name="Text Box 15">
          <a:extLst>
            <a:ext uri="{FF2B5EF4-FFF2-40B4-BE49-F238E27FC236}">
              <a16:creationId xmlns:a16="http://schemas.microsoft.com/office/drawing/2014/main" id="{25F83A2E-0F02-4656-92FE-47449DC060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0" name="Text Box 15">
          <a:extLst>
            <a:ext uri="{FF2B5EF4-FFF2-40B4-BE49-F238E27FC236}">
              <a16:creationId xmlns:a16="http://schemas.microsoft.com/office/drawing/2014/main" id="{6B50AE5F-4175-452B-A0BF-C33630F706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1" name="Text Box 15">
          <a:extLst>
            <a:ext uri="{FF2B5EF4-FFF2-40B4-BE49-F238E27FC236}">
              <a16:creationId xmlns:a16="http://schemas.microsoft.com/office/drawing/2014/main" id="{74698900-65CC-453E-A3A4-702224C0ABF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72" name="Text Box 15">
          <a:extLst>
            <a:ext uri="{FF2B5EF4-FFF2-40B4-BE49-F238E27FC236}">
              <a16:creationId xmlns:a16="http://schemas.microsoft.com/office/drawing/2014/main" id="{E5ED7A01-FED1-4870-B9EA-7C07561058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73" name="Text Box 15">
          <a:extLst>
            <a:ext uri="{FF2B5EF4-FFF2-40B4-BE49-F238E27FC236}">
              <a16:creationId xmlns:a16="http://schemas.microsoft.com/office/drawing/2014/main" id="{401FBE30-8B79-4681-9DB4-1506B2F095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74" name="Text Box 15">
          <a:extLst>
            <a:ext uri="{FF2B5EF4-FFF2-40B4-BE49-F238E27FC236}">
              <a16:creationId xmlns:a16="http://schemas.microsoft.com/office/drawing/2014/main" id="{6BAA0DF1-3338-45F6-BC0D-EC036BC10C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75" name="Text Box 15">
          <a:extLst>
            <a:ext uri="{FF2B5EF4-FFF2-40B4-BE49-F238E27FC236}">
              <a16:creationId xmlns:a16="http://schemas.microsoft.com/office/drawing/2014/main" id="{523007D5-FC0B-4F6A-85FD-C9D2C42CE9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76" name="Text Box 15">
          <a:extLst>
            <a:ext uri="{FF2B5EF4-FFF2-40B4-BE49-F238E27FC236}">
              <a16:creationId xmlns:a16="http://schemas.microsoft.com/office/drawing/2014/main" id="{FAA55C09-6152-44BE-AD58-6335AC3511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7" name="Text Box 15">
          <a:extLst>
            <a:ext uri="{FF2B5EF4-FFF2-40B4-BE49-F238E27FC236}">
              <a16:creationId xmlns:a16="http://schemas.microsoft.com/office/drawing/2014/main" id="{0754F2B5-CCDE-490B-9CFF-A8C3D29D85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8" name="Text Box 15">
          <a:extLst>
            <a:ext uri="{FF2B5EF4-FFF2-40B4-BE49-F238E27FC236}">
              <a16:creationId xmlns:a16="http://schemas.microsoft.com/office/drawing/2014/main" id="{50D7A957-401C-4417-8B50-DD13C04145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9" name="Text Box 15">
          <a:extLst>
            <a:ext uri="{FF2B5EF4-FFF2-40B4-BE49-F238E27FC236}">
              <a16:creationId xmlns:a16="http://schemas.microsoft.com/office/drawing/2014/main" id="{885DA6F1-C2A2-4AE2-8F29-517795C69D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0" name="Text Box 15">
          <a:extLst>
            <a:ext uri="{FF2B5EF4-FFF2-40B4-BE49-F238E27FC236}">
              <a16:creationId xmlns:a16="http://schemas.microsoft.com/office/drawing/2014/main" id="{78B1FCA4-B754-470B-AAA7-37C45980394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1" name="Text Box 15">
          <a:extLst>
            <a:ext uri="{FF2B5EF4-FFF2-40B4-BE49-F238E27FC236}">
              <a16:creationId xmlns:a16="http://schemas.microsoft.com/office/drawing/2014/main" id="{23A104B5-69CC-4048-8189-2A6D53D74D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2" name="Text Box 15">
          <a:extLst>
            <a:ext uri="{FF2B5EF4-FFF2-40B4-BE49-F238E27FC236}">
              <a16:creationId xmlns:a16="http://schemas.microsoft.com/office/drawing/2014/main" id="{6A9DC4C4-A209-4011-8E27-9C72523D35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3" name="Text Box 15">
          <a:extLst>
            <a:ext uri="{FF2B5EF4-FFF2-40B4-BE49-F238E27FC236}">
              <a16:creationId xmlns:a16="http://schemas.microsoft.com/office/drawing/2014/main" id="{232F6EE4-7909-407E-B22C-9C0DF76233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4" name="Text Box 15">
          <a:extLst>
            <a:ext uri="{FF2B5EF4-FFF2-40B4-BE49-F238E27FC236}">
              <a16:creationId xmlns:a16="http://schemas.microsoft.com/office/drawing/2014/main" id="{0170079A-D1E4-419A-9CDE-EC125BD993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5" name="Text Box 15">
          <a:extLst>
            <a:ext uri="{FF2B5EF4-FFF2-40B4-BE49-F238E27FC236}">
              <a16:creationId xmlns:a16="http://schemas.microsoft.com/office/drawing/2014/main" id="{55D8AD2B-BA4C-4ABF-875D-A0CCEA3119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6" name="Text Box 15">
          <a:extLst>
            <a:ext uri="{FF2B5EF4-FFF2-40B4-BE49-F238E27FC236}">
              <a16:creationId xmlns:a16="http://schemas.microsoft.com/office/drawing/2014/main" id="{94FA743D-5171-45DC-8ACF-810C949D50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87" name="Text Box 15">
          <a:extLst>
            <a:ext uri="{FF2B5EF4-FFF2-40B4-BE49-F238E27FC236}">
              <a16:creationId xmlns:a16="http://schemas.microsoft.com/office/drawing/2014/main" id="{D14257A7-21EC-4BF2-9721-B668DA1946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88" name="Text Box 15">
          <a:extLst>
            <a:ext uri="{FF2B5EF4-FFF2-40B4-BE49-F238E27FC236}">
              <a16:creationId xmlns:a16="http://schemas.microsoft.com/office/drawing/2014/main" id="{72D01095-793B-46E7-9DA8-AC74BE120A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89" name="Text Box 15">
          <a:extLst>
            <a:ext uri="{FF2B5EF4-FFF2-40B4-BE49-F238E27FC236}">
              <a16:creationId xmlns:a16="http://schemas.microsoft.com/office/drawing/2014/main" id="{3D7BFBC5-B20B-47A0-A658-6085056178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0" name="Text Box 15">
          <a:extLst>
            <a:ext uri="{FF2B5EF4-FFF2-40B4-BE49-F238E27FC236}">
              <a16:creationId xmlns:a16="http://schemas.microsoft.com/office/drawing/2014/main" id="{59F0486C-B208-4068-AA69-4B19D4A2F4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1" name="Text Box 15">
          <a:extLst>
            <a:ext uri="{FF2B5EF4-FFF2-40B4-BE49-F238E27FC236}">
              <a16:creationId xmlns:a16="http://schemas.microsoft.com/office/drawing/2014/main" id="{E8634897-D8AA-4B70-9DD2-1B7D2E9D32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2" name="Text Box 15">
          <a:extLst>
            <a:ext uri="{FF2B5EF4-FFF2-40B4-BE49-F238E27FC236}">
              <a16:creationId xmlns:a16="http://schemas.microsoft.com/office/drawing/2014/main" id="{793FC2EB-E6DA-4260-9314-4DD39AAA33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3" name="Text Box 15">
          <a:extLst>
            <a:ext uri="{FF2B5EF4-FFF2-40B4-BE49-F238E27FC236}">
              <a16:creationId xmlns:a16="http://schemas.microsoft.com/office/drawing/2014/main" id="{BBB6F7FC-2AE8-4F73-B669-05F2F63FC22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4" name="Text Box 15">
          <a:extLst>
            <a:ext uri="{FF2B5EF4-FFF2-40B4-BE49-F238E27FC236}">
              <a16:creationId xmlns:a16="http://schemas.microsoft.com/office/drawing/2014/main" id="{7C1DBE48-FB4A-4330-BA1C-B4FED361A8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5" name="Text Box 15">
          <a:extLst>
            <a:ext uri="{FF2B5EF4-FFF2-40B4-BE49-F238E27FC236}">
              <a16:creationId xmlns:a16="http://schemas.microsoft.com/office/drawing/2014/main" id="{64D46833-65F7-4532-9F7A-12C6A58131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" name="Text Box 15">
          <a:extLst>
            <a:ext uri="{FF2B5EF4-FFF2-40B4-BE49-F238E27FC236}">
              <a16:creationId xmlns:a16="http://schemas.microsoft.com/office/drawing/2014/main" id="{5138416A-FDC6-41A9-AA7C-D41A934304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" name="Text Box 15">
          <a:extLst>
            <a:ext uri="{FF2B5EF4-FFF2-40B4-BE49-F238E27FC236}">
              <a16:creationId xmlns:a16="http://schemas.microsoft.com/office/drawing/2014/main" id="{210D0AB4-E5AA-467C-B293-1B0550ADD1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" name="Text Box 15">
          <a:extLst>
            <a:ext uri="{FF2B5EF4-FFF2-40B4-BE49-F238E27FC236}">
              <a16:creationId xmlns:a16="http://schemas.microsoft.com/office/drawing/2014/main" id="{532FDAFB-FA11-47B8-9262-80B37A20B6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" name="Text Box 15">
          <a:extLst>
            <a:ext uri="{FF2B5EF4-FFF2-40B4-BE49-F238E27FC236}">
              <a16:creationId xmlns:a16="http://schemas.microsoft.com/office/drawing/2014/main" id="{2C9430C1-9893-4922-A5AE-C914FADFF7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00" name="Text Box 15">
          <a:extLst>
            <a:ext uri="{FF2B5EF4-FFF2-40B4-BE49-F238E27FC236}">
              <a16:creationId xmlns:a16="http://schemas.microsoft.com/office/drawing/2014/main" id="{75BFEA76-F21E-4442-8A06-6FDBC68D496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01" name="Text Box 15">
          <a:extLst>
            <a:ext uri="{FF2B5EF4-FFF2-40B4-BE49-F238E27FC236}">
              <a16:creationId xmlns:a16="http://schemas.microsoft.com/office/drawing/2014/main" id="{0C4490C9-6571-46A9-98AF-D23B36901D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02" name="Text Box 15">
          <a:extLst>
            <a:ext uri="{FF2B5EF4-FFF2-40B4-BE49-F238E27FC236}">
              <a16:creationId xmlns:a16="http://schemas.microsoft.com/office/drawing/2014/main" id="{21AD2629-357E-4F42-B49B-85EAE8ABB3A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03" name="Text Box 15">
          <a:extLst>
            <a:ext uri="{FF2B5EF4-FFF2-40B4-BE49-F238E27FC236}">
              <a16:creationId xmlns:a16="http://schemas.microsoft.com/office/drawing/2014/main" id="{382225A6-C7F4-4C84-ACED-7911836FFA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04" name="Text Box 15">
          <a:extLst>
            <a:ext uri="{FF2B5EF4-FFF2-40B4-BE49-F238E27FC236}">
              <a16:creationId xmlns:a16="http://schemas.microsoft.com/office/drawing/2014/main" id="{DBBC1F5E-B8E9-49C1-8DF7-16CC3CE707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" name="Text Box 15">
          <a:extLst>
            <a:ext uri="{FF2B5EF4-FFF2-40B4-BE49-F238E27FC236}">
              <a16:creationId xmlns:a16="http://schemas.microsoft.com/office/drawing/2014/main" id="{33BBB98B-28EC-4E2E-A71B-1FC9BD1BF6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" name="Text Box 15">
          <a:extLst>
            <a:ext uri="{FF2B5EF4-FFF2-40B4-BE49-F238E27FC236}">
              <a16:creationId xmlns:a16="http://schemas.microsoft.com/office/drawing/2014/main" id="{E9D610ED-A536-4A8F-8F3E-C3C7995CF9E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" name="Text Box 15">
          <a:extLst>
            <a:ext uri="{FF2B5EF4-FFF2-40B4-BE49-F238E27FC236}">
              <a16:creationId xmlns:a16="http://schemas.microsoft.com/office/drawing/2014/main" id="{6EAC7BA1-DE84-490F-A117-49817C6AE4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" name="Text Box 15">
          <a:extLst>
            <a:ext uri="{FF2B5EF4-FFF2-40B4-BE49-F238E27FC236}">
              <a16:creationId xmlns:a16="http://schemas.microsoft.com/office/drawing/2014/main" id="{5D77F879-C1A6-441B-B3C2-EC3B1CC7BA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" name="Text Box 15">
          <a:extLst>
            <a:ext uri="{FF2B5EF4-FFF2-40B4-BE49-F238E27FC236}">
              <a16:creationId xmlns:a16="http://schemas.microsoft.com/office/drawing/2014/main" id="{D9C23DE1-B06A-4A87-B936-CE4F534B9E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" name="Text Box 15">
          <a:extLst>
            <a:ext uri="{FF2B5EF4-FFF2-40B4-BE49-F238E27FC236}">
              <a16:creationId xmlns:a16="http://schemas.microsoft.com/office/drawing/2014/main" id="{E583295A-30AC-4179-BB59-BCF340C3A7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" name="Text Box 15">
          <a:extLst>
            <a:ext uri="{FF2B5EF4-FFF2-40B4-BE49-F238E27FC236}">
              <a16:creationId xmlns:a16="http://schemas.microsoft.com/office/drawing/2014/main" id="{F7FE5261-E2FD-4E5F-862B-1F3350DE56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" name="Text Box 15">
          <a:extLst>
            <a:ext uri="{FF2B5EF4-FFF2-40B4-BE49-F238E27FC236}">
              <a16:creationId xmlns:a16="http://schemas.microsoft.com/office/drawing/2014/main" id="{F54D7E41-4F01-4FD6-ABDB-D3AA050BAB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" name="Text Box 15">
          <a:extLst>
            <a:ext uri="{FF2B5EF4-FFF2-40B4-BE49-F238E27FC236}">
              <a16:creationId xmlns:a16="http://schemas.microsoft.com/office/drawing/2014/main" id="{7DBFED7E-3578-4E1D-94C4-74BB9AC0C3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" name="Text Box 15">
          <a:extLst>
            <a:ext uri="{FF2B5EF4-FFF2-40B4-BE49-F238E27FC236}">
              <a16:creationId xmlns:a16="http://schemas.microsoft.com/office/drawing/2014/main" id="{CE86B166-1A53-4285-94EC-128112F5CB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15" name="Text Box 15">
          <a:extLst>
            <a:ext uri="{FF2B5EF4-FFF2-40B4-BE49-F238E27FC236}">
              <a16:creationId xmlns:a16="http://schemas.microsoft.com/office/drawing/2014/main" id="{75B9A079-D1F9-4D1E-9C14-24EF035723E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16" name="Text Box 15">
          <a:extLst>
            <a:ext uri="{FF2B5EF4-FFF2-40B4-BE49-F238E27FC236}">
              <a16:creationId xmlns:a16="http://schemas.microsoft.com/office/drawing/2014/main" id="{AE8E8E6A-D35E-4556-ABDB-E44717D575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17" name="Text Box 15">
          <a:extLst>
            <a:ext uri="{FF2B5EF4-FFF2-40B4-BE49-F238E27FC236}">
              <a16:creationId xmlns:a16="http://schemas.microsoft.com/office/drawing/2014/main" id="{521FFD2E-412D-4C8D-8027-419E1647D2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18" name="Text Box 15">
          <a:extLst>
            <a:ext uri="{FF2B5EF4-FFF2-40B4-BE49-F238E27FC236}">
              <a16:creationId xmlns:a16="http://schemas.microsoft.com/office/drawing/2014/main" id="{82BAAE22-F5A8-425C-A890-506FA87CB3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19" name="Text Box 15">
          <a:extLst>
            <a:ext uri="{FF2B5EF4-FFF2-40B4-BE49-F238E27FC236}">
              <a16:creationId xmlns:a16="http://schemas.microsoft.com/office/drawing/2014/main" id="{AAA2D220-8438-4577-98D7-35464E0ACE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" name="Text Box 15">
          <a:extLst>
            <a:ext uri="{FF2B5EF4-FFF2-40B4-BE49-F238E27FC236}">
              <a16:creationId xmlns:a16="http://schemas.microsoft.com/office/drawing/2014/main" id="{CDEFE581-2F0C-4C04-8217-A66F51FB21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" name="Text Box 15">
          <a:extLst>
            <a:ext uri="{FF2B5EF4-FFF2-40B4-BE49-F238E27FC236}">
              <a16:creationId xmlns:a16="http://schemas.microsoft.com/office/drawing/2014/main" id="{A3FF7C71-BE79-48E6-BD4E-4880C76BC6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" name="Text Box 15">
          <a:extLst>
            <a:ext uri="{FF2B5EF4-FFF2-40B4-BE49-F238E27FC236}">
              <a16:creationId xmlns:a16="http://schemas.microsoft.com/office/drawing/2014/main" id="{823EE299-6ADE-4A85-99EA-C3063326DC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" name="Text Box 15">
          <a:extLst>
            <a:ext uri="{FF2B5EF4-FFF2-40B4-BE49-F238E27FC236}">
              <a16:creationId xmlns:a16="http://schemas.microsoft.com/office/drawing/2014/main" id="{6D0422CC-6547-4D0A-9BCD-B58F8D3721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" name="Text Box 15">
          <a:extLst>
            <a:ext uri="{FF2B5EF4-FFF2-40B4-BE49-F238E27FC236}">
              <a16:creationId xmlns:a16="http://schemas.microsoft.com/office/drawing/2014/main" id="{D4A8CC3C-A2F1-498F-B829-BD0686771F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" name="Text Box 15">
          <a:extLst>
            <a:ext uri="{FF2B5EF4-FFF2-40B4-BE49-F238E27FC236}">
              <a16:creationId xmlns:a16="http://schemas.microsoft.com/office/drawing/2014/main" id="{8ECD846E-EB2E-4FDD-97C8-26F3F3ADED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" name="Text Box 15">
          <a:extLst>
            <a:ext uri="{FF2B5EF4-FFF2-40B4-BE49-F238E27FC236}">
              <a16:creationId xmlns:a16="http://schemas.microsoft.com/office/drawing/2014/main" id="{0D4ED3BD-E831-4AD4-A1D7-4AB7AF6E0F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7" name="Text Box 15">
          <a:extLst>
            <a:ext uri="{FF2B5EF4-FFF2-40B4-BE49-F238E27FC236}">
              <a16:creationId xmlns:a16="http://schemas.microsoft.com/office/drawing/2014/main" id="{E2129C6B-D6E1-49E2-A42C-6BFAAF6EDFA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8" name="Text Box 15">
          <a:extLst>
            <a:ext uri="{FF2B5EF4-FFF2-40B4-BE49-F238E27FC236}">
              <a16:creationId xmlns:a16="http://schemas.microsoft.com/office/drawing/2014/main" id="{2F7CAF56-4226-4B01-BB8F-1F00A06442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9" name="Text Box 15">
          <a:extLst>
            <a:ext uri="{FF2B5EF4-FFF2-40B4-BE49-F238E27FC236}">
              <a16:creationId xmlns:a16="http://schemas.microsoft.com/office/drawing/2014/main" id="{D1F1E7E2-E104-4F28-AD58-D82F8B9E63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30" name="Text Box 15">
          <a:extLst>
            <a:ext uri="{FF2B5EF4-FFF2-40B4-BE49-F238E27FC236}">
              <a16:creationId xmlns:a16="http://schemas.microsoft.com/office/drawing/2014/main" id="{92B1C8A8-E74A-42B3-B398-F949961D45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31" name="Text Box 15">
          <a:extLst>
            <a:ext uri="{FF2B5EF4-FFF2-40B4-BE49-F238E27FC236}">
              <a16:creationId xmlns:a16="http://schemas.microsoft.com/office/drawing/2014/main" id="{3A307AFC-A3C1-4F86-9451-46024662DC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32" name="Text Box 15">
          <a:extLst>
            <a:ext uri="{FF2B5EF4-FFF2-40B4-BE49-F238E27FC236}">
              <a16:creationId xmlns:a16="http://schemas.microsoft.com/office/drawing/2014/main" id="{C958DF99-1DA2-43F4-8116-25C919EECB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33" name="Text Box 15">
          <a:extLst>
            <a:ext uri="{FF2B5EF4-FFF2-40B4-BE49-F238E27FC236}">
              <a16:creationId xmlns:a16="http://schemas.microsoft.com/office/drawing/2014/main" id="{00070965-8C5E-410B-926F-D3AF3BD2D3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34" name="Text Box 15">
          <a:extLst>
            <a:ext uri="{FF2B5EF4-FFF2-40B4-BE49-F238E27FC236}">
              <a16:creationId xmlns:a16="http://schemas.microsoft.com/office/drawing/2014/main" id="{C2A6F518-1ED9-435F-85F2-3A305BA07B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5" name="Text Box 15">
          <a:extLst>
            <a:ext uri="{FF2B5EF4-FFF2-40B4-BE49-F238E27FC236}">
              <a16:creationId xmlns:a16="http://schemas.microsoft.com/office/drawing/2014/main" id="{2E4E34D4-A72A-4B31-B963-C8BABEC89C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" name="Text Box 15">
          <a:extLst>
            <a:ext uri="{FF2B5EF4-FFF2-40B4-BE49-F238E27FC236}">
              <a16:creationId xmlns:a16="http://schemas.microsoft.com/office/drawing/2014/main" id="{03C922B6-41D7-42B7-B4ED-C9E7E6AAC0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" name="Text Box 15">
          <a:extLst>
            <a:ext uri="{FF2B5EF4-FFF2-40B4-BE49-F238E27FC236}">
              <a16:creationId xmlns:a16="http://schemas.microsoft.com/office/drawing/2014/main" id="{C8C2923C-135C-4506-985D-0BEAEF0A6B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" name="Text Box 15">
          <a:extLst>
            <a:ext uri="{FF2B5EF4-FFF2-40B4-BE49-F238E27FC236}">
              <a16:creationId xmlns:a16="http://schemas.microsoft.com/office/drawing/2014/main" id="{E589D5CB-CDB3-4715-AC1F-BC5434A7D2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" name="Text Box 15">
          <a:extLst>
            <a:ext uri="{FF2B5EF4-FFF2-40B4-BE49-F238E27FC236}">
              <a16:creationId xmlns:a16="http://schemas.microsoft.com/office/drawing/2014/main" id="{0D142F76-0B50-4F11-9F8D-AE34FA8C3C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" name="Text Box 15">
          <a:extLst>
            <a:ext uri="{FF2B5EF4-FFF2-40B4-BE49-F238E27FC236}">
              <a16:creationId xmlns:a16="http://schemas.microsoft.com/office/drawing/2014/main" id="{63674119-409B-4CAF-8BE2-83F2435A48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" name="Text Box 15">
          <a:extLst>
            <a:ext uri="{FF2B5EF4-FFF2-40B4-BE49-F238E27FC236}">
              <a16:creationId xmlns:a16="http://schemas.microsoft.com/office/drawing/2014/main" id="{3B5EC761-D39E-4047-908A-9803955E13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" name="Text Box 15">
          <a:extLst>
            <a:ext uri="{FF2B5EF4-FFF2-40B4-BE49-F238E27FC236}">
              <a16:creationId xmlns:a16="http://schemas.microsoft.com/office/drawing/2014/main" id="{56391FA0-F6B5-4732-98F6-6EB06082D9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" name="Text Box 15">
          <a:extLst>
            <a:ext uri="{FF2B5EF4-FFF2-40B4-BE49-F238E27FC236}">
              <a16:creationId xmlns:a16="http://schemas.microsoft.com/office/drawing/2014/main" id="{DE28E15C-875E-462D-8DE0-2F46F481D79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" name="Text Box 15">
          <a:extLst>
            <a:ext uri="{FF2B5EF4-FFF2-40B4-BE49-F238E27FC236}">
              <a16:creationId xmlns:a16="http://schemas.microsoft.com/office/drawing/2014/main" id="{81E61EC6-8584-45AC-84C6-CAC5E1FE10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45" name="Text Box 15">
          <a:extLst>
            <a:ext uri="{FF2B5EF4-FFF2-40B4-BE49-F238E27FC236}">
              <a16:creationId xmlns:a16="http://schemas.microsoft.com/office/drawing/2014/main" id="{9643DFD8-CEA8-4A82-A7B4-8A09721182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46" name="Text Box 15">
          <a:extLst>
            <a:ext uri="{FF2B5EF4-FFF2-40B4-BE49-F238E27FC236}">
              <a16:creationId xmlns:a16="http://schemas.microsoft.com/office/drawing/2014/main" id="{D4CD2F99-80DD-477A-8C96-A6273D20C22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47" name="Text Box 15">
          <a:extLst>
            <a:ext uri="{FF2B5EF4-FFF2-40B4-BE49-F238E27FC236}">
              <a16:creationId xmlns:a16="http://schemas.microsoft.com/office/drawing/2014/main" id="{41F0CAC3-C4D3-4D00-B5A4-55D27965EB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48" name="Text Box 15">
          <a:extLst>
            <a:ext uri="{FF2B5EF4-FFF2-40B4-BE49-F238E27FC236}">
              <a16:creationId xmlns:a16="http://schemas.microsoft.com/office/drawing/2014/main" id="{663E8FEB-70A4-45D5-ABF7-A0E85BA30D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49" name="Text Box 15">
          <a:extLst>
            <a:ext uri="{FF2B5EF4-FFF2-40B4-BE49-F238E27FC236}">
              <a16:creationId xmlns:a16="http://schemas.microsoft.com/office/drawing/2014/main" id="{9E44638C-8C65-4B99-8F50-00B8D9CEE7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" name="Text Box 15">
          <a:extLst>
            <a:ext uri="{FF2B5EF4-FFF2-40B4-BE49-F238E27FC236}">
              <a16:creationId xmlns:a16="http://schemas.microsoft.com/office/drawing/2014/main" id="{38B02B6D-ED41-418F-A747-BC56854146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" name="Text Box 15">
          <a:extLst>
            <a:ext uri="{FF2B5EF4-FFF2-40B4-BE49-F238E27FC236}">
              <a16:creationId xmlns:a16="http://schemas.microsoft.com/office/drawing/2014/main" id="{EA9FD623-6EFE-4BFE-B714-BA7729352F2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" name="Text Box 15">
          <a:extLst>
            <a:ext uri="{FF2B5EF4-FFF2-40B4-BE49-F238E27FC236}">
              <a16:creationId xmlns:a16="http://schemas.microsoft.com/office/drawing/2014/main" id="{B683DE82-CDC9-4EF1-907A-C24841EE9A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" name="Text Box 15">
          <a:extLst>
            <a:ext uri="{FF2B5EF4-FFF2-40B4-BE49-F238E27FC236}">
              <a16:creationId xmlns:a16="http://schemas.microsoft.com/office/drawing/2014/main" id="{AC744A7D-EFD9-44DF-929D-AFE0DE3B5B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" name="Text Box 15">
          <a:extLst>
            <a:ext uri="{FF2B5EF4-FFF2-40B4-BE49-F238E27FC236}">
              <a16:creationId xmlns:a16="http://schemas.microsoft.com/office/drawing/2014/main" id="{69C49D82-235E-4C43-84BE-821A9718A2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" name="Text Box 15">
          <a:extLst>
            <a:ext uri="{FF2B5EF4-FFF2-40B4-BE49-F238E27FC236}">
              <a16:creationId xmlns:a16="http://schemas.microsoft.com/office/drawing/2014/main" id="{BB1C4F2D-F294-44DF-9BD1-E87F8012D0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" name="Text Box 15">
          <a:extLst>
            <a:ext uri="{FF2B5EF4-FFF2-40B4-BE49-F238E27FC236}">
              <a16:creationId xmlns:a16="http://schemas.microsoft.com/office/drawing/2014/main" id="{D8850DDF-8312-417A-B8A6-242DD7FF2D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" name="Text Box 15">
          <a:extLst>
            <a:ext uri="{FF2B5EF4-FFF2-40B4-BE49-F238E27FC236}">
              <a16:creationId xmlns:a16="http://schemas.microsoft.com/office/drawing/2014/main" id="{63DC9A75-CC0C-45EF-9684-A6B09E7CB4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" name="Text Box 15">
          <a:extLst>
            <a:ext uri="{FF2B5EF4-FFF2-40B4-BE49-F238E27FC236}">
              <a16:creationId xmlns:a16="http://schemas.microsoft.com/office/drawing/2014/main" id="{61C3D371-F3AA-4886-9360-75943177C6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" name="Text Box 15">
          <a:extLst>
            <a:ext uri="{FF2B5EF4-FFF2-40B4-BE49-F238E27FC236}">
              <a16:creationId xmlns:a16="http://schemas.microsoft.com/office/drawing/2014/main" id="{7BEBAE08-BD49-4F4E-9C9A-C8938901D6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60" name="Text Box 15">
          <a:extLst>
            <a:ext uri="{FF2B5EF4-FFF2-40B4-BE49-F238E27FC236}">
              <a16:creationId xmlns:a16="http://schemas.microsoft.com/office/drawing/2014/main" id="{A0F4FF20-2E12-4465-8BB3-0363BC34A4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61" name="Text Box 15">
          <a:extLst>
            <a:ext uri="{FF2B5EF4-FFF2-40B4-BE49-F238E27FC236}">
              <a16:creationId xmlns:a16="http://schemas.microsoft.com/office/drawing/2014/main" id="{CFE2A518-96DC-4F65-B30A-621C92FC88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62" name="Text Box 15">
          <a:extLst>
            <a:ext uri="{FF2B5EF4-FFF2-40B4-BE49-F238E27FC236}">
              <a16:creationId xmlns:a16="http://schemas.microsoft.com/office/drawing/2014/main" id="{F4892168-D8A7-434C-93C9-5683B2E231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63" name="Text Box 15">
          <a:extLst>
            <a:ext uri="{FF2B5EF4-FFF2-40B4-BE49-F238E27FC236}">
              <a16:creationId xmlns:a16="http://schemas.microsoft.com/office/drawing/2014/main" id="{2864E4B8-5DA7-4620-B8A0-E84B0AC7B1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64" name="Text Box 15">
          <a:extLst>
            <a:ext uri="{FF2B5EF4-FFF2-40B4-BE49-F238E27FC236}">
              <a16:creationId xmlns:a16="http://schemas.microsoft.com/office/drawing/2014/main" id="{83D1CFE9-7CA4-44DB-BA91-88DE85A2F6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5" name="Text Box 15">
          <a:extLst>
            <a:ext uri="{FF2B5EF4-FFF2-40B4-BE49-F238E27FC236}">
              <a16:creationId xmlns:a16="http://schemas.microsoft.com/office/drawing/2014/main" id="{584D75E5-258D-44B4-8A09-15C6BEC208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6" name="Text Box 15">
          <a:extLst>
            <a:ext uri="{FF2B5EF4-FFF2-40B4-BE49-F238E27FC236}">
              <a16:creationId xmlns:a16="http://schemas.microsoft.com/office/drawing/2014/main" id="{B730BD69-36F8-4642-98CA-77F2FA9FC5B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7" name="Text Box 15">
          <a:extLst>
            <a:ext uri="{FF2B5EF4-FFF2-40B4-BE49-F238E27FC236}">
              <a16:creationId xmlns:a16="http://schemas.microsoft.com/office/drawing/2014/main" id="{9ADBCF79-70C1-4D7D-85EF-82A96DBA26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" name="Text Box 15">
          <a:extLst>
            <a:ext uri="{FF2B5EF4-FFF2-40B4-BE49-F238E27FC236}">
              <a16:creationId xmlns:a16="http://schemas.microsoft.com/office/drawing/2014/main" id="{7416DCE3-C5E9-449C-B83C-56F83912142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" name="Text Box 15">
          <a:extLst>
            <a:ext uri="{FF2B5EF4-FFF2-40B4-BE49-F238E27FC236}">
              <a16:creationId xmlns:a16="http://schemas.microsoft.com/office/drawing/2014/main" id="{37EA5391-84C8-4A46-90D1-2836D73FA7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" name="Text Box 15">
          <a:extLst>
            <a:ext uri="{FF2B5EF4-FFF2-40B4-BE49-F238E27FC236}">
              <a16:creationId xmlns:a16="http://schemas.microsoft.com/office/drawing/2014/main" id="{C560F517-B926-4E03-8614-3C4A241006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" name="Text Box 15">
          <a:extLst>
            <a:ext uri="{FF2B5EF4-FFF2-40B4-BE49-F238E27FC236}">
              <a16:creationId xmlns:a16="http://schemas.microsoft.com/office/drawing/2014/main" id="{30248AF0-2C81-45C3-BDED-D2E30ECB63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" name="Text Box 15">
          <a:extLst>
            <a:ext uri="{FF2B5EF4-FFF2-40B4-BE49-F238E27FC236}">
              <a16:creationId xmlns:a16="http://schemas.microsoft.com/office/drawing/2014/main" id="{1B634787-2C28-4F22-89A3-1B32A45F8C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" name="Text Box 15">
          <a:extLst>
            <a:ext uri="{FF2B5EF4-FFF2-40B4-BE49-F238E27FC236}">
              <a16:creationId xmlns:a16="http://schemas.microsoft.com/office/drawing/2014/main" id="{C7A99289-F014-4B61-A138-A307CD045A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" name="Text Box 15">
          <a:extLst>
            <a:ext uri="{FF2B5EF4-FFF2-40B4-BE49-F238E27FC236}">
              <a16:creationId xmlns:a16="http://schemas.microsoft.com/office/drawing/2014/main" id="{BA8FB5DA-CB76-4EC7-9E73-B0D1601A8B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75" name="Text Box 15">
          <a:extLst>
            <a:ext uri="{FF2B5EF4-FFF2-40B4-BE49-F238E27FC236}">
              <a16:creationId xmlns:a16="http://schemas.microsoft.com/office/drawing/2014/main" id="{698F1D34-05B4-4485-8354-90A66F2438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76" name="Text Box 15">
          <a:extLst>
            <a:ext uri="{FF2B5EF4-FFF2-40B4-BE49-F238E27FC236}">
              <a16:creationId xmlns:a16="http://schemas.microsoft.com/office/drawing/2014/main" id="{46B5D0F3-26A4-4558-B64E-82B2FBAF15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77" name="Text Box 15">
          <a:extLst>
            <a:ext uri="{FF2B5EF4-FFF2-40B4-BE49-F238E27FC236}">
              <a16:creationId xmlns:a16="http://schemas.microsoft.com/office/drawing/2014/main" id="{538AE785-6EAC-4BCA-9496-A153F824A9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78" name="Text Box 15">
          <a:extLst>
            <a:ext uri="{FF2B5EF4-FFF2-40B4-BE49-F238E27FC236}">
              <a16:creationId xmlns:a16="http://schemas.microsoft.com/office/drawing/2014/main" id="{91209FEB-493E-4181-B412-B118E54557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79" name="Text Box 15">
          <a:extLst>
            <a:ext uri="{FF2B5EF4-FFF2-40B4-BE49-F238E27FC236}">
              <a16:creationId xmlns:a16="http://schemas.microsoft.com/office/drawing/2014/main" id="{2664DC63-98E6-409D-B498-FB3B8789C1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0" name="Text Box 15">
          <a:extLst>
            <a:ext uri="{FF2B5EF4-FFF2-40B4-BE49-F238E27FC236}">
              <a16:creationId xmlns:a16="http://schemas.microsoft.com/office/drawing/2014/main" id="{5ED8B540-7205-456E-BE8A-339B7D6374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1" name="Text Box 15">
          <a:extLst>
            <a:ext uri="{FF2B5EF4-FFF2-40B4-BE49-F238E27FC236}">
              <a16:creationId xmlns:a16="http://schemas.microsoft.com/office/drawing/2014/main" id="{A7ADC27E-0786-4294-8AA4-29AE2FD95C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2" name="Text Box 15">
          <a:extLst>
            <a:ext uri="{FF2B5EF4-FFF2-40B4-BE49-F238E27FC236}">
              <a16:creationId xmlns:a16="http://schemas.microsoft.com/office/drawing/2014/main" id="{6F58954F-6DF2-442F-BEAD-EBA4B9DB94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3" name="Text Box 15">
          <a:extLst>
            <a:ext uri="{FF2B5EF4-FFF2-40B4-BE49-F238E27FC236}">
              <a16:creationId xmlns:a16="http://schemas.microsoft.com/office/drawing/2014/main" id="{D0679D1D-56A4-4A95-A237-8C632CEF7E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4" name="Text Box 15">
          <a:extLst>
            <a:ext uri="{FF2B5EF4-FFF2-40B4-BE49-F238E27FC236}">
              <a16:creationId xmlns:a16="http://schemas.microsoft.com/office/drawing/2014/main" id="{40032E55-18E6-42B4-B802-2D6D5E4837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5" name="Text Box 15">
          <a:extLst>
            <a:ext uri="{FF2B5EF4-FFF2-40B4-BE49-F238E27FC236}">
              <a16:creationId xmlns:a16="http://schemas.microsoft.com/office/drawing/2014/main" id="{FFBDB9B3-2B32-436B-888C-E1787B0E16A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6" name="Text Box 15">
          <a:extLst>
            <a:ext uri="{FF2B5EF4-FFF2-40B4-BE49-F238E27FC236}">
              <a16:creationId xmlns:a16="http://schemas.microsoft.com/office/drawing/2014/main" id="{1F6BB974-9D4E-4591-93D2-1904878953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7" name="Text Box 15">
          <a:extLst>
            <a:ext uri="{FF2B5EF4-FFF2-40B4-BE49-F238E27FC236}">
              <a16:creationId xmlns:a16="http://schemas.microsoft.com/office/drawing/2014/main" id="{6B5811BD-A20E-46F2-851C-5F6A01AEF1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88" name="Text Box 15">
          <a:extLst>
            <a:ext uri="{FF2B5EF4-FFF2-40B4-BE49-F238E27FC236}">
              <a16:creationId xmlns:a16="http://schemas.microsoft.com/office/drawing/2014/main" id="{50902E5A-1551-486F-8DA2-629EE6C80A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89" name="Text Box 15">
          <a:extLst>
            <a:ext uri="{FF2B5EF4-FFF2-40B4-BE49-F238E27FC236}">
              <a16:creationId xmlns:a16="http://schemas.microsoft.com/office/drawing/2014/main" id="{CABFED6C-4EC3-4A6E-A5CE-66132D80A31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90" name="Text Box 15">
          <a:extLst>
            <a:ext uri="{FF2B5EF4-FFF2-40B4-BE49-F238E27FC236}">
              <a16:creationId xmlns:a16="http://schemas.microsoft.com/office/drawing/2014/main" id="{425CDB27-42DE-45EA-AE75-CFC307E6B1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91" name="Text Box 15">
          <a:extLst>
            <a:ext uri="{FF2B5EF4-FFF2-40B4-BE49-F238E27FC236}">
              <a16:creationId xmlns:a16="http://schemas.microsoft.com/office/drawing/2014/main" id="{E479BF3F-F7F0-4026-AEB5-B7B8A918A8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92" name="Text Box 15">
          <a:extLst>
            <a:ext uri="{FF2B5EF4-FFF2-40B4-BE49-F238E27FC236}">
              <a16:creationId xmlns:a16="http://schemas.microsoft.com/office/drawing/2014/main" id="{C29E250C-4101-42D3-9066-770E267278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3" name="Text Box 15">
          <a:extLst>
            <a:ext uri="{FF2B5EF4-FFF2-40B4-BE49-F238E27FC236}">
              <a16:creationId xmlns:a16="http://schemas.microsoft.com/office/drawing/2014/main" id="{EDD4F7DA-AE55-47FD-BF9F-32EAD50AA62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4" name="Text Box 15">
          <a:extLst>
            <a:ext uri="{FF2B5EF4-FFF2-40B4-BE49-F238E27FC236}">
              <a16:creationId xmlns:a16="http://schemas.microsoft.com/office/drawing/2014/main" id="{833DB471-3050-4761-9194-BFE8CEA9D2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5" name="Text Box 15">
          <a:extLst>
            <a:ext uri="{FF2B5EF4-FFF2-40B4-BE49-F238E27FC236}">
              <a16:creationId xmlns:a16="http://schemas.microsoft.com/office/drawing/2014/main" id="{5A26F72D-E4E3-4D52-87CC-51D1265D77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6" name="Text Box 15">
          <a:extLst>
            <a:ext uri="{FF2B5EF4-FFF2-40B4-BE49-F238E27FC236}">
              <a16:creationId xmlns:a16="http://schemas.microsoft.com/office/drawing/2014/main" id="{5C80A18E-4507-4948-BDEB-98D73FA117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7" name="Text Box 15">
          <a:extLst>
            <a:ext uri="{FF2B5EF4-FFF2-40B4-BE49-F238E27FC236}">
              <a16:creationId xmlns:a16="http://schemas.microsoft.com/office/drawing/2014/main" id="{2B68DA23-7AD4-49D5-92D0-2FC3504F8F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8" name="Text Box 15">
          <a:extLst>
            <a:ext uri="{FF2B5EF4-FFF2-40B4-BE49-F238E27FC236}">
              <a16:creationId xmlns:a16="http://schemas.microsoft.com/office/drawing/2014/main" id="{77C54804-50B7-46E0-AE3B-4CF7AE012A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9" name="Text Box 15">
          <a:extLst>
            <a:ext uri="{FF2B5EF4-FFF2-40B4-BE49-F238E27FC236}">
              <a16:creationId xmlns:a16="http://schemas.microsoft.com/office/drawing/2014/main" id="{11AE244E-D84D-4197-9021-A05CF32C8B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0" name="Text Box 15">
          <a:extLst>
            <a:ext uri="{FF2B5EF4-FFF2-40B4-BE49-F238E27FC236}">
              <a16:creationId xmlns:a16="http://schemas.microsoft.com/office/drawing/2014/main" id="{344BA9B7-075F-4139-9A9E-0A3C1D14F7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1" name="Text Box 15">
          <a:extLst>
            <a:ext uri="{FF2B5EF4-FFF2-40B4-BE49-F238E27FC236}">
              <a16:creationId xmlns:a16="http://schemas.microsoft.com/office/drawing/2014/main" id="{4E0F7D77-115C-4D17-B303-DF092939FD3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2" name="Text Box 15">
          <a:extLst>
            <a:ext uri="{FF2B5EF4-FFF2-40B4-BE49-F238E27FC236}">
              <a16:creationId xmlns:a16="http://schemas.microsoft.com/office/drawing/2014/main" id="{855678F4-4DC2-4DBB-A0C6-EB5020F6818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03" name="Text Box 15">
          <a:extLst>
            <a:ext uri="{FF2B5EF4-FFF2-40B4-BE49-F238E27FC236}">
              <a16:creationId xmlns:a16="http://schemas.microsoft.com/office/drawing/2014/main" id="{AE9768AD-B76D-4B7E-BBF8-21834A2A58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04" name="Text Box 15">
          <a:extLst>
            <a:ext uri="{FF2B5EF4-FFF2-40B4-BE49-F238E27FC236}">
              <a16:creationId xmlns:a16="http://schemas.microsoft.com/office/drawing/2014/main" id="{E4EAD1B4-C4AD-41E4-BCCA-9924331EFD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05" name="Text Box 15">
          <a:extLst>
            <a:ext uri="{FF2B5EF4-FFF2-40B4-BE49-F238E27FC236}">
              <a16:creationId xmlns:a16="http://schemas.microsoft.com/office/drawing/2014/main" id="{57320E4A-3D82-4FF6-ABD7-B303B2B77C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06" name="Text Box 15">
          <a:extLst>
            <a:ext uri="{FF2B5EF4-FFF2-40B4-BE49-F238E27FC236}">
              <a16:creationId xmlns:a16="http://schemas.microsoft.com/office/drawing/2014/main" id="{52EEC66F-B064-4EC8-BB4C-007CEEC399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07" name="Text Box 15">
          <a:extLst>
            <a:ext uri="{FF2B5EF4-FFF2-40B4-BE49-F238E27FC236}">
              <a16:creationId xmlns:a16="http://schemas.microsoft.com/office/drawing/2014/main" id="{59EBCE2A-57AE-46BD-8802-F7F380868A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8" name="Text Box 15">
          <a:extLst>
            <a:ext uri="{FF2B5EF4-FFF2-40B4-BE49-F238E27FC236}">
              <a16:creationId xmlns:a16="http://schemas.microsoft.com/office/drawing/2014/main" id="{C9E6E7B4-1195-4496-8E9C-751244EAC4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9" name="Text Box 15">
          <a:extLst>
            <a:ext uri="{FF2B5EF4-FFF2-40B4-BE49-F238E27FC236}">
              <a16:creationId xmlns:a16="http://schemas.microsoft.com/office/drawing/2014/main" id="{223CB573-E59A-4650-ACC7-0C0A9D24A5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0" name="Text Box 15">
          <a:extLst>
            <a:ext uri="{FF2B5EF4-FFF2-40B4-BE49-F238E27FC236}">
              <a16:creationId xmlns:a16="http://schemas.microsoft.com/office/drawing/2014/main" id="{B3DA5CA0-83E6-4FD7-AF18-F68B600D59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1" name="Text Box 15">
          <a:extLst>
            <a:ext uri="{FF2B5EF4-FFF2-40B4-BE49-F238E27FC236}">
              <a16:creationId xmlns:a16="http://schemas.microsoft.com/office/drawing/2014/main" id="{06A0E203-577C-424D-B246-3495ED7A95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2" name="Text Box 15">
          <a:extLst>
            <a:ext uri="{FF2B5EF4-FFF2-40B4-BE49-F238E27FC236}">
              <a16:creationId xmlns:a16="http://schemas.microsoft.com/office/drawing/2014/main" id="{2ABDD847-49B1-4C88-8B90-A25A61B770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3" name="Text Box 15">
          <a:extLst>
            <a:ext uri="{FF2B5EF4-FFF2-40B4-BE49-F238E27FC236}">
              <a16:creationId xmlns:a16="http://schemas.microsoft.com/office/drawing/2014/main" id="{9B8AFCBA-5088-4471-A90A-F61313BFAC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4" name="Text Box 15">
          <a:extLst>
            <a:ext uri="{FF2B5EF4-FFF2-40B4-BE49-F238E27FC236}">
              <a16:creationId xmlns:a16="http://schemas.microsoft.com/office/drawing/2014/main" id="{EFB97260-CA63-4976-B5EA-B429364729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5" name="Text Box 15">
          <a:extLst>
            <a:ext uri="{FF2B5EF4-FFF2-40B4-BE49-F238E27FC236}">
              <a16:creationId xmlns:a16="http://schemas.microsoft.com/office/drawing/2014/main" id="{6C2A3698-41DC-4E43-B02E-12D9FEB3ED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6" name="Text Box 15">
          <a:extLst>
            <a:ext uri="{FF2B5EF4-FFF2-40B4-BE49-F238E27FC236}">
              <a16:creationId xmlns:a16="http://schemas.microsoft.com/office/drawing/2014/main" id="{DC368A9D-D2AC-4618-9AE6-00134A111E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7" name="Text Box 15">
          <a:extLst>
            <a:ext uri="{FF2B5EF4-FFF2-40B4-BE49-F238E27FC236}">
              <a16:creationId xmlns:a16="http://schemas.microsoft.com/office/drawing/2014/main" id="{D8F89934-6D57-44C9-BC65-CA5D370FD8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18" name="Text Box 15">
          <a:extLst>
            <a:ext uri="{FF2B5EF4-FFF2-40B4-BE49-F238E27FC236}">
              <a16:creationId xmlns:a16="http://schemas.microsoft.com/office/drawing/2014/main" id="{E2354A5F-BA5F-46D2-A5CC-658DBE9659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19" name="Text Box 15">
          <a:extLst>
            <a:ext uri="{FF2B5EF4-FFF2-40B4-BE49-F238E27FC236}">
              <a16:creationId xmlns:a16="http://schemas.microsoft.com/office/drawing/2014/main" id="{870A8609-7A6C-4309-98AC-1287B39A90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20" name="Text Box 15">
          <a:extLst>
            <a:ext uri="{FF2B5EF4-FFF2-40B4-BE49-F238E27FC236}">
              <a16:creationId xmlns:a16="http://schemas.microsoft.com/office/drawing/2014/main" id="{4EE9B51B-9B3E-41EC-9696-CF763E2E12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21" name="Text Box 15">
          <a:extLst>
            <a:ext uri="{FF2B5EF4-FFF2-40B4-BE49-F238E27FC236}">
              <a16:creationId xmlns:a16="http://schemas.microsoft.com/office/drawing/2014/main" id="{01D204C8-90AB-47A4-9EA4-72BBF04CEF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22" name="Text Box 15">
          <a:extLst>
            <a:ext uri="{FF2B5EF4-FFF2-40B4-BE49-F238E27FC236}">
              <a16:creationId xmlns:a16="http://schemas.microsoft.com/office/drawing/2014/main" id="{32E8511F-0FDC-4992-B6A5-CA594B5635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3" name="Text Box 15">
          <a:extLst>
            <a:ext uri="{FF2B5EF4-FFF2-40B4-BE49-F238E27FC236}">
              <a16:creationId xmlns:a16="http://schemas.microsoft.com/office/drawing/2014/main" id="{A5BD0DA0-91CB-4328-A57A-EAB07EFF622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4" name="Text Box 15">
          <a:extLst>
            <a:ext uri="{FF2B5EF4-FFF2-40B4-BE49-F238E27FC236}">
              <a16:creationId xmlns:a16="http://schemas.microsoft.com/office/drawing/2014/main" id="{9A1B70E3-FFE8-4E53-9E86-9FF0221F01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5" name="Text Box 15">
          <a:extLst>
            <a:ext uri="{FF2B5EF4-FFF2-40B4-BE49-F238E27FC236}">
              <a16:creationId xmlns:a16="http://schemas.microsoft.com/office/drawing/2014/main" id="{582CE495-6E51-4C1F-9BFE-649567FCB5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6" name="Text Box 15">
          <a:extLst>
            <a:ext uri="{FF2B5EF4-FFF2-40B4-BE49-F238E27FC236}">
              <a16:creationId xmlns:a16="http://schemas.microsoft.com/office/drawing/2014/main" id="{58A8E030-E8A0-4E4E-90F3-E60796A6EDF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7" name="Text Box 15">
          <a:extLst>
            <a:ext uri="{FF2B5EF4-FFF2-40B4-BE49-F238E27FC236}">
              <a16:creationId xmlns:a16="http://schemas.microsoft.com/office/drawing/2014/main" id="{A1155CDE-5FB8-417C-A6EB-3741F2279E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8" name="Text Box 15">
          <a:extLst>
            <a:ext uri="{FF2B5EF4-FFF2-40B4-BE49-F238E27FC236}">
              <a16:creationId xmlns:a16="http://schemas.microsoft.com/office/drawing/2014/main" id="{384AF7A0-75A6-4C79-BF7A-649F8B4FB7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9" name="Text Box 15">
          <a:extLst>
            <a:ext uri="{FF2B5EF4-FFF2-40B4-BE49-F238E27FC236}">
              <a16:creationId xmlns:a16="http://schemas.microsoft.com/office/drawing/2014/main" id="{1EE01603-0227-48EB-949A-8EF0A6B334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0" name="Text Box 15">
          <a:extLst>
            <a:ext uri="{FF2B5EF4-FFF2-40B4-BE49-F238E27FC236}">
              <a16:creationId xmlns:a16="http://schemas.microsoft.com/office/drawing/2014/main" id="{BD95C898-5E52-4CE0-BE62-7B34AB16A5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1" name="Text Box 15">
          <a:extLst>
            <a:ext uri="{FF2B5EF4-FFF2-40B4-BE49-F238E27FC236}">
              <a16:creationId xmlns:a16="http://schemas.microsoft.com/office/drawing/2014/main" id="{BDD3A94A-40D9-4871-9CF7-63AB20B1C58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2" name="Text Box 15">
          <a:extLst>
            <a:ext uri="{FF2B5EF4-FFF2-40B4-BE49-F238E27FC236}">
              <a16:creationId xmlns:a16="http://schemas.microsoft.com/office/drawing/2014/main" id="{15C3BFE8-C0D0-47F9-A9B6-C66D530AB1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33" name="Text Box 15">
          <a:extLst>
            <a:ext uri="{FF2B5EF4-FFF2-40B4-BE49-F238E27FC236}">
              <a16:creationId xmlns:a16="http://schemas.microsoft.com/office/drawing/2014/main" id="{6560543D-02CC-4172-95E5-2F56C1C27A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34" name="Text Box 15">
          <a:extLst>
            <a:ext uri="{FF2B5EF4-FFF2-40B4-BE49-F238E27FC236}">
              <a16:creationId xmlns:a16="http://schemas.microsoft.com/office/drawing/2014/main" id="{D4D79CC1-4D15-42A6-909A-9102EE5EDB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35" name="Text Box 15">
          <a:extLst>
            <a:ext uri="{FF2B5EF4-FFF2-40B4-BE49-F238E27FC236}">
              <a16:creationId xmlns:a16="http://schemas.microsoft.com/office/drawing/2014/main" id="{341146E7-523B-47BB-9EAE-E97F5DBAD8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36" name="Text Box 15">
          <a:extLst>
            <a:ext uri="{FF2B5EF4-FFF2-40B4-BE49-F238E27FC236}">
              <a16:creationId xmlns:a16="http://schemas.microsoft.com/office/drawing/2014/main" id="{DDBF3DBF-B57E-4DEE-A3A0-344A219917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37" name="Text Box 15">
          <a:extLst>
            <a:ext uri="{FF2B5EF4-FFF2-40B4-BE49-F238E27FC236}">
              <a16:creationId xmlns:a16="http://schemas.microsoft.com/office/drawing/2014/main" id="{E3CAF124-37E9-43E6-A9A9-71E86154F2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8" name="Text Box 15">
          <a:extLst>
            <a:ext uri="{FF2B5EF4-FFF2-40B4-BE49-F238E27FC236}">
              <a16:creationId xmlns:a16="http://schemas.microsoft.com/office/drawing/2014/main" id="{B5397DAE-4049-43E7-8192-17C257EB76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9" name="Text Box 15">
          <a:extLst>
            <a:ext uri="{FF2B5EF4-FFF2-40B4-BE49-F238E27FC236}">
              <a16:creationId xmlns:a16="http://schemas.microsoft.com/office/drawing/2014/main" id="{8E6A07B8-2CBF-4B7E-82CC-C12C6CB2CE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0" name="Text Box 15">
          <a:extLst>
            <a:ext uri="{FF2B5EF4-FFF2-40B4-BE49-F238E27FC236}">
              <a16:creationId xmlns:a16="http://schemas.microsoft.com/office/drawing/2014/main" id="{8257DF7A-9B4F-417B-980A-ACD783BAA4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1" name="Text Box 15">
          <a:extLst>
            <a:ext uri="{FF2B5EF4-FFF2-40B4-BE49-F238E27FC236}">
              <a16:creationId xmlns:a16="http://schemas.microsoft.com/office/drawing/2014/main" id="{86984B91-B1E4-434E-A0A3-14DC8A2748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2" name="Text Box 15">
          <a:extLst>
            <a:ext uri="{FF2B5EF4-FFF2-40B4-BE49-F238E27FC236}">
              <a16:creationId xmlns:a16="http://schemas.microsoft.com/office/drawing/2014/main" id="{4F3E1992-EEA9-40F5-9193-3F90DE4004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3" name="Text Box 15">
          <a:extLst>
            <a:ext uri="{FF2B5EF4-FFF2-40B4-BE49-F238E27FC236}">
              <a16:creationId xmlns:a16="http://schemas.microsoft.com/office/drawing/2014/main" id="{26947681-516D-4F19-9B5A-D3B554F549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4" name="Text Box 15">
          <a:extLst>
            <a:ext uri="{FF2B5EF4-FFF2-40B4-BE49-F238E27FC236}">
              <a16:creationId xmlns:a16="http://schemas.microsoft.com/office/drawing/2014/main" id="{0ACE6884-0D46-4657-A2E7-551E0DD094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5" name="Text Box 15">
          <a:extLst>
            <a:ext uri="{FF2B5EF4-FFF2-40B4-BE49-F238E27FC236}">
              <a16:creationId xmlns:a16="http://schemas.microsoft.com/office/drawing/2014/main" id="{C9526888-5288-47C5-BFF6-20CF33A6A8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6" name="Text Box 15">
          <a:extLst>
            <a:ext uri="{FF2B5EF4-FFF2-40B4-BE49-F238E27FC236}">
              <a16:creationId xmlns:a16="http://schemas.microsoft.com/office/drawing/2014/main" id="{40B26123-6097-4CDE-8BD8-13937ADFF2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7" name="Text Box 15">
          <a:extLst>
            <a:ext uri="{FF2B5EF4-FFF2-40B4-BE49-F238E27FC236}">
              <a16:creationId xmlns:a16="http://schemas.microsoft.com/office/drawing/2014/main" id="{8458B820-4D03-4D0D-BF98-E9282E7485D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48" name="Text Box 15">
          <a:extLst>
            <a:ext uri="{FF2B5EF4-FFF2-40B4-BE49-F238E27FC236}">
              <a16:creationId xmlns:a16="http://schemas.microsoft.com/office/drawing/2014/main" id="{CCC144E9-4B69-4992-907C-3C578C12B8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49" name="Text Box 15">
          <a:extLst>
            <a:ext uri="{FF2B5EF4-FFF2-40B4-BE49-F238E27FC236}">
              <a16:creationId xmlns:a16="http://schemas.microsoft.com/office/drawing/2014/main" id="{F0D08DD7-3C9D-49BC-BE13-9C0892A951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50" name="Text Box 15">
          <a:extLst>
            <a:ext uri="{FF2B5EF4-FFF2-40B4-BE49-F238E27FC236}">
              <a16:creationId xmlns:a16="http://schemas.microsoft.com/office/drawing/2014/main" id="{C894703C-482C-482D-AEA5-07F1D53DF4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51" name="Text Box 15">
          <a:extLst>
            <a:ext uri="{FF2B5EF4-FFF2-40B4-BE49-F238E27FC236}">
              <a16:creationId xmlns:a16="http://schemas.microsoft.com/office/drawing/2014/main" id="{DD00ED1C-F869-4F9A-A050-167B368B18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52" name="Text Box 15">
          <a:extLst>
            <a:ext uri="{FF2B5EF4-FFF2-40B4-BE49-F238E27FC236}">
              <a16:creationId xmlns:a16="http://schemas.microsoft.com/office/drawing/2014/main" id="{CE156B00-435C-4C9B-AC57-88FE1F7515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3" name="Text Box 15">
          <a:extLst>
            <a:ext uri="{FF2B5EF4-FFF2-40B4-BE49-F238E27FC236}">
              <a16:creationId xmlns:a16="http://schemas.microsoft.com/office/drawing/2014/main" id="{5B17660C-1B3D-480D-BE4F-11E1B45CA2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4" name="Text Box 15">
          <a:extLst>
            <a:ext uri="{FF2B5EF4-FFF2-40B4-BE49-F238E27FC236}">
              <a16:creationId xmlns:a16="http://schemas.microsoft.com/office/drawing/2014/main" id="{37AED28B-A78E-42A6-92B3-71EBE4E7F8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5" name="Text Box 15">
          <a:extLst>
            <a:ext uri="{FF2B5EF4-FFF2-40B4-BE49-F238E27FC236}">
              <a16:creationId xmlns:a16="http://schemas.microsoft.com/office/drawing/2014/main" id="{7104DC67-088B-4B2B-8E54-F1D3E072AD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6" name="Text Box 15">
          <a:extLst>
            <a:ext uri="{FF2B5EF4-FFF2-40B4-BE49-F238E27FC236}">
              <a16:creationId xmlns:a16="http://schemas.microsoft.com/office/drawing/2014/main" id="{2F8F0D96-79FA-433A-B26F-393A1B20E6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7" name="Text Box 15">
          <a:extLst>
            <a:ext uri="{FF2B5EF4-FFF2-40B4-BE49-F238E27FC236}">
              <a16:creationId xmlns:a16="http://schemas.microsoft.com/office/drawing/2014/main" id="{B3A6BA05-645A-4492-93DF-4E9E78B25A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8" name="Text Box 15">
          <a:extLst>
            <a:ext uri="{FF2B5EF4-FFF2-40B4-BE49-F238E27FC236}">
              <a16:creationId xmlns:a16="http://schemas.microsoft.com/office/drawing/2014/main" id="{FD40F1DE-83AB-4347-80B9-AA5B7EEF5F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9" name="Text Box 15">
          <a:extLst>
            <a:ext uri="{FF2B5EF4-FFF2-40B4-BE49-F238E27FC236}">
              <a16:creationId xmlns:a16="http://schemas.microsoft.com/office/drawing/2014/main" id="{5F708B12-F33E-4019-95A9-EE78653698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60" name="Text Box 15">
          <a:extLst>
            <a:ext uri="{FF2B5EF4-FFF2-40B4-BE49-F238E27FC236}">
              <a16:creationId xmlns:a16="http://schemas.microsoft.com/office/drawing/2014/main" id="{1A07E5E3-E770-42CB-940F-0B2B7514380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61" name="Text Box 15">
          <a:extLst>
            <a:ext uri="{FF2B5EF4-FFF2-40B4-BE49-F238E27FC236}">
              <a16:creationId xmlns:a16="http://schemas.microsoft.com/office/drawing/2014/main" id="{E39871DF-40A9-432F-9440-4BF9FF7DF7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62" name="Text Box 15">
          <a:extLst>
            <a:ext uri="{FF2B5EF4-FFF2-40B4-BE49-F238E27FC236}">
              <a16:creationId xmlns:a16="http://schemas.microsoft.com/office/drawing/2014/main" id="{A9D3036F-0567-46B3-A2AB-7B01AF9B48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3" name="Text Box 15">
          <a:extLst>
            <a:ext uri="{FF2B5EF4-FFF2-40B4-BE49-F238E27FC236}">
              <a16:creationId xmlns:a16="http://schemas.microsoft.com/office/drawing/2014/main" id="{4165B0C0-1F8A-4A65-A168-91BFBD9EAA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4" name="Text Box 15">
          <a:extLst>
            <a:ext uri="{FF2B5EF4-FFF2-40B4-BE49-F238E27FC236}">
              <a16:creationId xmlns:a16="http://schemas.microsoft.com/office/drawing/2014/main" id="{9EACB08F-CFB7-4C89-BAD5-FB64C9FCA3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5" name="Text Box 15">
          <a:extLst>
            <a:ext uri="{FF2B5EF4-FFF2-40B4-BE49-F238E27FC236}">
              <a16:creationId xmlns:a16="http://schemas.microsoft.com/office/drawing/2014/main" id="{83B260F6-E753-4A07-B9BE-F23826F43B0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6" name="Text Box 15">
          <a:extLst>
            <a:ext uri="{FF2B5EF4-FFF2-40B4-BE49-F238E27FC236}">
              <a16:creationId xmlns:a16="http://schemas.microsoft.com/office/drawing/2014/main" id="{81DCB365-FE7D-484C-8DB1-43B7315CFA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7" name="Text Box 15">
          <a:extLst>
            <a:ext uri="{FF2B5EF4-FFF2-40B4-BE49-F238E27FC236}">
              <a16:creationId xmlns:a16="http://schemas.microsoft.com/office/drawing/2014/main" id="{C8808446-625C-4DFB-AE5F-585BDD62CC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8" name="Text Box 15">
          <a:extLst>
            <a:ext uri="{FF2B5EF4-FFF2-40B4-BE49-F238E27FC236}">
              <a16:creationId xmlns:a16="http://schemas.microsoft.com/office/drawing/2014/main" id="{1EBCDF29-1039-4B40-B346-93B6DC377F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9" name="Text Box 15">
          <a:extLst>
            <a:ext uri="{FF2B5EF4-FFF2-40B4-BE49-F238E27FC236}">
              <a16:creationId xmlns:a16="http://schemas.microsoft.com/office/drawing/2014/main" id="{58A33F9C-BA96-4D23-AEEE-1906359EE18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70" name="Text Box 15">
          <a:extLst>
            <a:ext uri="{FF2B5EF4-FFF2-40B4-BE49-F238E27FC236}">
              <a16:creationId xmlns:a16="http://schemas.microsoft.com/office/drawing/2014/main" id="{8AD1B8D1-CE4D-42E0-9EA1-BAB3EB58D9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71" name="Text Box 15">
          <a:extLst>
            <a:ext uri="{FF2B5EF4-FFF2-40B4-BE49-F238E27FC236}">
              <a16:creationId xmlns:a16="http://schemas.microsoft.com/office/drawing/2014/main" id="{609F33BB-A99C-46CB-94DE-96911F6ED6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72" name="Text Box 15">
          <a:extLst>
            <a:ext uri="{FF2B5EF4-FFF2-40B4-BE49-F238E27FC236}">
              <a16:creationId xmlns:a16="http://schemas.microsoft.com/office/drawing/2014/main" id="{3A64A2EE-4A4A-49DF-AD9D-59B00CB8D9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73" name="Text Box 15">
          <a:extLst>
            <a:ext uri="{FF2B5EF4-FFF2-40B4-BE49-F238E27FC236}">
              <a16:creationId xmlns:a16="http://schemas.microsoft.com/office/drawing/2014/main" id="{8EB18176-6D42-4ECA-A1AB-0FF8011F4C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74" name="Text Box 15">
          <a:extLst>
            <a:ext uri="{FF2B5EF4-FFF2-40B4-BE49-F238E27FC236}">
              <a16:creationId xmlns:a16="http://schemas.microsoft.com/office/drawing/2014/main" id="{7C3268CD-ABCA-4363-9E0C-0F5F80E161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75" name="Text Box 15">
          <a:extLst>
            <a:ext uri="{FF2B5EF4-FFF2-40B4-BE49-F238E27FC236}">
              <a16:creationId xmlns:a16="http://schemas.microsoft.com/office/drawing/2014/main" id="{78DEADAB-9C9A-4A4C-95E8-40BBD57EC5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76" name="Text Box 15">
          <a:extLst>
            <a:ext uri="{FF2B5EF4-FFF2-40B4-BE49-F238E27FC236}">
              <a16:creationId xmlns:a16="http://schemas.microsoft.com/office/drawing/2014/main" id="{E9A3444C-600D-4269-8F79-CC699C06F2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77" name="Text Box 15">
          <a:extLst>
            <a:ext uri="{FF2B5EF4-FFF2-40B4-BE49-F238E27FC236}">
              <a16:creationId xmlns:a16="http://schemas.microsoft.com/office/drawing/2014/main" id="{C6DBDD96-21EB-4B3B-8072-7EA90D7173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78" name="Text Box 15">
          <a:extLst>
            <a:ext uri="{FF2B5EF4-FFF2-40B4-BE49-F238E27FC236}">
              <a16:creationId xmlns:a16="http://schemas.microsoft.com/office/drawing/2014/main" id="{4EC50990-63BA-4AE2-9909-536039DD3E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79" name="Text Box 15">
          <a:extLst>
            <a:ext uri="{FF2B5EF4-FFF2-40B4-BE49-F238E27FC236}">
              <a16:creationId xmlns:a16="http://schemas.microsoft.com/office/drawing/2014/main" id="{6D5E99C8-919F-44DD-B5CA-D8D728EC00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0" name="Text Box 15">
          <a:extLst>
            <a:ext uri="{FF2B5EF4-FFF2-40B4-BE49-F238E27FC236}">
              <a16:creationId xmlns:a16="http://schemas.microsoft.com/office/drawing/2014/main" id="{4C00E2ED-82BF-41BF-A6BD-46D3D7AB51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1" name="Text Box 15">
          <a:extLst>
            <a:ext uri="{FF2B5EF4-FFF2-40B4-BE49-F238E27FC236}">
              <a16:creationId xmlns:a16="http://schemas.microsoft.com/office/drawing/2014/main" id="{BCBF5D23-1DD0-41C4-A9E3-05B69609F1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2" name="Text Box 15">
          <a:extLst>
            <a:ext uri="{FF2B5EF4-FFF2-40B4-BE49-F238E27FC236}">
              <a16:creationId xmlns:a16="http://schemas.microsoft.com/office/drawing/2014/main" id="{A500D7C4-D91A-449E-A991-EA059AB7F0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3" name="Text Box 15">
          <a:extLst>
            <a:ext uri="{FF2B5EF4-FFF2-40B4-BE49-F238E27FC236}">
              <a16:creationId xmlns:a16="http://schemas.microsoft.com/office/drawing/2014/main" id="{F98A5537-74C1-4524-B294-06320AA7DF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4" name="Text Box 15">
          <a:extLst>
            <a:ext uri="{FF2B5EF4-FFF2-40B4-BE49-F238E27FC236}">
              <a16:creationId xmlns:a16="http://schemas.microsoft.com/office/drawing/2014/main" id="{482C9331-851D-4927-A504-6E3C36B666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5" name="Text Box 15">
          <a:extLst>
            <a:ext uri="{FF2B5EF4-FFF2-40B4-BE49-F238E27FC236}">
              <a16:creationId xmlns:a16="http://schemas.microsoft.com/office/drawing/2014/main" id="{6E1E9FFC-09C2-4F5D-9AE6-47F7E5ED69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6" name="Text Box 15">
          <a:extLst>
            <a:ext uri="{FF2B5EF4-FFF2-40B4-BE49-F238E27FC236}">
              <a16:creationId xmlns:a16="http://schemas.microsoft.com/office/drawing/2014/main" id="{D42B6300-78D0-4CEA-A3E6-61D735929B8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7" name="Text Box 15">
          <a:extLst>
            <a:ext uri="{FF2B5EF4-FFF2-40B4-BE49-F238E27FC236}">
              <a16:creationId xmlns:a16="http://schemas.microsoft.com/office/drawing/2014/main" id="{82D43AF5-03A5-466B-8F28-DE501560D0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88" name="Text Box 15">
          <a:extLst>
            <a:ext uri="{FF2B5EF4-FFF2-40B4-BE49-F238E27FC236}">
              <a16:creationId xmlns:a16="http://schemas.microsoft.com/office/drawing/2014/main" id="{E98FE5A4-4662-4B95-8260-BEFF32B1A6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89" name="Text Box 15">
          <a:extLst>
            <a:ext uri="{FF2B5EF4-FFF2-40B4-BE49-F238E27FC236}">
              <a16:creationId xmlns:a16="http://schemas.microsoft.com/office/drawing/2014/main" id="{398177EA-D9A5-4DB3-A9EC-F097B5D173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90" name="Text Box 15">
          <a:extLst>
            <a:ext uri="{FF2B5EF4-FFF2-40B4-BE49-F238E27FC236}">
              <a16:creationId xmlns:a16="http://schemas.microsoft.com/office/drawing/2014/main" id="{61B1D3FA-EE87-463F-B777-27C30AE039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91" name="Text Box 15">
          <a:extLst>
            <a:ext uri="{FF2B5EF4-FFF2-40B4-BE49-F238E27FC236}">
              <a16:creationId xmlns:a16="http://schemas.microsoft.com/office/drawing/2014/main" id="{9AA4447B-5622-408E-A4BD-E38A923758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92" name="Text Box 15">
          <a:extLst>
            <a:ext uri="{FF2B5EF4-FFF2-40B4-BE49-F238E27FC236}">
              <a16:creationId xmlns:a16="http://schemas.microsoft.com/office/drawing/2014/main" id="{8E75E892-F4CB-4E6C-B2BE-A47CB8F3940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3" name="Text Box 15">
          <a:extLst>
            <a:ext uri="{FF2B5EF4-FFF2-40B4-BE49-F238E27FC236}">
              <a16:creationId xmlns:a16="http://schemas.microsoft.com/office/drawing/2014/main" id="{3D322C0A-4E73-4D1C-9092-E07ABD919E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4" name="Text Box 15">
          <a:extLst>
            <a:ext uri="{FF2B5EF4-FFF2-40B4-BE49-F238E27FC236}">
              <a16:creationId xmlns:a16="http://schemas.microsoft.com/office/drawing/2014/main" id="{F34C79BC-358A-489E-8BA8-604302977B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5" name="Text Box 15">
          <a:extLst>
            <a:ext uri="{FF2B5EF4-FFF2-40B4-BE49-F238E27FC236}">
              <a16:creationId xmlns:a16="http://schemas.microsoft.com/office/drawing/2014/main" id="{2EA77826-E1D9-4E80-946A-5809D5DECF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6" name="Text Box 15">
          <a:extLst>
            <a:ext uri="{FF2B5EF4-FFF2-40B4-BE49-F238E27FC236}">
              <a16:creationId xmlns:a16="http://schemas.microsoft.com/office/drawing/2014/main" id="{5513B7B7-B3BD-4214-9A26-B7A3CA0562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7" name="Text Box 15">
          <a:extLst>
            <a:ext uri="{FF2B5EF4-FFF2-40B4-BE49-F238E27FC236}">
              <a16:creationId xmlns:a16="http://schemas.microsoft.com/office/drawing/2014/main" id="{36C78F9F-B8DD-4110-BC7C-48EE6FDB36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8" name="Text Box 15">
          <a:extLst>
            <a:ext uri="{FF2B5EF4-FFF2-40B4-BE49-F238E27FC236}">
              <a16:creationId xmlns:a16="http://schemas.microsoft.com/office/drawing/2014/main" id="{47F64F52-9153-40AE-9FAD-E504A00331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9" name="Text Box 15">
          <a:extLst>
            <a:ext uri="{FF2B5EF4-FFF2-40B4-BE49-F238E27FC236}">
              <a16:creationId xmlns:a16="http://schemas.microsoft.com/office/drawing/2014/main" id="{6BEDB117-DDAD-4877-8884-1ED189B5DF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00" name="Text Box 15">
          <a:extLst>
            <a:ext uri="{FF2B5EF4-FFF2-40B4-BE49-F238E27FC236}">
              <a16:creationId xmlns:a16="http://schemas.microsoft.com/office/drawing/2014/main" id="{3376B644-C2B5-4797-8284-9BB35368BE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01" name="Text Box 15">
          <a:extLst>
            <a:ext uri="{FF2B5EF4-FFF2-40B4-BE49-F238E27FC236}">
              <a16:creationId xmlns:a16="http://schemas.microsoft.com/office/drawing/2014/main" id="{9F128B53-E6E8-4950-BC69-AFEC28DF36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02" name="Text Box 15">
          <a:extLst>
            <a:ext uri="{FF2B5EF4-FFF2-40B4-BE49-F238E27FC236}">
              <a16:creationId xmlns:a16="http://schemas.microsoft.com/office/drawing/2014/main" id="{71E3C0AB-F192-4035-8D25-ACF55E463C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03" name="Text Box 15">
          <a:extLst>
            <a:ext uri="{FF2B5EF4-FFF2-40B4-BE49-F238E27FC236}">
              <a16:creationId xmlns:a16="http://schemas.microsoft.com/office/drawing/2014/main" id="{D4939BB6-9398-40C1-9F4E-92B6D39D0A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04" name="Text Box 15">
          <a:extLst>
            <a:ext uri="{FF2B5EF4-FFF2-40B4-BE49-F238E27FC236}">
              <a16:creationId xmlns:a16="http://schemas.microsoft.com/office/drawing/2014/main" id="{7B36F885-BEA3-4DFB-880E-630AB853E5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05" name="Text Box 15">
          <a:extLst>
            <a:ext uri="{FF2B5EF4-FFF2-40B4-BE49-F238E27FC236}">
              <a16:creationId xmlns:a16="http://schemas.microsoft.com/office/drawing/2014/main" id="{5D576ED4-04BD-45D7-AA6D-9D51F9ACAF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06" name="Text Box 15">
          <a:extLst>
            <a:ext uri="{FF2B5EF4-FFF2-40B4-BE49-F238E27FC236}">
              <a16:creationId xmlns:a16="http://schemas.microsoft.com/office/drawing/2014/main" id="{229CE96E-5EF7-4341-BB49-C50FF7E28A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07" name="Text Box 15">
          <a:extLst>
            <a:ext uri="{FF2B5EF4-FFF2-40B4-BE49-F238E27FC236}">
              <a16:creationId xmlns:a16="http://schemas.microsoft.com/office/drawing/2014/main" id="{672C69E8-3C0E-4FC9-809D-B7A3D9B426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08" name="Text Box 15">
          <a:extLst>
            <a:ext uri="{FF2B5EF4-FFF2-40B4-BE49-F238E27FC236}">
              <a16:creationId xmlns:a16="http://schemas.microsoft.com/office/drawing/2014/main" id="{D7BBCEA7-6BF7-4F4D-AF40-F609EAAC06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09" name="Text Box 15">
          <a:extLst>
            <a:ext uri="{FF2B5EF4-FFF2-40B4-BE49-F238E27FC236}">
              <a16:creationId xmlns:a16="http://schemas.microsoft.com/office/drawing/2014/main" id="{432EFC6D-CC94-425C-8340-CDA7B26CB1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0" name="Text Box 15">
          <a:extLst>
            <a:ext uri="{FF2B5EF4-FFF2-40B4-BE49-F238E27FC236}">
              <a16:creationId xmlns:a16="http://schemas.microsoft.com/office/drawing/2014/main" id="{B0F37762-0855-4A81-9570-9AB38CD406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1" name="Text Box 15">
          <a:extLst>
            <a:ext uri="{FF2B5EF4-FFF2-40B4-BE49-F238E27FC236}">
              <a16:creationId xmlns:a16="http://schemas.microsoft.com/office/drawing/2014/main" id="{2279F7C8-8DDA-4571-B296-2B33EAF906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2" name="Text Box 15">
          <a:extLst>
            <a:ext uri="{FF2B5EF4-FFF2-40B4-BE49-F238E27FC236}">
              <a16:creationId xmlns:a16="http://schemas.microsoft.com/office/drawing/2014/main" id="{D6577FE4-06DD-413F-9561-ECA34137BD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3" name="Text Box 15">
          <a:extLst>
            <a:ext uri="{FF2B5EF4-FFF2-40B4-BE49-F238E27FC236}">
              <a16:creationId xmlns:a16="http://schemas.microsoft.com/office/drawing/2014/main" id="{6072D1B9-8799-450E-8F6D-803A6F513A4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4" name="Text Box 15">
          <a:extLst>
            <a:ext uri="{FF2B5EF4-FFF2-40B4-BE49-F238E27FC236}">
              <a16:creationId xmlns:a16="http://schemas.microsoft.com/office/drawing/2014/main" id="{C3CD570F-E92D-4B5F-9C84-636CCB33B7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5" name="Text Box 15">
          <a:extLst>
            <a:ext uri="{FF2B5EF4-FFF2-40B4-BE49-F238E27FC236}">
              <a16:creationId xmlns:a16="http://schemas.microsoft.com/office/drawing/2014/main" id="{E7021122-CACD-4FA0-8131-D4FDBF55EF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6" name="Text Box 15">
          <a:extLst>
            <a:ext uri="{FF2B5EF4-FFF2-40B4-BE49-F238E27FC236}">
              <a16:creationId xmlns:a16="http://schemas.microsoft.com/office/drawing/2014/main" id="{4072A895-0E5E-4ACD-8728-D509A18346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7" name="Text Box 15">
          <a:extLst>
            <a:ext uri="{FF2B5EF4-FFF2-40B4-BE49-F238E27FC236}">
              <a16:creationId xmlns:a16="http://schemas.microsoft.com/office/drawing/2014/main" id="{CC45BC19-F754-4197-9AF4-107D5B6403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18" name="Text Box 15">
          <a:extLst>
            <a:ext uri="{FF2B5EF4-FFF2-40B4-BE49-F238E27FC236}">
              <a16:creationId xmlns:a16="http://schemas.microsoft.com/office/drawing/2014/main" id="{4D296DBC-F2A5-460D-A38C-B0A554892F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19" name="Text Box 15">
          <a:extLst>
            <a:ext uri="{FF2B5EF4-FFF2-40B4-BE49-F238E27FC236}">
              <a16:creationId xmlns:a16="http://schemas.microsoft.com/office/drawing/2014/main" id="{9FA737EF-69E1-4884-B642-542DDBBDD5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20" name="Text Box 15">
          <a:extLst>
            <a:ext uri="{FF2B5EF4-FFF2-40B4-BE49-F238E27FC236}">
              <a16:creationId xmlns:a16="http://schemas.microsoft.com/office/drawing/2014/main" id="{6FE8B1C7-0AF8-4917-847E-F4ED55D2D4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21" name="Text Box 15">
          <a:extLst>
            <a:ext uri="{FF2B5EF4-FFF2-40B4-BE49-F238E27FC236}">
              <a16:creationId xmlns:a16="http://schemas.microsoft.com/office/drawing/2014/main" id="{3C318C08-99C6-4DD4-BBC9-BD92C26185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22" name="Text Box 15">
          <a:extLst>
            <a:ext uri="{FF2B5EF4-FFF2-40B4-BE49-F238E27FC236}">
              <a16:creationId xmlns:a16="http://schemas.microsoft.com/office/drawing/2014/main" id="{DAF57223-E333-4307-A753-252E80320B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3" name="Text Box 15">
          <a:extLst>
            <a:ext uri="{FF2B5EF4-FFF2-40B4-BE49-F238E27FC236}">
              <a16:creationId xmlns:a16="http://schemas.microsoft.com/office/drawing/2014/main" id="{F398716E-AC1E-4190-B0EF-15FDE1232A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4" name="Text Box 15">
          <a:extLst>
            <a:ext uri="{FF2B5EF4-FFF2-40B4-BE49-F238E27FC236}">
              <a16:creationId xmlns:a16="http://schemas.microsoft.com/office/drawing/2014/main" id="{E9D879B6-73A9-47C0-8B99-30F2186486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5" name="Text Box 15">
          <a:extLst>
            <a:ext uri="{FF2B5EF4-FFF2-40B4-BE49-F238E27FC236}">
              <a16:creationId xmlns:a16="http://schemas.microsoft.com/office/drawing/2014/main" id="{D48FCC58-CD49-4865-91E5-8A988BEE21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6" name="Text Box 15">
          <a:extLst>
            <a:ext uri="{FF2B5EF4-FFF2-40B4-BE49-F238E27FC236}">
              <a16:creationId xmlns:a16="http://schemas.microsoft.com/office/drawing/2014/main" id="{A53D910F-8584-46DF-81C7-9F0333B87B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7" name="Text Box 15">
          <a:extLst>
            <a:ext uri="{FF2B5EF4-FFF2-40B4-BE49-F238E27FC236}">
              <a16:creationId xmlns:a16="http://schemas.microsoft.com/office/drawing/2014/main" id="{32E865D6-92BB-4885-A947-42CAAB8122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8" name="Text Box 15">
          <a:extLst>
            <a:ext uri="{FF2B5EF4-FFF2-40B4-BE49-F238E27FC236}">
              <a16:creationId xmlns:a16="http://schemas.microsoft.com/office/drawing/2014/main" id="{D6EAC5E1-5B9C-4700-A1F3-598789E226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9" name="Text Box 15">
          <a:extLst>
            <a:ext uri="{FF2B5EF4-FFF2-40B4-BE49-F238E27FC236}">
              <a16:creationId xmlns:a16="http://schemas.microsoft.com/office/drawing/2014/main" id="{5F1C09E0-352D-4939-89D3-5A28CD948A0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30" name="Text Box 15">
          <a:extLst>
            <a:ext uri="{FF2B5EF4-FFF2-40B4-BE49-F238E27FC236}">
              <a16:creationId xmlns:a16="http://schemas.microsoft.com/office/drawing/2014/main" id="{ACE366F9-7519-4B8B-89B5-371B501758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31" name="Text Box 15">
          <a:extLst>
            <a:ext uri="{FF2B5EF4-FFF2-40B4-BE49-F238E27FC236}">
              <a16:creationId xmlns:a16="http://schemas.microsoft.com/office/drawing/2014/main" id="{047EB89F-9ED4-4D35-B3C9-0CFC3DFECF5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32" name="Text Box 15">
          <a:extLst>
            <a:ext uri="{FF2B5EF4-FFF2-40B4-BE49-F238E27FC236}">
              <a16:creationId xmlns:a16="http://schemas.microsoft.com/office/drawing/2014/main" id="{5CFD1DB9-1D25-4337-B0F9-1F93E09185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33" name="Text Box 15">
          <a:extLst>
            <a:ext uri="{FF2B5EF4-FFF2-40B4-BE49-F238E27FC236}">
              <a16:creationId xmlns:a16="http://schemas.microsoft.com/office/drawing/2014/main" id="{0FDB68FE-BC54-44CF-B6F3-D387B83167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34" name="Text Box 15">
          <a:extLst>
            <a:ext uri="{FF2B5EF4-FFF2-40B4-BE49-F238E27FC236}">
              <a16:creationId xmlns:a16="http://schemas.microsoft.com/office/drawing/2014/main" id="{929D7B87-90FB-46CA-B110-60ED045560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35" name="Text Box 15">
          <a:extLst>
            <a:ext uri="{FF2B5EF4-FFF2-40B4-BE49-F238E27FC236}">
              <a16:creationId xmlns:a16="http://schemas.microsoft.com/office/drawing/2014/main" id="{3E981E8D-6615-4272-B141-BBAB0DFC4D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36" name="Text Box 15">
          <a:extLst>
            <a:ext uri="{FF2B5EF4-FFF2-40B4-BE49-F238E27FC236}">
              <a16:creationId xmlns:a16="http://schemas.microsoft.com/office/drawing/2014/main" id="{8B448276-627F-43BA-BB56-6143CF5BE45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37" name="Text Box 15">
          <a:extLst>
            <a:ext uri="{FF2B5EF4-FFF2-40B4-BE49-F238E27FC236}">
              <a16:creationId xmlns:a16="http://schemas.microsoft.com/office/drawing/2014/main" id="{5A8F2E49-CC8B-40F3-9CB0-73E7D57B03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38" name="Text Box 15">
          <a:extLst>
            <a:ext uri="{FF2B5EF4-FFF2-40B4-BE49-F238E27FC236}">
              <a16:creationId xmlns:a16="http://schemas.microsoft.com/office/drawing/2014/main" id="{FC78F707-167A-463F-925C-390C89A997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39" name="Text Box 15">
          <a:extLst>
            <a:ext uri="{FF2B5EF4-FFF2-40B4-BE49-F238E27FC236}">
              <a16:creationId xmlns:a16="http://schemas.microsoft.com/office/drawing/2014/main" id="{6483994F-D461-4EC1-8283-5A625004AA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0" name="Text Box 15">
          <a:extLst>
            <a:ext uri="{FF2B5EF4-FFF2-40B4-BE49-F238E27FC236}">
              <a16:creationId xmlns:a16="http://schemas.microsoft.com/office/drawing/2014/main" id="{735E642B-AEFC-4A48-9ECE-8202AEDB01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1" name="Text Box 15">
          <a:extLst>
            <a:ext uri="{FF2B5EF4-FFF2-40B4-BE49-F238E27FC236}">
              <a16:creationId xmlns:a16="http://schemas.microsoft.com/office/drawing/2014/main" id="{916137FA-846A-441C-BED1-DCA4EA897F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2" name="Text Box 15">
          <a:extLst>
            <a:ext uri="{FF2B5EF4-FFF2-40B4-BE49-F238E27FC236}">
              <a16:creationId xmlns:a16="http://schemas.microsoft.com/office/drawing/2014/main" id="{57E06403-443F-417F-BFE9-AA3688FF28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3" name="Text Box 15">
          <a:extLst>
            <a:ext uri="{FF2B5EF4-FFF2-40B4-BE49-F238E27FC236}">
              <a16:creationId xmlns:a16="http://schemas.microsoft.com/office/drawing/2014/main" id="{4105229C-3458-47E6-AE1E-C02E1CC089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4" name="Text Box 15">
          <a:extLst>
            <a:ext uri="{FF2B5EF4-FFF2-40B4-BE49-F238E27FC236}">
              <a16:creationId xmlns:a16="http://schemas.microsoft.com/office/drawing/2014/main" id="{782E29EC-6821-4D46-9446-11A7887AF3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5" name="Text Box 15">
          <a:extLst>
            <a:ext uri="{FF2B5EF4-FFF2-40B4-BE49-F238E27FC236}">
              <a16:creationId xmlns:a16="http://schemas.microsoft.com/office/drawing/2014/main" id="{05582680-8ACE-4FB2-BA89-73DCA3B49F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6" name="Text Box 15">
          <a:extLst>
            <a:ext uri="{FF2B5EF4-FFF2-40B4-BE49-F238E27FC236}">
              <a16:creationId xmlns:a16="http://schemas.microsoft.com/office/drawing/2014/main" id="{C1733EB4-7EFB-416A-82DF-A540723240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7" name="Text Box 15">
          <a:extLst>
            <a:ext uri="{FF2B5EF4-FFF2-40B4-BE49-F238E27FC236}">
              <a16:creationId xmlns:a16="http://schemas.microsoft.com/office/drawing/2014/main" id="{AFC75AEE-10E3-4589-8DDC-54D0D52D29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48" name="Text Box 15">
          <a:extLst>
            <a:ext uri="{FF2B5EF4-FFF2-40B4-BE49-F238E27FC236}">
              <a16:creationId xmlns:a16="http://schemas.microsoft.com/office/drawing/2014/main" id="{97DB58D6-909D-4BD8-9E5C-183A37CD55F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49" name="Text Box 15">
          <a:extLst>
            <a:ext uri="{FF2B5EF4-FFF2-40B4-BE49-F238E27FC236}">
              <a16:creationId xmlns:a16="http://schemas.microsoft.com/office/drawing/2014/main" id="{25F14841-E683-4BF8-B4E0-85066D4ABA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50" name="Text Box 15">
          <a:extLst>
            <a:ext uri="{FF2B5EF4-FFF2-40B4-BE49-F238E27FC236}">
              <a16:creationId xmlns:a16="http://schemas.microsoft.com/office/drawing/2014/main" id="{6E07071E-6EE4-4632-95CD-AAF1117180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1" name="Text Box 15">
          <a:extLst>
            <a:ext uri="{FF2B5EF4-FFF2-40B4-BE49-F238E27FC236}">
              <a16:creationId xmlns:a16="http://schemas.microsoft.com/office/drawing/2014/main" id="{CCF01BD2-36A3-449E-BD3E-2636C7CEA1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2" name="Text Box 15">
          <a:extLst>
            <a:ext uri="{FF2B5EF4-FFF2-40B4-BE49-F238E27FC236}">
              <a16:creationId xmlns:a16="http://schemas.microsoft.com/office/drawing/2014/main" id="{678C1CA2-ABB6-439A-826B-67BAB29F5C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3" name="Text Box 15">
          <a:extLst>
            <a:ext uri="{FF2B5EF4-FFF2-40B4-BE49-F238E27FC236}">
              <a16:creationId xmlns:a16="http://schemas.microsoft.com/office/drawing/2014/main" id="{5FF1D129-6985-4491-8F65-38F3E7C3C1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4" name="Text Box 15">
          <a:extLst>
            <a:ext uri="{FF2B5EF4-FFF2-40B4-BE49-F238E27FC236}">
              <a16:creationId xmlns:a16="http://schemas.microsoft.com/office/drawing/2014/main" id="{A37A8E35-852F-4A78-B156-1B73FD830A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5" name="Text Box 15">
          <a:extLst>
            <a:ext uri="{FF2B5EF4-FFF2-40B4-BE49-F238E27FC236}">
              <a16:creationId xmlns:a16="http://schemas.microsoft.com/office/drawing/2014/main" id="{A2B5AF67-64E1-47FE-B235-C1BDB626DA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6" name="Text Box 15">
          <a:extLst>
            <a:ext uri="{FF2B5EF4-FFF2-40B4-BE49-F238E27FC236}">
              <a16:creationId xmlns:a16="http://schemas.microsoft.com/office/drawing/2014/main" id="{AFC8EC8A-12CC-4C0F-AF95-944B47FD91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7" name="Text Box 15">
          <a:extLst>
            <a:ext uri="{FF2B5EF4-FFF2-40B4-BE49-F238E27FC236}">
              <a16:creationId xmlns:a16="http://schemas.microsoft.com/office/drawing/2014/main" id="{4BDE2299-F96F-4ACB-9D40-781C40F2E6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8" name="Text Box 15">
          <a:extLst>
            <a:ext uri="{FF2B5EF4-FFF2-40B4-BE49-F238E27FC236}">
              <a16:creationId xmlns:a16="http://schemas.microsoft.com/office/drawing/2014/main" id="{A6E1A812-8462-429F-9676-D8A74AA256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9" name="Text Box 15">
          <a:extLst>
            <a:ext uri="{FF2B5EF4-FFF2-40B4-BE49-F238E27FC236}">
              <a16:creationId xmlns:a16="http://schemas.microsoft.com/office/drawing/2014/main" id="{B5F8DC4E-529A-49E6-9FA5-4D37565A75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60" name="Text Box 15">
          <a:extLst>
            <a:ext uri="{FF2B5EF4-FFF2-40B4-BE49-F238E27FC236}">
              <a16:creationId xmlns:a16="http://schemas.microsoft.com/office/drawing/2014/main" id="{AF6A23BD-4FF9-4631-AFC1-EDFC0AC863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61" name="Text Box 15">
          <a:extLst>
            <a:ext uri="{FF2B5EF4-FFF2-40B4-BE49-F238E27FC236}">
              <a16:creationId xmlns:a16="http://schemas.microsoft.com/office/drawing/2014/main" id="{A27C3836-CC9C-4614-A0A5-620E4E504E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62" name="Text Box 15">
          <a:extLst>
            <a:ext uri="{FF2B5EF4-FFF2-40B4-BE49-F238E27FC236}">
              <a16:creationId xmlns:a16="http://schemas.microsoft.com/office/drawing/2014/main" id="{F9DD569A-96BA-4D15-BD39-09BFF52D7F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63" name="Text Box 15">
          <a:extLst>
            <a:ext uri="{FF2B5EF4-FFF2-40B4-BE49-F238E27FC236}">
              <a16:creationId xmlns:a16="http://schemas.microsoft.com/office/drawing/2014/main" id="{1186FC5C-AA36-4852-B0A7-9E94120C38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64" name="Text Box 15">
          <a:extLst>
            <a:ext uri="{FF2B5EF4-FFF2-40B4-BE49-F238E27FC236}">
              <a16:creationId xmlns:a16="http://schemas.microsoft.com/office/drawing/2014/main" id="{FDDA0DB2-E303-4CB0-B90B-56A0B9C673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65" name="Text Box 15">
          <a:extLst>
            <a:ext uri="{FF2B5EF4-FFF2-40B4-BE49-F238E27FC236}">
              <a16:creationId xmlns:a16="http://schemas.microsoft.com/office/drawing/2014/main" id="{AFC40F67-CC54-4DDA-AB01-27FF9874F5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66" name="Text Box 15">
          <a:extLst>
            <a:ext uri="{FF2B5EF4-FFF2-40B4-BE49-F238E27FC236}">
              <a16:creationId xmlns:a16="http://schemas.microsoft.com/office/drawing/2014/main" id="{4B3351BA-3E41-421F-B976-A33E371DC8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67" name="Text Box 15">
          <a:extLst>
            <a:ext uri="{FF2B5EF4-FFF2-40B4-BE49-F238E27FC236}">
              <a16:creationId xmlns:a16="http://schemas.microsoft.com/office/drawing/2014/main" id="{FB2CD85B-803B-4650-BAD2-196C8FF07A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68" name="Text Box 15">
          <a:extLst>
            <a:ext uri="{FF2B5EF4-FFF2-40B4-BE49-F238E27FC236}">
              <a16:creationId xmlns:a16="http://schemas.microsoft.com/office/drawing/2014/main" id="{F3C664A1-F814-4381-82FA-62D828FBF25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69" name="Text Box 15">
          <a:extLst>
            <a:ext uri="{FF2B5EF4-FFF2-40B4-BE49-F238E27FC236}">
              <a16:creationId xmlns:a16="http://schemas.microsoft.com/office/drawing/2014/main" id="{8FBAC9E8-519B-4AF4-81B0-5A35B75225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0" name="Text Box 15">
          <a:extLst>
            <a:ext uri="{FF2B5EF4-FFF2-40B4-BE49-F238E27FC236}">
              <a16:creationId xmlns:a16="http://schemas.microsoft.com/office/drawing/2014/main" id="{4CF2ED30-1456-489E-869A-DE8BAD4AC9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1" name="Text Box 15">
          <a:extLst>
            <a:ext uri="{FF2B5EF4-FFF2-40B4-BE49-F238E27FC236}">
              <a16:creationId xmlns:a16="http://schemas.microsoft.com/office/drawing/2014/main" id="{38069A7E-90A3-4894-866F-AFE9192655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2" name="Text Box 15">
          <a:extLst>
            <a:ext uri="{FF2B5EF4-FFF2-40B4-BE49-F238E27FC236}">
              <a16:creationId xmlns:a16="http://schemas.microsoft.com/office/drawing/2014/main" id="{7D814082-E83E-48C3-8532-4421BE50AB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3" name="Text Box 15">
          <a:extLst>
            <a:ext uri="{FF2B5EF4-FFF2-40B4-BE49-F238E27FC236}">
              <a16:creationId xmlns:a16="http://schemas.microsoft.com/office/drawing/2014/main" id="{7F3D04D5-1333-4070-87BD-23CF95C273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4" name="Text Box 15">
          <a:extLst>
            <a:ext uri="{FF2B5EF4-FFF2-40B4-BE49-F238E27FC236}">
              <a16:creationId xmlns:a16="http://schemas.microsoft.com/office/drawing/2014/main" id="{8C1F845A-B556-48DC-A15F-6B7BC07346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5" name="Text Box 15">
          <a:extLst>
            <a:ext uri="{FF2B5EF4-FFF2-40B4-BE49-F238E27FC236}">
              <a16:creationId xmlns:a16="http://schemas.microsoft.com/office/drawing/2014/main" id="{A2AFB4D0-C819-46CA-B328-932078454F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76" name="Text Box 15">
          <a:extLst>
            <a:ext uri="{FF2B5EF4-FFF2-40B4-BE49-F238E27FC236}">
              <a16:creationId xmlns:a16="http://schemas.microsoft.com/office/drawing/2014/main" id="{8A4A25C3-7AC5-46F5-A623-2E665F07B4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77" name="Text Box 15">
          <a:extLst>
            <a:ext uri="{FF2B5EF4-FFF2-40B4-BE49-F238E27FC236}">
              <a16:creationId xmlns:a16="http://schemas.microsoft.com/office/drawing/2014/main" id="{14779D96-02B2-4EB4-9C88-1DA38F15C3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78" name="Text Box 15">
          <a:extLst>
            <a:ext uri="{FF2B5EF4-FFF2-40B4-BE49-F238E27FC236}">
              <a16:creationId xmlns:a16="http://schemas.microsoft.com/office/drawing/2014/main" id="{7B594210-8814-41D5-BADB-BBDEB361EB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79" name="Text Box 15">
          <a:extLst>
            <a:ext uri="{FF2B5EF4-FFF2-40B4-BE49-F238E27FC236}">
              <a16:creationId xmlns:a16="http://schemas.microsoft.com/office/drawing/2014/main" id="{55535926-F5AA-4686-90EB-455C711927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80" name="Text Box 15">
          <a:extLst>
            <a:ext uri="{FF2B5EF4-FFF2-40B4-BE49-F238E27FC236}">
              <a16:creationId xmlns:a16="http://schemas.microsoft.com/office/drawing/2014/main" id="{1A38A938-B823-4A61-84B3-60A80088B9E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1" name="Text Box 15">
          <a:extLst>
            <a:ext uri="{FF2B5EF4-FFF2-40B4-BE49-F238E27FC236}">
              <a16:creationId xmlns:a16="http://schemas.microsoft.com/office/drawing/2014/main" id="{24F61E33-1037-4FA2-9AB7-327F503FA7C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2" name="Text Box 15">
          <a:extLst>
            <a:ext uri="{FF2B5EF4-FFF2-40B4-BE49-F238E27FC236}">
              <a16:creationId xmlns:a16="http://schemas.microsoft.com/office/drawing/2014/main" id="{03C9E577-EA29-4EDB-9411-BC48C0D74C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3" name="Text Box 15">
          <a:extLst>
            <a:ext uri="{FF2B5EF4-FFF2-40B4-BE49-F238E27FC236}">
              <a16:creationId xmlns:a16="http://schemas.microsoft.com/office/drawing/2014/main" id="{D8C05A08-AF59-48AC-BA6E-DE2998F0B8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4" name="Text Box 15">
          <a:extLst>
            <a:ext uri="{FF2B5EF4-FFF2-40B4-BE49-F238E27FC236}">
              <a16:creationId xmlns:a16="http://schemas.microsoft.com/office/drawing/2014/main" id="{BAC7862B-C78E-44AD-A605-D7625D9308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5" name="Text Box 15">
          <a:extLst>
            <a:ext uri="{FF2B5EF4-FFF2-40B4-BE49-F238E27FC236}">
              <a16:creationId xmlns:a16="http://schemas.microsoft.com/office/drawing/2014/main" id="{79105B10-94D5-4354-B642-0A83566BB2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6" name="Text Box 15">
          <a:extLst>
            <a:ext uri="{FF2B5EF4-FFF2-40B4-BE49-F238E27FC236}">
              <a16:creationId xmlns:a16="http://schemas.microsoft.com/office/drawing/2014/main" id="{103E45B3-7C2D-4B94-88B1-F9E5C0849C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7" name="Text Box 15">
          <a:extLst>
            <a:ext uri="{FF2B5EF4-FFF2-40B4-BE49-F238E27FC236}">
              <a16:creationId xmlns:a16="http://schemas.microsoft.com/office/drawing/2014/main" id="{9BCF76DD-D709-414F-BA71-83E7F4AA48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8" name="Text Box 15">
          <a:extLst>
            <a:ext uri="{FF2B5EF4-FFF2-40B4-BE49-F238E27FC236}">
              <a16:creationId xmlns:a16="http://schemas.microsoft.com/office/drawing/2014/main" id="{EE816AA8-EE2E-4AA0-9D9A-9F6B5B56C3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9" name="Text Box 15">
          <a:extLst>
            <a:ext uri="{FF2B5EF4-FFF2-40B4-BE49-F238E27FC236}">
              <a16:creationId xmlns:a16="http://schemas.microsoft.com/office/drawing/2014/main" id="{E2F1C233-2F14-45C2-941C-21A8516969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90" name="Text Box 15">
          <a:extLst>
            <a:ext uri="{FF2B5EF4-FFF2-40B4-BE49-F238E27FC236}">
              <a16:creationId xmlns:a16="http://schemas.microsoft.com/office/drawing/2014/main" id="{53BC44B0-E4E1-47CF-8109-47EC556569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91" name="Text Box 15">
          <a:extLst>
            <a:ext uri="{FF2B5EF4-FFF2-40B4-BE49-F238E27FC236}">
              <a16:creationId xmlns:a16="http://schemas.microsoft.com/office/drawing/2014/main" id="{4E81CD0B-1A0A-4821-8732-3CE9A0724EC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92" name="Text Box 15">
          <a:extLst>
            <a:ext uri="{FF2B5EF4-FFF2-40B4-BE49-F238E27FC236}">
              <a16:creationId xmlns:a16="http://schemas.microsoft.com/office/drawing/2014/main" id="{2BEF2397-E705-4566-946C-89A0B51E95C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93" name="Text Box 15">
          <a:extLst>
            <a:ext uri="{FF2B5EF4-FFF2-40B4-BE49-F238E27FC236}">
              <a16:creationId xmlns:a16="http://schemas.microsoft.com/office/drawing/2014/main" id="{C1B603AF-EFB0-4BAD-BFB4-A3A68598DA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94" name="Text Box 15">
          <a:extLst>
            <a:ext uri="{FF2B5EF4-FFF2-40B4-BE49-F238E27FC236}">
              <a16:creationId xmlns:a16="http://schemas.microsoft.com/office/drawing/2014/main" id="{FD24DCA7-34B5-42B9-B1DB-D75A7AAFDD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95" name="Text Box 15">
          <a:extLst>
            <a:ext uri="{FF2B5EF4-FFF2-40B4-BE49-F238E27FC236}">
              <a16:creationId xmlns:a16="http://schemas.microsoft.com/office/drawing/2014/main" id="{208AFD67-BF75-4293-B2B1-0DE492C960E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96" name="Text Box 15">
          <a:extLst>
            <a:ext uri="{FF2B5EF4-FFF2-40B4-BE49-F238E27FC236}">
              <a16:creationId xmlns:a16="http://schemas.microsoft.com/office/drawing/2014/main" id="{55F26947-FF85-43B6-9CA7-72C90DB025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97" name="Text Box 15">
          <a:extLst>
            <a:ext uri="{FF2B5EF4-FFF2-40B4-BE49-F238E27FC236}">
              <a16:creationId xmlns:a16="http://schemas.microsoft.com/office/drawing/2014/main" id="{1633374A-5380-4033-9DF7-9977CF778F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98" name="Text Box 15">
          <a:extLst>
            <a:ext uri="{FF2B5EF4-FFF2-40B4-BE49-F238E27FC236}">
              <a16:creationId xmlns:a16="http://schemas.microsoft.com/office/drawing/2014/main" id="{108BB44B-08A9-444D-A2E0-445E41EAA6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99" name="Text Box 15">
          <a:extLst>
            <a:ext uri="{FF2B5EF4-FFF2-40B4-BE49-F238E27FC236}">
              <a16:creationId xmlns:a16="http://schemas.microsoft.com/office/drawing/2014/main" id="{99E83885-1E40-4D06-856C-A3C42DF02F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0" name="Text Box 15">
          <a:extLst>
            <a:ext uri="{FF2B5EF4-FFF2-40B4-BE49-F238E27FC236}">
              <a16:creationId xmlns:a16="http://schemas.microsoft.com/office/drawing/2014/main" id="{C4BE13AE-7B6C-431C-BF05-E96216A66E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1" name="Text Box 15">
          <a:extLst>
            <a:ext uri="{FF2B5EF4-FFF2-40B4-BE49-F238E27FC236}">
              <a16:creationId xmlns:a16="http://schemas.microsoft.com/office/drawing/2014/main" id="{EFCD972B-FA38-4FAB-A2B6-6FBD25F9AF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2" name="Text Box 15">
          <a:extLst>
            <a:ext uri="{FF2B5EF4-FFF2-40B4-BE49-F238E27FC236}">
              <a16:creationId xmlns:a16="http://schemas.microsoft.com/office/drawing/2014/main" id="{1B445B74-CC96-43CA-AC31-66FBCDA7FC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3" name="Text Box 15">
          <a:extLst>
            <a:ext uri="{FF2B5EF4-FFF2-40B4-BE49-F238E27FC236}">
              <a16:creationId xmlns:a16="http://schemas.microsoft.com/office/drawing/2014/main" id="{C76FF97C-C442-405A-9B06-C1ED9BD204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4" name="Text Box 15">
          <a:extLst>
            <a:ext uri="{FF2B5EF4-FFF2-40B4-BE49-F238E27FC236}">
              <a16:creationId xmlns:a16="http://schemas.microsoft.com/office/drawing/2014/main" id="{78357039-D392-4C98-9697-0A89E35E53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5" name="Text Box 15">
          <a:extLst>
            <a:ext uri="{FF2B5EF4-FFF2-40B4-BE49-F238E27FC236}">
              <a16:creationId xmlns:a16="http://schemas.microsoft.com/office/drawing/2014/main" id="{55008DF3-764C-4A99-B86F-BF89ED2FE8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06" name="Text Box 15">
          <a:extLst>
            <a:ext uri="{FF2B5EF4-FFF2-40B4-BE49-F238E27FC236}">
              <a16:creationId xmlns:a16="http://schemas.microsoft.com/office/drawing/2014/main" id="{FA439213-F5E0-41C6-9D7D-FE3DB9AD3E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07" name="Text Box 15">
          <a:extLst>
            <a:ext uri="{FF2B5EF4-FFF2-40B4-BE49-F238E27FC236}">
              <a16:creationId xmlns:a16="http://schemas.microsoft.com/office/drawing/2014/main" id="{2DA5FD88-B64F-45AE-B8F6-7874D092FD2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08" name="Text Box 15">
          <a:extLst>
            <a:ext uri="{FF2B5EF4-FFF2-40B4-BE49-F238E27FC236}">
              <a16:creationId xmlns:a16="http://schemas.microsoft.com/office/drawing/2014/main" id="{346F87B2-FFBD-45C6-8E8F-BFB651829DB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09" name="Text Box 15">
          <a:extLst>
            <a:ext uri="{FF2B5EF4-FFF2-40B4-BE49-F238E27FC236}">
              <a16:creationId xmlns:a16="http://schemas.microsoft.com/office/drawing/2014/main" id="{A0FDE2BC-3917-4078-ADA6-2CDC109067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10" name="Text Box 15">
          <a:extLst>
            <a:ext uri="{FF2B5EF4-FFF2-40B4-BE49-F238E27FC236}">
              <a16:creationId xmlns:a16="http://schemas.microsoft.com/office/drawing/2014/main" id="{29A0AD43-8C1F-45FA-92BA-4E5328F8C7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1" name="Text Box 15">
          <a:extLst>
            <a:ext uri="{FF2B5EF4-FFF2-40B4-BE49-F238E27FC236}">
              <a16:creationId xmlns:a16="http://schemas.microsoft.com/office/drawing/2014/main" id="{AA09E213-98F7-49DF-9E1C-DFBDB0427A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2" name="Text Box 15">
          <a:extLst>
            <a:ext uri="{FF2B5EF4-FFF2-40B4-BE49-F238E27FC236}">
              <a16:creationId xmlns:a16="http://schemas.microsoft.com/office/drawing/2014/main" id="{1321F1E8-59C4-4AC0-8C5A-5E4CC50475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3" name="Text Box 15">
          <a:extLst>
            <a:ext uri="{FF2B5EF4-FFF2-40B4-BE49-F238E27FC236}">
              <a16:creationId xmlns:a16="http://schemas.microsoft.com/office/drawing/2014/main" id="{0427D1CD-3EEC-4927-8D3A-E3C8CD6FF0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4" name="Text Box 15">
          <a:extLst>
            <a:ext uri="{FF2B5EF4-FFF2-40B4-BE49-F238E27FC236}">
              <a16:creationId xmlns:a16="http://schemas.microsoft.com/office/drawing/2014/main" id="{2C62F341-E419-48D8-B754-AFF48DE64A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5" name="Text Box 15">
          <a:extLst>
            <a:ext uri="{FF2B5EF4-FFF2-40B4-BE49-F238E27FC236}">
              <a16:creationId xmlns:a16="http://schemas.microsoft.com/office/drawing/2014/main" id="{3ACCCC80-90DC-4EF9-B325-BDC15E2F3EC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6" name="Text Box 15">
          <a:extLst>
            <a:ext uri="{FF2B5EF4-FFF2-40B4-BE49-F238E27FC236}">
              <a16:creationId xmlns:a16="http://schemas.microsoft.com/office/drawing/2014/main" id="{4A35B644-A1A1-45CD-BD2B-14D007BD6D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7" name="Text Box 15">
          <a:extLst>
            <a:ext uri="{FF2B5EF4-FFF2-40B4-BE49-F238E27FC236}">
              <a16:creationId xmlns:a16="http://schemas.microsoft.com/office/drawing/2014/main" id="{94F58210-1522-42A6-BACC-250F2389BE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8" name="Text Box 15">
          <a:extLst>
            <a:ext uri="{FF2B5EF4-FFF2-40B4-BE49-F238E27FC236}">
              <a16:creationId xmlns:a16="http://schemas.microsoft.com/office/drawing/2014/main" id="{608ACDA1-CAFF-4885-8689-2327867328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9" name="Text Box 15">
          <a:extLst>
            <a:ext uri="{FF2B5EF4-FFF2-40B4-BE49-F238E27FC236}">
              <a16:creationId xmlns:a16="http://schemas.microsoft.com/office/drawing/2014/main" id="{B853C908-190A-43CC-B949-B0ADBDB2F1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20" name="Text Box 15">
          <a:extLst>
            <a:ext uri="{FF2B5EF4-FFF2-40B4-BE49-F238E27FC236}">
              <a16:creationId xmlns:a16="http://schemas.microsoft.com/office/drawing/2014/main" id="{27FBB8C9-E21D-451A-91B9-B0B4FEBE94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21" name="Text Box 15">
          <a:extLst>
            <a:ext uri="{FF2B5EF4-FFF2-40B4-BE49-F238E27FC236}">
              <a16:creationId xmlns:a16="http://schemas.microsoft.com/office/drawing/2014/main" id="{A95D03E0-2F44-4AE0-B6B3-0748B7975C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22" name="Text Box 15">
          <a:extLst>
            <a:ext uri="{FF2B5EF4-FFF2-40B4-BE49-F238E27FC236}">
              <a16:creationId xmlns:a16="http://schemas.microsoft.com/office/drawing/2014/main" id="{89631343-21EA-4713-BF4E-3BC96DAA71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23" name="Text Box 15">
          <a:extLst>
            <a:ext uri="{FF2B5EF4-FFF2-40B4-BE49-F238E27FC236}">
              <a16:creationId xmlns:a16="http://schemas.microsoft.com/office/drawing/2014/main" id="{E785BC8D-AEE2-49B6-93B6-3466AB3FE8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24" name="Text Box 15">
          <a:extLst>
            <a:ext uri="{FF2B5EF4-FFF2-40B4-BE49-F238E27FC236}">
              <a16:creationId xmlns:a16="http://schemas.microsoft.com/office/drawing/2014/main" id="{748F330A-F255-4B66-B7C6-26E55D80AD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25" name="Text Box 15">
          <a:extLst>
            <a:ext uri="{FF2B5EF4-FFF2-40B4-BE49-F238E27FC236}">
              <a16:creationId xmlns:a16="http://schemas.microsoft.com/office/drawing/2014/main" id="{730102A5-8BD0-4FBA-AA69-BAF8C95935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26" name="Text Box 15">
          <a:extLst>
            <a:ext uri="{FF2B5EF4-FFF2-40B4-BE49-F238E27FC236}">
              <a16:creationId xmlns:a16="http://schemas.microsoft.com/office/drawing/2014/main" id="{49F67E0A-C9B8-4730-81F7-83FF797FC6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27" name="Text Box 15">
          <a:extLst>
            <a:ext uri="{FF2B5EF4-FFF2-40B4-BE49-F238E27FC236}">
              <a16:creationId xmlns:a16="http://schemas.microsoft.com/office/drawing/2014/main" id="{A4F4A5DC-3451-446A-838C-C024CE8AE0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28" name="Text Box 15">
          <a:extLst>
            <a:ext uri="{FF2B5EF4-FFF2-40B4-BE49-F238E27FC236}">
              <a16:creationId xmlns:a16="http://schemas.microsoft.com/office/drawing/2014/main" id="{91D251AB-3610-436A-ADFB-FF953F020C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29" name="Text Box 15">
          <a:extLst>
            <a:ext uri="{FF2B5EF4-FFF2-40B4-BE49-F238E27FC236}">
              <a16:creationId xmlns:a16="http://schemas.microsoft.com/office/drawing/2014/main" id="{B1DA06D3-A15E-4837-B817-36BE45E197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0" name="Text Box 15">
          <a:extLst>
            <a:ext uri="{FF2B5EF4-FFF2-40B4-BE49-F238E27FC236}">
              <a16:creationId xmlns:a16="http://schemas.microsoft.com/office/drawing/2014/main" id="{89FECD7F-C7E4-4798-B3AD-20634EA7B4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1" name="Text Box 15">
          <a:extLst>
            <a:ext uri="{FF2B5EF4-FFF2-40B4-BE49-F238E27FC236}">
              <a16:creationId xmlns:a16="http://schemas.microsoft.com/office/drawing/2014/main" id="{C8A31509-ABAC-41D9-8AA7-352AE260D2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2" name="Text Box 15">
          <a:extLst>
            <a:ext uri="{FF2B5EF4-FFF2-40B4-BE49-F238E27FC236}">
              <a16:creationId xmlns:a16="http://schemas.microsoft.com/office/drawing/2014/main" id="{9D5D73ED-1DCF-4B32-B23B-4BD12E203D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3" name="Text Box 15">
          <a:extLst>
            <a:ext uri="{FF2B5EF4-FFF2-40B4-BE49-F238E27FC236}">
              <a16:creationId xmlns:a16="http://schemas.microsoft.com/office/drawing/2014/main" id="{14C7702A-04E1-4E80-A7AB-9AAC74E400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4" name="Text Box 15">
          <a:extLst>
            <a:ext uri="{FF2B5EF4-FFF2-40B4-BE49-F238E27FC236}">
              <a16:creationId xmlns:a16="http://schemas.microsoft.com/office/drawing/2014/main" id="{41D29DAF-D5CC-4C67-8926-A3F75253514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5" name="Text Box 15">
          <a:extLst>
            <a:ext uri="{FF2B5EF4-FFF2-40B4-BE49-F238E27FC236}">
              <a16:creationId xmlns:a16="http://schemas.microsoft.com/office/drawing/2014/main" id="{BFA714C1-C17C-4A09-9A82-AB89999C06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36" name="Text Box 15">
          <a:extLst>
            <a:ext uri="{FF2B5EF4-FFF2-40B4-BE49-F238E27FC236}">
              <a16:creationId xmlns:a16="http://schemas.microsoft.com/office/drawing/2014/main" id="{7D36F8F7-ADFA-483B-80C7-F6326B4465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37" name="Text Box 15">
          <a:extLst>
            <a:ext uri="{FF2B5EF4-FFF2-40B4-BE49-F238E27FC236}">
              <a16:creationId xmlns:a16="http://schemas.microsoft.com/office/drawing/2014/main" id="{6792D252-7D93-4A3B-B069-37B937E281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38" name="Text Box 15">
          <a:extLst>
            <a:ext uri="{FF2B5EF4-FFF2-40B4-BE49-F238E27FC236}">
              <a16:creationId xmlns:a16="http://schemas.microsoft.com/office/drawing/2014/main" id="{48B3615A-B722-48EC-87D4-C3210462B03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9" name="Text Box 15">
          <a:extLst>
            <a:ext uri="{FF2B5EF4-FFF2-40B4-BE49-F238E27FC236}">
              <a16:creationId xmlns:a16="http://schemas.microsoft.com/office/drawing/2014/main" id="{8FCEE2BD-5F36-4AED-BACB-DD5C39E54E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0" name="Text Box 15">
          <a:extLst>
            <a:ext uri="{FF2B5EF4-FFF2-40B4-BE49-F238E27FC236}">
              <a16:creationId xmlns:a16="http://schemas.microsoft.com/office/drawing/2014/main" id="{7529D65C-3230-4BBB-A84A-BB28947B00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1" name="Text Box 15">
          <a:extLst>
            <a:ext uri="{FF2B5EF4-FFF2-40B4-BE49-F238E27FC236}">
              <a16:creationId xmlns:a16="http://schemas.microsoft.com/office/drawing/2014/main" id="{F507C3E4-FFAC-4F91-AB60-A323118A9A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2" name="Text Box 15">
          <a:extLst>
            <a:ext uri="{FF2B5EF4-FFF2-40B4-BE49-F238E27FC236}">
              <a16:creationId xmlns:a16="http://schemas.microsoft.com/office/drawing/2014/main" id="{2659BE69-F91D-4AA8-A45A-2CD7275847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3" name="Text Box 15">
          <a:extLst>
            <a:ext uri="{FF2B5EF4-FFF2-40B4-BE49-F238E27FC236}">
              <a16:creationId xmlns:a16="http://schemas.microsoft.com/office/drawing/2014/main" id="{FFD9CA6A-B5DA-455C-AE44-20D8E4E991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4" name="Text Box 15">
          <a:extLst>
            <a:ext uri="{FF2B5EF4-FFF2-40B4-BE49-F238E27FC236}">
              <a16:creationId xmlns:a16="http://schemas.microsoft.com/office/drawing/2014/main" id="{622B4184-6940-443F-9F57-AD89F161C8C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5" name="Text Box 15">
          <a:extLst>
            <a:ext uri="{FF2B5EF4-FFF2-40B4-BE49-F238E27FC236}">
              <a16:creationId xmlns:a16="http://schemas.microsoft.com/office/drawing/2014/main" id="{C616FE10-B01F-4892-913C-B15468D399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6" name="Text Box 15">
          <a:extLst>
            <a:ext uri="{FF2B5EF4-FFF2-40B4-BE49-F238E27FC236}">
              <a16:creationId xmlns:a16="http://schemas.microsoft.com/office/drawing/2014/main" id="{DF5A979B-AC2B-4667-8CF5-1460032157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7" name="Text Box 15">
          <a:extLst>
            <a:ext uri="{FF2B5EF4-FFF2-40B4-BE49-F238E27FC236}">
              <a16:creationId xmlns:a16="http://schemas.microsoft.com/office/drawing/2014/main" id="{0B0F33E5-F74B-45AA-923A-C891155F5C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8" name="Text Box 15">
          <a:extLst>
            <a:ext uri="{FF2B5EF4-FFF2-40B4-BE49-F238E27FC236}">
              <a16:creationId xmlns:a16="http://schemas.microsoft.com/office/drawing/2014/main" id="{D2691683-61A4-41DE-BED5-B43E247F17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49" name="Text Box 15">
          <a:extLst>
            <a:ext uri="{FF2B5EF4-FFF2-40B4-BE49-F238E27FC236}">
              <a16:creationId xmlns:a16="http://schemas.microsoft.com/office/drawing/2014/main" id="{F34C716E-A1A2-47C7-A718-252A9DE731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50" name="Text Box 15">
          <a:extLst>
            <a:ext uri="{FF2B5EF4-FFF2-40B4-BE49-F238E27FC236}">
              <a16:creationId xmlns:a16="http://schemas.microsoft.com/office/drawing/2014/main" id="{A46AC3E2-C76E-4838-837A-908CB92DF3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51" name="Text Box 15">
          <a:extLst>
            <a:ext uri="{FF2B5EF4-FFF2-40B4-BE49-F238E27FC236}">
              <a16:creationId xmlns:a16="http://schemas.microsoft.com/office/drawing/2014/main" id="{3BE1AD8D-4628-46A6-BD97-2816103694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52" name="Text Box 15">
          <a:extLst>
            <a:ext uri="{FF2B5EF4-FFF2-40B4-BE49-F238E27FC236}">
              <a16:creationId xmlns:a16="http://schemas.microsoft.com/office/drawing/2014/main" id="{74772D3A-FA6C-449D-9BF8-8ED543884A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53" name="Text Box 15">
          <a:extLst>
            <a:ext uri="{FF2B5EF4-FFF2-40B4-BE49-F238E27FC236}">
              <a16:creationId xmlns:a16="http://schemas.microsoft.com/office/drawing/2014/main" id="{1CD541C5-C4C0-4A94-9A60-111828E566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4" name="Text Box 15">
          <a:extLst>
            <a:ext uri="{FF2B5EF4-FFF2-40B4-BE49-F238E27FC236}">
              <a16:creationId xmlns:a16="http://schemas.microsoft.com/office/drawing/2014/main" id="{3D62486D-96B8-4BBE-A9B9-5FBCADC1FB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5" name="Text Box 15">
          <a:extLst>
            <a:ext uri="{FF2B5EF4-FFF2-40B4-BE49-F238E27FC236}">
              <a16:creationId xmlns:a16="http://schemas.microsoft.com/office/drawing/2014/main" id="{17D2F947-3976-47A5-B281-B0B3EBC890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6" name="Text Box 15">
          <a:extLst>
            <a:ext uri="{FF2B5EF4-FFF2-40B4-BE49-F238E27FC236}">
              <a16:creationId xmlns:a16="http://schemas.microsoft.com/office/drawing/2014/main" id="{1902A28F-C682-434C-9279-B87D9D08C4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7" name="Text Box 15">
          <a:extLst>
            <a:ext uri="{FF2B5EF4-FFF2-40B4-BE49-F238E27FC236}">
              <a16:creationId xmlns:a16="http://schemas.microsoft.com/office/drawing/2014/main" id="{CAD0AEA0-D807-45D6-8C16-29D884BECF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8" name="Text Box 15">
          <a:extLst>
            <a:ext uri="{FF2B5EF4-FFF2-40B4-BE49-F238E27FC236}">
              <a16:creationId xmlns:a16="http://schemas.microsoft.com/office/drawing/2014/main" id="{A7F63FA8-A16C-469A-A5FA-C5CF6A7331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9" name="Text Box 15">
          <a:extLst>
            <a:ext uri="{FF2B5EF4-FFF2-40B4-BE49-F238E27FC236}">
              <a16:creationId xmlns:a16="http://schemas.microsoft.com/office/drawing/2014/main" id="{57FE932E-4E19-456C-9D89-AF83C555AC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60" name="Text Box 15">
          <a:extLst>
            <a:ext uri="{FF2B5EF4-FFF2-40B4-BE49-F238E27FC236}">
              <a16:creationId xmlns:a16="http://schemas.microsoft.com/office/drawing/2014/main" id="{7152DC4F-B9BD-4B98-86EE-168C42684D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61" name="Text Box 15">
          <a:extLst>
            <a:ext uri="{FF2B5EF4-FFF2-40B4-BE49-F238E27FC236}">
              <a16:creationId xmlns:a16="http://schemas.microsoft.com/office/drawing/2014/main" id="{F62D9396-CC7C-4495-A343-BD3FD46B42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62" name="Text Box 15">
          <a:extLst>
            <a:ext uri="{FF2B5EF4-FFF2-40B4-BE49-F238E27FC236}">
              <a16:creationId xmlns:a16="http://schemas.microsoft.com/office/drawing/2014/main" id="{525B48FA-D4E9-4074-885C-61850DFE16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63" name="Text Box 15">
          <a:extLst>
            <a:ext uri="{FF2B5EF4-FFF2-40B4-BE49-F238E27FC236}">
              <a16:creationId xmlns:a16="http://schemas.microsoft.com/office/drawing/2014/main" id="{D11A6DD4-19E0-432D-97BB-9BAE323874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64" name="Text Box 15">
          <a:extLst>
            <a:ext uri="{FF2B5EF4-FFF2-40B4-BE49-F238E27FC236}">
              <a16:creationId xmlns:a16="http://schemas.microsoft.com/office/drawing/2014/main" id="{06B3251F-A479-41EC-93F0-DD2C1CCC48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65" name="Text Box 15">
          <a:extLst>
            <a:ext uri="{FF2B5EF4-FFF2-40B4-BE49-F238E27FC236}">
              <a16:creationId xmlns:a16="http://schemas.microsoft.com/office/drawing/2014/main" id="{D21ED7E1-44F1-4342-8D30-74983DB731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66" name="Text Box 15">
          <a:extLst>
            <a:ext uri="{FF2B5EF4-FFF2-40B4-BE49-F238E27FC236}">
              <a16:creationId xmlns:a16="http://schemas.microsoft.com/office/drawing/2014/main" id="{BAD942D4-02C1-438B-A20B-FC422785DB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67" name="Text Box 15">
          <a:extLst>
            <a:ext uri="{FF2B5EF4-FFF2-40B4-BE49-F238E27FC236}">
              <a16:creationId xmlns:a16="http://schemas.microsoft.com/office/drawing/2014/main" id="{B4BAD16C-56D3-4EAF-A3F1-114294E1A6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68" name="Text Box 15">
          <a:extLst>
            <a:ext uri="{FF2B5EF4-FFF2-40B4-BE49-F238E27FC236}">
              <a16:creationId xmlns:a16="http://schemas.microsoft.com/office/drawing/2014/main" id="{EB1F829A-D016-4D87-92DA-2010EDD888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69" name="Text Box 15">
          <a:extLst>
            <a:ext uri="{FF2B5EF4-FFF2-40B4-BE49-F238E27FC236}">
              <a16:creationId xmlns:a16="http://schemas.microsoft.com/office/drawing/2014/main" id="{ECDFD2F1-DED4-4F79-9BF8-A76E852BCE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0" name="Text Box 15">
          <a:extLst>
            <a:ext uri="{FF2B5EF4-FFF2-40B4-BE49-F238E27FC236}">
              <a16:creationId xmlns:a16="http://schemas.microsoft.com/office/drawing/2014/main" id="{42CC0C44-66C2-4489-B510-19D7055582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1" name="Text Box 15">
          <a:extLst>
            <a:ext uri="{FF2B5EF4-FFF2-40B4-BE49-F238E27FC236}">
              <a16:creationId xmlns:a16="http://schemas.microsoft.com/office/drawing/2014/main" id="{E1215208-0A47-4FF9-A4F0-7829A05E47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2" name="Text Box 15">
          <a:extLst>
            <a:ext uri="{FF2B5EF4-FFF2-40B4-BE49-F238E27FC236}">
              <a16:creationId xmlns:a16="http://schemas.microsoft.com/office/drawing/2014/main" id="{59C8F9C8-95C5-4414-A987-0E428FB314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3" name="Text Box 15">
          <a:extLst>
            <a:ext uri="{FF2B5EF4-FFF2-40B4-BE49-F238E27FC236}">
              <a16:creationId xmlns:a16="http://schemas.microsoft.com/office/drawing/2014/main" id="{044245D9-BE47-4441-9C59-2AB641C0B0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4" name="Text Box 15">
          <a:extLst>
            <a:ext uri="{FF2B5EF4-FFF2-40B4-BE49-F238E27FC236}">
              <a16:creationId xmlns:a16="http://schemas.microsoft.com/office/drawing/2014/main" id="{559E9138-7296-408F-8D2B-1FEA59D403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5" name="Text Box 15">
          <a:extLst>
            <a:ext uri="{FF2B5EF4-FFF2-40B4-BE49-F238E27FC236}">
              <a16:creationId xmlns:a16="http://schemas.microsoft.com/office/drawing/2014/main" id="{4FDEF604-2890-4C7B-89D7-B68A7904273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6" name="Text Box 15">
          <a:extLst>
            <a:ext uri="{FF2B5EF4-FFF2-40B4-BE49-F238E27FC236}">
              <a16:creationId xmlns:a16="http://schemas.microsoft.com/office/drawing/2014/main" id="{D14FF90D-1A61-4859-B1D4-D27CAD0541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7" name="Text Box 15">
          <a:extLst>
            <a:ext uri="{FF2B5EF4-FFF2-40B4-BE49-F238E27FC236}">
              <a16:creationId xmlns:a16="http://schemas.microsoft.com/office/drawing/2014/main" id="{54E11284-3B85-4E38-B42A-D48E171567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8" name="Text Box 15">
          <a:extLst>
            <a:ext uri="{FF2B5EF4-FFF2-40B4-BE49-F238E27FC236}">
              <a16:creationId xmlns:a16="http://schemas.microsoft.com/office/drawing/2014/main" id="{0910EBE3-C245-40DB-98DD-239497BE63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79" name="Text Box 15">
          <a:extLst>
            <a:ext uri="{FF2B5EF4-FFF2-40B4-BE49-F238E27FC236}">
              <a16:creationId xmlns:a16="http://schemas.microsoft.com/office/drawing/2014/main" id="{A6200BF8-58EA-4BE7-89E5-3F45452F571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80" name="Text Box 15">
          <a:extLst>
            <a:ext uri="{FF2B5EF4-FFF2-40B4-BE49-F238E27FC236}">
              <a16:creationId xmlns:a16="http://schemas.microsoft.com/office/drawing/2014/main" id="{10AD7E13-5EDB-47FC-8E5D-B41ED066A3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81" name="Text Box 15">
          <a:extLst>
            <a:ext uri="{FF2B5EF4-FFF2-40B4-BE49-F238E27FC236}">
              <a16:creationId xmlns:a16="http://schemas.microsoft.com/office/drawing/2014/main" id="{60BADE32-F2C0-4B77-AC39-0D063C75172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82" name="Text Box 15">
          <a:extLst>
            <a:ext uri="{FF2B5EF4-FFF2-40B4-BE49-F238E27FC236}">
              <a16:creationId xmlns:a16="http://schemas.microsoft.com/office/drawing/2014/main" id="{F8652B78-5D87-4BCF-B5EB-7EE22EC5B2B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83" name="Text Box 15">
          <a:extLst>
            <a:ext uri="{FF2B5EF4-FFF2-40B4-BE49-F238E27FC236}">
              <a16:creationId xmlns:a16="http://schemas.microsoft.com/office/drawing/2014/main" id="{B4C78F31-29E5-4E08-B8E1-DB3007B72F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4" name="Text Box 15">
          <a:extLst>
            <a:ext uri="{FF2B5EF4-FFF2-40B4-BE49-F238E27FC236}">
              <a16:creationId xmlns:a16="http://schemas.microsoft.com/office/drawing/2014/main" id="{815EC1C6-1481-4867-B96A-18E6A26881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5" name="Text Box 15">
          <a:extLst>
            <a:ext uri="{FF2B5EF4-FFF2-40B4-BE49-F238E27FC236}">
              <a16:creationId xmlns:a16="http://schemas.microsoft.com/office/drawing/2014/main" id="{96A97C0D-C32F-4936-AE1F-E59985734F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6" name="Text Box 15">
          <a:extLst>
            <a:ext uri="{FF2B5EF4-FFF2-40B4-BE49-F238E27FC236}">
              <a16:creationId xmlns:a16="http://schemas.microsoft.com/office/drawing/2014/main" id="{87E0F953-3091-4B3C-A95F-D398E744CA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7" name="Text Box 15">
          <a:extLst>
            <a:ext uri="{FF2B5EF4-FFF2-40B4-BE49-F238E27FC236}">
              <a16:creationId xmlns:a16="http://schemas.microsoft.com/office/drawing/2014/main" id="{4FD37439-C84A-44FF-8AC1-3488B92D27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8" name="Text Box 15">
          <a:extLst>
            <a:ext uri="{FF2B5EF4-FFF2-40B4-BE49-F238E27FC236}">
              <a16:creationId xmlns:a16="http://schemas.microsoft.com/office/drawing/2014/main" id="{B89D45DD-8EE7-4C04-A838-59AD17BF2D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9" name="Text Box 15">
          <a:extLst>
            <a:ext uri="{FF2B5EF4-FFF2-40B4-BE49-F238E27FC236}">
              <a16:creationId xmlns:a16="http://schemas.microsoft.com/office/drawing/2014/main" id="{089AB790-FE1F-4711-908C-FFDB022AF0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90" name="Text Box 15">
          <a:extLst>
            <a:ext uri="{FF2B5EF4-FFF2-40B4-BE49-F238E27FC236}">
              <a16:creationId xmlns:a16="http://schemas.microsoft.com/office/drawing/2014/main" id="{2F5789B2-6428-45F3-87C5-F2C7251E19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91" name="Text Box 15">
          <a:extLst>
            <a:ext uri="{FF2B5EF4-FFF2-40B4-BE49-F238E27FC236}">
              <a16:creationId xmlns:a16="http://schemas.microsoft.com/office/drawing/2014/main" id="{61C16FAA-6982-4A61-AFE8-579834A6EE2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92" name="Text Box 15">
          <a:extLst>
            <a:ext uri="{FF2B5EF4-FFF2-40B4-BE49-F238E27FC236}">
              <a16:creationId xmlns:a16="http://schemas.microsoft.com/office/drawing/2014/main" id="{7BE85823-45BB-43CF-8195-2659A9F5F7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93" name="Text Box 15">
          <a:extLst>
            <a:ext uri="{FF2B5EF4-FFF2-40B4-BE49-F238E27FC236}">
              <a16:creationId xmlns:a16="http://schemas.microsoft.com/office/drawing/2014/main" id="{02FB4101-FDDE-4D5A-9753-DB29B96D75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94" name="Text Box 15">
          <a:extLst>
            <a:ext uri="{FF2B5EF4-FFF2-40B4-BE49-F238E27FC236}">
              <a16:creationId xmlns:a16="http://schemas.microsoft.com/office/drawing/2014/main" id="{0BC85C80-FBEA-4682-9E3C-33E04E49CA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95" name="Text Box 15">
          <a:extLst>
            <a:ext uri="{FF2B5EF4-FFF2-40B4-BE49-F238E27FC236}">
              <a16:creationId xmlns:a16="http://schemas.microsoft.com/office/drawing/2014/main" id="{96DDBF17-3CB3-4828-9EE9-C2D8FD2E4D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96" name="Text Box 15">
          <a:extLst>
            <a:ext uri="{FF2B5EF4-FFF2-40B4-BE49-F238E27FC236}">
              <a16:creationId xmlns:a16="http://schemas.microsoft.com/office/drawing/2014/main" id="{A5A23C33-6237-4B6E-9FFB-18E19CDF29D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97" name="Text Box 15">
          <a:extLst>
            <a:ext uri="{FF2B5EF4-FFF2-40B4-BE49-F238E27FC236}">
              <a16:creationId xmlns:a16="http://schemas.microsoft.com/office/drawing/2014/main" id="{16A3D126-C4E8-4048-9BEA-0A7B385144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98" name="Text Box 15">
          <a:extLst>
            <a:ext uri="{FF2B5EF4-FFF2-40B4-BE49-F238E27FC236}">
              <a16:creationId xmlns:a16="http://schemas.microsoft.com/office/drawing/2014/main" id="{4A29AA68-EDEB-450A-9573-EEAB6BCAEF3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99" name="Text Box 15">
          <a:extLst>
            <a:ext uri="{FF2B5EF4-FFF2-40B4-BE49-F238E27FC236}">
              <a16:creationId xmlns:a16="http://schemas.microsoft.com/office/drawing/2014/main" id="{6831C3AA-CC26-46E5-AB61-5201FB5153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0" name="Text Box 15">
          <a:extLst>
            <a:ext uri="{FF2B5EF4-FFF2-40B4-BE49-F238E27FC236}">
              <a16:creationId xmlns:a16="http://schemas.microsoft.com/office/drawing/2014/main" id="{A560C9BB-C5BE-48DF-98B9-F2809CED1A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1" name="Text Box 15">
          <a:extLst>
            <a:ext uri="{FF2B5EF4-FFF2-40B4-BE49-F238E27FC236}">
              <a16:creationId xmlns:a16="http://schemas.microsoft.com/office/drawing/2014/main" id="{FCE37614-58EE-42DC-A083-CAF2103293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2" name="Text Box 15">
          <a:extLst>
            <a:ext uri="{FF2B5EF4-FFF2-40B4-BE49-F238E27FC236}">
              <a16:creationId xmlns:a16="http://schemas.microsoft.com/office/drawing/2014/main" id="{575A0A33-D9CA-4027-9079-A5DC4402A4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3" name="Text Box 15">
          <a:extLst>
            <a:ext uri="{FF2B5EF4-FFF2-40B4-BE49-F238E27FC236}">
              <a16:creationId xmlns:a16="http://schemas.microsoft.com/office/drawing/2014/main" id="{B68E423F-35D6-4675-8CBD-2A17E8DA9B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4" name="Text Box 15">
          <a:extLst>
            <a:ext uri="{FF2B5EF4-FFF2-40B4-BE49-F238E27FC236}">
              <a16:creationId xmlns:a16="http://schemas.microsoft.com/office/drawing/2014/main" id="{A6E12211-8449-4EE1-868F-AA6B104478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5" name="Text Box 15">
          <a:extLst>
            <a:ext uri="{FF2B5EF4-FFF2-40B4-BE49-F238E27FC236}">
              <a16:creationId xmlns:a16="http://schemas.microsoft.com/office/drawing/2014/main" id="{8CA861EA-0B55-4A96-84F9-321F3B2C7A6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6" name="Text Box 15">
          <a:extLst>
            <a:ext uri="{FF2B5EF4-FFF2-40B4-BE49-F238E27FC236}">
              <a16:creationId xmlns:a16="http://schemas.microsoft.com/office/drawing/2014/main" id="{2D578FBC-686D-4114-B566-AC167FB704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7" name="Text Box 15">
          <a:extLst>
            <a:ext uri="{FF2B5EF4-FFF2-40B4-BE49-F238E27FC236}">
              <a16:creationId xmlns:a16="http://schemas.microsoft.com/office/drawing/2014/main" id="{33853E28-448E-415B-A949-DFC6424B09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8" name="Text Box 15">
          <a:extLst>
            <a:ext uri="{FF2B5EF4-FFF2-40B4-BE49-F238E27FC236}">
              <a16:creationId xmlns:a16="http://schemas.microsoft.com/office/drawing/2014/main" id="{5D257D33-9923-45FE-B33C-B664CD64C5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09" name="Text Box 15">
          <a:extLst>
            <a:ext uri="{FF2B5EF4-FFF2-40B4-BE49-F238E27FC236}">
              <a16:creationId xmlns:a16="http://schemas.microsoft.com/office/drawing/2014/main" id="{F2AD7D4E-8FF5-4C44-A412-892811E93D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10" name="Text Box 15">
          <a:extLst>
            <a:ext uri="{FF2B5EF4-FFF2-40B4-BE49-F238E27FC236}">
              <a16:creationId xmlns:a16="http://schemas.microsoft.com/office/drawing/2014/main" id="{B2F6396A-1A37-4FD3-9584-A0E55F31E4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11" name="Text Box 15">
          <a:extLst>
            <a:ext uri="{FF2B5EF4-FFF2-40B4-BE49-F238E27FC236}">
              <a16:creationId xmlns:a16="http://schemas.microsoft.com/office/drawing/2014/main" id="{7AE38793-FB72-4166-93AA-765DE1953E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12" name="Text Box 15">
          <a:extLst>
            <a:ext uri="{FF2B5EF4-FFF2-40B4-BE49-F238E27FC236}">
              <a16:creationId xmlns:a16="http://schemas.microsoft.com/office/drawing/2014/main" id="{67284259-6CAE-40D0-97D8-68DD0897FD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13" name="Text Box 15">
          <a:extLst>
            <a:ext uri="{FF2B5EF4-FFF2-40B4-BE49-F238E27FC236}">
              <a16:creationId xmlns:a16="http://schemas.microsoft.com/office/drawing/2014/main" id="{9B109038-14B0-41CA-8C36-C54E92FF80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4" name="Text Box 15">
          <a:extLst>
            <a:ext uri="{FF2B5EF4-FFF2-40B4-BE49-F238E27FC236}">
              <a16:creationId xmlns:a16="http://schemas.microsoft.com/office/drawing/2014/main" id="{B8B6F145-34A0-4B38-AC3B-E575503E5E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5" name="Text Box 15">
          <a:extLst>
            <a:ext uri="{FF2B5EF4-FFF2-40B4-BE49-F238E27FC236}">
              <a16:creationId xmlns:a16="http://schemas.microsoft.com/office/drawing/2014/main" id="{BA702668-948B-42E6-AEC3-689B41B83A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6" name="Text Box 15">
          <a:extLst>
            <a:ext uri="{FF2B5EF4-FFF2-40B4-BE49-F238E27FC236}">
              <a16:creationId xmlns:a16="http://schemas.microsoft.com/office/drawing/2014/main" id="{1706B397-F4EF-48BA-BA3E-74D087CFAD0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7" name="Text Box 15">
          <a:extLst>
            <a:ext uri="{FF2B5EF4-FFF2-40B4-BE49-F238E27FC236}">
              <a16:creationId xmlns:a16="http://schemas.microsoft.com/office/drawing/2014/main" id="{8E382414-6B54-49AA-B202-69481684CF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8" name="Text Box 15">
          <a:extLst>
            <a:ext uri="{FF2B5EF4-FFF2-40B4-BE49-F238E27FC236}">
              <a16:creationId xmlns:a16="http://schemas.microsoft.com/office/drawing/2014/main" id="{7691E619-EF9C-42DD-A0A8-1CB9479DC3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9" name="Text Box 15">
          <a:extLst>
            <a:ext uri="{FF2B5EF4-FFF2-40B4-BE49-F238E27FC236}">
              <a16:creationId xmlns:a16="http://schemas.microsoft.com/office/drawing/2014/main" id="{375D1936-D773-4832-92DD-880A84B78B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0" name="Text Box 15">
          <a:extLst>
            <a:ext uri="{FF2B5EF4-FFF2-40B4-BE49-F238E27FC236}">
              <a16:creationId xmlns:a16="http://schemas.microsoft.com/office/drawing/2014/main" id="{1A47E455-5220-43FA-8E7D-4F9CDA541C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1" name="Text Box 15">
          <a:extLst>
            <a:ext uri="{FF2B5EF4-FFF2-40B4-BE49-F238E27FC236}">
              <a16:creationId xmlns:a16="http://schemas.microsoft.com/office/drawing/2014/main" id="{B668A359-4C64-474F-8B1A-20AC29329FF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2" name="Text Box 15">
          <a:extLst>
            <a:ext uri="{FF2B5EF4-FFF2-40B4-BE49-F238E27FC236}">
              <a16:creationId xmlns:a16="http://schemas.microsoft.com/office/drawing/2014/main" id="{A97A3741-85DD-4027-84DA-90784FE4164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3" name="Text Box 15">
          <a:extLst>
            <a:ext uri="{FF2B5EF4-FFF2-40B4-BE49-F238E27FC236}">
              <a16:creationId xmlns:a16="http://schemas.microsoft.com/office/drawing/2014/main" id="{7BA185B9-3B38-4656-AACB-0897C16B3E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24" name="Text Box 15">
          <a:extLst>
            <a:ext uri="{FF2B5EF4-FFF2-40B4-BE49-F238E27FC236}">
              <a16:creationId xmlns:a16="http://schemas.microsoft.com/office/drawing/2014/main" id="{C6505338-C6DD-496A-B2D7-FAF81DD470E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25" name="Text Box 15">
          <a:extLst>
            <a:ext uri="{FF2B5EF4-FFF2-40B4-BE49-F238E27FC236}">
              <a16:creationId xmlns:a16="http://schemas.microsoft.com/office/drawing/2014/main" id="{FF3E1CAE-27F2-42C9-822E-C0A771E9F1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26" name="Text Box 15">
          <a:extLst>
            <a:ext uri="{FF2B5EF4-FFF2-40B4-BE49-F238E27FC236}">
              <a16:creationId xmlns:a16="http://schemas.microsoft.com/office/drawing/2014/main" id="{2CFFB864-AA5E-41B3-841A-7D3BABE23A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7" name="Text Box 15">
          <a:extLst>
            <a:ext uri="{FF2B5EF4-FFF2-40B4-BE49-F238E27FC236}">
              <a16:creationId xmlns:a16="http://schemas.microsoft.com/office/drawing/2014/main" id="{8D8790FB-DFBC-4A71-8A21-BFDF07A1D2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8" name="Text Box 15">
          <a:extLst>
            <a:ext uri="{FF2B5EF4-FFF2-40B4-BE49-F238E27FC236}">
              <a16:creationId xmlns:a16="http://schemas.microsoft.com/office/drawing/2014/main" id="{3F6ED066-902B-4CD9-9F29-9F69E4A38D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9" name="Text Box 15">
          <a:extLst>
            <a:ext uri="{FF2B5EF4-FFF2-40B4-BE49-F238E27FC236}">
              <a16:creationId xmlns:a16="http://schemas.microsoft.com/office/drawing/2014/main" id="{9AFDD712-8654-40BF-B4B0-01352FF46F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0" name="Text Box 15">
          <a:extLst>
            <a:ext uri="{FF2B5EF4-FFF2-40B4-BE49-F238E27FC236}">
              <a16:creationId xmlns:a16="http://schemas.microsoft.com/office/drawing/2014/main" id="{08E9610A-6E96-42B7-8657-908A6D2755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1" name="Text Box 15">
          <a:extLst>
            <a:ext uri="{FF2B5EF4-FFF2-40B4-BE49-F238E27FC236}">
              <a16:creationId xmlns:a16="http://schemas.microsoft.com/office/drawing/2014/main" id="{B629262E-7985-4F6D-B4CF-C38D205CC4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2" name="Text Box 15">
          <a:extLst>
            <a:ext uri="{FF2B5EF4-FFF2-40B4-BE49-F238E27FC236}">
              <a16:creationId xmlns:a16="http://schemas.microsoft.com/office/drawing/2014/main" id="{7A37CF1D-DFA7-4C08-B5EB-2FF9FC28C0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3" name="Text Box 15">
          <a:extLst>
            <a:ext uri="{FF2B5EF4-FFF2-40B4-BE49-F238E27FC236}">
              <a16:creationId xmlns:a16="http://schemas.microsoft.com/office/drawing/2014/main" id="{50F28A28-C6FE-4664-94DA-060F142596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4" name="Text Box 15">
          <a:extLst>
            <a:ext uri="{FF2B5EF4-FFF2-40B4-BE49-F238E27FC236}">
              <a16:creationId xmlns:a16="http://schemas.microsoft.com/office/drawing/2014/main" id="{F210F1E6-FC9A-46A4-B66C-ACB6AC4D7C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5" name="Text Box 15">
          <a:extLst>
            <a:ext uri="{FF2B5EF4-FFF2-40B4-BE49-F238E27FC236}">
              <a16:creationId xmlns:a16="http://schemas.microsoft.com/office/drawing/2014/main" id="{AEC285FD-D752-4483-9D7C-2D3383E902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6" name="Text Box 15">
          <a:extLst>
            <a:ext uri="{FF2B5EF4-FFF2-40B4-BE49-F238E27FC236}">
              <a16:creationId xmlns:a16="http://schemas.microsoft.com/office/drawing/2014/main" id="{C98239F5-0149-43C2-97E0-82BD11D946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37" name="Text Box 15">
          <a:extLst>
            <a:ext uri="{FF2B5EF4-FFF2-40B4-BE49-F238E27FC236}">
              <a16:creationId xmlns:a16="http://schemas.microsoft.com/office/drawing/2014/main" id="{7C2E2FFD-DF34-4665-8267-A14BB00772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38" name="Text Box 15">
          <a:extLst>
            <a:ext uri="{FF2B5EF4-FFF2-40B4-BE49-F238E27FC236}">
              <a16:creationId xmlns:a16="http://schemas.microsoft.com/office/drawing/2014/main" id="{95AAFA8F-1697-473D-926E-AB7829BDB3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39" name="Text Box 15">
          <a:extLst>
            <a:ext uri="{FF2B5EF4-FFF2-40B4-BE49-F238E27FC236}">
              <a16:creationId xmlns:a16="http://schemas.microsoft.com/office/drawing/2014/main" id="{FDAA3A99-C5FF-46C5-877B-8D9C406C59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40" name="Text Box 15">
          <a:extLst>
            <a:ext uri="{FF2B5EF4-FFF2-40B4-BE49-F238E27FC236}">
              <a16:creationId xmlns:a16="http://schemas.microsoft.com/office/drawing/2014/main" id="{30E58C12-4DF1-44C3-ADD8-A2BE0A6235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41" name="Text Box 15">
          <a:extLst>
            <a:ext uri="{FF2B5EF4-FFF2-40B4-BE49-F238E27FC236}">
              <a16:creationId xmlns:a16="http://schemas.microsoft.com/office/drawing/2014/main" id="{FB580A92-4403-4124-9286-371155714D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2" name="Text Box 15">
          <a:extLst>
            <a:ext uri="{FF2B5EF4-FFF2-40B4-BE49-F238E27FC236}">
              <a16:creationId xmlns:a16="http://schemas.microsoft.com/office/drawing/2014/main" id="{5F9C6F10-8513-428F-AC2B-28B844AB7A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3" name="Text Box 15">
          <a:extLst>
            <a:ext uri="{FF2B5EF4-FFF2-40B4-BE49-F238E27FC236}">
              <a16:creationId xmlns:a16="http://schemas.microsoft.com/office/drawing/2014/main" id="{672BD8A1-0187-47CB-B0BA-6F4D5A6528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4" name="Text Box 15">
          <a:extLst>
            <a:ext uri="{FF2B5EF4-FFF2-40B4-BE49-F238E27FC236}">
              <a16:creationId xmlns:a16="http://schemas.microsoft.com/office/drawing/2014/main" id="{7A30698B-2430-4D3F-9F57-B028CD5FC7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5" name="Text Box 15">
          <a:extLst>
            <a:ext uri="{FF2B5EF4-FFF2-40B4-BE49-F238E27FC236}">
              <a16:creationId xmlns:a16="http://schemas.microsoft.com/office/drawing/2014/main" id="{10D77DCA-C09A-4426-9C5B-DC031E48C9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6" name="Text Box 15">
          <a:extLst>
            <a:ext uri="{FF2B5EF4-FFF2-40B4-BE49-F238E27FC236}">
              <a16:creationId xmlns:a16="http://schemas.microsoft.com/office/drawing/2014/main" id="{7CBA3E6E-F42E-43A9-BE03-3FA4BE5C621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7" name="Text Box 15">
          <a:extLst>
            <a:ext uri="{FF2B5EF4-FFF2-40B4-BE49-F238E27FC236}">
              <a16:creationId xmlns:a16="http://schemas.microsoft.com/office/drawing/2014/main" id="{4105492B-6B6F-45A8-A7A7-D3BAEDD190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8" name="Text Box 15">
          <a:extLst>
            <a:ext uri="{FF2B5EF4-FFF2-40B4-BE49-F238E27FC236}">
              <a16:creationId xmlns:a16="http://schemas.microsoft.com/office/drawing/2014/main" id="{AA63C17E-4DFB-41F4-8E3E-AD55571F48C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9" name="Text Box 15">
          <a:extLst>
            <a:ext uri="{FF2B5EF4-FFF2-40B4-BE49-F238E27FC236}">
              <a16:creationId xmlns:a16="http://schemas.microsoft.com/office/drawing/2014/main" id="{98AB031B-EBCE-4E02-A179-C195E161CF7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50" name="Text Box 15">
          <a:extLst>
            <a:ext uri="{FF2B5EF4-FFF2-40B4-BE49-F238E27FC236}">
              <a16:creationId xmlns:a16="http://schemas.microsoft.com/office/drawing/2014/main" id="{F6C8EBB1-108F-4F4B-A397-E64574115F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51" name="Text Box 15">
          <a:extLst>
            <a:ext uri="{FF2B5EF4-FFF2-40B4-BE49-F238E27FC236}">
              <a16:creationId xmlns:a16="http://schemas.microsoft.com/office/drawing/2014/main" id="{3378F098-BB80-48D2-9EDE-6E5731A7DE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52" name="Text Box 15">
          <a:extLst>
            <a:ext uri="{FF2B5EF4-FFF2-40B4-BE49-F238E27FC236}">
              <a16:creationId xmlns:a16="http://schemas.microsoft.com/office/drawing/2014/main" id="{B9EBCAD5-04C3-48E5-8A89-A5726DB781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53" name="Text Box 15">
          <a:extLst>
            <a:ext uri="{FF2B5EF4-FFF2-40B4-BE49-F238E27FC236}">
              <a16:creationId xmlns:a16="http://schemas.microsoft.com/office/drawing/2014/main" id="{419A4909-B106-49EF-B560-CB38A464F6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54" name="Text Box 15">
          <a:extLst>
            <a:ext uri="{FF2B5EF4-FFF2-40B4-BE49-F238E27FC236}">
              <a16:creationId xmlns:a16="http://schemas.microsoft.com/office/drawing/2014/main" id="{14852381-2EA0-4421-A2A9-F4B18AC628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55" name="Text Box 15">
          <a:extLst>
            <a:ext uri="{FF2B5EF4-FFF2-40B4-BE49-F238E27FC236}">
              <a16:creationId xmlns:a16="http://schemas.microsoft.com/office/drawing/2014/main" id="{40ED6BF1-CF60-4DAB-926D-9D81717487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56" name="Text Box 15">
          <a:extLst>
            <a:ext uri="{FF2B5EF4-FFF2-40B4-BE49-F238E27FC236}">
              <a16:creationId xmlns:a16="http://schemas.microsoft.com/office/drawing/2014/main" id="{7ACFB818-AAD0-466B-A03B-FEA428DE0F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57" name="Text Box 15">
          <a:extLst>
            <a:ext uri="{FF2B5EF4-FFF2-40B4-BE49-F238E27FC236}">
              <a16:creationId xmlns:a16="http://schemas.microsoft.com/office/drawing/2014/main" id="{D4C0B871-064F-4067-B56C-D055AE6A28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58" name="Text Box 15">
          <a:extLst>
            <a:ext uri="{FF2B5EF4-FFF2-40B4-BE49-F238E27FC236}">
              <a16:creationId xmlns:a16="http://schemas.microsoft.com/office/drawing/2014/main" id="{3C0772AC-63A3-49AC-BCF3-5F6A080F31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59" name="Text Box 15">
          <a:extLst>
            <a:ext uri="{FF2B5EF4-FFF2-40B4-BE49-F238E27FC236}">
              <a16:creationId xmlns:a16="http://schemas.microsoft.com/office/drawing/2014/main" id="{2ED8702C-C2B6-4BCF-9625-DE155B1098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0" name="Text Box 15">
          <a:extLst>
            <a:ext uri="{FF2B5EF4-FFF2-40B4-BE49-F238E27FC236}">
              <a16:creationId xmlns:a16="http://schemas.microsoft.com/office/drawing/2014/main" id="{6A57C634-D53F-40D2-9CD6-8F8E5992D4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1" name="Text Box 15">
          <a:extLst>
            <a:ext uri="{FF2B5EF4-FFF2-40B4-BE49-F238E27FC236}">
              <a16:creationId xmlns:a16="http://schemas.microsoft.com/office/drawing/2014/main" id="{D3EF09A2-A436-4F75-A0A4-8A41AB31CA9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2" name="Text Box 15">
          <a:extLst>
            <a:ext uri="{FF2B5EF4-FFF2-40B4-BE49-F238E27FC236}">
              <a16:creationId xmlns:a16="http://schemas.microsoft.com/office/drawing/2014/main" id="{B51575EC-3729-4129-A953-ED98CD44E7D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3" name="Text Box 15">
          <a:extLst>
            <a:ext uri="{FF2B5EF4-FFF2-40B4-BE49-F238E27FC236}">
              <a16:creationId xmlns:a16="http://schemas.microsoft.com/office/drawing/2014/main" id="{3943A0F5-A67C-4D25-B1FE-10B83D09592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4" name="Text Box 15">
          <a:extLst>
            <a:ext uri="{FF2B5EF4-FFF2-40B4-BE49-F238E27FC236}">
              <a16:creationId xmlns:a16="http://schemas.microsoft.com/office/drawing/2014/main" id="{FDEAAA8D-51A0-4531-A09B-0198DC129C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5" name="Text Box 15">
          <a:extLst>
            <a:ext uri="{FF2B5EF4-FFF2-40B4-BE49-F238E27FC236}">
              <a16:creationId xmlns:a16="http://schemas.microsoft.com/office/drawing/2014/main" id="{2F695115-4E38-49F9-A62B-B36938B340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6" name="Text Box 15">
          <a:extLst>
            <a:ext uri="{FF2B5EF4-FFF2-40B4-BE49-F238E27FC236}">
              <a16:creationId xmlns:a16="http://schemas.microsoft.com/office/drawing/2014/main" id="{FEFAC872-93BC-4571-8E24-F78464F5E0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67" name="Text Box 15">
          <a:extLst>
            <a:ext uri="{FF2B5EF4-FFF2-40B4-BE49-F238E27FC236}">
              <a16:creationId xmlns:a16="http://schemas.microsoft.com/office/drawing/2014/main" id="{E9CFCFA7-8B58-43BB-BF9E-3E9B994B1E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68" name="Text Box 15">
          <a:extLst>
            <a:ext uri="{FF2B5EF4-FFF2-40B4-BE49-F238E27FC236}">
              <a16:creationId xmlns:a16="http://schemas.microsoft.com/office/drawing/2014/main" id="{808DE876-12D2-4FD7-A06C-A5472CAF45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69" name="Text Box 15">
          <a:extLst>
            <a:ext uri="{FF2B5EF4-FFF2-40B4-BE49-F238E27FC236}">
              <a16:creationId xmlns:a16="http://schemas.microsoft.com/office/drawing/2014/main" id="{6A2AA20B-B410-48BE-823A-23161CAA33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70" name="Text Box 15">
          <a:extLst>
            <a:ext uri="{FF2B5EF4-FFF2-40B4-BE49-F238E27FC236}">
              <a16:creationId xmlns:a16="http://schemas.microsoft.com/office/drawing/2014/main" id="{25416B89-40B1-4A17-8F75-9D078359EF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71" name="Text Box 15">
          <a:extLst>
            <a:ext uri="{FF2B5EF4-FFF2-40B4-BE49-F238E27FC236}">
              <a16:creationId xmlns:a16="http://schemas.microsoft.com/office/drawing/2014/main" id="{87CF0497-91D3-4814-A5B4-98C169A76C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2" name="Text Box 15">
          <a:extLst>
            <a:ext uri="{FF2B5EF4-FFF2-40B4-BE49-F238E27FC236}">
              <a16:creationId xmlns:a16="http://schemas.microsoft.com/office/drawing/2014/main" id="{7CAD3D20-13F5-45B4-B4BB-D16D43EAFD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3" name="Text Box 15">
          <a:extLst>
            <a:ext uri="{FF2B5EF4-FFF2-40B4-BE49-F238E27FC236}">
              <a16:creationId xmlns:a16="http://schemas.microsoft.com/office/drawing/2014/main" id="{9EC80461-71F0-47C2-ADE5-5318A24E50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4" name="Text Box 15">
          <a:extLst>
            <a:ext uri="{FF2B5EF4-FFF2-40B4-BE49-F238E27FC236}">
              <a16:creationId xmlns:a16="http://schemas.microsoft.com/office/drawing/2014/main" id="{1414FF5E-4CB0-442C-9E9C-980B425BBF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5" name="Text Box 15">
          <a:extLst>
            <a:ext uri="{FF2B5EF4-FFF2-40B4-BE49-F238E27FC236}">
              <a16:creationId xmlns:a16="http://schemas.microsoft.com/office/drawing/2014/main" id="{C8120362-470A-423F-A8C3-48C3F2B6F9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6" name="Text Box 15">
          <a:extLst>
            <a:ext uri="{FF2B5EF4-FFF2-40B4-BE49-F238E27FC236}">
              <a16:creationId xmlns:a16="http://schemas.microsoft.com/office/drawing/2014/main" id="{9C137F80-90DF-4CD5-899E-FD26BC8208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7" name="Text Box 15">
          <a:extLst>
            <a:ext uri="{FF2B5EF4-FFF2-40B4-BE49-F238E27FC236}">
              <a16:creationId xmlns:a16="http://schemas.microsoft.com/office/drawing/2014/main" id="{519639CE-9196-41B0-8692-398EE203B6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8" name="Text Box 15">
          <a:extLst>
            <a:ext uri="{FF2B5EF4-FFF2-40B4-BE49-F238E27FC236}">
              <a16:creationId xmlns:a16="http://schemas.microsoft.com/office/drawing/2014/main" id="{4817F0B6-561E-46C7-8E2D-B46E87C686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9" name="Text Box 15">
          <a:extLst>
            <a:ext uri="{FF2B5EF4-FFF2-40B4-BE49-F238E27FC236}">
              <a16:creationId xmlns:a16="http://schemas.microsoft.com/office/drawing/2014/main" id="{556BDE53-B48D-4471-876D-61C5BEB64F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80" name="Text Box 15">
          <a:extLst>
            <a:ext uri="{FF2B5EF4-FFF2-40B4-BE49-F238E27FC236}">
              <a16:creationId xmlns:a16="http://schemas.microsoft.com/office/drawing/2014/main" id="{F68941E0-3E5D-49C8-808B-746A2A548F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81" name="Text Box 15">
          <a:extLst>
            <a:ext uri="{FF2B5EF4-FFF2-40B4-BE49-F238E27FC236}">
              <a16:creationId xmlns:a16="http://schemas.microsoft.com/office/drawing/2014/main" id="{52FDF995-C042-4CC0-AF96-50558E156F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82" name="Text Box 15">
          <a:extLst>
            <a:ext uri="{FF2B5EF4-FFF2-40B4-BE49-F238E27FC236}">
              <a16:creationId xmlns:a16="http://schemas.microsoft.com/office/drawing/2014/main" id="{043F0CFC-7570-4032-AC1B-0D4FB53190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83" name="Text Box 15">
          <a:extLst>
            <a:ext uri="{FF2B5EF4-FFF2-40B4-BE49-F238E27FC236}">
              <a16:creationId xmlns:a16="http://schemas.microsoft.com/office/drawing/2014/main" id="{A9B7EFC3-25B9-4084-987C-3BDD933ADC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84" name="Text Box 15">
          <a:extLst>
            <a:ext uri="{FF2B5EF4-FFF2-40B4-BE49-F238E27FC236}">
              <a16:creationId xmlns:a16="http://schemas.microsoft.com/office/drawing/2014/main" id="{A058D300-60BA-4A6D-8F25-91F3D9D3D9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85" name="Text Box 15">
          <a:extLst>
            <a:ext uri="{FF2B5EF4-FFF2-40B4-BE49-F238E27FC236}">
              <a16:creationId xmlns:a16="http://schemas.microsoft.com/office/drawing/2014/main" id="{DBC70599-BEF2-4621-89A3-0196C35473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86" name="Text Box 15">
          <a:extLst>
            <a:ext uri="{FF2B5EF4-FFF2-40B4-BE49-F238E27FC236}">
              <a16:creationId xmlns:a16="http://schemas.microsoft.com/office/drawing/2014/main" id="{2D5A836C-4D33-4214-8E78-6FF1DEC061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87" name="Text Box 15">
          <a:extLst>
            <a:ext uri="{FF2B5EF4-FFF2-40B4-BE49-F238E27FC236}">
              <a16:creationId xmlns:a16="http://schemas.microsoft.com/office/drawing/2014/main" id="{98FF1EBC-A46A-481C-A368-AAA7ABA7E1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88" name="Text Box 15">
          <a:extLst>
            <a:ext uri="{FF2B5EF4-FFF2-40B4-BE49-F238E27FC236}">
              <a16:creationId xmlns:a16="http://schemas.microsoft.com/office/drawing/2014/main" id="{F358FF47-F668-4275-BDD3-F1720CAF59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89" name="Text Box 15">
          <a:extLst>
            <a:ext uri="{FF2B5EF4-FFF2-40B4-BE49-F238E27FC236}">
              <a16:creationId xmlns:a16="http://schemas.microsoft.com/office/drawing/2014/main" id="{E1A19115-AD96-40AF-8FC0-0F7967FEA0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0" name="Text Box 15">
          <a:extLst>
            <a:ext uri="{FF2B5EF4-FFF2-40B4-BE49-F238E27FC236}">
              <a16:creationId xmlns:a16="http://schemas.microsoft.com/office/drawing/2014/main" id="{56699CDE-D5FD-43FF-A347-8387B52A7C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1" name="Text Box 15">
          <a:extLst>
            <a:ext uri="{FF2B5EF4-FFF2-40B4-BE49-F238E27FC236}">
              <a16:creationId xmlns:a16="http://schemas.microsoft.com/office/drawing/2014/main" id="{34FEBF25-8DE1-454E-8B61-2658C616D29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2" name="Text Box 15">
          <a:extLst>
            <a:ext uri="{FF2B5EF4-FFF2-40B4-BE49-F238E27FC236}">
              <a16:creationId xmlns:a16="http://schemas.microsoft.com/office/drawing/2014/main" id="{CB563AE1-A0FE-41F7-97D2-6B9149492CF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3" name="Text Box 15">
          <a:extLst>
            <a:ext uri="{FF2B5EF4-FFF2-40B4-BE49-F238E27FC236}">
              <a16:creationId xmlns:a16="http://schemas.microsoft.com/office/drawing/2014/main" id="{4893AF06-DF6B-4953-88C7-B751214B9B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4" name="Text Box 15">
          <a:extLst>
            <a:ext uri="{FF2B5EF4-FFF2-40B4-BE49-F238E27FC236}">
              <a16:creationId xmlns:a16="http://schemas.microsoft.com/office/drawing/2014/main" id="{E9159C00-0779-49C1-8BCE-0B201543D3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5" name="Text Box 15">
          <a:extLst>
            <a:ext uri="{FF2B5EF4-FFF2-40B4-BE49-F238E27FC236}">
              <a16:creationId xmlns:a16="http://schemas.microsoft.com/office/drawing/2014/main" id="{FEAB392E-6BF6-4604-B30A-E156135EFD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6" name="Text Box 15">
          <a:extLst>
            <a:ext uri="{FF2B5EF4-FFF2-40B4-BE49-F238E27FC236}">
              <a16:creationId xmlns:a16="http://schemas.microsoft.com/office/drawing/2014/main" id="{2EB05019-0DF3-4BB6-9DF7-6181922CE3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97" name="Text Box 15">
          <a:extLst>
            <a:ext uri="{FF2B5EF4-FFF2-40B4-BE49-F238E27FC236}">
              <a16:creationId xmlns:a16="http://schemas.microsoft.com/office/drawing/2014/main" id="{1B8B4FAD-7C93-44BB-BE2B-4C9717787E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98" name="Text Box 15">
          <a:extLst>
            <a:ext uri="{FF2B5EF4-FFF2-40B4-BE49-F238E27FC236}">
              <a16:creationId xmlns:a16="http://schemas.microsoft.com/office/drawing/2014/main" id="{E4A07837-E26A-4065-906A-AFCF79C7DD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99" name="Text Box 15">
          <a:extLst>
            <a:ext uri="{FF2B5EF4-FFF2-40B4-BE49-F238E27FC236}">
              <a16:creationId xmlns:a16="http://schemas.microsoft.com/office/drawing/2014/main" id="{68E29C13-93BB-449E-9015-3A6F711A48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600" name="Text Box 15">
          <a:extLst>
            <a:ext uri="{FF2B5EF4-FFF2-40B4-BE49-F238E27FC236}">
              <a16:creationId xmlns:a16="http://schemas.microsoft.com/office/drawing/2014/main" id="{BDE575D8-EF45-4628-BD7A-82FFADE5CB4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601" name="Text Box 15">
          <a:extLst>
            <a:ext uri="{FF2B5EF4-FFF2-40B4-BE49-F238E27FC236}">
              <a16:creationId xmlns:a16="http://schemas.microsoft.com/office/drawing/2014/main" id="{113FB731-50DE-4CE7-B1FB-4828C75A89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2" name="Text Box 15">
          <a:extLst>
            <a:ext uri="{FF2B5EF4-FFF2-40B4-BE49-F238E27FC236}">
              <a16:creationId xmlns:a16="http://schemas.microsoft.com/office/drawing/2014/main" id="{18BFB12A-C00D-4F0B-8E1E-FDA1051AB8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3" name="Text Box 15">
          <a:extLst>
            <a:ext uri="{FF2B5EF4-FFF2-40B4-BE49-F238E27FC236}">
              <a16:creationId xmlns:a16="http://schemas.microsoft.com/office/drawing/2014/main" id="{C4077689-2610-42C9-A852-5AB108C829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4" name="Text Box 15">
          <a:extLst>
            <a:ext uri="{FF2B5EF4-FFF2-40B4-BE49-F238E27FC236}">
              <a16:creationId xmlns:a16="http://schemas.microsoft.com/office/drawing/2014/main" id="{510E551A-100C-4CC2-9337-365346DE90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5" name="Text Box 15">
          <a:extLst>
            <a:ext uri="{FF2B5EF4-FFF2-40B4-BE49-F238E27FC236}">
              <a16:creationId xmlns:a16="http://schemas.microsoft.com/office/drawing/2014/main" id="{8FBC0ADA-D4C2-4772-8F46-642EEF819D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6" name="Text Box 15">
          <a:extLst>
            <a:ext uri="{FF2B5EF4-FFF2-40B4-BE49-F238E27FC236}">
              <a16:creationId xmlns:a16="http://schemas.microsoft.com/office/drawing/2014/main" id="{3D972A54-ED4D-4C26-B62E-24262C95AD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7" name="Text Box 15">
          <a:extLst>
            <a:ext uri="{FF2B5EF4-FFF2-40B4-BE49-F238E27FC236}">
              <a16:creationId xmlns:a16="http://schemas.microsoft.com/office/drawing/2014/main" id="{EED6FE33-22F5-43D9-AE06-88C86E7165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08" name="Text Box 15">
          <a:extLst>
            <a:ext uri="{FF2B5EF4-FFF2-40B4-BE49-F238E27FC236}">
              <a16:creationId xmlns:a16="http://schemas.microsoft.com/office/drawing/2014/main" id="{3BD589B2-BE54-45CF-9D84-A36D6BE5B2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09" name="Text Box 15">
          <a:extLst>
            <a:ext uri="{FF2B5EF4-FFF2-40B4-BE49-F238E27FC236}">
              <a16:creationId xmlns:a16="http://schemas.microsoft.com/office/drawing/2014/main" id="{DF388E61-3287-4996-8D64-542FF04FE7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0" name="Text Box 15">
          <a:extLst>
            <a:ext uri="{FF2B5EF4-FFF2-40B4-BE49-F238E27FC236}">
              <a16:creationId xmlns:a16="http://schemas.microsoft.com/office/drawing/2014/main" id="{A4606566-7F06-4713-83A4-237130941D8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1" name="Text Box 15">
          <a:extLst>
            <a:ext uri="{FF2B5EF4-FFF2-40B4-BE49-F238E27FC236}">
              <a16:creationId xmlns:a16="http://schemas.microsoft.com/office/drawing/2014/main" id="{51930CCA-6C55-41BE-8EFC-0BC7ACA119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2" name="Text Box 15">
          <a:extLst>
            <a:ext uri="{FF2B5EF4-FFF2-40B4-BE49-F238E27FC236}">
              <a16:creationId xmlns:a16="http://schemas.microsoft.com/office/drawing/2014/main" id="{00873FB7-8798-4AB0-ACB3-AA35A5EF9D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3" name="Text Box 15">
          <a:extLst>
            <a:ext uri="{FF2B5EF4-FFF2-40B4-BE49-F238E27FC236}">
              <a16:creationId xmlns:a16="http://schemas.microsoft.com/office/drawing/2014/main" id="{290ECB07-4F2E-4635-9F8C-026AC971EF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4" name="Text Box 15">
          <a:extLst>
            <a:ext uri="{FF2B5EF4-FFF2-40B4-BE49-F238E27FC236}">
              <a16:creationId xmlns:a16="http://schemas.microsoft.com/office/drawing/2014/main" id="{4ECDE9FC-5156-4524-BDEC-83276EAB6E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5" name="Text Box 15">
          <a:extLst>
            <a:ext uri="{FF2B5EF4-FFF2-40B4-BE49-F238E27FC236}">
              <a16:creationId xmlns:a16="http://schemas.microsoft.com/office/drawing/2014/main" id="{88EA3F2E-F6E4-4C6A-8667-201ABF95B5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6" name="Text Box 15">
          <a:extLst>
            <a:ext uri="{FF2B5EF4-FFF2-40B4-BE49-F238E27FC236}">
              <a16:creationId xmlns:a16="http://schemas.microsoft.com/office/drawing/2014/main" id="{3838E3A0-09ED-4703-8D40-C4F29172FF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7" name="Text Box 15">
          <a:extLst>
            <a:ext uri="{FF2B5EF4-FFF2-40B4-BE49-F238E27FC236}">
              <a16:creationId xmlns:a16="http://schemas.microsoft.com/office/drawing/2014/main" id="{4484548D-3CEC-4818-B800-D7E1C17B6C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18" name="Text Box 15">
          <a:extLst>
            <a:ext uri="{FF2B5EF4-FFF2-40B4-BE49-F238E27FC236}">
              <a16:creationId xmlns:a16="http://schemas.microsoft.com/office/drawing/2014/main" id="{A09AE32A-FC7B-48AB-9CE3-BA675034FD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19" name="Text Box 15">
          <a:extLst>
            <a:ext uri="{FF2B5EF4-FFF2-40B4-BE49-F238E27FC236}">
              <a16:creationId xmlns:a16="http://schemas.microsoft.com/office/drawing/2014/main" id="{96ACAD83-F10E-42C8-9E36-C3B1D4E42F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20" name="Text Box 15">
          <a:extLst>
            <a:ext uri="{FF2B5EF4-FFF2-40B4-BE49-F238E27FC236}">
              <a16:creationId xmlns:a16="http://schemas.microsoft.com/office/drawing/2014/main" id="{C491E673-8322-4B2D-8CB5-0C92544603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21" name="Text Box 15">
          <a:extLst>
            <a:ext uri="{FF2B5EF4-FFF2-40B4-BE49-F238E27FC236}">
              <a16:creationId xmlns:a16="http://schemas.microsoft.com/office/drawing/2014/main" id="{3C2D8A28-DC85-449C-94B3-E8362520C6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22" name="Text Box 15">
          <a:extLst>
            <a:ext uri="{FF2B5EF4-FFF2-40B4-BE49-F238E27FC236}">
              <a16:creationId xmlns:a16="http://schemas.microsoft.com/office/drawing/2014/main" id="{2A98C484-5C85-4C2F-8C94-64F8BA75E6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3" name="Text Box 15">
          <a:extLst>
            <a:ext uri="{FF2B5EF4-FFF2-40B4-BE49-F238E27FC236}">
              <a16:creationId xmlns:a16="http://schemas.microsoft.com/office/drawing/2014/main" id="{7F1592FC-D701-4CA2-B16F-4CB455942D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4" name="Text Box 15">
          <a:extLst>
            <a:ext uri="{FF2B5EF4-FFF2-40B4-BE49-F238E27FC236}">
              <a16:creationId xmlns:a16="http://schemas.microsoft.com/office/drawing/2014/main" id="{25D857E8-7A1A-4C75-AF07-D2F26B3422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5" name="Text Box 15">
          <a:extLst>
            <a:ext uri="{FF2B5EF4-FFF2-40B4-BE49-F238E27FC236}">
              <a16:creationId xmlns:a16="http://schemas.microsoft.com/office/drawing/2014/main" id="{47EFA6DB-00CC-4044-BBB4-1476BDECCF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6" name="Text Box 15">
          <a:extLst>
            <a:ext uri="{FF2B5EF4-FFF2-40B4-BE49-F238E27FC236}">
              <a16:creationId xmlns:a16="http://schemas.microsoft.com/office/drawing/2014/main" id="{84C24D31-F72F-43AB-9CED-4C285881AD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7" name="Text Box 15">
          <a:extLst>
            <a:ext uri="{FF2B5EF4-FFF2-40B4-BE49-F238E27FC236}">
              <a16:creationId xmlns:a16="http://schemas.microsoft.com/office/drawing/2014/main" id="{3681E467-34CB-4A26-B528-A28107247B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8" name="Text Box 15">
          <a:extLst>
            <a:ext uri="{FF2B5EF4-FFF2-40B4-BE49-F238E27FC236}">
              <a16:creationId xmlns:a16="http://schemas.microsoft.com/office/drawing/2014/main" id="{E5724D93-C2A3-4812-A32B-4412FBE035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9" name="Text Box 15">
          <a:extLst>
            <a:ext uri="{FF2B5EF4-FFF2-40B4-BE49-F238E27FC236}">
              <a16:creationId xmlns:a16="http://schemas.microsoft.com/office/drawing/2014/main" id="{23763EB7-B375-4C8E-9DF6-61623195F9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30" name="Text Box 15">
          <a:extLst>
            <a:ext uri="{FF2B5EF4-FFF2-40B4-BE49-F238E27FC236}">
              <a16:creationId xmlns:a16="http://schemas.microsoft.com/office/drawing/2014/main" id="{902F9BEB-E4DF-4FAB-92FD-1E0D4338E7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31" name="Text Box 15">
          <a:extLst>
            <a:ext uri="{FF2B5EF4-FFF2-40B4-BE49-F238E27FC236}">
              <a16:creationId xmlns:a16="http://schemas.microsoft.com/office/drawing/2014/main" id="{EBB012A9-56C5-423D-90BC-F68CE61825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32" name="Text Box 15">
          <a:extLst>
            <a:ext uri="{FF2B5EF4-FFF2-40B4-BE49-F238E27FC236}">
              <a16:creationId xmlns:a16="http://schemas.microsoft.com/office/drawing/2014/main" id="{8C8D18B6-58B9-4EE3-99BA-708230D424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33" name="Text Box 15">
          <a:extLst>
            <a:ext uri="{FF2B5EF4-FFF2-40B4-BE49-F238E27FC236}">
              <a16:creationId xmlns:a16="http://schemas.microsoft.com/office/drawing/2014/main" id="{0436CF37-9723-40A5-BC8B-7FFD0B19B0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34" name="Text Box 15">
          <a:extLst>
            <a:ext uri="{FF2B5EF4-FFF2-40B4-BE49-F238E27FC236}">
              <a16:creationId xmlns:a16="http://schemas.microsoft.com/office/drawing/2014/main" id="{D7BDF52A-3904-4394-A1CB-2E6F024026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35" name="Text Box 15">
          <a:extLst>
            <a:ext uri="{FF2B5EF4-FFF2-40B4-BE49-F238E27FC236}">
              <a16:creationId xmlns:a16="http://schemas.microsoft.com/office/drawing/2014/main" id="{DA094E98-C538-462E-9AB6-05C09B1A26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36" name="Text Box 15">
          <a:extLst>
            <a:ext uri="{FF2B5EF4-FFF2-40B4-BE49-F238E27FC236}">
              <a16:creationId xmlns:a16="http://schemas.microsoft.com/office/drawing/2014/main" id="{5C0147E9-C99B-42AE-A908-23645B2D40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37" name="Text Box 15">
          <a:extLst>
            <a:ext uri="{FF2B5EF4-FFF2-40B4-BE49-F238E27FC236}">
              <a16:creationId xmlns:a16="http://schemas.microsoft.com/office/drawing/2014/main" id="{DE7E94CB-2E5D-4758-9134-684C95D9A4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38" name="Text Box 15">
          <a:extLst>
            <a:ext uri="{FF2B5EF4-FFF2-40B4-BE49-F238E27FC236}">
              <a16:creationId xmlns:a16="http://schemas.microsoft.com/office/drawing/2014/main" id="{CF209483-AF04-42B1-B40A-5B82511889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39" name="Text Box 15">
          <a:extLst>
            <a:ext uri="{FF2B5EF4-FFF2-40B4-BE49-F238E27FC236}">
              <a16:creationId xmlns:a16="http://schemas.microsoft.com/office/drawing/2014/main" id="{AF8B02EC-D057-4173-B568-6844EBB0A9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0" name="Text Box 15">
          <a:extLst>
            <a:ext uri="{FF2B5EF4-FFF2-40B4-BE49-F238E27FC236}">
              <a16:creationId xmlns:a16="http://schemas.microsoft.com/office/drawing/2014/main" id="{F15D665F-787B-4131-9F58-616BBED3D5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1" name="Text Box 15">
          <a:extLst>
            <a:ext uri="{FF2B5EF4-FFF2-40B4-BE49-F238E27FC236}">
              <a16:creationId xmlns:a16="http://schemas.microsoft.com/office/drawing/2014/main" id="{2C808C68-6834-4DA7-B045-52CBF249A9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2" name="Text Box 15">
          <a:extLst>
            <a:ext uri="{FF2B5EF4-FFF2-40B4-BE49-F238E27FC236}">
              <a16:creationId xmlns:a16="http://schemas.microsoft.com/office/drawing/2014/main" id="{4668A675-713F-4DB0-962D-896859FCBE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3" name="Text Box 15">
          <a:extLst>
            <a:ext uri="{FF2B5EF4-FFF2-40B4-BE49-F238E27FC236}">
              <a16:creationId xmlns:a16="http://schemas.microsoft.com/office/drawing/2014/main" id="{A7440EAD-727A-4F49-BECF-5B4319C6E6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4" name="Text Box 15">
          <a:extLst>
            <a:ext uri="{FF2B5EF4-FFF2-40B4-BE49-F238E27FC236}">
              <a16:creationId xmlns:a16="http://schemas.microsoft.com/office/drawing/2014/main" id="{DD8EC01C-3349-4EC5-BC74-2BD38BEB32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5" name="Text Box 15">
          <a:extLst>
            <a:ext uri="{FF2B5EF4-FFF2-40B4-BE49-F238E27FC236}">
              <a16:creationId xmlns:a16="http://schemas.microsoft.com/office/drawing/2014/main" id="{B2615E72-D88C-4B90-93E7-4F1B1BE79A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6" name="Text Box 15">
          <a:extLst>
            <a:ext uri="{FF2B5EF4-FFF2-40B4-BE49-F238E27FC236}">
              <a16:creationId xmlns:a16="http://schemas.microsoft.com/office/drawing/2014/main" id="{20F09ED9-097C-49EE-913C-CAC89FBA63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7" name="Text Box 15">
          <a:extLst>
            <a:ext uri="{FF2B5EF4-FFF2-40B4-BE49-F238E27FC236}">
              <a16:creationId xmlns:a16="http://schemas.microsoft.com/office/drawing/2014/main" id="{42BE12E8-A879-449F-85BA-CD7CE40A34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48" name="Text Box 15">
          <a:extLst>
            <a:ext uri="{FF2B5EF4-FFF2-40B4-BE49-F238E27FC236}">
              <a16:creationId xmlns:a16="http://schemas.microsoft.com/office/drawing/2014/main" id="{899AECA9-5303-47FD-98F4-AA289A34A5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49" name="Text Box 15">
          <a:extLst>
            <a:ext uri="{FF2B5EF4-FFF2-40B4-BE49-F238E27FC236}">
              <a16:creationId xmlns:a16="http://schemas.microsoft.com/office/drawing/2014/main" id="{A258DCFF-D5FB-4DED-A848-CABD058798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50" name="Text Box 15">
          <a:extLst>
            <a:ext uri="{FF2B5EF4-FFF2-40B4-BE49-F238E27FC236}">
              <a16:creationId xmlns:a16="http://schemas.microsoft.com/office/drawing/2014/main" id="{37277092-144E-4E6E-9D61-7786CE182D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51" name="Text Box 15">
          <a:extLst>
            <a:ext uri="{FF2B5EF4-FFF2-40B4-BE49-F238E27FC236}">
              <a16:creationId xmlns:a16="http://schemas.microsoft.com/office/drawing/2014/main" id="{9020381A-D289-4D63-90E9-6DA215FECB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52" name="Text Box 15">
          <a:extLst>
            <a:ext uri="{FF2B5EF4-FFF2-40B4-BE49-F238E27FC236}">
              <a16:creationId xmlns:a16="http://schemas.microsoft.com/office/drawing/2014/main" id="{FCBD236B-EC79-4243-BC9B-1BA5898DC5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3" name="Text Box 15">
          <a:extLst>
            <a:ext uri="{FF2B5EF4-FFF2-40B4-BE49-F238E27FC236}">
              <a16:creationId xmlns:a16="http://schemas.microsoft.com/office/drawing/2014/main" id="{9EBD06B9-C875-4408-8CE5-DE4A1F860E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4" name="Text Box 15">
          <a:extLst>
            <a:ext uri="{FF2B5EF4-FFF2-40B4-BE49-F238E27FC236}">
              <a16:creationId xmlns:a16="http://schemas.microsoft.com/office/drawing/2014/main" id="{5986E921-B1E5-4125-B4C5-11546F642A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5" name="Text Box 15">
          <a:extLst>
            <a:ext uri="{FF2B5EF4-FFF2-40B4-BE49-F238E27FC236}">
              <a16:creationId xmlns:a16="http://schemas.microsoft.com/office/drawing/2014/main" id="{7C03D94B-3207-40AA-8B05-95A72EE717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6" name="Text Box 15">
          <a:extLst>
            <a:ext uri="{FF2B5EF4-FFF2-40B4-BE49-F238E27FC236}">
              <a16:creationId xmlns:a16="http://schemas.microsoft.com/office/drawing/2014/main" id="{6D7E0EEF-D0EA-47C3-B276-C4EECBA513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7" name="Text Box 15">
          <a:extLst>
            <a:ext uri="{FF2B5EF4-FFF2-40B4-BE49-F238E27FC236}">
              <a16:creationId xmlns:a16="http://schemas.microsoft.com/office/drawing/2014/main" id="{98B34C2B-B1DE-4888-A251-F3802D5D06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8" name="Text Box 15">
          <a:extLst>
            <a:ext uri="{FF2B5EF4-FFF2-40B4-BE49-F238E27FC236}">
              <a16:creationId xmlns:a16="http://schemas.microsoft.com/office/drawing/2014/main" id="{3DD42CD0-13B5-4AD7-BAC3-1BCECF44B7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9" name="Text Box 15">
          <a:extLst>
            <a:ext uri="{FF2B5EF4-FFF2-40B4-BE49-F238E27FC236}">
              <a16:creationId xmlns:a16="http://schemas.microsoft.com/office/drawing/2014/main" id="{B613EFCC-7A80-430C-8DA7-E8F4A922C5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60" name="Text Box 15">
          <a:extLst>
            <a:ext uri="{FF2B5EF4-FFF2-40B4-BE49-F238E27FC236}">
              <a16:creationId xmlns:a16="http://schemas.microsoft.com/office/drawing/2014/main" id="{1DBD3AB1-BC89-4FC6-B8A5-1B50FB80FB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61" name="Text Box 15">
          <a:extLst>
            <a:ext uri="{FF2B5EF4-FFF2-40B4-BE49-F238E27FC236}">
              <a16:creationId xmlns:a16="http://schemas.microsoft.com/office/drawing/2014/main" id="{8FE00B93-D039-4A54-B9A9-9A749E5F25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62" name="Text Box 15">
          <a:extLst>
            <a:ext uri="{FF2B5EF4-FFF2-40B4-BE49-F238E27FC236}">
              <a16:creationId xmlns:a16="http://schemas.microsoft.com/office/drawing/2014/main" id="{E9DD4730-6177-4850-AA5E-71A2653FEE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63" name="Text Box 15">
          <a:extLst>
            <a:ext uri="{FF2B5EF4-FFF2-40B4-BE49-F238E27FC236}">
              <a16:creationId xmlns:a16="http://schemas.microsoft.com/office/drawing/2014/main" id="{42E7C8FD-3B03-4755-A054-FF4C9E0BA9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64" name="Text Box 15">
          <a:extLst>
            <a:ext uri="{FF2B5EF4-FFF2-40B4-BE49-F238E27FC236}">
              <a16:creationId xmlns:a16="http://schemas.microsoft.com/office/drawing/2014/main" id="{677F6BDC-A841-4723-9E99-57D505DBD4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65" name="Text Box 15">
          <a:extLst>
            <a:ext uri="{FF2B5EF4-FFF2-40B4-BE49-F238E27FC236}">
              <a16:creationId xmlns:a16="http://schemas.microsoft.com/office/drawing/2014/main" id="{FB16C9E8-9CB3-4F0F-9209-A881748DA4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66" name="Text Box 15">
          <a:extLst>
            <a:ext uri="{FF2B5EF4-FFF2-40B4-BE49-F238E27FC236}">
              <a16:creationId xmlns:a16="http://schemas.microsoft.com/office/drawing/2014/main" id="{626566D8-6A92-46D5-8495-0D1669635D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67" name="Text Box 15">
          <a:extLst>
            <a:ext uri="{FF2B5EF4-FFF2-40B4-BE49-F238E27FC236}">
              <a16:creationId xmlns:a16="http://schemas.microsoft.com/office/drawing/2014/main" id="{3715FF1C-8320-46F7-92DF-ADD0E34A53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68" name="Text Box 15">
          <a:extLst>
            <a:ext uri="{FF2B5EF4-FFF2-40B4-BE49-F238E27FC236}">
              <a16:creationId xmlns:a16="http://schemas.microsoft.com/office/drawing/2014/main" id="{A9BE5111-F101-46ED-AE42-912EB614F6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69" name="Text Box 15">
          <a:extLst>
            <a:ext uri="{FF2B5EF4-FFF2-40B4-BE49-F238E27FC236}">
              <a16:creationId xmlns:a16="http://schemas.microsoft.com/office/drawing/2014/main" id="{BCAE128F-3FEF-406E-BD48-DE254746239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0" name="Text Box 15">
          <a:extLst>
            <a:ext uri="{FF2B5EF4-FFF2-40B4-BE49-F238E27FC236}">
              <a16:creationId xmlns:a16="http://schemas.microsoft.com/office/drawing/2014/main" id="{49779D80-61AE-487B-8A45-8FB1B7DF12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1" name="Text Box 15">
          <a:extLst>
            <a:ext uri="{FF2B5EF4-FFF2-40B4-BE49-F238E27FC236}">
              <a16:creationId xmlns:a16="http://schemas.microsoft.com/office/drawing/2014/main" id="{BB28AC36-E513-4A30-94D5-08E0860777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2" name="Text Box 15">
          <a:extLst>
            <a:ext uri="{FF2B5EF4-FFF2-40B4-BE49-F238E27FC236}">
              <a16:creationId xmlns:a16="http://schemas.microsoft.com/office/drawing/2014/main" id="{47547D70-6184-471A-88FB-717DC6EB93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3" name="Text Box 15">
          <a:extLst>
            <a:ext uri="{FF2B5EF4-FFF2-40B4-BE49-F238E27FC236}">
              <a16:creationId xmlns:a16="http://schemas.microsoft.com/office/drawing/2014/main" id="{D0522567-5034-4F9D-8521-BB051E8E15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4" name="Text Box 15">
          <a:extLst>
            <a:ext uri="{FF2B5EF4-FFF2-40B4-BE49-F238E27FC236}">
              <a16:creationId xmlns:a16="http://schemas.microsoft.com/office/drawing/2014/main" id="{0734AE94-4904-4560-BE35-F5CF1B89C2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5" name="Text Box 15">
          <a:extLst>
            <a:ext uri="{FF2B5EF4-FFF2-40B4-BE49-F238E27FC236}">
              <a16:creationId xmlns:a16="http://schemas.microsoft.com/office/drawing/2014/main" id="{D4C143E2-D824-48D1-B558-D7058EA5CD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6" name="Text Box 15">
          <a:extLst>
            <a:ext uri="{FF2B5EF4-FFF2-40B4-BE49-F238E27FC236}">
              <a16:creationId xmlns:a16="http://schemas.microsoft.com/office/drawing/2014/main" id="{B072C740-D8B8-437C-BC2C-12B7E66BC0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7" name="Text Box 15">
          <a:extLst>
            <a:ext uri="{FF2B5EF4-FFF2-40B4-BE49-F238E27FC236}">
              <a16:creationId xmlns:a16="http://schemas.microsoft.com/office/drawing/2014/main" id="{D1D6D992-B1D7-4FCA-B600-A1920B317F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78" name="Text Box 15">
          <a:extLst>
            <a:ext uri="{FF2B5EF4-FFF2-40B4-BE49-F238E27FC236}">
              <a16:creationId xmlns:a16="http://schemas.microsoft.com/office/drawing/2014/main" id="{AA8129B7-CA04-420F-AABF-6CB108573D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79" name="Text Box 15">
          <a:extLst>
            <a:ext uri="{FF2B5EF4-FFF2-40B4-BE49-F238E27FC236}">
              <a16:creationId xmlns:a16="http://schemas.microsoft.com/office/drawing/2014/main" id="{C9041404-8809-4E7F-9B3E-7BCCD16673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80" name="Text Box 15">
          <a:extLst>
            <a:ext uri="{FF2B5EF4-FFF2-40B4-BE49-F238E27FC236}">
              <a16:creationId xmlns:a16="http://schemas.microsoft.com/office/drawing/2014/main" id="{0FA14A27-8166-4595-BAC4-86F8A6BD85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81" name="Text Box 15">
          <a:extLst>
            <a:ext uri="{FF2B5EF4-FFF2-40B4-BE49-F238E27FC236}">
              <a16:creationId xmlns:a16="http://schemas.microsoft.com/office/drawing/2014/main" id="{04DF7907-D578-4093-A22E-7FE12B2A42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82" name="Text Box 15">
          <a:extLst>
            <a:ext uri="{FF2B5EF4-FFF2-40B4-BE49-F238E27FC236}">
              <a16:creationId xmlns:a16="http://schemas.microsoft.com/office/drawing/2014/main" id="{A54B63AA-39AC-41DE-B075-D578035056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3" name="Text Box 15">
          <a:extLst>
            <a:ext uri="{FF2B5EF4-FFF2-40B4-BE49-F238E27FC236}">
              <a16:creationId xmlns:a16="http://schemas.microsoft.com/office/drawing/2014/main" id="{2A0EDDB7-79A5-4BFF-8629-64871D66522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4" name="Text Box 15">
          <a:extLst>
            <a:ext uri="{FF2B5EF4-FFF2-40B4-BE49-F238E27FC236}">
              <a16:creationId xmlns:a16="http://schemas.microsoft.com/office/drawing/2014/main" id="{9AA8D63E-3F6D-4C75-B08E-57080E15C1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5" name="Text Box 15">
          <a:extLst>
            <a:ext uri="{FF2B5EF4-FFF2-40B4-BE49-F238E27FC236}">
              <a16:creationId xmlns:a16="http://schemas.microsoft.com/office/drawing/2014/main" id="{FA8D7316-220A-45B0-BA22-DEC65A4453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6" name="Text Box 15">
          <a:extLst>
            <a:ext uri="{FF2B5EF4-FFF2-40B4-BE49-F238E27FC236}">
              <a16:creationId xmlns:a16="http://schemas.microsoft.com/office/drawing/2014/main" id="{046D3D93-BA6D-40C3-8540-C499FDFC71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7" name="Text Box 15">
          <a:extLst>
            <a:ext uri="{FF2B5EF4-FFF2-40B4-BE49-F238E27FC236}">
              <a16:creationId xmlns:a16="http://schemas.microsoft.com/office/drawing/2014/main" id="{0A9F04EA-CD5B-4934-90BE-EF48E6CEB4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8" name="Text Box 15">
          <a:extLst>
            <a:ext uri="{FF2B5EF4-FFF2-40B4-BE49-F238E27FC236}">
              <a16:creationId xmlns:a16="http://schemas.microsoft.com/office/drawing/2014/main" id="{502FF53C-3B7C-4814-ADF0-6FB10B0F9D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9" name="Text Box 15">
          <a:extLst>
            <a:ext uri="{FF2B5EF4-FFF2-40B4-BE49-F238E27FC236}">
              <a16:creationId xmlns:a16="http://schemas.microsoft.com/office/drawing/2014/main" id="{F95AD54A-394D-4620-AFCC-4F3E6FBC6E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90" name="Text Box 15">
          <a:extLst>
            <a:ext uri="{FF2B5EF4-FFF2-40B4-BE49-F238E27FC236}">
              <a16:creationId xmlns:a16="http://schemas.microsoft.com/office/drawing/2014/main" id="{C55C3BB9-10CA-44A1-8247-C036C87F8D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91" name="Text Box 15">
          <a:extLst>
            <a:ext uri="{FF2B5EF4-FFF2-40B4-BE49-F238E27FC236}">
              <a16:creationId xmlns:a16="http://schemas.microsoft.com/office/drawing/2014/main" id="{D5684F89-3ADB-4443-847D-7624EF2D23B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92" name="Text Box 15">
          <a:extLst>
            <a:ext uri="{FF2B5EF4-FFF2-40B4-BE49-F238E27FC236}">
              <a16:creationId xmlns:a16="http://schemas.microsoft.com/office/drawing/2014/main" id="{A138BFA6-516F-4E0F-872D-9363D2D38F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693" name="Text Box 15">
          <a:extLst>
            <a:ext uri="{FF2B5EF4-FFF2-40B4-BE49-F238E27FC236}">
              <a16:creationId xmlns:a16="http://schemas.microsoft.com/office/drawing/2014/main" id="{49FD00AF-F569-4EE4-AE48-14E806E7DC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694" name="Text Box 15">
          <a:extLst>
            <a:ext uri="{FF2B5EF4-FFF2-40B4-BE49-F238E27FC236}">
              <a16:creationId xmlns:a16="http://schemas.microsoft.com/office/drawing/2014/main" id="{1DEE391B-B528-4E82-B5E1-771B7C946B6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695" name="Text Box 15">
          <a:extLst>
            <a:ext uri="{FF2B5EF4-FFF2-40B4-BE49-F238E27FC236}">
              <a16:creationId xmlns:a16="http://schemas.microsoft.com/office/drawing/2014/main" id="{941AC892-98B2-4672-BF12-FEF51F67DF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96" name="Text Box 15">
          <a:extLst>
            <a:ext uri="{FF2B5EF4-FFF2-40B4-BE49-F238E27FC236}">
              <a16:creationId xmlns:a16="http://schemas.microsoft.com/office/drawing/2014/main" id="{5B92BF2B-6EC2-48EF-805D-3847BE75EF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97" name="Text Box 15">
          <a:extLst>
            <a:ext uri="{FF2B5EF4-FFF2-40B4-BE49-F238E27FC236}">
              <a16:creationId xmlns:a16="http://schemas.microsoft.com/office/drawing/2014/main" id="{66A9CB14-B681-46C2-AACE-9907A8FEF5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98" name="Text Box 15">
          <a:extLst>
            <a:ext uri="{FF2B5EF4-FFF2-40B4-BE49-F238E27FC236}">
              <a16:creationId xmlns:a16="http://schemas.microsoft.com/office/drawing/2014/main" id="{DB3E9EF3-9877-4607-BA07-574F5EF985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99" name="Text Box 15">
          <a:extLst>
            <a:ext uri="{FF2B5EF4-FFF2-40B4-BE49-F238E27FC236}">
              <a16:creationId xmlns:a16="http://schemas.microsoft.com/office/drawing/2014/main" id="{87BBC590-31C7-4E58-A12A-246F4ED7E2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0" name="Text Box 15">
          <a:extLst>
            <a:ext uri="{FF2B5EF4-FFF2-40B4-BE49-F238E27FC236}">
              <a16:creationId xmlns:a16="http://schemas.microsoft.com/office/drawing/2014/main" id="{5528B4FD-CEAB-4AEE-B9D8-BBCE2E782F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1" name="Text Box 15">
          <a:extLst>
            <a:ext uri="{FF2B5EF4-FFF2-40B4-BE49-F238E27FC236}">
              <a16:creationId xmlns:a16="http://schemas.microsoft.com/office/drawing/2014/main" id="{BA2358D3-4CE2-49C5-B39B-85C7391D85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2" name="Text Box 15">
          <a:extLst>
            <a:ext uri="{FF2B5EF4-FFF2-40B4-BE49-F238E27FC236}">
              <a16:creationId xmlns:a16="http://schemas.microsoft.com/office/drawing/2014/main" id="{0C2FAD7C-72B5-46F3-9EF5-BD146D4BA4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3" name="Text Box 15">
          <a:extLst>
            <a:ext uri="{FF2B5EF4-FFF2-40B4-BE49-F238E27FC236}">
              <a16:creationId xmlns:a16="http://schemas.microsoft.com/office/drawing/2014/main" id="{467C4310-4E33-4173-B29B-6C8208149E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4" name="Text Box 15">
          <a:extLst>
            <a:ext uri="{FF2B5EF4-FFF2-40B4-BE49-F238E27FC236}">
              <a16:creationId xmlns:a16="http://schemas.microsoft.com/office/drawing/2014/main" id="{72ACC894-1DA4-4A32-B26E-D0BACE17CF4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5" name="Text Box 15">
          <a:extLst>
            <a:ext uri="{FF2B5EF4-FFF2-40B4-BE49-F238E27FC236}">
              <a16:creationId xmlns:a16="http://schemas.microsoft.com/office/drawing/2014/main" id="{686CC627-1E49-47AC-BFC3-1D39382BC5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06" name="Text Box 15">
          <a:extLst>
            <a:ext uri="{FF2B5EF4-FFF2-40B4-BE49-F238E27FC236}">
              <a16:creationId xmlns:a16="http://schemas.microsoft.com/office/drawing/2014/main" id="{C3A776C1-9EDE-419B-8D5A-90AE273AF8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07" name="Text Box 15">
          <a:extLst>
            <a:ext uri="{FF2B5EF4-FFF2-40B4-BE49-F238E27FC236}">
              <a16:creationId xmlns:a16="http://schemas.microsoft.com/office/drawing/2014/main" id="{E877933F-8A17-4A42-A642-16127731B9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08" name="Text Box 15">
          <a:extLst>
            <a:ext uri="{FF2B5EF4-FFF2-40B4-BE49-F238E27FC236}">
              <a16:creationId xmlns:a16="http://schemas.microsoft.com/office/drawing/2014/main" id="{12DAA7D8-2E73-4AC0-AD0C-D63B5B4BD9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09" name="Text Box 15">
          <a:extLst>
            <a:ext uri="{FF2B5EF4-FFF2-40B4-BE49-F238E27FC236}">
              <a16:creationId xmlns:a16="http://schemas.microsoft.com/office/drawing/2014/main" id="{92E16EFB-9BE2-410C-B732-B7344BEC4BB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10" name="Text Box 15">
          <a:extLst>
            <a:ext uri="{FF2B5EF4-FFF2-40B4-BE49-F238E27FC236}">
              <a16:creationId xmlns:a16="http://schemas.microsoft.com/office/drawing/2014/main" id="{ADEFFA35-7039-4801-A7A7-68D0BE636C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1" name="Text Box 15">
          <a:extLst>
            <a:ext uri="{FF2B5EF4-FFF2-40B4-BE49-F238E27FC236}">
              <a16:creationId xmlns:a16="http://schemas.microsoft.com/office/drawing/2014/main" id="{3EC92A2C-C7B3-4E5D-882B-2CC9B060CA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2" name="Text Box 15">
          <a:extLst>
            <a:ext uri="{FF2B5EF4-FFF2-40B4-BE49-F238E27FC236}">
              <a16:creationId xmlns:a16="http://schemas.microsoft.com/office/drawing/2014/main" id="{A2AFB1DD-4799-4EEF-9FBB-387146D760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3" name="Text Box 15">
          <a:extLst>
            <a:ext uri="{FF2B5EF4-FFF2-40B4-BE49-F238E27FC236}">
              <a16:creationId xmlns:a16="http://schemas.microsoft.com/office/drawing/2014/main" id="{3C9F44D5-B10D-447D-8C2B-B5FFC9C458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4" name="Text Box 15">
          <a:extLst>
            <a:ext uri="{FF2B5EF4-FFF2-40B4-BE49-F238E27FC236}">
              <a16:creationId xmlns:a16="http://schemas.microsoft.com/office/drawing/2014/main" id="{A9BF3467-AA9E-40E8-9E2F-4DB0AF891C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5" name="Text Box 15">
          <a:extLst>
            <a:ext uri="{FF2B5EF4-FFF2-40B4-BE49-F238E27FC236}">
              <a16:creationId xmlns:a16="http://schemas.microsoft.com/office/drawing/2014/main" id="{12BEBBB8-1651-48A6-BF0F-485C683A3C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6" name="Text Box 15">
          <a:extLst>
            <a:ext uri="{FF2B5EF4-FFF2-40B4-BE49-F238E27FC236}">
              <a16:creationId xmlns:a16="http://schemas.microsoft.com/office/drawing/2014/main" id="{E8484128-D48F-4336-AECA-B6CE04DC76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7" name="Text Box 15">
          <a:extLst>
            <a:ext uri="{FF2B5EF4-FFF2-40B4-BE49-F238E27FC236}">
              <a16:creationId xmlns:a16="http://schemas.microsoft.com/office/drawing/2014/main" id="{46B097FC-63B4-446F-BC7D-EC7938E3BF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8" name="Text Box 15">
          <a:extLst>
            <a:ext uri="{FF2B5EF4-FFF2-40B4-BE49-F238E27FC236}">
              <a16:creationId xmlns:a16="http://schemas.microsoft.com/office/drawing/2014/main" id="{71475FB2-93F6-4E81-8843-74DD136150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9" name="Text Box 15">
          <a:extLst>
            <a:ext uri="{FF2B5EF4-FFF2-40B4-BE49-F238E27FC236}">
              <a16:creationId xmlns:a16="http://schemas.microsoft.com/office/drawing/2014/main" id="{167C44F7-6D29-40EB-BC9D-76693B21B2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20" name="Text Box 15">
          <a:extLst>
            <a:ext uri="{FF2B5EF4-FFF2-40B4-BE49-F238E27FC236}">
              <a16:creationId xmlns:a16="http://schemas.microsoft.com/office/drawing/2014/main" id="{D299C57C-5CFF-4E34-92C9-3A0A368023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21" name="Text Box 15">
          <a:extLst>
            <a:ext uri="{FF2B5EF4-FFF2-40B4-BE49-F238E27FC236}">
              <a16:creationId xmlns:a16="http://schemas.microsoft.com/office/drawing/2014/main" id="{6A1E6514-2F14-4EF5-9882-7C3FC8F868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22" name="Text Box 15">
          <a:extLst>
            <a:ext uri="{FF2B5EF4-FFF2-40B4-BE49-F238E27FC236}">
              <a16:creationId xmlns:a16="http://schemas.microsoft.com/office/drawing/2014/main" id="{99431526-9EDD-4766-BEC4-816FBED5C3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23" name="Text Box 15">
          <a:extLst>
            <a:ext uri="{FF2B5EF4-FFF2-40B4-BE49-F238E27FC236}">
              <a16:creationId xmlns:a16="http://schemas.microsoft.com/office/drawing/2014/main" id="{A8D30265-98B0-4BAB-892B-D6E19B66EB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24" name="Text Box 15">
          <a:extLst>
            <a:ext uri="{FF2B5EF4-FFF2-40B4-BE49-F238E27FC236}">
              <a16:creationId xmlns:a16="http://schemas.microsoft.com/office/drawing/2014/main" id="{6150CDE4-477D-4DD5-9AEE-76451E9FB1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25" name="Text Box 15">
          <a:extLst>
            <a:ext uri="{FF2B5EF4-FFF2-40B4-BE49-F238E27FC236}">
              <a16:creationId xmlns:a16="http://schemas.microsoft.com/office/drawing/2014/main" id="{12D8C62A-E9DF-4069-A4C8-B1CE560E326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26" name="Text Box 15">
          <a:extLst>
            <a:ext uri="{FF2B5EF4-FFF2-40B4-BE49-F238E27FC236}">
              <a16:creationId xmlns:a16="http://schemas.microsoft.com/office/drawing/2014/main" id="{C80C5897-F8DF-4B2C-8D84-B48BA0D7E9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27" name="Text Box 15">
          <a:extLst>
            <a:ext uri="{FF2B5EF4-FFF2-40B4-BE49-F238E27FC236}">
              <a16:creationId xmlns:a16="http://schemas.microsoft.com/office/drawing/2014/main" id="{04E1C65C-D2AF-40D2-859D-2E8D478D7B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28" name="Text Box 15">
          <a:extLst>
            <a:ext uri="{FF2B5EF4-FFF2-40B4-BE49-F238E27FC236}">
              <a16:creationId xmlns:a16="http://schemas.microsoft.com/office/drawing/2014/main" id="{2F1E5187-6514-4D79-B13A-0C138E73F9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29" name="Text Box 15">
          <a:extLst>
            <a:ext uri="{FF2B5EF4-FFF2-40B4-BE49-F238E27FC236}">
              <a16:creationId xmlns:a16="http://schemas.microsoft.com/office/drawing/2014/main" id="{5EB584D5-38E7-4FCE-9AF4-C1A0E5D9B6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0" name="Text Box 15">
          <a:extLst>
            <a:ext uri="{FF2B5EF4-FFF2-40B4-BE49-F238E27FC236}">
              <a16:creationId xmlns:a16="http://schemas.microsoft.com/office/drawing/2014/main" id="{F71C0EC0-CF07-4BB3-9CBB-F8420514B6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1" name="Text Box 15">
          <a:extLst>
            <a:ext uri="{FF2B5EF4-FFF2-40B4-BE49-F238E27FC236}">
              <a16:creationId xmlns:a16="http://schemas.microsoft.com/office/drawing/2014/main" id="{015B0D86-D7B2-460D-897E-E2F2C9F805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2" name="Text Box 15">
          <a:extLst>
            <a:ext uri="{FF2B5EF4-FFF2-40B4-BE49-F238E27FC236}">
              <a16:creationId xmlns:a16="http://schemas.microsoft.com/office/drawing/2014/main" id="{50F2BC89-183E-403E-9A4E-DEBAAFF277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3" name="Text Box 15">
          <a:extLst>
            <a:ext uri="{FF2B5EF4-FFF2-40B4-BE49-F238E27FC236}">
              <a16:creationId xmlns:a16="http://schemas.microsoft.com/office/drawing/2014/main" id="{3F00E6DA-79C7-4050-974C-9D778FB578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4" name="Text Box 15">
          <a:extLst>
            <a:ext uri="{FF2B5EF4-FFF2-40B4-BE49-F238E27FC236}">
              <a16:creationId xmlns:a16="http://schemas.microsoft.com/office/drawing/2014/main" id="{B5452CF4-F68E-4C9F-8CF0-DB2D5EF8E2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5" name="Text Box 15">
          <a:extLst>
            <a:ext uri="{FF2B5EF4-FFF2-40B4-BE49-F238E27FC236}">
              <a16:creationId xmlns:a16="http://schemas.microsoft.com/office/drawing/2014/main" id="{8ECD73BB-7112-4A06-8B07-CFD3336A6A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36" name="Text Box 15">
          <a:extLst>
            <a:ext uri="{FF2B5EF4-FFF2-40B4-BE49-F238E27FC236}">
              <a16:creationId xmlns:a16="http://schemas.microsoft.com/office/drawing/2014/main" id="{84CA3A80-4A2A-48CC-973B-0E8BBE3A9A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37" name="Text Box 15">
          <a:extLst>
            <a:ext uri="{FF2B5EF4-FFF2-40B4-BE49-F238E27FC236}">
              <a16:creationId xmlns:a16="http://schemas.microsoft.com/office/drawing/2014/main" id="{871455E5-FD93-4357-9F35-808EB32A6D6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38" name="Text Box 15">
          <a:extLst>
            <a:ext uri="{FF2B5EF4-FFF2-40B4-BE49-F238E27FC236}">
              <a16:creationId xmlns:a16="http://schemas.microsoft.com/office/drawing/2014/main" id="{E34E32DC-A560-4D49-8985-6EC1D4776F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39" name="Text Box 15">
          <a:extLst>
            <a:ext uri="{FF2B5EF4-FFF2-40B4-BE49-F238E27FC236}">
              <a16:creationId xmlns:a16="http://schemas.microsoft.com/office/drawing/2014/main" id="{572E16ED-CA21-46B5-B6F9-D2097D83D6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40" name="Text Box 15">
          <a:extLst>
            <a:ext uri="{FF2B5EF4-FFF2-40B4-BE49-F238E27FC236}">
              <a16:creationId xmlns:a16="http://schemas.microsoft.com/office/drawing/2014/main" id="{9F111ADD-D800-4B3D-A20C-5CEF4DE865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1" name="Text Box 15">
          <a:extLst>
            <a:ext uri="{FF2B5EF4-FFF2-40B4-BE49-F238E27FC236}">
              <a16:creationId xmlns:a16="http://schemas.microsoft.com/office/drawing/2014/main" id="{5CCE9F6E-5349-4460-B5E7-1CA53683C9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2" name="Text Box 15">
          <a:extLst>
            <a:ext uri="{FF2B5EF4-FFF2-40B4-BE49-F238E27FC236}">
              <a16:creationId xmlns:a16="http://schemas.microsoft.com/office/drawing/2014/main" id="{47227FCD-762F-4AA3-92C7-E5EBA03B52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3" name="Text Box 15">
          <a:extLst>
            <a:ext uri="{FF2B5EF4-FFF2-40B4-BE49-F238E27FC236}">
              <a16:creationId xmlns:a16="http://schemas.microsoft.com/office/drawing/2014/main" id="{1C2A1454-31E4-4EAB-9E4E-4A289E0BFA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4" name="Text Box 15">
          <a:extLst>
            <a:ext uri="{FF2B5EF4-FFF2-40B4-BE49-F238E27FC236}">
              <a16:creationId xmlns:a16="http://schemas.microsoft.com/office/drawing/2014/main" id="{427D3FE3-52C7-473F-965B-6DA51BBB72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5" name="Text Box 15">
          <a:extLst>
            <a:ext uri="{FF2B5EF4-FFF2-40B4-BE49-F238E27FC236}">
              <a16:creationId xmlns:a16="http://schemas.microsoft.com/office/drawing/2014/main" id="{4D29E231-2C81-4228-AF10-C317F3E62D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6" name="Text Box 15">
          <a:extLst>
            <a:ext uri="{FF2B5EF4-FFF2-40B4-BE49-F238E27FC236}">
              <a16:creationId xmlns:a16="http://schemas.microsoft.com/office/drawing/2014/main" id="{6EFEF50D-D59A-4604-8BC6-3C3776E8A5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7" name="Text Box 15">
          <a:extLst>
            <a:ext uri="{FF2B5EF4-FFF2-40B4-BE49-F238E27FC236}">
              <a16:creationId xmlns:a16="http://schemas.microsoft.com/office/drawing/2014/main" id="{0C16AB16-C824-4273-BA2E-D16C949082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8" name="Text Box 15">
          <a:extLst>
            <a:ext uri="{FF2B5EF4-FFF2-40B4-BE49-F238E27FC236}">
              <a16:creationId xmlns:a16="http://schemas.microsoft.com/office/drawing/2014/main" id="{4A757534-C755-4B16-9BFA-F1CEF966B1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9" name="Text Box 15">
          <a:extLst>
            <a:ext uri="{FF2B5EF4-FFF2-40B4-BE49-F238E27FC236}">
              <a16:creationId xmlns:a16="http://schemas.microsoft.com/office/drawing/2014/main" id="{0ED30E65-4248-433D-8EEB-89B163B22C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50" name="Text Box 15">
          <a:extLst>
            <a:ext uri="{FF2B5EF4-FFF2-40B4-BE49-F238E27FC236}">
              <a16:creationId xmlns:a16="http://schemas.microsoft.com/office/drawing/2014/main" id="{E9AB347F-B2D1-473A-A3D8-645CADBDE4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51" name="Text Box 15">
          <a:extLst>
            <a:ext uri="{FF2B5EF4-FFF2-40B4-BE49-F238E27FC236}">
              <a16:creationId xmlns:a16="http://schemas.microsoft.com/office/drawing/2014/main" id="{3B30FEFA-9FC1-49A5-8A49-853909C063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52" name="Text Box 15">
          <a:extLst>
            <a:ext uri="{FF2B5EF4-FFF2-40B4-BE49-F238E27FC236}">
              <a16:creationId xmlns:a16="http://schemas.microsoft.com/office/drawing/2014/main" id="{BB017753-5C12-4BD3-981F-DC999BB637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53" name="Text Box 15">
          <a:extLst>
            <a:ext uri="{FF2B5EF4-FFF2-40B4-BE49-F238E27FC236}">
              <a16:creationId xmlns:a16="http://schemas.microsoft.com/office/drawing/2014/main" id="{A2F07AEA-6F5F-4896-AAB7-68467D0576C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54" name="Text Box 15">
          <a:extLst>
            <a:ext uri="{FF2B5EF4-FFF2-40B4-BE49-F238E27FC236}">
              <a16:creationId xmlns:a16="http://schemas.microsoft.com/office/drawing/2014/main" id="{A0D33834-98A3-4050-9D87-E32D8BD4C9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55" name="Text Box 15">
          <a:extLst>
            <a:ext uri="{FF2B5EF4-FFF2-40B4-BE49-F238E27FC236}">
              <a16:creationId xmlns:a16="http://schemas.microsoft.com/office/drawing/2014/main" id="{245DB60A-E6E1-4EB0-8CBC-033BDFB08E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56" name="Text Box 15">
          <a:extLst>
            <a:ext uri="{FF2B5EF4-FFF2-40B4-BE49-F238E27FC236}">
              <a16:creationId xmlns:a16="http://schemas.microsoft.com/office/drawing/2014/main" id="{99EC2BE4-3069-438A-9AAB-3F044067C0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57" name="Text Box 15">
          <a:extLst>
            <a:ext uri="{FF2B5EF4-FFF2-40B4-BE49-F238E27FC236}">
              <a16:creationId xmlns:a16="http://schemas.microsoft.com/office/drawing/2014/main" id="{277E4499-4839-4F55-BAA7-A9876A8E714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58" name="Text Box 15">
          <a:extLst>
            <a:ext uri="{FF2B5EF4-FFF2-40B4-BE49-F238E27FC236}">
              <a16:creationId xmlns:a16="http://schemas.microsoft.com/office/drawing/2014/main" id="{8870A8B2-C9D6-4C74-BD92-F6B01DA208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59" name="Text Box 15">
          <a:extLst>
            <a:ext uri="{FF2B5EF4-FFF2-40B4-BE49-F238E27FC236}">
              <a16:creationId xmlns:a16="http://schemas.microsoft.com/office/drawing/2014/main" id="{3F377800-CD0F-4419-B332-37611B6EC0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0" name="Text Box 15">
          <a:extLst>
            <a:ext uri="{FF2B5EF4-FFF2-40B4-BE49-F238E27FC236}">
              <a16:creationId xmlns:a16="http://schemas.microsoft.com/office/drawing/2014/main" id="{47325F90-8F34-4D26-9D28-ABE2C69529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1" name="Text Box 15">
          <a:extLst>
            <a:ext uri="{FF2B5EF4-FFF2-40B4-BE49-F238E27FC236}">
              <a16:creationId xmlns:a16="http://schemas.microsoft.com/office/drawing/2014/main" id="{8F19C3EE-F3F7-4B5D-9C10-1B18FFB7F5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2" name="Text Box 15">
          <a:extLst>
            <a:ext uri="{FF2B5EF4-FFF2-40B4-BE49-F238E27FC236}">
              <a16:creationId xmlns:a16="http://schemas.microsoft.com/office/drawing/2014/main" id="{82154C4E-3616-4B88-801C-A2F291542E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3" name="Text Box 15">
          <a:extLst>
            <a:ext uri="{FF2B5EF4-FFF2-40B4-BE49-F238E27FC236}">
              <a16:creationId xmlns:a16="http://schemas.microsoft.com/office/drawing/2014/main" id="{84215741-8568-49E3-A30C-9A7AD5BE03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4" name="Text Box 15">
          <a:extLst>
            <a:ext uri="{FF2B5EF4-FFF2-40B4-BE49-F238E27FC236}">
              <a16:creationId xmlns:a16="http://schemas.microsoft.com/office/drawing/2014/main" id="{9757CCD1-C8D5-4337-A0C1-F95C256018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5" name="Text Box 15">
          <a:extLst>
            <a:ext uri="{FF2B5EF4-FFF2-40B4-BE49-F238E27FC236}">
              <a16:creationId xmlns:a16="http://schemas.microsoft.com/office/drawing/2014/main" id="{A806412E-EB36-4DB6-A174-DD896F7BFB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66" name="Text Box 15">
          <a:extLst>
            <a:ext uri="{FF2B5EF4-FFF2-40B4-BE49-F238E27FC236}">
              <a16:creationId xmlns:a16="http://schemas.microsoft.com/office/drawing/2014/main" id="{16F7ABFE-D43E-435D-BBFE-EB8FA01196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67" name="Text Box 15">
          <a:extLst>
            <a:ext uri="{FF2B5EF4-FFF2-40B4-BE49-F238E27FC236}">
              <a16:creationId xmlns:a16="http://schemas.microsoft.com/office/drawing/2014/main" id="{B463A830-5FF9-44B5-9230-6322311E19B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68" name="Text Box 15">
          <a:extLst>
            <a:ext uri="{FF2B5EF4-FFF2-40B4-BE49-F238E27FC236}">
              <a16:creationId xmlns:a16="http://schemas.microsoft.com/office/drawing/2014/main" id="{2AA6D7AD-FD88-4ED3-8D9E-5F8631029A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69" name="Text Box 15">
          <a:extLst>
            <a:ext uri="{FF2B5EF4-FFF2-40B4-BE49-F238E27FC236}">
              <a16:creationId xmlns:a16="http://schemas.microsoft.com/office/drawing/2014/main" id="{A633755A-B62F-4B9C-BA09-0A1C396EA1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70" name="Text Box 15">
          <a:extLst>
            <a:ext uri="{FF2B5EF4-FFF2-40B4-BE49-F238E27FC236}">
              <a16:creationId xmlns:a16="http://schemas.microsoft.com/office/drawing/2014/main" id="{0D23922B-2C13-45DD-900D-F45E006D1B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1" name="Text Box 15">
          <a:extLst>
            <a:ext uri="{FF2B5EF4-FFF2-40B4-BE49-F238E27FC236}">
              <a16:creationId xmlns:a16="http://schemas.microsoft.com/office/drawing/2014/main" id="{B717BC6C-A408-4C41-92F8-5273479107D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2" name="Text Box 15">
          <a:extLst>
            <a:ext uri="{FF2B5EF4-FFF2-40B4-BE49-F238E27FC236}">
              <a16:creationId xmlns:a16="http://schemas.microsoft.com/office/drawing/2014/main" id="{C81F6BEE-EF4C-409C-9EB1-146B780F25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3" name="Text Box 15">
          <a:extLst>
            <a:ext uri="{FF2B5EF4-FFF2-40B4-BE49-F238E27FC236}">
              <a16:creationId xmlns:a16="http://schemas.microsoft.com/office/drawing/2014/main" id="{63110F80-8EE8-4AB4-832D-6C413AD6D6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4" name="Text Box 15">
          <a:extLst>
            <a:ext uri="{FF2B5EF4-FFF2-40B4-BE49-F238E27FC236}">
              <a16:creationId xmlns:a16="http://schemas.microsoft.com/office/drawing/2014/main" id="{510BD7A9-E104-4FBD-AAE5-827EF7CC5F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5" name="Text Box 15">
          <a:extLst>
            <a:ext uri="{FF2B5EF4-FFF2-40B4-BE49-F238E27FC236}">
              <a16:creationId xmlns:a16="http://schemas.microsoft.com/office/drawing/2014/main" id="{B4A2436E-FEBA-4F40-A2D0-E4F98D0429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6" name="Text Box 15">
          <a:extLst>
            <a:ext uri="{FF2B5EF4-FFF2-40B4-BE49-F238E27FC236}">
              <a16:creationId xmlns:a16="http://schemas.microsoft.com/office/drawing/2014/main" id="{0A589F84-9421-4781-89DF-4A5985E030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7" name="Text Box 15">
          <a:extLst>
            <a:ext uri="{FF2B5EF4-FFF2-40B4-BE49-F238E27FC236}">
              <a16:creationId xmlns:a16="http://schemas.microsoft.com/office/drawing/2014/main" id="{7BDB7BE4-73F3-4515-9071-2B0A0DD0C2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8" name="Text Box 15">
          <a:extLst>
            <a:ext uri="{FF2B5EF4-FFF2-40B4-BE49-F238E27FC236}">
              <a16:creationId xmlns:a16="http://schemas.microsoft.com/office/drawing/2014/main" id="{C4DAA418-E065-4063-8177-8D1C096594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9" name="Text Box 15">
          <a:extLst>
            <a:ext uri="{FF2B5EF4-FFF2-40B4-BE49-F238E27FC236}">
              <a16:creationId xmlns:a16="http://schemas.microsoft.com/office/drawing/2014/main" id="{AD1C9D1B-075C-4484-B173-EAE9B484CE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80" name="Text Box 15">
          <a:extLst>
            <a:ext uri="{FF2B5EF4-FFF2-40B4-BE49-F238E27FC236}">
              <a16:creationId xmlns:a16="http://schemas.microsoft.com/office/drawing/2014/main" id="{EC2AC6E1-0C5F-457A-9E63-0BA74D05EC7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81" name="Text Box 15">
          <a:extLst>
            <a:ext uri="{FF2B5EF4-FFF2-40B4-BE49-F238E27FC236}">
              <a16:creationId xmlns:a16="http://schemas.microsoft.com/office/drawing/2014/main" id="{70046C8E-41D1-4B3F-B2DE-7FF29DFC1A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82" name="Text Box 15">
          <a:extLst>
            <a:ext uri="{FF2B5EF4-FFF2-40B4-BE49-F238E27FC236}">
              <a16:creationId xmlns:a16="http://schemas.microsoft.com/office/drawing/2014/main" id="{0CBB0B35-D597-4BD5-845F-7E7ED93CA8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83" name="Text Box 15">
          <a:extLst>
            <a:ext uri="{FF2B5EF4-FFF2-40B4-BE49-F238E27FC236}">
              <a16:creationId xmlns:a16="http://schemas.microsoft.com/office/drawing/2014/main" id="{CF1B610C-62B2-4536-AD1E-0604329AC8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4" name="Text Box 15">
          <a:extLst>
            <a:ext uri="{FF2B5EF4-FFF2-40B4-BE49-F238E27FC236}">
              <a16:creationId xmlns:a16="http://schemas.microsoft.com/office/drawing/2014/main" id="{C01D96D7-0D74-4AF5-BA93-587B618FC6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5" name="Text Box 15">
          <a:extLst>
            <a:ext uri="{FF2B5EF4-FFF2-40B4-BE49-F238E27FC236}">
              <a16:creationId xmlns:a16="http://schemas.microsoft.com/office/drawing/2014/main" id="{C8F4A496-72FB-417B-B362-D5453C6FA7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6" name="Text Box 15">
          <a:extLst>
            <a:ext uri="{FF2B5EF4-FFF2-40B4-BE49-F238E27FC236}">
              <a16:creationId xmlns:a16="http://schemas.microsoft.com/office/drawing/2014/main" id="{A4859D97-06F9-45CC-A45F-8773FA0653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7" name="Text Box 15">
          <a:extLst>
            <a:ext uri="{FF2B5EF4-FFF2-40B4-BE49-F238E27FC236}">
              <a16:creationId xmlns:a16="http://schemas.microsoft.com/office/drawing/2014/main" id="{40FABDC4-6223-4947-B92B-6F6BEEC757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8" name="Text Box 15">
          <a:extLst>
            <a:ext uri="{FF2B5EF4-FFF2-40B4-BE49-F238E27FC236}">
              <a16:creationId xmlns:a16="http://schemas.microsoft.com/office/drawing/2014/main" id="{FBE17F00-5AB4-4A46-B36F-6013709263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9" name="Text Box 15">
          <a:extLst>
            <a:ext uri="{FF2B5EF4-FFF2-40B4-BE49-F238E27FC236}">
              <a16:creationId xmlns:a16="http://schemas.microsoft.com/office/drawing/2014/main" id="{B7011C7B-46AF-493F-BEC2-55D1FBED2AF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90" name="Text Box 15">
          <a:extLst>
            <a:ext uri="{FF2B5EF4-FFF2-40B4-BE49-F238E27FC236}">
              <a16:creationId xmlns:a16="http://schemas.microsoft.com/office/drawing/2014/main" id="{B6E1648C-A85D-4FA6-8CAF-30D0488A28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91" name="Text Box 15">
          <a:extLst>
            <a:ext uri="{FF2B5EF4-FFF2-40B4-BE49-F238E27FC236}">
              <a16:creationId xmlns:a16="http://schemas.microsoft.com/office/drawing/2014/main" id="{253BFCEF-9CDA-4EA0-8189-37E6810757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92" name="Text Box 15">
          <a:extLst>
            <a:ext uri="{FF2B5EF4-FFF2-40B4-BE49-F238E27FC236}">
              <a16:creationId xmlns:a16="http://schemas.microsoft.com/office/drawing/2014/main" id="{C5D237DB-7F92-4D97-AC4F-A898E48F30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93" name="Text Box 15">
          <a:extLst>
            <a:ext uri="{FF2B5EF4-FFF2-40B4-BE49-F238E27FC236}">
              <a16:creationId xmlns:a16="http://schemas.microsoft.com/office/drawing/2014/main" id="{0E9E1C9D-F6A6-44F9-B6B6-0F735BBD61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94" name="Text Box 15">
          <a:extLst>
            <a:ext uri="{FF2B5EF4-FFF2-40B4-BE49-F238E27FC236}">
              <a16:creationId xmlns:a16="http://schemas.microsoft.com/office/drawing/2014/main" id="{293B4F6B-7DAD-43F2-9501-25FDE46709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95" name="Text Box 15">
          <a:extLst>
            <a:ext uri="{FF2B5EF4-FFF2-40B4-BE49-F238E27FC236}">
              <a16:creationId xmlns:a16="http://schemas.microsoft.com/office/drawing/2014/main" id="{120F1571-AAC7-4911-A1D4-197A99BFEC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96" name="Text Box 15">
          <a:extLst>
            <a:ext uri="{FF2B5EF4-FFF2-40B4-BE49-F238E27FC236}">
              <a16:creationId xmlns:a16="http://schemas.microsoft.com/office/drawing/2014/main" id="{4B9C47AF-7B33-46EC-ABD9-6A7913F40F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97" name="Text Box 15">
          <a:extLst>
            <a:ext uri="{FF2B5EF4-FFF2-40B4-BE49-F238E27FC236}">
              <a16:creationId xmlns:a16="http://schemas.microsoft.com/office/drawing/2014/main" id="{AF8A3199-08C7-4BA4-99EE-E3CEBC83ED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98" name="Text Box 15">
          <a:extLst>
            <a:ext uri="{FF2B5EF4-FFF2-40B4-BE49-F238E27FC236}">
              <a16:creationId xmlns:a16="http://schemas.microsoft.com/office/drawing/2014/main" id="{613FC308-1840-498F-B8A9-41D54CD47E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99" name="Text Box 15">
          <a:extLst>
            <a:ext uri="{FF2B5EF4-FFF2-40B4-BE49-F238E27FC236}">
              <a16:creationId xmlns:a16="http://schemas.microsoft.com/office/drawing/2014/main" id="{838368D4-AFBB-415D-A826-AFDFDEFCC6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0" name="Text Box 15">
          <a:extLst>
            <a:ext uri="{FF2B5EF4-FFF2-40B4-BE49-F238E27FC236}">
              <a16:creationId xmlns:a16="http://schemas.microsoft.com/office/drawing/2014/main" id="{A20B08D4-EB11-4ABE-9934-2228203EC42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1" name="Text Box 15">
          <a:extLst>
            <a:ext uri="{FF2B5EF4-FFF2-40B4-BE49-F238E27FC236}">
              <a16:creationId xmlns:a16="http://schemas.microsoft.com/office/drawing/2014/main" id="{54FDAB08-9EEE-4A01-9354-25CB0D55A1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2" name="Text Box 15">
          <a:extLst>
            <a:ext uri="{FF2B5EF4-FFF2-40B4-BE49-F238E27FC236}">
              <a16:creationId xmlns:a16="http://schemas.microsoft.com/office/drawing/2014/main" id="{27B97746-A27F-4DA0-BD25-850BF2D648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3" name="Text Box 15">
          <a:extLst>
            <a:ext uri="{FF2B5EF4-FFF2-40B4-BE49-F238E27FC236}">
              <a16:creationId xmlns:a16="http://schemas.microsoft.com/office/drawing/2014/main" id="{CF6D66B3-EECF-4A11-A003-0B8B489EE8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4" name="Text Box 15">
          <a:extLst>
            <a:ext uri="{FF2B5EF4-FFF2-40B4-BE49-F238E27FC236}">
              <a16:creationId xmlns:a16="http://schemas.microsoft.com/office/drawing/2014/main" id="{8AB32D3F-84BA-4121-BB04-BF866383FB0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5" name="Text Box 15">
          <a:extLst>
            <a:ext uri="{FF2B5EF4-FFF2-40B4-BE49-F238E27FC236}">
              <a16:creationId xmlns:a16="http://schemas.microsoft.com/office/drawing/2014/main" id="{AD12D2CE-0925-414D-9B1B-6C9B02B7BF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6" name="Text Box 15">
          <a:extLst>
            <a:ext uri="{FF2B5EF4-FFF2-40B4-BE49-F238E27FC236}">
              <a16:creationId xmlns:a16="http://schemas.microsoft.com/office/drawing/2014/main" id="{DD0FC34C-D750-4D7A-B060-D8F46AF359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7" name="Text Box 15">
          <a:extLst>
            <a:ext uri="{FF2B5EF4-FFF2-40B4-BE49-F238E27FC236}">
              <a16:creationId xmlns:a16="http://schemas.microsoft.com/office/drawing/2014/main" id="{7641665B-09BB-4DEF-BF81-63244FA23D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8" name="Text Box 15">
          <a:extLst>
            <a:ext uri="{FF2B5EF4-FFF2-40B4-BE49-F238E27FC236}">
              <a16:creationId xmlns:a16="http://schemas.microsoft.com/office/drawing/2014/main" id="{33C287C4-89FA-4006-8960-38E79878B5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09" name="Text Box 15">
          <a:extLst>
            <a:ext uri="{FF2B5EF4-FFF2-40B4-BE49-F238E27FC236}">
              <a16:creationId xmlns:a16="http://schemas.microsoft.com/office/drawing/2014/main" id="{75C608AE-7784-4E2B-85FD-AAA6D8F84C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10" name="Text Box 15">
          <a:extLst>
            <a:ext uri="{FF2B5EF4-FFF2-40B4-BE49-F238E27FC236}">
              <a16:creationId xmlns:a16="http://schemas.microsoft.com/office/drawing/2014/main" id="{81335122-2097-4AE3-B0CD-CADDA2B4DC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11" name="Text Box 15">
          <a:extLst>
            <a:ext uri="{FF2B5EF4-FFF2-40B4-BE49-F238E27FC236}">
              <a16:creationId xmlns:a16="http://schemas.microsoft.com/office/drawing/2014/main" id="{A5736B12-630D-406D-9207-42A6E834C99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12" name="Text Box 15">
          <a:extLst>
            <a:ext uri="{FF2B5EF4-FFF2-40B4-BE49-F238E27FC236}">
              <a16:creationId xmlns:a16="http://schemas.microsoft.com/office/drawing/2014/main" id="{8BF0F753-59FF-49A4-9787-524B017B93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13" name="Text Box 15">
          <a:extLst>
            <a:ext uri="{FF2B5EF4-FFF2-40B4-BE49-F238E27FC236}">
              <a16:creationId xmlns:a16="http://schemas.microsoft.com/office/drawing/2014/main" id="{9D2FDC93-BC82-44B7-BDD3-793890330C3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4" name="Text Box 15">
          <a:extLst>
            <a:ext uri="{FF2B5EF4-FFF2-40B4-BE49-F238E27FC236}">
              <a16:creationId xmlns:a16="http://schemas.microsoft.com/office/drawing/2014/main" id="{42AEBB59-2180-4484-B583-B513441949A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5" name="Text Box 15">
          <a:extLst>
            <a:ext uri="{FF2B5EF4-FFF2-40B4-BE49-F238E27FC236}">
              <a16:creationId xmlns:a16="http://schemas.microsoft.com/office/drawing/2014/main" id="{49D00BB2-70B0-41A0-B921-E29C8A6DB9C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6" name="Text Box 15">
          <a:extLst>
            <a:ext uri="{FF2B5EF4-FFF2-40B4-BE49-F238E27FC236}">
              <a16:creationId xmlns:a16="http://schemas.microsoft.com/office/drawing/2014/main" id="{1647EECF-AB96-4634-A15E-190B8B14C4C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7" name="Text Box 15">
          <a:extLst>
            <a:ext uri="{FF2B5EF4-FFF2-40B4-BE49-F238E27FC236}">
              <a16:creationId xmlns:a16="http://schemas.microsoft.com/office/drawing/2014/main" id="{6AFA907B-DFA3-446E-81B0-47F8091AD10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8" name="Text Box 15">
          <a:extLst>
            <a:ext uri="{FF2B5EF4-FFF2-40B4-BE49-F238E27FC236}">
              <a16:creationId xmlns:a16="http://schemas.microsoft.com/office/drawing/2014/main" id="{6A9F2AFE-90B2-4E6D-948F-8D871761E7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9" name="Text Box 15">
          <a:extLst>
            <a:ext uri="{FF2B5EF4-FFF2-40B4-BE49-F238E27FC236}">
              <a16:creationId xmlns:a16="http://schemas.microsoft.com/office/drawing/2014/main" id="{D6ADBFFC-6E11-4FAE-B17F-6AB5B21B93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20" name="Text Box 15">
          <a:extLst>
            <a:ext uri="{FF2B5EF4-FFF2-40B4-BE49-F238E27FC236}">
              <a16:creationId xmlns:a16="http://schemas.microsoft.com/office/drawing/2014/main" id="{C8CC974D-78C3-429C-AF00-078628FD8D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21" name="Text Box 15">
          <a:extLst>
            <a:ext uri="{FF2B5EF4-FFF2-40B4-BE49-F238E27FC236}">
              <a16:creationId xmlns:a16="http://schemas.microsoft.com/office/drawing/2014/main" id="{44ED7B49-66D6-4B25-872D-F9E7381EF7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22" name="Text Box 15">
          <a:extLst>
            <a:ext uri="{FF2B5EF4-FFF2-40B4-BE49-F238E27FC236}">
              <a16:creationId xmlns:a16="http://schemas.microsoft.com/office/drawing/2014/main" id="{16299158-5607-4522-A0FA-BAE0B41670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23" name="Text Box 15">
          <a:extLst>
            <a:ext uri="{FF2B5EF4-FFF2-40B4-BE49-F238E27FC236}">
              <a16:creationId xmlns:a16="http://schemas.microsoft.com/office/drawing/2014/main" id="{323697BE-B8F8-44B4-824D-6F05275AE2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24" name="Text Box 15">
          <a:extLst>
            <a:ext uri="{FF2B5EF4-FFF2-40B4-BE49-F238E27FC236}">
              <a16:creationId xmlns:a16="http://schemas.microsoft.com/office/drawing/2014/main" id="{3CBC1529-5462-456A-9116-E3212AB857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25" name="Text Box 15">
          <a:extLst>
            <a:ext uri="{FF2B5EF4-FFF2-40B4-BE49-F238E27FC236}">
              <a16:creationId xmlns:a16="http://schemas.microsoft.com/office/drawing/2014/main" id="{1DF7A839-8315-4220-9C39-2E802D2EB6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26" name="Text Box 15">
          <a:extLst>
            <a:ext uri="{FF2B5EF4-FFF2-40B4-BE49-F238E27FC236}">
              <a16:creationId xmlns:a16="http://schemas.microsoft.com/office/drawing/2014/main" id="{366AD9FB-08CB-437F-B511-2F184677A1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27" name="Text Box 15">
          <a:extLst>
            <a:ext uri="{FF2B5EF4-FFF2-40B4-BE49-F238E27FC236}">
              <a16:creationId xmlns:a16="http://schemas.microsoft.com/office/drawing/2014/main" id="{E2C69908-468E-4FB5-BCD5-62A1CF1039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28" name="Text Box 15">
          <a:extLst>
            <a:ext uri="{FF2B5EF4-FFF2-40B4-BE49-F238E27FC236}">
              <a16:creationId xmlns:a16="http://schemas.microsoft.com/office/drawing/2014/main" id="{2B18CB70-E1CE-4382-958C-2607328D46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29" name="Text Box 15">
          <a:extLst>
            <a:ext uri="{FF2B5EF4-FFF2-40B4-BE49-F238E27FC236}">
              <a16:creationId xmlns:a16="http://schemas.microsoft.com/office/drawing/2014/main" id="{CD4C80D7-7942-4B6F-9B0C-83D5A9065E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0" name="Text Box 15">
          <a:extLst>
            <a:ext uri="{FF2B5EF4-FFF2-40B4-BE49-F238E27FC236}">
              <a16:creationId xmlns:a16="http://schemas.microsoft.com/office/drawing/2014/main" id="{430C96FC-888A-49E6-A0C4-A3FC3C9358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1" name="Text Box 15">
          <a:extLst>
            <a:ext uri="{FF2B5EF4-FFF2-40B4-BE49-F238E27FC236}">
              <a16:creationId xmlns:a16="http://schemas.microsoft.com/office/drawing/2014/main" id="{09FA4EA7-3FDD-409E-B712-9968138676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2" name="Text Box 15">
          <a:extLst>
            <a:ext uri="{FF2B5EF4-FFF2-40B4-BE49-F238E27FC236}">
              <a16:creationId xmlns:a16="http://schemas.microsoft.com/office/drawing/2014/main" id="{E995544E-0634-4B6C-8711-5F59FFB948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3" name="Text Box 15">
          <a:extLst>
            <a:ext uri="{FF2B5EF4-FFF2-40B4-BE49-F238E27FC236}">
              <a16:creationId xmlns:a16="http://schemas.microsoft.com/office/drawing/2014/main" id="{4DD50D97-654A-4F20-B596-D68EF66235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4" name="Text Box 15">
          <a:extLst>
            <a:ext uri="{FF2B5EF4-FFF2-40B4-BE49-F238E27FC236}">
              <a16:creationId xmlns:a16="http://schemas.microsoft.com/office/drawing/2014/main" id="{7C7B6277-2F8E-4819-AA0E-DC99E5ACBB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5" name="Text Box 15">
          <a:extLst>
            <a:ext uri="{FF2B5EF4-FFF2-40B4-BE49-F238E27FC236}">
              <a16:creationId xmlns:a16="http://schemas.microsoft.com/office/drawing/2014/main" id="{CD74BFFB-3D78-4F48-99F5-E72FB84770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6" name="Text Box 15">
          <a:extLst>
            <a:ext uri="{FF2B5EF4-FFF2-40B4-BE49-F238E27FC236}">
              <a16:creationId xmlns:a16="http://schemas.microsoft.com/office/drawing/2014/main" id="{D1B6946E-60F2-4ED1-AA83-0C7ADD8959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7" name="Text Box 15">
          <a:extLst>
            <a:ext uri="{FF2B5EF4-FFF2-40B4-BE49-F238E27FC236}">
              <a16:creationId xmlns:a16="http://schemas.microsoft.com/office/drawing/2014/main" id="{392420A7-0180-4EE7-B8E7-3CDE5AD012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8" name="Text Box 15">
          <a:extLst>
            <a:ext uri="{FF2B5EF4-FFF2-40B4-BE49-F238E27FC236}">
              <a16:creationId xmlns:a16="http://schemas.microsoft.com/office/drawing/2014/main" id="{84A7E18A-4EFE-4E1C-ACB6-27422504A3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39" name="Text Box 15">
          <a:extLst>
            <a:ext uri="{FF2B5EF4-FFF2-40B4-BE49-F238E27FC236}">
              <a16:creationId xmlns:a16="http://schemas.microsoft.com/office/drawing/2014/main" id="{CC5A8CF7-E40A-425A-9337-C82F948DCD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40" name="Text Box 15">
          <a:extLst>
            <a:ext uri="{FF2B5EF4-FFF2-40B4-BE49-F238E27FC236}">
              <a16:creationId xmlns:a16="http://schemas.microsoft.com/office/drawing/2014/main" id="{1CDBE275-CDCB-4B53-BEBE-3ED8D6A956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41" name="Text Box 15">
          <a:extLst>
            <a:ext uri="{FF2B5EF4-FFF2-40B4-BE49-F238E27FC236}">
              <a16:creationId xmlns:a16="http://schemas.microsoft.com/office/drawing/2014/main" id="{A0CF7B7A-6362-440C-98C9-F538210134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42" name="Text Box 15">
          <a:extLst>
            <a:ext uri="{FF2B5EF4-FFF2-40B4-BE49-F238E27FC236}">
              <a16:creationId xmlns:a16="http://schemas.microsoft.com/office/drawing/2014/main" id="{DF370876-4CFB-4BC1-9F38-FDB81CDED8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43" name="Text Box 15">
          <a:extLst>
            <a:ext uri="{FF2B5EF4-FFF2-40B4-BE49-F238E27FC236}">
              <a16:creationId xmlns:a16="http://schemas.microsoft.com/office/drawing/2014/main" id="{39D8F411-2C9A-4C62-B232-480214D484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4" name="Text Box 15">
          <a:extLst>
            <a:ext uri="{FF2B5EF4-FFF2-40B4-BE49-F238E27FC236}">
              <a16:creationId xmlns:a16="http://schemas.microsoft.com/office/drawing/2014/main" id="{F6441D8D-BBFC-4FCD-AB7E-1E567B16A15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5" name="Text Box 15">
          <a:extLst>
            <a:ext uri="{FF2B5EF4-FFF2-40B4-BE49-F238E27FC236}">
              <a16:creationId xmlns:a16="http://schemas.microsoft.com/office/drawing/2014/main" id="{356A30F8-C210-4784-88F0-736FB14C532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6" name="Text Box 15">
          <a:extLst>
            <a:ext uri="{FF2B5EF4-FFF2-40B4-BE49-F238E27FC236}">
              <a16:creationId xmlns:a16="http://schemas.microsoft.com/office/drawing/2014/main" id="{96806992-EDC8-4983-9F2B-A26D7D7B78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7" name="Text Box 15">
          <a:extLst>
            <a:ext uri="{FF2B5EF4-FFF2-40B4-BE49-F238E27FC236}">
              <a16:creationId xmlns:a16="http://schemas.microsoft.com/office/drawing/2014/main" id="{0F37E433-E4C6-419D-972C-1D68345C86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8" name="Text Box 15">
          <a:extLst>
            <a:ext uri="{FF2B5EF4-FFF2-40B4-BE49-F238E27FC236}">
              <a16:creationId xmlns:a16="http://schemas.microsoft.com/office/drawing/2014/main" id="{891B78DC-BB3E-4D45-A21A-DCFBA03981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9" name="Text Box 15">
          <a:extLst>
            <a:ext uri="{FF2B5EF4-FFF2-40B4-BE49-F238E27FC236}">
              <a16:creationId xmlns:a16="http://schemas.microsoft.com/office/drawing/2014/main" id="{7D17E92D-1B8A-43F4-823D-6691336090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50" name="Text Box 15">
          <a:extLst>
            <a:ext uri="{FF2B5EF4-FFF2-40B4-BE49-F238E27FC236}">
              <a16:creationId xmlns:a16="http://schemas.microsoft.com/office/drawing/2014/main" id="{423A3276-1661-4D65-8024-DF58E7BBF7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51" name="Text Box 15">
          <a:extLst>
            <a:ext uri="{FF2B5EF4-FFF2-40B4-BE49-F238E27FC236}">
              <a16:creationId xmlns:a16="http://schemas.microsoft.com/office/drawing/2014/main" id="{0DB2786C-FBE4-42B7-9664-973DD1BD86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52" name="Text Box 15">
          <a:extLst>
            <a:ext uri="{FF2B5EF4-FFF2-40B4-BE49-F238E27FC236}">
              <a16:creationId xmlns:a16="http://schemas.microsoft.com/office/drawing/2014/main" id="{A1888D36-8210-4ED6-BEE4-95E79EB18D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53" name="Text Box 15">
          <a:extLst>
            <a:ext uri="{FF2B5EF4-FFF2-40B4-BE49-F238E27FC236}">
              <a16:creationId xmlns:a16="http://schemas.microsoft.com/office/drawing/2014/main" id="{3BC4D6CF-6430-4032-82FF-CE9EA88C15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54" name="Text Box 15">
          <a:extLst>
            <a:ext uri="{FF2B5EF4-FFF2-40B4-BE49-F238E27FC236}">
              <a16:creationId xmlns:a16="http://schemas.microsoft.com/office/drawing/2014/main" id="{35B671C0-793C-4BC6-99D4-27BC724B82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55" name="Text Box 15">
          <a:extLst>
            <a:ext uri="{FF2B5EF4-FFF2-40B4-BE49-F238E27FC236}">
              <a16:creationId xmlns:a16="http://schemas.microsoft.com/office/drawing/2014/main" id="{DACBAA78-295D-4F23-A3D5-934484ED5F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56" name="Text Box 15">
          <a:extLst>
            <a:ext uri="{FF2B5EF4-FFF2-40B4-BE49-F238E27FC236}">
              <a16:creationId xmlns:a16="http://schemas.microsoft.com/office/drawing/2014/main" id="{7782508D-93EE-4376-B4B8-D753E12590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57" name="Text Box 15">
          <a:extLst>
            <a:ext uri="{FF2B5EF4-FFF2-40B4-BE49-F238E27FC236}">
              <a16:creationId xmlns:a16="http://schemas.microsoft.com/office/drawing/2014/main" id="{CAF45410-5232-40E5-9E99-8CEAD8FF29F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58" name="Text Box 15">
          <a:extLst>
            <a:ext uri="{FF2B5EF4-FFF2-40B4-BE49-F238E27FC236}">
              <a16:creationId xmlns:a16="http://schemas.microsoft.com/office/drawing/2014/main" id="{23C738DA-BAAC-49FC-AC31-91E4CBCF9C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59" name="Text Box 15">
          <a:extLst>
            <a:ext uri="{FF2B5EF4-FFF2-40B4-BE49-F238E27FC236}">
              <a16:creationId xmlns:a16="http://schemas.microsoft.com/office/drawing/2014/main" id="{C035331A-610E-491F-A68A-6A2903AB0D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0" name="Text Box 15">
          <a:extLst>
            <a:ext uri="{FF2B5EF4-FFF2-40B4-BE49-F238E27FC236}">
              <a16:creationId xmlns:a16="http://schemas.microsoft.com/office/drawing/2014/main" id="{6DB497A1-9F07-4145-BFE2-7C7C33D89C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1" name="Text Box 15">
          <a:extLst>
            <a:ext uri="{FF2B5EF4-FFF2-40B4-BE49-F238E27FC236}">
              <a16:creationId xmlns:a16="http://schemas.microsoft.com/office/drawing/2014/main" id="{9EFAB6EA-6B97-4D3E-B365-F47B4060E3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2" name="Text Box 15">
          <a:extLst>
            <a:ext uri="{FF2B5EF4-FFF2-40B4-BE49-F238E27FC236}">
              <a16:creationId xmlns:a16="http://schemas.microsoft.com/office/drawing/2014/main" id="{C73A2F15-675A-41E4-B485-29DEFBA527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3" name="Text Box 15">
          <a:extLst>
            <a:ext uri="{FF2B5EF4-FFF2-40B4-BE49-F238E27FC236}">
              <a16:creationId xmlns:a16="http://schemas.microsoft.com/office/drawing/2014/main" id="{B7CF1739-3AEE-4958-831C-C13F0E4A04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4" name="Text Box 15">
          <a:extLst>
            <a:ext uri="{FF2B5EF4-FFF2-40B4-BE49-F238E27FC236}">
              <a16:creationId xmlns:a16="http://schemas.microsoft.com/office/drawing/2014/main" id="{FDC528CE-15A0-4108-868A-6832779DE7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5" name="Text Box 15">
          <a:extLst>
            <a:ext uri="{FF2B5EF4-FFF2-40B4-BE49-F238E27FC236}">
              <a16:creationId xmlns:a16="http://schemas.microsoft.com/office/drawing/2014/main" id="{087A3E9C-6D7B-4542-9669-1C066F95EA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66" name="Text Box 15">
          <a:extLst>
            <a:ext uri="{FF2B5EF4-FFF2-40B4-BE49-F238E27FC236}">
              <a16:creationId xmlns:a16="http://schemas.microsoft.com/office/drawing/2014/main" id="{C7223BD2-733D-4A2E-B033-79DBD3605F8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67" name="Text Box 15">
          <a:extLst>
            <a:ext uri="{FF2B5EF4-FFF2-40B4-BE49-F238E27FC236}">
              <a16:creationId xmlns:a16="http://schemas.microsoft.com/office/drawing/2014/main" id="{AEA8119D-AC28-448B-BBB2-595E34F56E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68" name="Text Box 15">
          <a:extLst>
            <a:ext uri="{FF2B5EF4-FFF2-40B4-BE49-F238E27FC236}">
              <a16:creationId xmlns:a16="http://schemas.microsoft.com/office/drawing/2014/main" id="{67B78153-0628-4C63-B5BF-D2364C3C3B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69" name="Text Box 15">
          <a:extLst>
            <a:ext uri="{FF2B5EF4-FFF2-40B4-BE49-F238E27FC236}">
              <a16:creationId xmlns:a16="http://schemas.microsoft.com/office/drawing/2014/main" id="{9A0774E8-215A-415F-9DE6-E2C3347CBD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0" name="Text Box 15">
          <a:extLst>
            <a:ext uri="{FF2B5EF4-FFF2-40B4-BE49-F238E27FC236}">
              <a16:creationId xmlns:a16="http://schemas.microsoft.com/office/drawing/2014/main" id="{36DDD8A5-A6C1-417D-BF3B-AD4F0B2C1E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1" name="Text Box 15">
          <a:extLst>
            <a:ext uri="{FF2B5EF4-FFF2-40B4-BE49-F238E27FC236}">
              <a16:creationId xmlns:a16="http://schemas.microsoft.com/office/drawing/2014/main" id="{C919DE6A-3454-44F3-B671-EF18B7C4CC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2" name="Text Box 15">
          <a:extLst>
            <a:ext uri="{FF2B5EF4-FFF2-40B4-BE49-F238E27FC236}">
              <a16:creationId xmlns:a16="http://schemas.microsoft.com/office/drawing/2014/main" id="{BD2706A4-3CDF-433F-86E9-33CEA7AC47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3" name="Text Box 15">
          <a:extLst>
            <a:ext uri="{FF2B5EF4-FFF2-40B4-BE49-F238E27FC236}">
              <a16:creationId xmlns:a16="http://schemas.microsoft.com/office/drawing/2014/main" id="{929F96DF-FB4E-4999-8D2E-E6C5C45FC3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4" name="Text Box 15">
          <a:extLst>
            <a:ext uri="{FF2B5EF4-FFF2-40B4-BE49-F238E27FC236}">
              <a16:creationId xmlns:a16="http://schemas.microsoft.com/office/drawing/2014/main" id="{4AF00126-2163-4EDE-BB52-E54F404D7D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5" name="Text Box 15">
          <a:extLst>
            <a:ext uri="{FF2B5EF4-FFF2-40B4-BE49-F238E27FC236}">
              <a16:creationId xmlns:a16="http://schemas.microsoft.com/office/drawing/2014/main" id="{AF14AFA3-1990-478F-8837-9C28094551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6" name="Text Box 15">
          <a:extLst>
            <a:ext uri="{FF2B5EF4-FFF2-40B4-BE49-F238E27FC236}">
              <a16:creationId xmlns:a16="http://schemas.microsoft.com/office/drawing/2014/main" id="{F9526AD8-31F5-41E2-8C5D-E499BC6D73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7" name="Text Box 15">
          <a:extLst>
            <a:ext uri="{FF2B5EF4-FFF2-40B4-BE49-F238E27FC236}">
              <a16:creationId xmlns:a16="http://schemas.microsoft.com/office/drawing/2014/main" id="{FF3644C0-A52E-4022-8D38-702FB3E6F4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8" name="Text Box 15">
          <a:extLst>
            <a:ext uri="{FF2B5EF4-FFF2-40B4-BE49-F238E27FC236}">
              <a16:creationId xmlns:a16="http://schemas.microsoft.com/office/drawing/2014/main" id="{CAA56CB2-2411-48DA-8B44-D69282AE1F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79" name="Text Box 15">
          <a:extLst>
            <a:ext uri="{FF2B5EF4-FFF2-40B4-BE49-F238E27FC236}">
              <a16:creationId xmlns:a16="http://schemas.microsoft.com/office/drawing/2014/main" id="{3F7BF3A9-8E80-49A5-98D6-6E79F24ACE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80" name="Text Box 15">
          <a:extLst>
            <a:ext uri="{FF2B5EF4-FFF2-40B4-BE49-F238E27FC236}">
              <a16:creationId xmlns:a16="http://schemas.microsoft.com/office/drawing/2014/main" id="{F2D5EE84-2DBA-4632-A0EF-EDDDF95A5B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81" name="Text Box 15">
          <a:extLst>
            <a:ext uri="{FF2B5EF4-FFF2-40B4-BE49-F238E27FC236}">
              <a16:creationId xmlns:a16="http://schemas.microsoft.com/office/drawing/2014/main" id="{905AF839-BA49-4380-8BB7-DC5DF07C9F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82" name="Text Box 15">
          <a:extLst>
            <a:ext uri="{FF2B5EF4-FFF2-40B4-BE49-F238E27FC236}">
              <a16:creationId xmlns:a16="http://schemas.microsoft.com/office/drawing/2014/main" id="{E70AB34C-C03E-4FB4-843E-48301C00CF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83" name="Text Box 15">
          <a:extLst>
            <a:ext uri="{FF2B5EF4-FFF2-40B4-BE49-F238E27FC236}">
              <a16:creationId xmlns:a16="http://schemas.microsoft.com/office/drawing/2014/main" id="{02B9D9AD-120B-4AA1-AD20-BA4FB0F9CE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4" name="Text Box 15">
          <a:extLst>
            <a:ext uri="{FF2B5EF4-FFF2-40B4-BE49-F238E27FC236}">
              <a16:creationId xmlns:a16="http://schemas.microsoft.com/office/drawing/2014/main" id="{963EDF42-C0B8-45BD-BB2F-0E1FC4B4D5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5" name="Text Box 15">
          <a:extLst>
            <a:ext uri="{FF2B5EF4-FFF2-40B4-BE49-F238E27FC236}">
              <a16:creationId xmlns:a16="http://schemas.microsoft.com/office/drawing/2014/main" id="{863107F4-103F-41C2-B962-DA1DE228BA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6" name="Text Box 15">
          <a:extLst>
            <a:ext uri="{FF2B5EF4-FFF2-40B4-BE49-F238E27FC236}">
              <a16:creationId xmlns:a16="http://schemas.microsoft.com/office/drawing/2014/main" id="{B0331747-7EF5-4416-888E-A7F7881A2C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7" name="Text Box 15">
          <a:extLst>
            <a:ext uri="{FF2B5EF4-FFF2-40B4-BE49-F238E27FC236}">
              <a16:creationId xmlns:a16="http://schemas.microsoft.com/office/drawing/2014/main" id="{5A964ECC-8653-47A2-A9D4-39262A7B86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8" name="Text Box 15">
          <a:extLst>
            <a:ext uri="{FF2B5EF4-FFF2-40B4-BE49-F238E27FC236}">
              <a16:creationId xmlns:a16="http://schemas.microsoft.com/office/drawing/2014/main" id="{7C8BFCE4-0D18-4513-AC7D-E4760AB993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9" name="Text Box 15">
          <a:extLst>
            <a:ext uri="{FF2B5EF4-FFF2-40B4-BE49-F238E27FC236}">
              <a16:creationId xmlns:a16="http://schemas.microsoft.com/office/drawing/2014/main" id="{98202343-B36F-479F-8EDA-725EBFF3BE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90" name="Text Box 15">
          <a:extLst>
            <a:ext uri="{FF2B5EF4-FFF2-40B4-BE49-F238E27FC236}">
              <a16:creationId xmlns:a16="http://schemas.microsoft.com/office/drawing/2014/main" id="{E9A98668-B78A-496E-974C-F0D9810E3B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91" name="Text Box 15">
          <a:extLst>
            <a:ext uri="{FF2B5EF4-FFF2-40B4-BE49-F238E27FC236}">
              <a16:creationId xmlns:a16="http://schemas.microsoft.com/office/drawing/2014/main" id="{DD818B73-5BAF-49D1-8CA5-E92C0996A6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92" name="Text Box 15">
          <a:extLst>
            <a:ext uri="{FF2B5EF4-FFF2-40B4-BE49-F238E27FC236}">
              <a16:creationId xmlns:a16="http://schemas.microsoft.com/office/drawing/2014/main" id="{FD954E3B-74F2-4EF2-B764-B80100536A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93" name="Text Box 15">
          <a:extLst>
            <a:ext uri="{FF2B5EF4-FFF2-40B4-BE49-F238E27FC236}">
              <a16:creationId xmlns:a16="http://schemas.microsoft.com/office/drawing/2014/main" id="{71C4078B-C2B8-4DA2-B35D-1F2FE7FD77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94" name="Text Box 15">
          <a:extLst>
            <a:ext uri="{FF2B5EF4-FFF2-40B4-BE49-F238E27FC236}">
              <a16:creationId xmlns:a16="http://schemas.microsoft.com/office/drawing/2014/main" id="{21AA9638-DAC0-4C40-94FA-F442F1B8D5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95" name="Text Box 15">
          <a:extLst>
            <a:ext uri="{FF2B5EF4-FFF2-40B4-BE49-F238E27FC236}">
              <a16:creationId xmlns:a16="http://schemas.microsoft.com/office/drawing/2014/main" id="{AF15CBBC-8841-48ED-98F5-097F461CCE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96" name="Text Box 15">
          <a:extLst>
            <a:ext uri="{FF2B5EF4-FFF2-40B4-BE49-F238E27FC236}">
              <a16:creationId xmlns:a16="http://schemas.microsoft.com/office/drawing/2014/main" id="{37BD6FDC-659C-46DD-95BC-FB9C327D944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97" name="Text Box 15">
          <a:extLst>
            <a:ext uri="{FF2B5EF4-FFF2-40B4-BE49-F238E27FC236}">
              <a16:creationId xmlns:a16="http://schemas.microsoft.com/office/drawing/2014/main" id="{757FBC5B-16A0-41BE-A768-7B764A9044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98" name="Text Box 15">
          <a:extLst>
            <a:ext uri="{FF2B5EF4-FFF2-40B4-BE49-F238E27FC236}">
              <a16:creationId xmlns:a16="http://schemas.microsoft.com/office/drawing/2014/main" id="{40F9E1F6-ECD8-4C42-9A93-A257A8CB3A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99" name="Text Box 15">
          <a:extLst>
            <a:ext uri="{FF2B5EF4-FFF2-40B4-BE49-F238E27FC236}">
              <a16:creationId xmlns:a16="http://schemas.microsoft.com/office/drawing/2014/main" id="{DCC7A68E-0488-4A20-AE3A-AB8CE8F78BE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0" name="Text Box 15">
          <a:extLst>
            <a:ext uri="{FF2B5EF4-FFF2-40B4-BE49-F238E27FC236}">
              <a16:creationId xmlns:a16="http://schemas.microsoft.com/office/drawing/2014/main" id="{CB9FFB81-8A90-4B7A-85AC-EC0BD53078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1" name="Text Box 15">
          <a:extLst>
            <a:ext uri="{FF2B5EF4-FFF2-40B4-BE49-F238E27FC236}">
              <a16:creationId xmlns:a16="http://schemas.microsoft.com/office/drawing/2014/main" id="{06FE2C43-A6D1-4233-8559-3BD321DBDB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2" name="Text Box 15">
          <a:extLst>
            <a:ext uri="{FF2B5EF4-FFF2-40B4-BE49-F238E27FC236}">
              <a16:creationId xmlns:a16="http://schemas.microsoft.com/office/drawing/2014/main" id="{A5FB1B35-E666-40A1-928E-B97033DA65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3" name="Text Box 15">
          <a:extLst>
            <a:ext uri="{FF2B5EF4-FFF2-40B4-BE49-F238E27FC236}">
              <a16:creationId xmlns:a16="http://schemas.microsoft.com/office/drawing/2014/main" id="{97732EF3-B6C7-4D7E-8319-5AC23C0614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4" name="Text Box 15">
          <a:extLst>
            <a:ext uri="{FF2B5EF4-FFF2-40B4-BE49-F238E27FC236}">
              <a16:creationId xmlns:a16="http://schemas.microsoft.com/office/drawing/2014/main" id="{B038879C-ED94-4988-9C6D-84356DB78F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5" name="Text Box 15">
          <a:extLst>
            <a:ext uri="{FF2B5EF4-FFF2-40B4-BE49-F238E27FC236}">
              <a16:creationId xmlns:a16="http://schemas.microsoft.com/office/drawing/2014/main" id="{739AFDAA-0DBE-4DA2-82F2-5BA8298128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6" name="Text Box 15">
          <a:extLst>
            <a:ext uri="{FF2B5EF4-FFF2-40B4-BE49-F238E27FC236}">
              <a16:creationId xmlns:a16="http://schemas.microsoft.com/office/drawing/2014/main" id="{24308CEA-C02D-4241-814A-EF91ECE737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7" name="Text Box 15">
          <a:extLst>
            <a:ext uri="{FF2B5EF4-FFF2-40B4-BE49-F238E27FC236}">
              <a16:creationId xmlns:a16="http://schemas.microsoft.com/office/drawing/2014/main" id="{F19D12CC-49C0-4A5E-B280-0A7BD7AD04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8" name="Text Box 15">
          <a:extLst>
            <a:ext uri="{FF2B5EF4-FFF2-40B4-BE49-F238E27FC236}">
              <a16:creationId xmlns:a16="http://schemas.microsoft.com/office/drawing/2014/main" id="{E5560DB6-6C3B-4615-A2D0-FC97608D72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09" name="Text Box 15">
          <a:extLst>
            <a:ext uri="{FF2B5EF4-FFF2-40B4-BE49-F238E27FC236}">
              <a16:creationId xmlns:a16="http://schemas.microsoft.com/office/drawing/2014/main" id="{5FC16A76-B982-48C5-B6F7-C98825C178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10" name="Text Box 15">
          <a:extLst>
            <a:ext uri="{FF2B5EF4-FFF2-40B4-BE49-F238E27FC236}">
              <a16:creationId xmlns:a16="http://schemas.microsoft.com/office/drawing/2014/main" id="{43ADDD3A-1155-42D8-9D29-B853B754B0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11" name="Text Box 15">
          <a:extLst>
            <a:ext uri="{FF2B5EF4-FFF2-40B4-BE49-F238E27FC236}">
              <a16:creationId xmlns:a16="http://schemas.microsoft.com/office/drawing/2014/main" id="{D4FDF7C8-E447-4BD5-A4D1-3D56ED073C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12" name="Text Box 15">
          <a:extLst>
            <a:ext uri="{FF2B5EF4-FFF2-40B4-BE49-F238E27FC236}">
              <a16:creationId xmlns:a16="http://schemas.microsoft.com/office/drawing/2014/main" id="{A3FD3C20-F63F-4B65-9EFC-79835FC1F5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13" name="Text Box 15">
          <a:extLst>
            <a:ext uri="{FF2B5EF4-FFF2-40B4-BE49-F238E27FC236}">
              <a16:creationId xmlns:a16="http://schemas.microsoft.com/office/drawing/2014/main" id="{23D3435C-EB79-41FA-A9F1-183EDACCD92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4" name="Text Box 15">
          <a:extLst>
            <a:ext uri="{FF2B5EF4-FFF2-40B4-BE49-F238E27FC236}">
              <a16:creationId xmlns:a16="http://schemas.microsoft.com/office/drawing/2014/main" id="{D102B586-797D-4D60-83E5-632D4D4C29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5" name="Text Box 15">
          <a:extLst>
            <a:ext uri="{FF2B5EF4-FFF2-40B4-BE49-F238E27FC236}">
              <a16:creationId xmlns:a16="http://schemas.microsoft.com/office/drawing/2014/main" id="{6B7D7911-239A-4359-B6B4-FA482879FC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6" name="Text Box 15">
          <a:extLst>
            <a:ext uri="{FF2B5EF4-FFF2-40B4-BE49-F238E27FC236}">
              <a16:creationId xmlns:a16="http://schemas.microsoft.com/office/drawing/2014/main" id="{F3148151-8709-4D18-ACCA-0E721865EE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7" name="Text Box 15">
          <a:extLst>
            <a:ext uri="{FF2B5EF4-FFF2-40B4-BE49-F238E27FC236}">
              <a16:creationId xmlns:a16="http://schemas.microsoft.com/office/drawing/2014/main" id="{ACEFA3D3-A7B8-4D0B-A23A-57E1E841C1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8" name="Text Box 15">
          <a:extLst>
            <a:ext uri="{FF2B5EF4-FFF2-40B4-BE49-F238E27FC236}">
              <a16:creationId xmlns:a16="http://schemas.microsoft.com/office/drawing/2014/main" id="{1DBD5F6D-DC43-4224-9705-A591C8CA8F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9" name="Text Box 15">
          <a:extLst>
            <a:ext uri="{FF2B5EF4-FFF2-40B4-BE49-F238E27FC236}">
              <a16:creationId xmlns:a16="http://schemas.microsoft.com/office/drawing/2014/main" id="{37802B60-3BF4-4E6C-9AEE-883CDC2F21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20" name="Text Box 15">
          <a:extLst>
            <a:ext uri="{FF2B5EF4-FFF2-40B4-BE49-F238E27FC236}">
              <a16:creationId xmlns:a16="http://schemas.microsoft.com/office/drawing/2014/main" id="{CB6B51A2-C4C6-402B-8EC9-D30DF0E4CE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21" name="Text Box 15">
          <a:extLst>
            <a:ext uri="{FF2B5EF4-FFF2-40B4-BE49-F238E27FC236}">
              <a16:creationId xmlns:a16="http://schemas.microsoft.com/office/drawing/2014/main" id="{4FFDA673-169F-4798-9D8E-5B653BD8C1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22" name="Text Box 15">
          <a:extLst>
            <a:ext uri="{FF2B5EF4-FFF2-40B4-BE49-F238E27FC236}">
              <a16:creationId xmlns:a16="http://schemas.microsoft.com/office/drawing/2014/main" id="{4581A678-0605-49CD-A5B4-3D35E9B1C7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23" name="Text Box 15">
          <a:extLst>
            <a:ext uri="{FF2B5EF4-FFF2-40B4-BE49-F238E27FC236}">
              <a16:creationId xmlns:a16="http://schemas.microsoft.com/office/drawing/2014/main" id="{89153460-5539-4AF0-B5A9-9D07DED7A1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24" name="Text Box 15">
          <a:extLst>
            <a:ext uri="{FF2B5EF4-FFF2-40B4-BE49-F238E27FC236}">
              <a16:creationId xmlns:a16="http://schemas.microsoft.com/office/drawing/2014/main" id="{0C4A62AD-F996-4B46-93CD-98A2392222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25" name="Text Box 15">
          <a:extLst>
            <a:ext uri="{FF2B5EF4-FFF2-40B4-BE49-F238E27FC236}">
              <a16:creationId xmlns:a16="http://schemas.microsoft.com/office/drawing/2014/main" id="{D0AAC228-D211-4B80-84C2-81F02A6FBF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26" name="Text Box 15">
          <a:extLst>
            <a:ext uri="{FF2B5EF4-FFF2-40B4-BE49-F238E27FC236}">
              <a16:creationId xmlns:a16="http://schemas.microsoft.com/office/drawing/2014/main" id="{8600077E-8E78-4359-BEAC-83B6BE9510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27" name="Text Box 15">
          <a:extLst>
            <a:ext uri="{FF2B5EF4-FFF2-40B4-BE49-F238E27FC236}">
              <a16:creationId xmlns:a16="http://schemas.microsoft.com/office/drawing/2014/main" id="{590EE586-BFFC-4BE8-8ADE-6CE3E24957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28" name="Text Box 15">
          <a:extLst>
            <a:ext uri="{FF2B5EF4-FFF2-40B4-BE49-F238E27FC236}">
              <a16:creationId xmlns:a16="http://schemas.microsoft.com/office/drawing/2014/main" id="{80059766-96CB-4C66-9530-D997A891E5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29" name="Text Box 15">
          <a:extLst>
            <a:ext uri="{FF2B5EF4-FFF2-40B4-BE49-F238E27FC236}">
              <a16:creationId xmlns:a16="http://schemas.microsoft.com/office/drawing/2014/main" id="{A7C64EE2-B960-47F6-91A0-518BBFE1E8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0" name="Text Box 15">
          <a:extLst>
            <a:ext uri="{FF2B5EF4-FFF2-40B4-BE49-F238E27FC236}">
              <a16:creationId xmlns:a16="http://schemas.microsoft.com/office/drawing/2014/main" id="{05299B3C-82BA-46A6-B831-E5D403D22B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1" name="Text Box 15">
          <a:extLst>
            <a:ext uri="{FF2B5EF4-FFF2-40B4-BE49-F238E27FC236}">
              <a16:creationId xmlns:a16="http://schemas.microsoft.com/office/drawing/2014/main" id="{650FA1B6-2B7E-46A5-A556-98C5592D5E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2" name="Text Box 15">
          <a:extLst>
            <a:ext uri="{FF2B5EF4-FFF2-40B4-BE49-F238E27FC236}">
              <a16:creationId xmlns:a16="http://schemas.microsoft.com/office/drawing/2014/main" id="{330CF32A-DB23-4D5A-AA20-E2AF7C963EF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3" name="Text Box 15">
          <a:extLst>
            <a:ext uri="{FF2B5EF4-FFF2-40B4-BE49-F238E27FC236}">
              <a16:creationId xmlns:a16="http://schemas.microsoft.com/office/drawing/2014/main" id="{BD185EAE-0E78-4543-9338-4A20088B76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4" name="Text Box 15">
          <a:extLst>
            <a:ext uri="{FF2B5EF4-FFF2-40B4-BE49-F238E27FC236}">
              <a16:creationId xmlns:a16="http://schemas.microsoft.com/office/drawing/2014/main" id="{622A36AD-EBFE-4EE3-987C-B3D771467A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5" name="Text Box 15">
          <a:extLst>
            <a:ext uri="{FF2B5EF4-FFF2-40B4-BE49-F238E27FC236}">
              <a16:creationId xmlns:a16="http://schemas.microsoft.com/office/drawing/2014/main" id="{C011E417-9030-4ACF-9147-9A65F4C34C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6" name="Text Box 15">
          <a:extLst>
            <a:ext uri="{FF2B5EF4-FFF2-40B4-BE49-F238E27FC236}">
              <a16:creationId xmlns:a16="http://schemas.microsoft.com/office/drawing/2014/main" id="{DC547DA7-A6B7-417D-8E43-95148EA9C6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7" name="Text Box 15">
          <a:extLst>
            <a:ext uri="{FF2B5EF4-FFF2-40B4-BE49-F238E27FC236}">
              <a16:creationId xmlns:a16="http://schemas.microsoft.com/office/drawing/2014/main" id="{C0E1C4B9-6168-454C-A71C-4782B774DB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8" name="Text Box 15">
          <a:extLst>
            <a:ext uri="{FF2B5EF4-FFF2-40B4-BE49-F238E27FC236}">
              <a16:creationId xmlns:a16="http://schemas.microsoft.com/office/drawing/2014/main" id="{D5222D98-2FCD-4F76-B1FD-EB0B188C073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39" name="Text Box 15">
          <a:extLst>
            <a:ext uri="{FF2B5EF4-FFF2-40B4-BE49-F238E27FC236}">
              <a16:creationId xmlns:a16="http://schemas.microsoft.com/office/drawing/2014/main" id="{5B3BE5A8-7418-4CD9-9085-F342B8DDFF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40" name="Text Box 15">
          <a:extLst>
            <a:ext uri="{FF2B5EF4-FFF2-40B4-BE49-F238E27FC236}">
              <a16:creationId xmlns:a16="http://schemas.microsoft.com/office/drawing/2014/main" id="{64C5B6A6-1C4E-412A-82A0-DC87A62BC9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41" name="Text Box 15">
          <a:extLst>
            <a:ext uri="{FF2B5EF4-FFF2-40B4-BE49-F238E27FC236}">
              <a16:creationId xmlns:a16="http://schemas.microsoft.com/office/drawing/2014/main" id="{E8956485-5EDD-4A25-A561-238C76BF6A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42" name="Text Box 15">
          <a:extLst>
            <a:ext uri="{FF2B5EF4-FFF2-40B4-BE49-F238E27FC236}">
              <a16:creationId xmlns:a16="http://schemas.microsoft.com/office/drawing/2014/main" id="{836831C9-E410-44F7-BF96-0C1B090A50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43" name="Text Box 15">
          <a:extLst>
            <a:ext uri="{FF2B5EF4-FFF2-40B4-BE49-F238E27FC236}">
              <a16:creationId xmlns:a16="http://schemas.microsoft.com/office/drawing/2014/main" id="{448EBE8E-3580-4DCB-8F3A-4FC7EA858F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4" name="Text Box 15">
          <a:extLst>
            <a:ext uri="{FF2B5EF4-FFF2-40B4-BE49-F238E27FC236}">
              <a16:creationId xmlns:a16="http://schemas.microsoft.com/office/drawing/2014/main" id="{440AF971-6A87-4052-AF6E-4821033AD5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5" name="Text Box 15">
          <a:extLst>
            <a:ext uri="{FF2B5EF4-FFF2-40B4-BE49-F238E27FC236}">
              <a16:creationId xmlns:a16="http://schemas.microsoft.com/office/drawing/2014/main" id="{2AAED715-976E-416B-92D2-C36C76341D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6" name="Text Box 15">
          <a:extLst>
            <a:ext uri="{FF2B5EF4-FFF2-40B4-BE49-F238E27FC236}">
              <a16:creationId xmlns:a16="http://schemas.microsoft.com/office/drawing/2014/main" id="{51EA489B-2C31-4E01-BB3B-641FD75AC6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7" name="Text Box 15">
          <a:extLst>
            <a:ext uri="{FF2B5EF4-FFF2-40B4-BE49-F238E27FC236}">
              <a16:creationId xmlns:a16="http://schemas.microsoft.com/office/drawing/2014/main" id="{BD2452CA-EBE6-45A3-9117-8EFB8C24AA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8" name="Text Box 15">
          <a:extLst>
            <a:ext uri="{FF2B5EF4-FFF2-40B4-BE49-F238E27FC236}">
              <a16:creationId xmlns:a16="http://schemas.microsoft.com/office/drawing/2014/main" id="{6F4A22DB-555D-4E7B-8D8C-36BA4CBB96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9" name="Text Box 15">
          <a:extLst>
            <a:ext uri="{FF2B5EF4-FFF2-40B4-BE49-F238E27FC236}">
              <a16:creationId xmlns:a16="http://schemas.microsoft.com/office/drawing/2014/main" id="{1B5FF212-72B4-4B5F-9E23-84193B2D77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50" name="Text Box 15">
          <a:extLst>
            <a:ext uri="{FF2B5EF4-FFF2-40B4-BE49-F238E27FC236}">
              <a16:creationId xmlns:a16="http://schemas.microsoft.com/office/drawing/2014/main" id="{A2477B3C-DB29-466F-A4FC-FDC6CC12A7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51" name="Text Box 15">
          <a:extLst>
            <a:ext uri="{FF2B5EF4-FFF2-40B4-BE49-F238E27FC236}">
              <a16:creationId xmlns:a16="http://schemas.microsoft.com/office/drawing/2014/main" id="{49ADCEB3-7918-418E-BC7A-29AC7E108A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52" name="Text Box 15">
          <a:extLst>
            <a:ext uri="{FF2B5EF4-FFF2-40B4-BE49-F238E27FC236}">
              <a16:creationId xmlns:a16="http://schemas.microsoft.com/office/drawing/2014/main" id="{0DB62E92-1B6F-4008-8762-6D33E5ABE3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53" name="Text Box 15">
          <a:extLst>
            <a:ext uri="{FF2B5EF4-FFF2-40B4-BE49-F238E27FC236}">
              <a16:creationId xmlns:a16="http://schemas.microsoft.com/office/drawing/2014/main" id="{4655AB5F-CBDE-4920-B932-1BDB5BAF64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54" name="Text Box 15">
          <a:extLst>
            <a:ext uri="{FF2B5EF4-FFF2-40B4-BE49-F238E27FC236}">
              <a16:creationId xmlns:a16="http://schemas.microsoft.com/office/drawing/2014/main" id="{2C86A63B-D8BC-4197-AC00-693CB1B210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55" name="Text Box 15">
          <a:extLst>
            <a:ext uri="{FF2B5EF4-FFF2-40B4-BE49-F238E27FC236}">
              <a16:creationId xmlns:a16="http://schemas.microsoft.com/office/drawing/2014/main" id="{0F6EC304-B3AA-456A-90D8-E3D7B3CAF1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56" name="Text Box 15">
          <a:extLst>
            <a:ext uri="{FF2B5EF4-FFF2-40B4-BE49-F238E27FC236}">
              <a16:creationId xmlns:a16="http://schemas.microsoft.com/office/drawing/2014/main" id="{1ABD8E51-C358-427E-BD7A-1FC043B8EB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57" name="Text Box 15">
          <a:extLst>
            <a:ext uri="{FF2B5EF4-FFF2-40B4-BE49-F238E27FC236}">
              <a16:creationId xmlns:a16="http://schemas.microsoft.com/office/drawing/2014/main" id="{F2B4106A-786F-40CA-A1E0-E04AF2E4B7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58" name="Text Box 15">
          <a:extLst>
            <a:ext uri="{FF2B5EF4-FFF2-40B4-BE49-F238E27FC236}">
              <a16:creationId xmlns:a16="http://schemas.microsoft.com/office/drawing/2014/main" id="{8D0D6FF7-9D32-4B55-940C-303395DD277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59" name="Text Box 15">
          <a:extLst>
            <a:ext uri="{FF2B5EF4-FFF2-40B4-BE49-F238E27FC236}">
              <a16:creationId xmlns:a16="http://schemas.microsoft.com/office/drawing/2014/main" id="{1578BE1B-2A52-4CFC-9977-D8654D463D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0" name="Text Box 15">
          <a:extLst>
            <a:ext uri="{FF2B5EF4-FFF2-40B4-BE49-F238E27FC236}">
              <a16:creationId xmlns:a16="http://schemas.microsoft.com/office/drawing/2014/main" id="{36168024-F37B-41D0-BB9B-7CC1B25176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1" name="Text Box 15">
          <a:extLst>
            <a:ext uri="{FF2B5EF4-FFF2-40B4-BE49-F238E27FC236}">
              <a16:creationId xmlns:a16="http://schemas.microsoft.com/office/drawing/2014/main" id="{85105F8F-55E7-45C7-A3AC-638BABC83B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2" name="Text Box 15">
          <a:extLst>
            <a:ext uri="{FF2B5EF4-FFF2-40B4-BE49-F238E27FC236}">
              <a16:creationId xmlns:a16="http://schemas.microsoft.com/office/drawing/2014/main" id="{4C613328-D0CA-4369-A9AE-5AF1C7048B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3" name="Text Box 15">
          <a:extLst>
            <a:ext uri="{FF2B5EF4-FFF2-40B4-BE49-F238E27FC236}">
              <a16:creationId xmlns:a16="http://schemas.microsoft.com/office/drawing/2014/main" id="{8B1C213E-9334-4278-8CCE-7C6B4C696D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4" name="Text Box 15">
          <a:extLst>
            <a:ext uri="{FF2B5EF4-FFF2-40B4-BE49-F238E27FC236}">
              <a16:creationId xmlns:a16="http://schemas.microsoft.com/office/drawing/2014/main" id="{08EFBAE1-0DEC-4D8C-91FF-2B790ED363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5" name="Text Box 15">
          <a:extLst>
            <a:ext uri="{FF2B5EF4-FFF2-40B4-BE49-F238E27FC236}">
              <a16:creationId xmlns:a16="http://schemas.microsoft.com/office/drawing/2014/main" id="{B2812E80-0D3B-48BF-92DF-60705EB11E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6" name="Text Box 15">
          <a:extLst>
            <a:ext uri="{FF2B5EF4-FFF2-40B4-BE49-F238E27FC236}">
              <a16:creationId xmlns:a16="http://schemas.microsoft.com/office/drawing/2014/main" id="{CE66FAFD-6AFD-4063-A55D-B86F78A1C02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67" name="Text Box 15">
          <a:extLst>
            <a:ext uri="{FF2B5EF4-FFF2-40B4-BE49-F238E27FC236}">
              <a16:creationId xmlns:a16="http://schemas.microsoft.com/office/drawing/2014/main" id="{FF818A55-811F-4AD2-9683-8D823CE4DCC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68" name="Text Box 15">
          <a:extLst>
            <a:ext uri="{FF2B5EF4-FFF2-40B4-BE49-F238E27FC236}">
              <a16:creationId xmlns:a16="http://schemas.microsoft.com/office/drawing/2014/main" id="{5CC47029-7BD1-44B7-BF5C-70FDC0B4ED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69" name="Text Box 15">
          <a:extLst>
            <a:ext uri="{FF2B5EF4-FFF2-40B4-BE49-F238E27FC236}">
              <a16:creationId xmlns:a16="http://schemas.microsoft.com/office/drawing/2014/main" id="{963C81C7-0089-4BF5-B99B-CFF7746C34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70" name="Text Box 15">
          <a:extLst>
            <a:ext uri="{FF2B5EF4-FFF2-40B4-BE49-F238E27FC236}">
              <a16:creationId xmlns:a16="http://schemas.microsoft.com/office/drawing/2014/main" id="{D3EC14F4-81B8-4E66-8188-1538D05529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71" name="Text Box 15">
          <a:extLst>
            <a:ext uri="{FF2B5EF4-FFF2-40B4-BE49-F238E27FC236}">
              <a16:creationId xmlns:a16="http://schemas.microsoft.com/office/drawing/2014/main" id="{0D4F085D-B3E1-48E0-BCE4-ED54364DF0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2" name="Text Box 15">
          <a:extLst>
            <a:ext uri="{FF2B5EF4-FFF2-40B4-BE49-F238E27FC236}">
              <a16:creationId xmlns:a16="http://schemas.microsoft.com/office/drawing/2014/main" id="{8F9D6B20-29B5-4FD2-989A-0F33AA2B47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3" name="Text Box 15">
          <a:extLst>
            <a:ext uri="{FF2B5EF4-FFF2-40B4-BE49-F238E27FC236}">
              <a16:creationId xmlns:a16="http://schemas.microsoft.com/office/drawing/2014/main" id="{EBD99D24-1E2B-4510-B91D-96252CFC21B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4" name="Text Box 15">
          <a:extLst>
            <a:ext uri="{FF2B5EF4-FFF2-40B4-BE49-F238E27FC236}">
              <a16:creationId xmlns:a16="http://schemas.microsoft.com/office/drawing/2014/main" id="{11CD6065-7B1D-4F28-B358-2E53A39B65F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5" name="Text Box 15">
          <a:extLst>
            <a:ext uri="{FF2B5EF4-FFF2-40B4-BE49-F238E27FC236}">
              <a16:creationId xmlns:a16="http://schemas.microsoft.com/office/drawing/2014/main" id="{23D6F9CE-F052-46FA-AB7E-DE38000C42E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6" name="Text Box 15">
          <a:extLst>
            <a:ext uri="{FF2B5EF4-FFF2-40B4-BE49-F238E27FC236}">
              <a16:creationId xmlns:a16="http://schemas.microsoft.com/office/drawing/2014/main" id="{6DED4A8B-D120-4E92-B1DE-33DE6B7D9F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7" name="Text Box 15">
          <a:extLst>
            <a:ext uri="{FF2B5EF4-FFF2-40B4-BE49-F238E27FC236}">
              <a16:creationId xmlns:a16="http://schemas.microsoft.com/office/drawing/2014/main" id="{A9FD7FF6-14EE-4F63-A069-0D2E76ED4C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8" name="Text Box 15">
          <a:extLst>
            <a:ext uri="{FF2B5EF4-FFF2-40B4-BE49-F238E27FC236}">
              <a16:creationId xmlns:a16="http://schemas.microsoft.com/office/drawing/2014/main" id="{A0996918-2B48-4EE8-8041-DEE7BAAE98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9" name="Text Box 15">
          <a:extLst>
            <a:ext uri="{FF2B5EF4-FFF2-40B4-BE49-F238E27FC236}">
              <a16:creationId xmlns:a16="http://schemas.microsoft.com/office/drawing/2014/main" id="{B9227FAB-AD0B-475F-81DC-91B4A53841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0" name="Text Box 15">
          <a:extLst>
            <a:ext uri="{FF2B5EF4-FFF2-40B4-BE49-F238E27FC236}">
              <a16:creationId xmlns:a16="http://schemas.microsoft.com/office/drawing/2014/main" id="{68094052-598A-4189-9473-EB4F6AF9B7D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1" name="Text Box 15">
          <a:extLst>
            <a:ext uri="{FF2B5EF4-FFF2-40B4-BE49-F238E27FC236}">
              <a16:creationId xmlns:a16="http://schemas.microsoft.com/office/drawing/2014/main" id="{76790A25-E936-427F-A2C0-59C0C4F07E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82" name="Text Box 15">
          <a:extLst>
            <a:ext uri="{FF2B5EF4-FFF2-40B4-BE49-F238E27FC236}">
              <a16:creationId xmlns:a16="http://schemas.microsoft.com/office/drawing/2014/main" id="{219D3E9E-FE27-4420-A07D-5B54006B34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83" name="Text Box 15">
          <a:extLst>
            <a:ext uri="{FF2B5EF4-FFF2-40B4-BE49-F238E27FC236}">
              <a16:creationId xmlns:a16="http://schemas.microsoft.com/office/drawing/2014/main" id="{E758F64C-3B6C-4541-88B5-357BFAC628B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84" name="Text Box 15">
          <a:extLst>
            <a:ext uri="{FF2B5EF4-FFF2-40B4-BE49-F238E27FC236}">
              <a16:creationId xmlns:a16="http://schemas.microsoft.com/office/drawing/2014/main" id="{ADF65D16-7C62-4FDB-993B-C443D2DD79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85" name="Text Box 15">
          <a:extLst>
            <a:ext uri="{FF2B5EF4-FFF2-40B4-BE49-F238E27FC236}">
              <a16:creationId xmlns:a16="http://schemas.microsoft.com/office/drawing/2014/main" id="{9F8039B4-19B4-4A2E-B8E8-7984C274408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86" name="Text Box 15">
          <a:extLst>
            <a:ext uri="{FF2B5EF4-FFF2-40B4-BE49-F238E27FC236}">
              <a16:creationId xmlns:a16="http://schemas.microsoft.com/office/drawing/2014/main" id="{6A55754B-DB47-469E-9373-9FDD5CB33FE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7" name="Text Box 15">
          <a:extLst>
            <a:ext uri="{FF2B5EF4-FFF2-40B4-BE49-F238E27FC236}">
              <a16:creationId xmlns:a16="http://schemas.microsoft.com/office/drawing/2014/main" id="{D213D402-C088-41CB-901C-E837351EA9F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8" name="Text Box 15">
          <a:extLst>
            <a:ext uri="{FF2B5EF4-FFF2-40B4-BE49-F238E27FC236}">
              <a16:creationId xmlns:a16="http://schemas.microsoft.com/office/drawing/2014/main" id="{6C969398-0755-4646-9EF7-83E257C732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9" name="Text Box 15">
          <a:extLst>
            <a:ext uri="{FF2B5EF4-FFF2-40B4-BE49-F238E27FC236}">
              <a16:creationId xmlns:a16="http://schemas.microsoft.com/office/drawing/2014/main" id="{E985D79D-6FF7-4C4B-ABEC-75F0EC9398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0" name="Text Box 15">
          <a:extLst>
            <a:ext uri="{FF2B5EF4-FFF2-40B4-BE49-F238E27FC236}">
              <a16:creationId xmlns:a16="http://schemas.microsoft.com/office/drawing/2014/main" id="{3D7BBFBC-6AE9-4151-B630-D0000320F0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1" name="Text Box 15">
          <a:extLst>
            <a:ext uri="{FF2B5EF4-FFF2-40B4-BE49-F238E27FC236}">
              <a16:creationId xmlns:a16="http://schemas.microsoft.com/office/drawing/2014/main" id="{77DCF60F-5A11-4AC2-B499-6818A19AFD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2" name="Text Box 15">
          <a:extLst>
            <a:ext uri="{FF2B5EF4-FFF2-40B4-BE49-F238E27FC236}">
              <a16:creationId xmlns:a16="http://schemas.microsoft.com/office/drawing/2014/main" id="{A43C2134-43A1-47D1-A437-EA1DD4A991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3" name="Text Box 15">
          <a:extLst>
            <a:ext uri="{FF2B5EF4-FFF2-40B4-BE49-F238E27FC236}">
              <a16:creationId xmlns:a16="http://schemas.microsoft.com/office/drawing/2014/main" id="{A9C2AAB3-909A-4955-8806-5F97523188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4" name="Text Box 15">
          <a:extLst>
            <a:ext uri="{FF2B5EF4-FFF2-40B4-BE49-F238E27FC236}">
              <a16:creationId xmlns:a16="http://schemas.microsoft.com/office/drawing/2014/main" id="{8B8E537E-5E08-48C0-B16C-9483BBC80F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5" name="Text Box 15">
          <a:extLst>
            <a:ext uri="{FF2B5EF4-FFF2-40B4-BE49-F238E27FC236}">
              <a16:creationId xmlns:a16="http://schemas.microsoft.com/office/drawing/2014/main" id="{5D901C7D-4863-4C45-9CE0-3C9D5EC9396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6" name="Text Box 15">
          <a:extLst>
            <a:ext uri="{FF2B5EF4-FFF2-40B4-BE49-F238E27FC236}">
              <a16:creationId xmlns:a16="http://schemas.microsoft.com/office/drawing/2014/main" id="{69378587-D717-4787-BCA0-6588199ABF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97" name="Text Box 15">
          <a:extLst>
            <a:ext uri="{FF2B5EF4-FFF2-40B4-BE49-F238E27FC236}">
              <a16:creationId xmlns:a16="http://schemas.microsoft.com/office/drawing/2014/main" id="{D7663137-053A-40B4-99A7-BF65ADEED4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98" name="Text Box 15">
          <a:extLst>
            <a:ext uri="{FF2B5EF4-FFF2-40B4-BE49-F238E27FC236}">
              <a16:creationId xmlns:a16="http://schemas.microsoft.com/office/drawing/2014/main" id="{9E2F0C71-6C57-42E7-AA0D-7C519EC37D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99" name="Text Box 15">
          <a:extLst>
            <a:ext uri="{FF2B5EF4-FFF2-40B4-BE49-F238E27FC236}">
              <a16:creationId xmlns:a16="http://schemas.microsoft.com/office/drawing/2014/main" id="{5B4A65BF-A42D-424C-8F88-40F0931A6D6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00" name="Text Box 15">
          <a:extLst>
            <a:ext uri="{FF2B5EF4-FFF2-40B4-BE49-F238E27FC236}">
              <a16:creationId xmlns:a16="http://schemas.microsoft.com/office/drawing/2014/main" id="{C5748A1A-9989-44E0-A06F-1A5B9DA782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01" name="Text Box 15">
          <a:extLst>
            <a:ext uri="{FF2B5EF4-FFF2-40B4-BE49-F238E27FC236}">
              <a16:creationId xmlns:a16="http://schemas.microsoft.com/office/drawing/2014/main" id="{7E3F481A-3107-4D66-9DA3-5CDFE698616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2" name="Text Box 15">
          <a:extLst>
            <a:ext uri="{FF2B5EF4-FFF2-40B4-BE49-F238E27FC236}">
              <a16:creationId xmlns:a16="http://schemas.microsoft.com/office/drawing/2014/main" id="{4512B80C-7200-4736-A301-A8B392B474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3" name="Text Box 15">
          <a:extLst>
            <a:ext uri="{FF2B5EF4-FFF2-40B4-BE49-F238E27FC236}">
              <a16:creationId xmlns:a16="http://schemas.microsoft.com/office/drawing/2014/main" id="{4DEC81EC-08BE-47C5-83DB-3CD64CA3D7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4" name="Text Box 15">
          <a:extLst>
            <a:ext uri="{FF2B5EF4-FFF2-40B4-BE49-F238E27FC236}">
              <a16:creationId xmlns:a16="http://schemas.microsoft.com/office/drawing/2014/main" id="{681F8D44-4916-4807-9F13-161E70E124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5" name="Text Box 15">
          <a:extLst>
            <a:ext uri="{FF2B5EF4-FFF2-40B4-BE49-F238E27FC236}">
              <a16:creationId xmlns:a16="http://schemas.microsoft.com/office/drawing/2014/main" id="{42CF9F35-4046-4C77-95A9-E27B1C8A52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6" name="Text Box 15">
          <a:extLst>
            <a:ext uri="{FF2B5EF4-FFF2-40B4-BE49-F238E27FC236}">
              <a16:creationId xmlns:a16="http://schemas.microsoft.com/office/drawing/2014/main" id="{D4BA333C-947D-41A0-A65C-78ACE0C4CC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7" name="Text Box 15">
          <a:extLst>
            <a:ext uri="{FF2B5EF4-FFF2-40B4-BE49-F238E27FC236}">
              <a16:creationId xmlns:a16="http://schemas.microsoft.com/office/drawing/2014/main" id="{3BAB7C9A-1518-4273-901A-F4FCC846B1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8" name="Text Box 15">
          <a:extLst>
            <a:ext uri="{FF2B5EF4-FFF2-40B4-BE49-F238E27FC236}">
              <a16:creationId xmlns:a16="http://schemas.microsoft.com/office/drawing/2014/main" id="{CB498C72-45C7-4E0D-A32E-AA8F533EBF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9" name="Text Box 15">
          <a:extLst>
            <a:ext uri="{FF2B5EF4-FFF2-40B4-BE49-F238E27FC236}">
              <a16:creationId xmlns:a16="http://schemas.microsoft.com/office/drawing/2014/main" id="{C7A5C531-1609-47F2-8C56-E61931F9FD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10" name="Text Box 15">
          <a:extLst>
            <a:ext uri="{FF2B5EF4-FFF2-40B4-BE49-F238E27FC236}">
              <a16:creationId xmlns:a16="http://schemas.microsoft.com/office/drawing/2014/main" id="{6464947A-3316-47E0-85AE-8F6E826D64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11" name="Text Box 15">
          <a:extLst>
            <a:ext uri="{FF2B5EF4-FFF2-40B4-BE49-F238E27FC236}">
              <a16:creationId xmlns:a16="http://schemas.microsoft.com/office/drawing/2014/main" id="{C48ADD1B-C7EB-454B-B265-AC17B687CE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12" name="Text Box 15">
          <a:extLst>
            <a:ext uri="{FF2B5EF4-FFF2-40B4-BE49-F238E27FC236}">
              <a16:creationId xmlns:a16="http://schemas.microsoft.com/office/drawing/2014/main" id="{BF5036A9-BA07-4BF6-A012-41771E8EFE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13" name="Text Box 15">
          <a:extLst>
            <a:ext uri="{FF2B5EF4-FFF2-40B4-BE49-F238E27FC236}">
              <a16:creationId xmlns:a16="http://schemas.microsoft.com/office/drawing/2014/main" id="{369DE763-7DA9-4CF4-B985-BC9C894156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14" name="Text Box 15">
          <a:extLst>
            <a:ext uri="{FF2B5EF4-FFF2-40B4-BE49-F238E27FC236}">
              <a16:creationId xmlns:a16="http://schemas.microsoft.com/office/drawing/2014/main" id="{804F8184-423B-47F0-A758-DD199FA71F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15" name="Text Box 15">
          <a:extLst>
            <a:ext uri="{FF2B5EF4-FFF2-40B4-BE49-F238E27FC236}">
              <a16:creationId xmlns:a16="http://schemas.microsoft.com/office/drawing/2014/main" id="{74AE5827-7E1C-43A9-B1EB-21EB07BBAF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16" name="Text Box 15">
          <a:extLst>
            <a:ext uri="{FF2B5EF4-FFF2-40B4-BE49-F238E27FC236}">
              <a16:creationId xmlns:a16="http://schemas.microsoft.com/office/drawing/2014/main" id="{85EE831E-FBC0-49C4-A41C-9EBE757B58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17" name="Text Box 15">
          <a:extLst>
            <a:ext uri="{FF2B5EF4-FFF2-40B4-BE49-F238E27FC236}">
              <a16:creationId xmlns:a16="http://schemas.microsoft.com/office/drawing/2014/main" id="{9B7A8F96-D33E-4444-AE66-897FB963EC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18" name="Text Box 15">
          <a:extLst>
            <a:ext uri="{FF2B5EF4-FFF2-40B4-BE49-F238E27FC236}">
              <a16:creationId xmlns:a16="http://schemas.microsoft.com/office/drawing/2014/main" id="{6D9E53F7-895D-42AD-96CF-59DC15C6B9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19" name="Text Box 15">
          <a:extLst>
            <a:ext uri="{FF2B5EF4-FFF2-40B4-BE49-F238E27FC236}">
              <a16:creationId xmlns:a16="http://schemas.microsoft.com/office/drawing/2014/main" id="{5B753BFF-3D33-435B-93AE-AF5A252DC8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0" name="Text Box 15">
          <a:extLst>
            <a:ext uri="{FF2B5EF4-FFF2-40B4-BE49-F238E27FC236}">
              <a16:creationId xmlns:a16="http://schemas.microsoft.com/office/drawing/2014/main" id="{17331CAE-0316-4C70-8504-62FCBBC653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1" name="Text Box 15">
          <a:extLst>
            <a:ext uri="{FF2B5EF4-FFF2-40B4-BE49-F238E27FC236}">
              <a16:creationId xmlns:a16="http://schemas.microsoft.com/office/drawing/2014/main" id="{CDFDF61C-340B-4D9C-A30E-9F5A097A20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2" name="Text Box 15">
          <a:extLst>
            <a:ext uri="{FF2B5EF4-FFF2-40B4-BE49-F238E27FC236}">
              <a16:creationId xmlns:a16="http://schemas.microsoft.com/office/drawing/2014/main" id="{156BE0A0-D3BF-4D89-A9A2-26F664DB8E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3" name="Text Box 15">
          <a:extLst>
            <a:ext uri="{FF2B5EF4-FFF2-40B4-BE49-F238E27FC236}">
              <a16:creationId xmlns:a16="http://schemas.microsoft.com/office/drawing/2014/main" id="{5F2717FE-0DD8-4647-A4DD-899907CCBD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4" name="Text Box 15">
          <a:extLst>
            <a:ext uri="{FF2B5EF4-FFF2-40B4-BE49-F238E27FC236}">
              <a16:creationId xmlns:a16="http://schemas.microsoft.com/office/drawing/2014/main" id="{EA478934-BE28-4E5B-96D3-BE4E83D5AA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5" name="Text Box 15">
          <a:extLst>
            <a:ext uri="{FF2B5EF4-FFF2-40B4-BE49-F238E27FC236}">
              <a16:creationId xmlns:a16="http://schemas.microsoft.com/office/drawing/2014/main" id="{06A8A843-8524-492A-A869-54D083A1EC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6" name="Text Box 15">
          <a:extLst>
            <a:ext uri="{FF2B5EF4-FFF2-40B4-BE49-F238E27FC236}">
              <a16:creationId xmlns:a16="http://schemas.microsoft.com/office/drawing/2014/main" id="{4460DDF2-42C7-48B1-B30B-C5122E1E06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27" name="Text Box 15">
          <a:extLst>
            <a:ext uri="{FF2B5EF4-FFF2-40B4-BE49-F238E27FC236}">
              <a16:creationId xmlns:a16="http://schemas.microsoft.com/office/drawing/2014/main" id="{902F54AC-4610-4939-9D04-DA7DA5F3E04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28" name="Text Box 15">
          <a:extLst>
            <a:ext uri="{FF2B5EF4-FFF2-40B4-BE49-F238E27FC236}">
              <a16:creationId xmlns:a16="http://schemas.microsoft.com/office/drawing/2014/main" id="{0E29585C-BE99-4EF2-BA80-BCD7789710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29" name="Text Box 15">
          <a:extLst>
            <a:ext uri="{FF2B5EF4-FFF2-40B4-BE49-F238E27FC236}">
              <a16:creationId xmlns:a16="http://schemas.microsoft.com/office/drawing/2014/main" id="{FBF23239-80E2-448A-BDBE-F8146316B6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30" name="Text Box 15">
          <a:extLst>
            <a:ext uri="{FF2B5EF4-FFF2-40B4-BE49-F238E27FC236}">
              <a16:creationId xmlns:a16="http://schemas.microsoft.com/office/drawing/2014/main" id="{3D20224F-9557-4F55-9492-B27C4B9474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31" name="Text Box 15">
          <a:extLst>
            <a:ext uri="{FF2B5EF4-FFF2-40B4-BE49-F238E27FC236}">
              <a16:creationId xmlns:a16="http://schemas.microsoft.com/office/drawing/2014/main" id="{9FD829BA-9332-4342-82F9-3CE20BC251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2" name="Text Box 15">
          <a:extLst>
            <a:ext uri="{FF2B5EF4-FFF2-40B4-BE49-F238E27FC236}">
              <a16:creationId xmlns:a16="http://schemas.microsoft.com/office/drawing/2014/main" id="{E21DCE83-AAB0-4821-A011-88C64B93685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3" name="Text Box 15">
          <a:extLst>
            <a:ext uri="{FF2B5EF4-FFF2-40B4-BE49-F238E27FC236}">
              <a16:creationId xmlns:a16="http://schemas.microsoft.com/office/drawing/2014/main" id="{BEA4B334-5C9C-4907-A09E-86493A8E2B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4" name="Text Box 15">
          <a:extLst>
            <a:ext uri="{FF2B5EF4-FFF2-40B4-BE49-F238E27FC236}">
              <a16:creationId xmlns:a16="http://schemas.microsoft.com/office/drawing/2014/main" id="{BBCCF163-8679-496F-AC29-99C710BC17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5" name="Text Box 15">
          <a:extLst>
            <a:ext uri="{FF2B5EF4-FFF2-40B4-BE49-F238E27FC236}">
              <a16:creationId xmlns:a16="http://schemas.microsoft.com/office/drawing/2014/main" id="{8E35E4B1-1C54-4AFB-A922-253214BDB4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6" name="Text Box 15">
          <a:extLst>
            <a:ext uri="{FF2B5EF4-FFF2-40B4-BE49-F238E27FC236}">
              <a16:creationId xmlns:a16="http://schemas.microsoft.com/office/drawing/2014/main" id="{30AD8ECB-D97F-4861-AE2F-FEB61B33FE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7" name="Text Box 15">
          <a:extLst>
            <a:ext uri="{FF2B5EF4-FFF2-40B4-BE49-F238E27FC236}">
              <a16:creationId xmlns:a16="http://schemas.microsoft.com/office/drawing/2014/main" id="{61C854E4-1976-4E60-9DDD-03D0A49EF9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8" name="Text Box 15">
          <a:extLst>
            <a:ext uri="{FF2B5EF4-FFF2-40B4-BE49-F238E27FC236}">
              <a16:creationId xmlns:a16="http://schemas.microsoft.com/office/drawing/2014/main" id="{DE7B7031-50F2-4A3D-8249-5A4520CEA3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9" name="Text Box 15">
          <a:extLst>
            <a:ext uri="{FF2B5EF4-FFF2-40B4-BE49-F238E27FC236}">
              <a16:creationId xmlns:a16="http://schemas.microsoft.com/office/drawing/2014/main" id="{6EBFDC54-6192-49C7-981E-49FE843499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0" name="Text Box 15">
          <a:extLst>
            <a:ext uri="{FF2B5EF4-FFF2-40B4-BE49-F238E27FC236}">
              <a16:creationId xmlns:a16="http://schemas.microsoft.com/office/drawing/2014/main" id="{252869D1-0CF7-4236-9222-B23A6A2F66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1" name="Text Box 15">
          <a:extLst>
            <a:ext uri="{FF2B5EF4-FFF2-40B4-BE49-F238E27FC236}">
              <a16:creationId xmlns:a16="http://schemas.microsoft.com/office/drawing/2014/main" id="{9C3AB78A-E3A1-4FA1-8C85-AE5D089CCB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42" name="Text Box 15">
          <a:extLst>
            <a:ext uri="{FF2B5EF4-FFF2-40B4-BE49-F238E27FC236}">
              <a16:creationId xmlns:a16="http://schemas.microsoft.com/office/drawing/2014/main" id="{466692FA-F2B1-4B5C-880A-92B80DEB8E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43" name="Text Box 15">
          <a:extLst>
            <a:ext uri="{FF2B5EF4-FFF2-40B4-BE49-F238E27FC236}">
              <a16:creationId xmlns:a16="http://schemas.microsoft.com/office/drawing/2014/main" id="{A18B450E-9F6C-4D29-A914-5D5C5E0585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44" name="Text Box 15">
          <a:extLst>
            <a:ext uri="{FF2B5EF4-FFF2-40B4-BE49-F238E27FC236}">
              <a16:creationId xmlns:a16="http://schemas.microsoft.com/office/drawing/2014/main" id="{90AA638B-0CC3-478B-BAB3-55AE7B008C4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5" name="Text Box 15">
          <a:extLst>
            <a:ext uri="{FF2B5EF4-FFF2-40B4-BE49-F238E27FC236}">
              <a16:creationId xmlns:a16="http://schemas.microsoft.com/office/drawing/2014/main" id="{2F306EF7-C2A2-433F-99D6-95F4A25FEE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6" name="Text Box 15">
          <a:extLst>
            <a:ext uri="{FF2B5EF4-FFF2-40B4-BE49-F238E27FC236}">
              <a16:creationId xmlns:a16="http://schemas.microsoft.com/office/drawing/2014/main" id="{1D8C3882-B3B9-458F-8D12-9C73AA620A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7" name="Text Box 15">
          <a:extLst>
            <a:ext uri="{FF2B5EF4-FFF2-40B4-BE49-F238E27FC236}">
              <a16:creationId xmlns:a16="http://schemas.microsoft.com/office/drawing/2014/main" id="{C89FFDFB-41D1-46B1-955E-0AE0B39528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8" name="Text Box 15">
          <a:extLst>
            <a:ext uri="{FF2B5EF4-FFF2-40B4-BE49-F238E27FC236}">
              <a16:creationId xmlns:a16="http://schemas.microsoft.com/office/drawing/2014/main" id="{99B911A6-210A-4F76-BF03-7B0A203C41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9" name="Text Box 15">
          <a:extLst>
            <a:ext uri="{FF2B5EF4-FFF2-40B4-BE49-F238E27FC236}">
              <a16:creationId xmlns:a16="http://schemas.microsoft.com/office/drawing/2014/main" id="{309BA263-AF60-4C1A-88A5-23A8FD4F3A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0" name="Text Box 15">
          <a:extLst>
            <a:ext uri="{FF2B5EF4-FFF2-40B4-BE49-F238E27FC236}">
              <a16:creationId xmlns:a16="http://schemas.microsoft.com/office/drawing/2014/main" id="{40F24A47-89CD-47F3-AD73-B1AF85E3BC0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1" name="Text Box 15">
          <a:extLst>
            <a:ext uri="{FF2B5EF4-FFF2-40B4-BE49-F238E27FC236}">
              <a16:creationId xmlns:a16="http://schemas.microsoft.com/office/drawing/2014/main" id="{C7A6EDCB-9647-47FE-9457-FE5F363770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2" name="Text Box 15">
          <a:extLst>
            <a:ext uri="{FF2B5EF4-FFF2-40B4-BE49-F238E27FC236}">
              <a16:creationId xmlns:a16="http://schemas.microsoft.com/office/drawing/2014/main" id="{6B71458A-1F8B-4487-A26A-0E52C84B520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3" name="Text Box 15">
          <a:extLst>
            <a:ext uri="{FF2B5EF4-FFF2-40B4-BE49-F238E27FC236}">
              <a16:creationId xmlns:a16="http://schemas.microsoft.com/office/drawing/2014/main" id="{13F5D07F-3DE1-4BEC-8B5A-C464EB978E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4" name="Text Box 15">
          <a:extLst>
            <a:ext uri="{FF2B5EF4-FFF2-40B4-BE49-F238E27FC236}">
              <a16:creationId xmlns:a16="http://schemas.microsoft.com/office/drawing/2014/main" id="{BB17DB23-ACAA-424F-BD3D-6242C90CA7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55" name="Text Box 15">
          <a:extLst>
            <a:ext uri="{FF2B5EF4-FFF2-40B4-BE49-F238E27FC236}">
              <a16:creationId xmlns:a16="http://schemas.microsoft.com/office/drawing/2014/main" id="{F1BBAFA1-DF49-43BA-B7E4-DAAF36623B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56" name="Text Box 15">
          <a:extLst>
            <a:ext uri="{FF2B5EF4-FFF2-40B4-BE49-F238E27FC236}">
              <a16:creationId xmlns:a16="http://schemas.microsoft.com/office/drawing/2014/main" id="{27928285-5004-4812-A31F-6B4D993ABF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57" name="Text Box 15">
          <a:extLst>
            <a:ext uri="{FF2B5EF4-FFF2-40B4-BE49-F238E27FC236}">
              <a16:creationId xmlns:a16="http://schemas.microsoft.com/office/drawing/2014/main" id="{D0A62A8B-1067-4607-BD2E-D871717F85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58" name="Text Box 15">
          <a:extLst>
            <a:ext uri="{FF2B5EF4-FFF2-40B4-BE49-F238E27FC236}">
              <a16:creationId xmlns:a16="http://schemas.microsoft.com/office/drawing/2014/main" id="{699E5558-9610-407A-A99C-749741C1500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59" name="Text Box 15">
          <a:extLst>
            <a:ext uri="{FF2B5EF4-FFF2-40B4-BE49-F238E27FC236}">
              <a16:creationId xmlns:a16="http://schemas.microsoft.com/office/drawing/2014/main" id="{4057C6AC-C7D2-495B-AE59-836A8FDDCE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0" name="Text Box 15">
          <a:extLst>
            <a:ext uri="{FF2B5EF4-FFF2-40B4-BE49-F238E27FC236}">
              <a16:creationId xmlns:a16="http://schemas.microsoft.com/office/drawing/2014/main" id="{9A635F00-0B34-4396-9ADA-97CB22A449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1" name="Text Box 15">
          <a:extLst>
            <a:ext uri="{FF2B5EF4-FFF2-40B4-BE49-F238E27FC236}">
              <a16:creationId xmlns:a16="http://schemas.microsoft.com/office/drawing/2014/main" id="{80F4B8B0-E373-47FB-BA4C-E92784B641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2" name="Text Box 15">
          <a:extLst>
            <a:ext uri="{FF2B5EF4-FFF2-40B4-BE49-F238E27FC236}">
              <a16:creationId xmlns:a16="http://schemas.microsoft.com/office/drawing/2014/main" id="{4E65B383-9791-42CF-A626-930265B600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3" name="Text Box 15">
          <a:extLst>
            <a:ext uri="{FF2B5EF4-FFF2-40B4-BE49-F238E27FC236}">
              <a16:creationId xmlns:a16="http://schemas.microsoft.com/office/drawing/2014/main" id="{57DA799F-12DC-409F-ACE1-E24EEB0DA80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4" name="Text Box 15">
          <a:extLst>
            <a:ext uri="{FF2B5EF4-FFF2-40B4-BE49-F238E27FC236}">
              <a16:creationId xmlns:a16="http://schemas.microsoft.com/office/drawing/2014/main" id="{25DFFDF7-BA75-4793-BA74-2662524015A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5" name="Text Box 15">
          <a:extLst>
            <a:ext uri="{FF2B5EF4-FFF2-40B4-BE49-F238E27FC236}">
              <a16:creationId xmlns:a16="http://schemas.microsoft.com/office/drawing/2014/main" id="{6D886811-36CA-404C-86E2-3D48E16E5B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6" name="Text Box 15">
          <a:extLst>
            <a:ext uri="{FF2B5EF4-FFF2-40B4-BE49-F238E27FC236}">
              <a16:creationId xmlns:a16="http://schemas.microsoft.com/office/drawing/2014/main" id="{7A2F87F5-8559-4673-BDA4-44FC2FB7DF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7" name="Text Box 15">
          <a:extLst>
            <a:ext uri="{FF2B5EF4-FFF2-40B4-BE49-F238E27FC236}">
              <a16:creationId xmlns:a16="http://schemas.microsoft.com/office/drawing/2014/main" id="{BE084086-B73C-463B-B963-AB17807164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8" name="Text Box 15">
          <a:extLst>
            <a:ext uri="{FF2B5EF4-FFF2-40B4-BE49-F238E27FC236}">
              <a16:creationId xmlns:a16="http://schemas.microsoft.com/office/drawing/2014/main" id="{80582655-A028-4C38-B7EC-3724D94219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9" name="Text Box 15">
          <a:extLst>
            <a:ext uri="{FF2B5EF4-FFF2-40B4-BE49-F238E27FC236}">
              <a16:creationId xmlns:a16="http://schemas.microsoft.com/office/drawing/2014/main" id="{80861781-F784-4F3C-863C-A3E08A9FEB2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70" name="Text Box 15">
          <a:extLst>
            <a:ext uri="{FF2B5EF4-FFF2-40B4-BE49-F238E27FC236}">
              <a16:creationId xmlns:a16="http://schemas.microsoft.com/office/drawing/2014/main" id="{B18ABA4A-6B1B-4AFD-A36A-54BDF6D4D9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71" name="Text Box 15">
          <a:extLst>
            <a:ext uri="{FF2B5EF4-FFF2-40B4-BE49-F238E27FC236}">
              <a16:creationId xmlns:a16="http://schemas.microsoft.com/office/drawing/2014/main" id="{46CCD260-FB2D-4B70-B3F9-C09F3DC71A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72" name="Text Box 15">
          <a:extLst>
            <a:ext uri="{FF2B5EF4-FFF2-40B4-BE49-F238E27FC236}">
              <a16:creationId xmlns:a16="http://schemas.microsoft.com/office/drawing/2014/main" id="{53E1FAAC-5992-4463-9AED-460DB72D15F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73" name="Text Box 15">
          <a:extLst>
            <a:ext uri="{FF2B5EF4-FFF2-40B4-BE49-F238E27FC236}">
              <a16:creationId xmlns:a16="http://schemas.microsoft.com/office/drawing/2014/main" id="{03AC9B8D-EE7A-49BB-85B0-E31A8D8600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74" name="Text Box 15">
          <a:extLst>
            <a:ext uri="{FF2B5EF4-FFF2-40B4-BE49-F238E27FC236}">
              <a16:creationId xmlns:a16="http://schemas.microsoft.com/office/drawing/2014/main" id="{EE81E4BA-B075-46F6-8F86-BE54E4CF60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5" name="Text Box 15">
          <a:extLst>
            <a:ext uri="{FF2B5EF4-FFF2-40B4-BE49-F238E27FC236}">
              <a16:creationId xmlns:a16="http://schemas.microsoft.com/office/drawing/2014/main" id="{0AC4AF93-3679-466A-809A-BCC97CA7F6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6" name="Text Box 15">
          <a:extLst>
            <a:ext uri="{FF2B5EF4-FFF2-40B4-BE49-F238E27FC236}">
              <a16:creationId xmlns:a16="http://schemas.microsoft.com/office/drawing/2014/main" id="{0C08414C-D9AE-4EA6-B070-C73C4C6C8C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7" name="Text Box 15">
          <a:extLst>
            <a:ext uri="{FF2B5EF4-FFF2-40B4-BE49-F238E27FC236}">
              <a16:creationId xmlns:a16="http://schemas.microsoft.com/office/drawing/2014/main" id="{09A62FFB-DD91-4841-8276-F95416EA96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8" name="Text Box 15">
          <a:extLst>
            <a:ext uri="{FF2B5EF4-FFF2-40B4-BE49-F238E27FC236}">
              <a16:creationId xmlns:a16="http://schemas.microsoft.com/office/drawing/2014/main" id="{88724CD1-78DE-4F77-8D96-78352FC1D9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9" name="Text Box 15">
          <a:extLst>
            <a:ext uri="{FF2B5EF4-FFF2-40B4-BE49-F238E27FC236}">
              <a16:creationId xmlns:a16="http://schemas.microsoft.com/office/drawing/2014/main" id="{4A9A8DF1-13C4-475A-8BA4-27EE7340CD0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0" name="Text Box 15">
          <a:extLst>
            <a:ext uri="{FF2B5EF4-FFF2-40B4-BE49-F238E27FC236}">
              <a16:creationId xmlns:a16="http://schemas.microsoft.com/office/drawing/2014/main" id="{DE2E2D3E-F53B-468F-B939-5DE363ACE7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1" name="Text Box 15">
          <a:extLst>
            <a:ext uri="{FF2B5EF4-FFF2-40B4-BE49-F238E27FC236}">
              <a16:creationId xmlns:a16="http://schemas.microsoft.com/office/drawing/2014/main" id="{106D3B3B-0B7B-4D13-BB33-2B93742A63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2" name="Text Box 15">
          <a:extLst>
            <a:ext uri="{FF2B5EF4-FFF2-40B4-BE49-F238E27FC236}">
              <a16:creationId xmlns:a16="http://schemas.microsoft.com/office/drawing/2014/main" id="{2EAA66FD-ECDC-45D2-B36D-AFC69AB078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3" name="Text Box 15">
          <a:extLst>
            <a:ext uri="{FF2B5EF4-FFF2-40B4-BE49-F238E27FC236}">
              <a16:creationId xmlns:a16="http://schemas.microsoft.com/office/drawing/2014/main" id="{56073CC0-AB40-4FF8-ADA1-B8CEF0C20E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4" name="Text Box 15">
          <a:extLst>
            <a:ext uri="{FF2B5EF4-FFF2-40B4-BE49-F238E27FC236}">
              <a16:creationId xmlns:a16="http://schemas.microsoft.com/office/drawing/2014/main" id="{BC7A1E61-9D91-4187-86D7-9BFFDD6C6C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85" name="Text Box 15">
          <a:extLst>
            <a:ext uri="{FF2B5EF4-FFF2-40B4-BE49-F238E27FC236}">
              <a16:creationId xmlns:a16="http://schemas.microsoft.com/office/drawing/2014/main" id="{D5BE054B-9B1A-4EC7-9A1E-C8E16ADDF2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86" name="Text Box 15">
          <a:extLst>
            <a:ext uri="{FF2B5EF4-FFF2-40B4-BE49-F238E27FC236}">
              <a16:creationId xmlns:a16="http://schemas.microsoft.com/office/drawing/2014/main" id="{9F219E26-C324-4E9D-8C76-2A2F1D5F49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87" name="Text Box 15">
          <a:extLst>
            <a:ext uri="{FF2B5EF4-FFF2-40B4-BE49-F238E27FC236}">
              <a16:creationId xmlns:a16="http://schemas.microsoft.com/office/drawing/2014/main" id="{F2422906-97DF-43BB-B83C-04B0862466C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A85D5A31-F35A-470F-B198-55326A5932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89" name="Text Box 15">
          <a:extLst>
            <a:ext uri="{FF2B5EF4-FFF2-40B4-BE49-F238E27FC236}">
              <a16:creationId xmlns:a16="http://schemas.microsoft.com/office/drawing/2014/main" id="{0C9E4CDE-7746-48C9-BE38-2C9DAE963A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0" name="Text Box 15">
          <a:extLst>
            <a:ext uri="{FF2B5EF4-FFF2-40B4-BE49-F238E27FC236}">
              <a16:creationId xmlns:a16="http://schemas.microsoft.com/office/drawing/2014/main" id="{EC5B9C9B-A5AF-4FCC-8157-16895CD625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1" name="Text Box 15">
          <a:extLst>
            <a:ext uri="{FF2B5EF4-FFF2-40B4-BE49-F238E27FC236}">
              <a16:creationId xmlns:a16="http://schemas.microsoft.com/office/drawing/2014/main" id="{BB20BB52-5CF0-44F4-9A22-9CE448CF29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2" name="Text Box 15">
          <a:extLst>
            <a:ext uri="{FF2B5EF4-FFF2-40B4-BE49-F238E27FC236}">
              <a16:creationId xmlns:a16="http://schemas.microsoft.com/office/drawing/2014/main" id="{7B53632E-0CAC-42AB-91FF-FFE95D9A07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3" name="Text Box 15">
          <a:extLst>
            <a:ext uri="{FF2B5EF4-FFF2-40B4-BE49-F238E27FC236}">
              <a16:creationId xmlns:a16="http://schemas.microsoft.com/office/drawing/2014/main" id="{1BFB35D4-CAC8-43B4-B223-582F3F8D6B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4" name="Text Box 15">
          <a:extLst>
            <a:ext uri="{FF2B5EF4-FFF2-40B4-BE49-F238E27FC236}">
              <a16:creationId xmlns:a16="http://schemas.microsoft.com/office/drawing/2014/main" id="{7B2C3BE9-974C-4891-82F0-A7226D4747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5" name="Text Box 15">
          <a:extLst>
            <a:ext uri="{FF2B5EF4-FFF2-40B4-BE49-F238E27FC236}">
              <a16:creationId xmlns:a16="http://schemas.microsoft.com/office/drawing/2014/main" id="{0209A33D-36B7-4053-8EF1-9AC2EF0894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6" name="Text Box 15">
          <a:extLst>
            <a:ext uri="{FF2B5EF4-FFF2-40B4-BE49-F238E27FC236}">
              <a16:creationId xmlns:a16="http://schemas.microsoft.com/office/drawing/2014/main" id="{EBD13012-474E-4013-A743-35E64FCEE9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7" name="Text Box 15">
          <a:extLst>
            <a:ext uri="{FF2B5EF4-FFF2-40B4-BE49-F238E27FC236}">
              <a16:creationId xmlns:a16="http://schemas.microsoft.com/office/drawing/2014/main" id="{9020CEDB-C68E-4B67-9916-3ACE01290F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8" name="Text Box 15">
          <a:extLst>
            <a:ext uri="{FF2B5EF4-FFF2-40B4-BE49-F238E27FC236}">
              <a16:creationId xmlns:a16="http://schemas.microsoft.com/office/drawing/2014/main" id="{4B225E3A-2916-4E9C-BCB4-5A072567D5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9" name="Text Box 15">
          <a:extLst>
            <a:ext uri="{FF2B5EF4-FFF2-40B4-BE49-F238E27FC236}">
              <a16:creationId xmlns:a16="http://schemas.microsoft.com/office/drawing/2014/main" id="{29946CFD-FE50-4315-B503-87D19CE2CA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00" name="Text Box 15">
          <a:extLst>
            <a:ext uri="{FF2B5EF4-FFF2-40B4-BE49-F238E27FC236}">
              <a16:creationId xmlns:a16="http://schemas.microsoft.com/office/drawing/2014/main" id="{F8796F17-C49D-4576-AAFF-700A94E367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01" name="Text Box 15">
          <a:extLst>
            <a:ext uri="{FF2B5EF4-FFF2-40B4-BE49-F238E27FC236}">
              <a16:creationId xmlns:a16="http://schemas.microsoft.com/office/drawing/2014/main" id="{936CB0A3-A43E-4B99-A6D9-9355F579B7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02" name="Text Box 15">
          <a:extLst>
            <a:ext uri="{FF2B5EF4-FFF2-40B4-BE49-F238E27FC236}">
              <a16:creationId xmlns:a16="http://schemas.microsoft.com/office/drawing/2014/main" id="{90D9D69B-D720-441A-A90A-FEA41383A8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03" name="Text Box 15">
          <a:extLst>
            <a:ext uri="{FF2B5EF4-FFF2-40B4-BE49-F238E27FC236}">
              <a16:creationId xmlns:a16="http://schemas.microsoft.com/office/drawing/2014/main" id="{093EC202-7A65-41FC-876D-DC936F3EC5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04" name="Text Box 15">
          <a:extLst>
            <a:ext uri="{FF2B5EF4-FFF2-40B4-BE49-F238E27FC236}">
              <a16:creationId xmlns:a16="http://schemas.microsoft.com/office/drawing/2014/main" id="{819243A6-5C66-44A5-A428-E6F99C1B15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5" name="Text Box 15">
          <a:extLst>
            <a:ext uri="{FF2B5EF4-FFF2-40B4-BE49-F238E27FC236}">
              <a16:creationId xmlns:a16="http://schemas.microsoft.com/office/drawing/2014/main" id="{97835FBC-52F5-4BBD-BC7E-16AB6468F4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6" name="Text Box 15">
          <a:extLst>
            <a:ext uri="{FF2B5EF4-FFF2-40B4-BE49-F238E27FC236}">
              <a16:creationId xmlns:a16="http://schemas.microsoft.com/office/drawing/2014/main" id="{46B8A3C0-2E51-4E81-9EAA-B31E051336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7" name="Text Box 15">
          <a:extLst>
            <a:ext uri="{FF2B5EF4-FFF2-40B4-BE49-F238E27FC236}">
              <a16:creationId xmlns:a16="http://schemas.microsoft.com/office/drawing/2014/main" id="{9DBE7EDB-429A-45D8-ADB2-EC7591284E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8" name="Text Box 15">
          <a:extLst>
            <a:ext uri="{FF2B5EF4-FFF2-40B4-BE49-F238E27FC236}">
              <a16:creationId xmlns:a16="http://schemas.microsoft.com/office/drawing/2014/main" id="{197B6A9C-CA69-45C4-A6AE-4F9C1270AF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9" name="Text Box 15">
          <a:extLst>
            <a:ext uri="{FF2B5EF4-FFF2-40B4-BE49-F238E27FC236}">
              <a16:creationId xmlns:a16="http://schemas.microsoft.com/office/drawing/2014/main" id="{2A6B32A6-5611-488D-B81F-E540EBD627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0" name="Text Box 15">
          <a:extLst>
            <a:ext uri="{FF2B5EF4-FFF2-40B4-BE49-F238E27FC236}">
              <a16:creationId xmlns:a16="http://schemas.microsoft.com/office/drawing/2014/main" id="{177F8B60-7F54-47C8-A266-F143019536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1" name="Text Box 15">
          <a:extLst>
            <a:ext uri="{FF2B5EF4-FFF2-40B4-BE49-F238E27FC236}">
              <a16:creationId xmlns:a16="http://schemas.microsoft.com/office/drawing/2014/main" id="{DF3454F1-CF29-456D-BA6A-D0C27A8FCA8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2" name="Text Box 15">
          <a:extLst>
            <a:ext uri="{FF2B5EF4-FFF2-40B4-BE49-F238E27FC236}">
              <a16:creationId xmlns:a16="http://schemas.microsoft.com/office/drawing/2014/main" id="{0322DCA2-C842-4865-829E-49CA92A36D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3" name="Text Box 15">
          <a:extLst>
            <a:ext uri="{FF2B5EF4-FFF2-40B4-BE49-F238E27FC236}">
              <a16:creationId xmlns:a16="http://schemas.microsoft.com/office/drawing/2014/main" id="{402B96A4-C66B-4415-A6ED-11F6BA0F52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4" name="Text Box 15">
          <a:extLst>
            <a:ext uri="{FF2B5EF4-FFF2-40B4-BE49-F238E27FC236}">
              <a16:creationId xmlns:a16="http://schemas.microsoft.com/office/drawing/2014/main" id="{3424FF08-30A1-4840-A2A6-B125994B13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15" name="Text Box 15">
          <a:extLst>
            <a:ext uri="{FF2B5EF4-FFF2-40B4-BE49-F238E27FC236}">
              <a16:creationId xmlns:a16="http://schemas.microsoft.com/office/drawing/2014/main" id="{3286452A-8C04-4A44-8B8B-4F6860A07F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16" name="Text Box 15">
          <a:extLst>
            <a:ext uri="{FF2B5EF4-FFF2-40B4-BE49-F238E27FC236}">
              <a16:creationId xmlns:a16="http://schemas.microsoft.com/office/drawing/2014/main" id="{0CC1577F-F364-44AA-B0DC-F83ACBA595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17" name="Text Box 15">
          <a:extLst>
            <a:ext uri="{FF2B5EF4-FFF2-40B4-BE49-F238E27FC236}">
              <a16:creationId xmlns:a16="http://schemas.microsoft.com/office/drawing/2014/main" id="{6E899EC1-5A68-4BC2-9B0E-C6E91EBB4F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18" name="Text Box 15">
          <a:extLst>
            <a:ext uri="{FF2B5EF4-FFF2-40B4-BE49-F238E27FC236}">
              <a16:creationId xmlns:a16="http://schemas.microsoft.com/office/drawing/2014/main" id="{277DFCEE-CB4E-4B7C-8EBE-6C5D57F77D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19" name="Text Box 15">
          <a:extLst>
            <a:ext uri="{FF2B5EF4-FFF2-40B4-BE49-F238E27FC236}">
              <a16:creationId xmlns:a16="http://schemas.microsoft.com/office/drawing/2014/main" id="{A2D7A73D-CA10-40F1-9684-7A7551B395C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0" name="Text Box 15">
          <a:extLst>
            <a:ext uri="{FF2B5EF4-FFF2-40B4-BE49-F238E27FC236}">
              <a16:creationId xmlns:a16="http://schemas.microsoft.com/office/drawing/2014/main" id="{C26994ED-0208-4D6D-9971-299A4D02E0E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1" name="Text Box 15">
          <a:extLst>
            <a:ext uri="{FF2B5EF4-FFF2-40B4-BE49-F238E27FC236}">
              <a16:creationId xmlns:a16="http://schemas.microsoft.com/office/drawing/2014/main" id="{19103D5C-0B7C-4FE1-ABF0-217E6B8238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2" name="Text Box 15">
          <a:extLst>
            <a:ext uri="{FF2B5EF4-FFF2-40B4-BE49-F238E27FC236}">
              <a16:creationId xmlns:a16="http://schemas.microsoft.com/office/drawing/2014/main" id="{2D21C3B4-372D-4A9C-9106-E3813AF23E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3" name="Text Box 15">
          <a:extLst>
            <a:ext uri="{FF2B5EF4-FFF2-40B4-BE49-F238E27FC236}">
              <a16:creationId xmlns:a16="http://schemas.microsoft.com/office/drawing/2014/main" id="{767A03B4-2BC3-4960-92C8-A23DBF3AC8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4" name="Text Box 15">
          <a:extLst>
            <a:ext uri="{FF2B5EF4-FFF2-40B4-BE49-F238E27FC236}">
              <a16:creationId xmlns:a16="http://schemas.microsoft.com/office/drawing/2014/main" id="{DC6049EF-874E-4A4A-967C-14314F98043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5" name="Text Box 15">
          <a:extLst>
            <a:ext uri="{FF2B5EF4-FFF2-40B4-BE49-F238E27FC236}">
              <a16:creationId xmlns:a16="http://schemas.microsoft.com/office/drawing/2014/main" id="{26BA329D-B496-4AD2-9701-608C7B5612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6" name="Text Box 15">
          <a:extLst>
            <a:ext uri="{FF2B5EF4-FFF2-40B4-BE49-F238E27FC236}">
              <a16:creationId xmlns:a16="http://schemas.microsoft.com/office/drawing/2014/main" id="{C04D6FD8-89FC-403E-842A-EFAE802C30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7" name="Text Box 15">
          <a:extLst>
            <a:ext uri="{FF2B5EF4-FFF2-40B4-BE49-F238E27FC236}">
              <a16:creationId xmlns:a16="http://schemas.microsoft.com/office/drawing/2014/main" id="{17C7D328-FA25-4F48-870C-7238CE0641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8" name="Text Box 15">
          <a:extLst>
            <a:ext uri="{FF2B5EF4-FFF2-40B4-BE49-F238E27FC236}">
              <a16:creationId xmlns:a16="http://schemas.microsoft.com/office/drawing/2014/main" id="{40E362BD-460D-46F0-994C-C38061C363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9" name="Text Box 15">
          <a:extLst>
            <a:ext uri="{FF2B5EF4-FFF2-40B4-BE49-F238E27FC236}">
              <a16:creationId xmlns:a16="http://schemas.microsoft.com/office/drawing/2014/main" id="{B282903F-C292-447F-95F9-631120763E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30" name="Text Box 15">
          <a:extLst>
            <a:ext uri="{FF2B5EF4-FFF2-40B4-BE49-F238E27FC236}">
              <a16:creationId xmlns:a16="http://schemas.microsoft.com/office/drawing/2014/main" id="{07F7B36C-758F-4558-99DB-EC8818B5D44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31" name="Text Box 15">
          <a:extLst>
            <a:ext uri="{FF2B5EF4-FFF2-40B4-BE49-F238E27FC236}">
              <a16:creationId xmlns:a16="http://schemas.microsoft.com/office/drawing/2014/main" id="{EF43C584-8BEC-49E5-841A-B002219713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32" name="Text Box 15">
          <a:extLst>
            <a:ext uri="{FF2B5EF4-FFF2-40B4-BE49-F238E27FC236}">
              <a16:creationId xmlns:a16="http://schemas.microsoft.com/office/drawing/2014/main" id="{96CFF2FE-540E-4CFF-A493-F2D44E393B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3" name="Text Box 15">
          <a:extLst>
            <a:ext uri="{FF2B5EF4-FFF2-40B4-BE49-F238E27FC236}">
              <a16:creationId xmlns:a16="http://schemas.microsoft.com/office/drawing/2014/main" id="{279E3A54-CE5B-44D3-A921-5833492934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4" name="Text Box 15">
          <a:extLst>
            <a:ext uri="{FF2B5EF4-FFF2-40B4-BE49-F238E27FC236}">
              <a16:creationId xmlns:a16="http://schemas.microsoft.com/office/drawing/2014/main" id="{7FE1772F-AF8F-4FF2-BD0C-4B4F489BEC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5" name="Text Box 15">
          <a:extLst>
            <a:ext uri="{FF2B5EF4-FFF2-40B4-BE49-F238E27FC236}">
              <a16:creationId xmlns:a16="http://schemas.microsoft.com/office/drawing/2014/main" id="{8531663D-DE06-46A7-BBAB-CD93F42443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6" name="Text Box 15">
          <a:extLst>
            <a:ext uri="{FF2B5EF4-FFF2-40B4-BE49-F238E27FC236}">
              <a16:creationId xmlns:a16="http://schemas.microsoft.com/office/drawing/2014/main" id="{A7CD9230-BFDD-4B2D-8DBF-438D717AEC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7" name="Text Box 15">
          <a:extLst>
            <a:ext uri="{FF2B5EF4-FFF2-40B4-BE49-F238E27FC236}">
              <a16:creationId xmlns:a16="http://schemas.microsoft.com/office/drawing/2014/main" id="{2ECE73E4-614C-43DA-A998-FD4B54ACED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8" name="Text Box 15">
          <a:extLst>
            <a:ext uri="{FF2B5EF4-FFF2-40B4-BE49-F238E27FC236}">
              <a16:creationId xmlns:a16="http://schemas.microsoft.com/office/drawing/2014/main" id="{58085045-315E-4B5F-9EC3-E093F4D757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9" name="Text Box 15">
          <a:extLst>
            <a:ext uri="{FF2B5EF4-FFF2-40B4-BE49-F238E27FC236}">
              <a16:creationId xmlns:a16="http://schemas.microsoft.com/office/drawing/2014/main" id="{1F7A190A-5F26-46A8-AB94-EE7216C97C0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0" name="Text Box 15">
          <a:extLst>
            <a:ext uri="{FF2B5EF4-FFF2-40B4-BE49-F238E27FC236}">
              <a16:creationId xmlns:a16="http://schemas.microsoft.com/office/drawing/2014/main" id="{953D315C-190E-4963-B989-387E98F4B3C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1" name="Text Box 15">
          <a:extLst>
            <a:ext uri="{FF2B5EF4-FFF2-40B4-BE49-F238E27FC236}">
              <a16:creationId xmlns:a16="http://schemas.microsoft.com/office/drawing/2014/main" id="{9BD9A0ED-8B67-469C-860A-DAC7F7FD3C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2" name="Text Box 15">
          <a:extLst>
            <a:ext uri="{FF2B5EF4-FFF2-40B4-BE49-F238E27FC236}">
              <a16:creationId xmlns:a16="http://schemas.microsoft.com/office/drawing/2014/main" id="{F81946AA-4E9F-4453-A4CE-417BE0E244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43" name="Text Box 15">
          <a:extLst>
            <a:ext uri="{FF2B5EF4-FFF2-40B4-BE49-F238E27FC236}">
              <a16:creationId xmlns:a16="http://schemas.microsoft.com/office/drawing/2014/main" id="{8BB84080-B82B-47A2-8657-CD4287436B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44" name="Text Box 15">
          <a:extLst>
            <a:ext uri="{FF2B5EF4-FFF2-40B4-BE49-F238E27FC236}">
              <a16:creationId xmlns:a16="http://schemas.microsoft.com/office/drawing/2014/main" id="{695CD05A-7990-493D-AC91-DD84A1B320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45" name="Text Box 15">
          <a:extLst>
            <a:ext uri="{FF2B5EF4-FFF2-40B4-BE49-F238E27FC236}">
              <a16:creationId xmlns:a16="http://schemas.microsoft.com/office/drawing/2014/main" id="{18454D5B-58C8-4A00-9C11-BDD48D845B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46" name="Text Box 15">
          <a:extLst>
            <a:ext uri="{FF2B5EF4-FFF2-40B4-BE49-F238E27FC236}">
              <a16:creationId xmlns:a16="http://schemas.microsoft.com/office/drawing/2014/main" id="{4CBB0DA7-B855-4730-BCF6-7100B6856F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47" name="Text Box 15">
          <a:extLst>
            <a:ext uri="{FF2B5EF4-FFF2-40B4-BE49-F238E27FC236}">
              <a16:creationId xmlns:a16="http://schemas.microsoft.com/office/drawing/2014/main" id="{00CBE5AA-9C71-49B3-83C6-671541EDED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8" name="Text Box 15">
          <a:extLst>
            <a:ext uri="{FF2B5EF4-FFF2-40B4-BE49-F238E27FC236}">
              <a16:creationId xmlns:a16="http://schemas.microsoft.com/office/drawing/2014/main" id="{97CE54D9-F950-40B2-9625-7F6BDC4503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9" name="Text Box 15">
          <a:extLst>
            <a:ext uri="{FF2B5EF4-FFF2-40B4-BE49-F238E27FC236}">
              <a16:creationId xmlns:a16="http://schemas.microsoft.com/office/drawing/2014/main" id="{63F58F0D-C767-404C-B206-250E2DDF4C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0" name="Text Box 15">
          <a:extLst>
            <a:ext uri="{FF2B5EF4-FFF2-40B4-BE49-F238E27FC236}">
              <a16:creationId xmlns:a16="http://schemas.microsoft.com/office/drawing/2014/main" id="{6F6880BB-7152-452E-B7D1-55229B7C25A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1" name="Text Box 15">
          <a:extLst>
            <a:ext uri="{FF2B5EF4-FFF2-40B4-BE49-F238E27FC236}">
              <a16:creationId xmlns:a16="http://schemas.microsoft.com/office/drawing/2014/main" id="{905BC498-EB48-4A17-BF69-FCE45C1918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2" name="Text Box 15">
          <a:extLst>
            <a:ext uri="{FF2B5EF4-FFF2-40B4-BE49-F238E27FC236}">
              <a16:creationId xmlns:a16="http://schemas.microsoft.com/office/drawing/2014/main" id="{29E62110-6F02-47FE-8E15-FB929250FD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3" name="Text Box 15">
          <a:extLst>
            <a:ext uri="{FF2B5EF4-FFF2-40B4-BE49-F238E27FC236}">
              <a16:creationId xmlns:a16="http://schemas.microsoft.com/office/drawing/2014/main" id="{5EDA698D-7C49-45D0-8769-2D2981E496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4" name="Text Box 15">
          <a:extLst>
            <a:ext uri="{FF2B5EF4-FFF2-40B4-BE49-F238E27FC236}">
              <a16:creationId xmlns:a16="http://schemas.microsoft.com/office/drawing/2014/main" id="{E194C41B-7C74-45F7-B28F-D9A0480508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5" name="Text Box 15">
          <a:extLst>
            <a:ext uri="{FF2B5EF4-FFF2-40B4-BE49-F238E27FC236}">
              <a16:creationId xmlns:a16="http://schemas.microsoft.com/office/drawing/2014/main" id="{D91A3722-8211-47D0-86B1-EFDB6B281D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6" name="Text Box 15">
          <a:extLst>
            <a:ext uri="{FF2B5EF4-FFF2-40B4-BE49-F238E27FC236}">
              <a16:creationId xmlns:a16="http://schemas.microsoft.com/office/drawing/2014/main" id="{4040B84A-0E0F-4C8B-BC83-4A7164B8DEB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7" name="Text Box 15">
          <a:extLst>
            <a:ext uri="{FF2B5EF4-FFF2-40B4-BE49-F238E27FC236}">
              <a16:creationId xmlns:a16="http://schemas.microsoft.com/office/drawing/2014/main" id="{7324AE2A-F780-4C18-842C-40C46C2ABC2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58" name="Text Box 15">
          <a:extLst>
            <a:ext uri="{FF2B5EF4-FFF2-40B4-BE49-F238E27FC236}">
              <a16:creationId xmlns:a16="http://schemas.microsoft.com/office/drawing/2014/main" id="{474B2DE3-62A1-4EF6-8F32-8095396F03A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59" name="Text Box 15">
          <a:extLst>
            <a:ext uri="{FF2B5EF4-FFF2-40B4-BE49-F238E27FC236}">
              <a16:creationId xmlns:a16="http://schemas.microsoft.com/office/drawing/2014/main" id="{942099DD-3301-4E92-A525-3DF2C54A59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60" name="Text Box 15">
          <a:extLst>
            <a:ext uri="{FF2B5EF4-FFF2-40B4-BE49-F238E27FC236}">
              <a16:creationId xmlns:a16="http://schemas.microsoft.com/office/drawing/2014/main" id="{4175916D-A9BD-403F-B0CF-B739C45AD5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61" name="Text Box 15">
          <a:extLst>
            <a:ext uri="{FF2B5EF4-FFF2-40B4-BE49-F238E27FC236}">
              <a16:creationId xmlns:a16="http://schemas.microsoft.com/office/drawing/2014/main" id="{58EB2053-4810-42EB-BC0C-F56F2EAE73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62" name="Text Box 15">
          <a:extLst>
            <a:ext uri="{FF2B5EF4-FFF2-40B4-BE49-F238E27FC236}">
              <a16:creationId xmlns:a16="http://schemas.microsoft.com/office/drawing/2014/main" id="{0122862B-BB3C-4459-BFD9-060DB4E582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3" name="Text Box 15">
          <a:extLst>
            <a:ext uri="{FF2B5EF4-FFF2-40B4-BE49-F238E27FC236}">
              <a16:creationId xmlns:a16="http://schemas.microsoft.com/office/drawing/2014/main" id="{52F776FA-3044-4AD7-875D-AC9D55C67C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4" name="Text Box 15">
          <a:extLst>
            <a:ext uri="{FF2B5EF4-FFF2-40B4-BE49-F238E27FC236}">
              <a16:creationId xmlns:a16="http://schemas.microsoft.com/office/drawing/2014/main" id="{5849CDE4-BAFB-4773-B7DB-98DDC06664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5" name="Text Box 15">
          <a:extLst>
            <a:ext uri="{FF2B5EF4-FFF2-40B4-BE49-F238E27FC236}">
              <a16:creationId xmlns:a16="http://schemas.microsoft.com/office/drawing/2014/main" id="{F86928D1-23CF-4B94-8035-28C8AD973E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6" name="Text Box 15">
          <a:extLst>
            <a:ext uri="{FF2B5EF4-FFF2-40B4-BE49-F238E27FC236}">
              <a16:creationId xmlns:a16="http://schemas.microsoft.com/office/drawing/2014/main" id="{E11B962A-96CE-4A07-B8BE-57A0910D1D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7" name="Text Box 15">
          <a:extLst>
            <a:ext uri="{FF2B5EF4-FFF2-40B4-BE49-F238E27FC236}">
              <a16:creationId xmlns:a16="http://schemas.microsoft.com/office/drawing/2014/main" id="{3E6CAF65-BCCC-428D-BAF6-84C67C41B0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8" name="Text Box 15">
          <a:extLst>
            <a:ext uri="{FF2B5EF4-FFF2-40B4-BE49-F238E27FC236}">
              <a16:creationId xmlns:a16="http://schemas.microsoft.com/office/drawing/2014/main" id="{574E7007-56C7-4C59-93DF-ECD5979EEC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9" name="Text Box 15">
          <a:extLst>
            <a:ext uri="{FF2B5EF4-FFF2-40B4-BE49-F238E27FC236}">
              <a16:creationId xmlns:a16="http://schemas.microsoft.com/office/drawing/2014/main" id="{8E1A9DB2-63DF-47D6-9FD5-EC61ACFEBA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70" name="Text Box 15">
          <a:extLst>
            <a:ext uri="{FF2B5EF4-FFF2-40B4-BE49-F238E27FC236}">
              <a16:creationId xmlns:a16="http://schemas.microsoft.com/office/drawing/2014/main" id="{70686893-6357-4777-9535-4D4561DBAB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71" name="Text Box 15">
          <a:extLst>
            <a:ext uri="{FF2B5EF4-FFF2-40B4-BE49-F238E27FC236}">
              <a16:creationId xmlns:a16="http://schemas.microsoft.com/office/drawing/2014/main" id="{971F148D-5657-4B2F-8AF1-982A5BC702E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72" name="Text Box 15">
          <a:extLst>
            <a:ext uri="{FF2B5EF4-FFF2-40B4-BE49-F238E27FC236}">
              <a16:creationId xmlns:a16="http://schemas.microsoft.com/office/drawing/2014/main" id="{23252551-2004-4E88-ABF7-69324C54035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73" name="Text Box 15">
          <a:extLst>
            <a:ext uri="{FF2B5EF4-FFF2-40B4-BE49-F238E27FC236}">
              <a16:creationId xmlns:a16="http://schemas.microsoft.com/office/drawing/2014/main" id="{D5CA6F0E-DEBF-4E22-9638-54EBD50520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74" name="Text Box 15">
          <a:extLst>
            <a:ext uri="{FF2B5EF4-FFF2-40B4-BE49-F238E27FC236}">
              <a16:creationId xmlns:a16="http://schemas.microsoft.com/office/drawing/2014/main" id="{FD25AD68-A459-44B8-8820-1585C13A4E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75" name="Text Box 15">
          <a:extLst>
            <a:ext uri="{FF2B5EF4-FFF2-40B4-BE49-F238E27FC236}">
              <a16:creationId xmlns:a16="http://schemas.microsoft.com/office/drawing/2014/main" id="{96BC1C38-69F3-40A4-8606-13C099BA3D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76" name="Text Box 15">
          <a:extLst>
            <a:ext uri="{FF2B5EF4-FFF2-40B4-BE49-F238E27FC236}">
              <a16:creationId xmlns:a16="http://schemas.microsoft.com/office/drawing/2014/main" id="{9BF7531C-0A16-4363-90A6-6B9319B45C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77" name="Text Box 15">
          <a:extLst>
            <a:ext uri="{FF2B5EF4-FFF2-40B4-BE49-F238E27FC236}">
              <a16:creationId xmlns:a16="http://schemas.microsoft.com/office/drawing/2014/main" id="{BFAC40F9-527E-492E-AE78-D50FEB6097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78" name="Text Box 15">
          <a:extLst>
            <a:ext uri="{FF2B5EF4-FFF2-40B4-BE49-F238E27FC236}">
              <a16:creationId xmlns:a16="http://schemas.microsoft.com/office/drawing/2014/main" id="{7E263FC8-AEC2-4BE9-9647-B111C8361B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79" name="Text Box 15">
          <a:extLst>
            <a:ext uri="{FF2B5EF4-FFF2-40B4-BE49-F238E27FC236}">
              <a16:creationId xmlns:a16="http://schemas.microsoft.com/office/drawing/2014/main" id="{32D81D3D-C4F6-476C-A1EE-1543AFD7BB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0" name="Text Box 15">
          <a:extLst>
            <a:ext uri="{FF2B5EF4-FFF2-40B4-BE49-F238E27FC236}">
              <a16:creationId xmlns:a16="http://schemas.microsoft.com/office/drawing/2014/main" id="{F4CF8207-72FB-4E31-BA2F-4FFAA3F41D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1" name="Text Box 15">
          <a:extLst>
            <a:ext uri="{FF2B5EF4-FFF2-40B4-BE49-F238E27FC236}">
              <a16:creationId xmlns:a16="http://schemas.microsoft.com/office/drawing/2014/main" id="{843BF55A-0ADD-42BD-B9AF-B959D16559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2" name="Text Box 15">
          <a:extLst>
            <a:ext uri="{FF2B5EF4-FFF2-40B4-BE49-F238E27FC236}">
              <a16:creationId xmlns:a16="http://schemas.microsoft.com/office/drawing/2014/main" id="{DA25E82C-8B55-408E-9B5E-622BAA4988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3" name="Text Box 15">
          <a:extLst>
            <a:ext uri="{FF2B5EF4-FFF2-40B4-BE49-F238E27FC236}">
              <a16:creationId xmlns:a16="http://schemas.microsoft.com/office/drawing/2014/main" id="{FC2C2270-3803-4BF8-8780-ED7D945673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4" name="Text Box 15">
          <a:extLst>
            <a:ext uri="{FF2B5EF4-FFF2-40B4-BE49-F238E27FC236}">
              <a16:creationId xmlns:a16="http://schemas.microsoft.com/office/drawing/2014/main" id="{6408C8F8-FA88-4E6C-BBB1-575C517BE6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5" name="Text Box 15">
          <a:extLst>
            <a:ext uri="{FF2B5EF4-FFF2-40B4-BE49-F238E27FC236}">
              <a16:creationId xmlns:a16="http://schemas.microsoft.com/office/drawing/2014/main" id="{58BBE4D3-B242-4165-9D00-B7755EE71A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6" name="Text Box 15">
          <a:extLst>
            <a:ext uri="{FF2B5EF4-FFF2-40B4-BE49-F238E27FC236}">
              <a16:creationId xmlns:a16="http://schemas.microsoft.com/office/drawing/2014/main" id="{0AC8BE16-B85F-4A1B-9CAD-3C4CFBAF8D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7" name="Text Box 15">
          <a:extLst>
            <a:ext uri="{FF2B5EF4-FFF2-40B4-BE49-F238E27FC236}">
              <a16:creationId xmlns:a16="http://schemas.microsoft.com/office/drawing/2014/main" id="{CC860019-DDA9-4590-91C0-05969914DA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88" name="Text Box 15">
          <a:extLst>
            <a:ext uri="{FF2B5EF4-FFF2-40B4-BE49-F238E27FC236}">
              <a16:creationId xmlns:a16="http://schemas.microsoft.com/office/drawing/2014/main" id="{D797CDA2-1615-4079-B599-6B27389EF2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89" name="Text Box 15">
          <a:extLst>
            <a:ext uri="{FF2B5EF4-FFF2-40B4-BE49-F238E27FC236}">
              <a16:creationId xmlns:a16="http://schemas.microsoft.com/office/drawing/2014/main" id="{E4862CDA-327D-440C-97FF-46B02CBF2A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90" name="Text Box 15">
          <a:extLst>
            <a:ext uri="{FF2B5EF4-FFF2-40B4-BE49-F238E27FC236}">
              <a16:creationId xmlns:a16="http://schemas.microsoft.com/office/drawing/2014/main" id="{9AA9A4A5-907E-40E5-9FB6-829A7D23F4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91" name="Text Box 15">
          <a:extLst>
            <a:ext uri="{FF2B5EF4-FFF2-40B4-BE49-F238E27FC236}">
              <a16:creationId xmlns:a16="http://schemas.microsoft.com/office/drawing/2014/main" id="{B203F305-15F0-4D46-AB5D-9DDD8D2B6D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92" name="Text Box 15">
          <a:extLst>
            <a:ext uri="{FF2B5EF4-FFF2-40B4-BE49-F238E27FC236}">
              <a16:creationId xmlns:a16="http://schemas.microsoft.com/office/drawing/2014/main" id="{0AA0872B-CB38-49C4-826D-94A837956E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3" name="Text Box 15">
          <a:extLst>
            <a:ext uri="{FF2B5EF4-FFF2-40B4-BE49-F238E27FC236}">
              <a16:creationId xmlns:a16="http://schemas.microsoft.com/office/drawing/2014/main" id="{EC2AAF80-019F-41C6-81D8-0E5C9C46BD0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4" name="Text Box 15">
          <a:extLst>
            <a:ext uri="{FF2B5EF4-FFF2-40B4-BE49-F238E27FC236}">
              <a16:creationId xmlns:a16="http://schemas.microsoft.com/office/drawing/2014/main" id="{744A4662-F83F-4D07-832C-CBBE90141E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5" name="Text Box 15">
          <a:extLst>
            <a:ext uri="{FF2B5EF4-FFF2-40B4-BE49-F238E27FC236}">
              <a16:creationId xmlns:a16="http://schemas.microsoft.com/office/drawing/2014/main" id="{F0CF2E2D-E88E-4C02-96A4-1AB515B248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6" name="Text Box 15">
          <a:extLst>
            <a:ext uri="{FF2B5EF4-FFF2-40B4-BE49-F238E27FC236}">
              <a16:creationId xmlns:a16="http://schemas.microsoft.com/office/drawing/2014/main" id="{52A014D6-8EA5-48FE-A60E-AEA41F0727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7" name="Text Box 15">
          <a:extLst>
            <a:ext uri="{FF2B5EF4-FFF2-40B4-BE49-F238E27FC236}">
              <a16:creationId xmlns:a16="http://schemas.microsoft.com/office/drawing/2014/main" id="{999C1EC8-52C5-44DD-A4B5-54895079B4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8" name="Text Box 15">
          <a:extLst>
            <a:ext uri="{FF2B5EF4-FFF2-40B4-BE49-F238E27FC236}">
              <a16:creationId xmlns:a16="http://schemas.microsoft.com/office/drawing/2014/main" id="{717BB6DB-7F71-4CFD-9ECE-722F9846B8B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9" name="Text Box 15">
          <a:extLst>
            <a:ext uri="{FF2B5EF4-FFF2-40B4-BE49-F238E27FC236}">
              <a16:creationId xmlns:a16="http://schemas.microsoft.com/office/drawing/2014/main" id="{6C14C942-EA07-456D-923A-B41CC5C8244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0" name="Text Box 15">
          <a:extLst>
            <a:ext uri="{FF2B5EF4-FFF2-40B4-BE49-F238E27FC236}">
              <a16:creationId xmlns:a16="http://schemas.microsoft.com/office/drawing/2014/main" id="{3303D1D1-3AD1-4D90-97F2-655DE0AE34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1" name="Text Box 15">
          <a:extLst>
            <a:ext uri="{FF2B5EF4-FFF2-40B4-BE49-F238E27FC236}">
              <a16:creationId xmlns:a16="http://schemas.microsoft.com/office/drawing/2014/main" id="{73279998-9259-42D7-8D2F-37AD505508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2" name="Text Box 15">
          <a:extLst>
            <a:ext uri="{FF2B5EF4-FFF2-40B4-BE49-F238E27FC236}">
              <a16:creationId xmlns:a16="http://schemas.microsoft.com/office/drawing/2014/main" id="{408A66E9-BDE8-42C6-91BD-747524C709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203" name="Text Box 15">
          <a:extLst>
            <a:ext uri="{FF2B5EF4-FFF2-40B4-BE49-F238E27FC236}">
              <a16:creationId xmlns:a16="http://schemas.microsoft.com/office/drawing/2014/main" id="{F568533D-6EB2-4AAC-9D10-30408E9EC9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204" name="Text Box 15">
          <a:extLst>
            <a:ext uri="{FF2B5EF4-FFF2-40B4-BE49-F238E27FC236}">
              <a16:creationId xmlns:a16="http://schemas.microsoft.com/office/drawing/2014/main" id="{39D3DAD7-0C79-4CD2-9058-AB18C9914B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205" name="Text Box 15">
          <a:extLst>
            <a:ext uri="{FF2B5EF4-FFF2-40B4-BE49-F238E27FC236}">
              <a16:creationId xmlns:a16="http://schemas.microsoft.com/office/drawing/2014/main" id="{16768FE5-AD16-4AAB-9945-535A590A12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206" name="Text Box 15">
          <a:extLst>
            <a:ext uri="{FF2B5EF4-FFF2-40B4-BE49-F238E27FC236}">
              <a16:creationId xmlns:a16="http://schemas.microsoft.com/office/drawing/2014/main" id="{D6945F52-B751-4A7A-B88C-78F9A5E6F9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207" name="Text Box 15">
          <a:extLst>
            <a:ext uri="{FF2B5EF4-FFF2-40B4-BE49-F238E27FC236}">
              <a16:creationId xmlns:a16="http://schemas.microsoft.com/office/drawing/2014/main" id="{9298A455-F310-4436-9B2E-940E397212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8" name="Text Box 15">
          <a:extLst>
            <a:ext uri="{FF2B5EF4-FFF2-40B4-BE49-F238E27FC236}">
              <a16:creationId xmlns:a16="http://schemas.microsoft.com/office/drawing/2014/main" id="{346FC3D8-444B-4474-98ED-93EC5F54D0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9" name="Text Box 15">
          <a:extLst>
            <a:ext uri="{FF2B5EF4-FFF2-40B4-BE49-F238E27FC236}">
              <a16:creationId xmlns:a16="http://schemas.microsoft.com/office/drawing/2014/main" id="{F443D8BE-7EE7-4059-81C3-B6C768F8B5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0" name="Text Box 15">
          <a:extLst>
            <a:ext uri="{FF2B5EF4-FFF2-40B4-BE49-F238E27FC236}">
              <a16:creationId xmlns:a16="http://schemas.microsoft.com/office/drawing/2014/main" id="{DB8125D7-95EC-4CBA-9A65-2B88D72642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1" name="Text Box 15">
          <a:extLst>
            <a:ext uri="{FF2B5EF4-FFF2-40B4-BE49-F238E27FC236}">
              <a16:creationId xmlns:a16="http://schemas.microsoft.com/office/drawing/2014/main" id="{09E2F1F8-1B5A-4BA1-8BBA-6A4E264DB0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2" name="Text Box 15">
          <a:extLst>
            <a:ext uri="{FF2B5EF4-FFF2-40B4-BE49-F238E27FC236}">
              <a16:creationId xmlns:a16="http://schemas.microsoft.com/office/drawing/2014/main" id="{CDD8C561-D8C0-42C1-94B8-351579D68B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3" name="Text Box 15">
          <a:extLst>
            <a:ext uri="{FF2B5EF4-FFF2-40B4-BE49-F238E27FC236}">
              <a16:creationId xmlns:a16="http://schemas.microsoft.com/office/drawing/2014/main" id="{ED81B844-4652-4834-B81F-42C17C73DC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4" name="Text Box 15">
          <a:extLst>
            <a:ext uri="{FF2B5EF4-FFF2-40B4-BE49-F238E27FC236}">
              <a16:creationId xmlns:a16="http://schemas.microsoft.com/office/drawing/2014/main" id="{997408EA-59A0-4133-9814-0A491D1F2B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5" name="Text Box 15">
          <a:extLst>
            <a:ext uri="{FF2B5EF4-FFF2-40B4-BE49-F238E27FC236}">
              <a16:creationId xmlns:a16="http://schemas.microsoft.com/office/drawing/2014/main" id="{860092B9-F945-450E-9A27-F94D333FCD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6" name="Text Box 15">
          <a:extLst>
            <a:ext uri="{FF2B5EF4-FFF2-40B4-BE49-F238E27FC236}">
              <a16:creationId xmlns:a16="http://schemas.microsoft.com/office/drawing/2014/main" id="{CB8D9775-DB04-4D4C-A333-E243D2A84E3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7" name="Text Box 15">
          <a:extLst>
            <a:ext uri="{FF2B5EF4-FFF2-40B4-BE49-F238E27FC236}">
              <a16:creationId xmlns:a16="http://schemas.microsoft.com/office/drawing/2014/main" id="{482B8093-08BD-4D70-BB8D-CC9D95E6BA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8" name="Text Box 15">
          <a:extLst>
            <a:ext uri="{FF2B5EF4-FFF2-40B4-BE49-F238E27FC236}">
              <a16:creationId xmlns:a16="http://schemas.microsoft.com/office/drawing/2014/main" id="{84147CC0-07AB-4E87-B3CA-75E229BE1AC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9" name="Text Box 15">
          <a:extLst>
            <a:ext uri="{FF2B5EF4-FFF2-40B4-BE49-F238E27FC236}">
              <a16:creationId xmlns:a16="http://schemas.microsoft.com/office/drawing/2014/main" id="{AD8A45DE-63D7-4A48-A8CE-21A89D659B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0" name="Text Box 15">
          <a:extLst>
            <a:ext uri="{FF2B5EF4-FFF2-40B4-BE49-F238E27FC236}">
              <a16:creationId xmlns:a16="http://schemas.microsoft.com/office/drawing/2014/main" id="{52A25FB4-EE62-4C18-9904-72886BFCA08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1" name="Text Box 15">
          <a:extLst>
            <a:ext uri="{FF2B5EF4-FFF2-40B4-BE49-F238E27FC236}">
              <a16:creationId xmlns:a16="http://schemas.microsoft.com/office/drawing/2014/main" id="{D068339A-1DC8-442D-AF28-D17FF6E3231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2" name="Text Box 15">
          <a:extLst>
            <a:ext uri="{FF2B5EF4-FFF2-40B4-BE49-F238E27FC236}">
              <a16:creationId xmlns:a16="http://schemas.microsoft.com/office/drawing/2014/main" id="{18AC7BED-62B2-4F9A-8985-F8C59081F1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3" name="Text Box 15">
          <a:extLst>
            <a:ext uri="{FF2B5EF4-FFF2-40B4-BE49-F238E27FC236}">
              <a16:creationId xmlns:a16="http://schemas.microsoft.com/office/drawing/2014/main" id="{B243D662-7138-4B64-ADB1-A44CE51DB6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4" name="Text Box 15">
          <a:extLst>
            <a:ext uri="{FF2B5EF4-FFF2-40B4-BE49-F238E27FC236}">
              <a16:creationId xmlns:a16="http://schemas.microsoft.com/office/drawing/2014/main" id="{487B45E8-E4C6-4FAA-9E40-0EFFF4DDC2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5" name="Text Box 15">
          <a:extLst>
            <a:ext uri="{FF2B5EF4-FFF2-40B4-BE49-F238E27FC236}">
              <a16:creationId xmlns:a16="http://schemas.microsoft.com/office/drawing/2014/main" id="{73BB5131-3616-4E59-8549-6C4F0C2259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6" name="Text Box 15">
          <a:extLst>
            <a:ext uri="{FF2B5EF4-FFF2-40B4-BE49-F238E27FC236}">
              <a16:creationId xmlns:a16="http://schemas.microsoft.com/office/drawing/2014/main" id="{666C84EB-C511-400B-A672-908D7A8E63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7" name="Text Box 15">
          <a:extLst>
            <a:ext uri="{FF2B5EF4-FFF2-40B4-BE49-F238E27FC236}">
              <a16:creationId xmlns:a16="http://schemas.microsoft.com/office/drawing/2014/main" id="{CF35D0B7-F1B6-433A-B0D8-C305562C8A9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8" name="Text Box 15">
          <a:extLst>
            <a:ext uri="{FF2B5EF4-FFF2-40B4-BE49-F238E27FC236}">
              <a16:creationId xmlns:a16="http://schemas.microsoft.com/office/drawing/2014/main" id="{C78930C3-37C4-4008-A8FA-6B06655341A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9" name="Text Box 15">
          <a:extLst>
            <a:ext uri="{FF2B5EF4-FFF2-40B4-BE49-F238E27FC236}">
              <a16:creationId xmlns:a16="http://schemas.microsoft.com/office/drawing/2014/main" id="{2B6A7BD9-D76A-4388-846F-7005631A90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0" name="Text Box 15">
          <a:extLst>
            <a:ext uri="{FF2B5EF4-FFF2-40B4-BE49-F238E27FC236}">
              <a16:creationId xmlns:a16="http://schemas.microsoft.com/office/drawing/2014/main" id="{0FEBF426-2CB7-4FBE-9BF8-BE693EBBA8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1" name="Text Box 15">
          <a:extLst>
            <a:ext uri="{FF2B5EF4-FFF2-40B4-BE49-F238E27FC236}">
              <a16:creationId xmlns:a16="http://schemas.microsoft.com/office/drawing/2014/main" id="{5D274598-E2F4-49AB-9F68-8A89B3BF6FA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2" name="Text Box 15">
          <a:extLst>
            <a:ext uri="{FF2B5EF4-FFF2-40B4-BE49-F238E27FC236}">
              <a16:creationId xmlns:a16="http://schemas.microsoft.com/office/drawing/2014/main" id="{031A5A09-FBED-44BD-AAFF-95C739D531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3" name="Text Box 15">
          <a:extLst>
            <a:ext uri="{FF2B5EF4-FFF2-40B4-BE49-F238E27FC236}">
              <a16:creationId xmlns:a16="http://schemas.microsoft.com/office/drawing/2014/main" id="{AB1CAAF1-EB21-430B-98EB-AFAC987191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4" name="Text Box 15">
          <a:extLst>
            <a:ext uri="{FF2B5EF4-FFF2-40B4-BE49-F238E27FC236}">
              <a16:creationId xmlns:a16="http://schemas.microsoft.com/office/drawing/2014/main" id="{2BB7F410-D28A-436F-873C-45E6DB5B5A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5" name="Text Box 15">
          <a:extLst>
            <a:ext uri="{FF2B5EF4-FFF2-40B4-BE49-F238E27FC236}">
              <a16:creationId xmlns:a16="http://schemas.microsoft.com/office/drawing/2014/main" id="{652C3DF8-727F-46E0-B5A1-39EDEB0C004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6" name="Text Box 15">
          <a:extLst>
            <a:ext uri="{FF2B5EF4-FFF2-40B4-BE49-F238E27FC236}">
              <a16:creationId xmlns:a16="http://schemas.microsoft.com/office/drawing/2014/main" id="{4B7E9873-C29D-4738-8323-FDAA1DFCF2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7" name="Text Box 15">
          <a:extLst>
            <a:ext uri="{FF2B5EF4-FFF2-40B4-BE49-F238E27FC236}">
              <a16:creationId xmlns:a16="http://schemas.microsoft.com/office/drawing/2014/main" id="{4EAE9F99-1790-4068-A784-9E78F3040D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8" name="Text Box 15">
          <a:extLst>
            <a:ext uri="{FF2B5EF4-FFF2-40B4-BE49-F238E27FC236}">
              <a16:creationId xmlns:a16="http://schemas.microsoft.com/office/drawing/2014/main" id="{3F8EE07E-C318-468C-A44B-0D3F45EFD8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9" name="Text Box 15">
          <a:extLst>
            <a:ext uri="{FF2B5EF4-FFF2-40B4-BE49-F238E27FC236}">
              <a16:creationId xmlns:a16="http://schemas.microsoft.com/office/drawing/2014/main" id="{0926EB3B-8BC3-40D4-8A0B-6F40850D33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0" name="Text Box 15">
          <a:extLst>
            <a:ext uri="{FF2B5EF4-FFF2-40B4-BE49-F238E27FC236}">
              <a16:creationId xmlns:a16="http://schemas.microsoft.com/office/drawing/2014/main" id="{BDE70A71-64A8-4052-B352-E07EC95FDF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1" name="Text Box 15">
          <a:extLst>
            <a:ext uri="{FF2B5EF4-FFF2-40B4-BE49-F238E27FC236}">
              <a16:creationId xmlns:a16="http://schemas.microsoft.com/office/drawing/2014/main" id="{CCFDE8E5-C9B0-492A-9922-82C97B7656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2" name="Text Box 15">
          <a:extLst>
            <a:ext uri="{FF2B5EF4-FFF2-40B4-BE49-F238E27FC236}">
              <a16:creationId xmlns:a16="http://schemas.microsoft.com/office/drawing/2014/main" id="{93F8DE52-AF9B-41C1-B447-4E069B9C93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3" name="Text Box 15">
          <a:extLst>
            <a:ext uri="{FF2B5EF4-FFF2-40B4-BE49-F238E27FC236}">
              <a16:creationId xmlns:a16="http://schemas.microsoft.com/office/drawing/2014/main" id="{CB1FA78E-1D4F-4346-8B78-E8563A5920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4" name="Text Box 15">
          <a:extLst>
            <a:ext uri="{FF2B5EF4-FFF2-40B4-BE49-F238E27FC236}">
              <a16:creationId xmlns:a16="http://schemas.microsoft.com/office/drawing/2014/main" id="{B85E7917-2703-4EDA-B821-E5DD91CAA0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5" name="Text Box 15">
          <a:extLst>
            <a:ext uri="{FF2B5EF4-FFF2-40B4-BE49-F238E27FC236}">
              <a16:creationId xmlns:a16="http://schemas.microsoft.com/office/drawing/2014/main" id="{AA74556E-5D06-4B05-85FC-B0DD7658DF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6" name="Text Box 15">
          <a:extLst>
            <a:ext uri="{FF2B5EF4-FFF2-40B4-BE49-F238E27FC236}">
              <a16:creationId xmlns:a16="http://schemas.microsoft.com/office/drawing/2014/main" id="{65ACCE62-10FC-459D-9364-8C39F2811B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7" name="Text Box 15">
          <a:extLst>
            <a:ext uri="{FF2B5EF4-FFF2-40B4-BE49-F238E27FC236}">
              <a16:creationId xmlns:a16="http://schemas.microsoft.com/office/drawing/2014/main" id="{F44647A3-FCEC-4838-BE54-D32709149B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8" name="Text Box 15">
          <a:extLst>
            <a:ext uri="{FF2B5EF4-FFF2-40B4-BE49-F238E27FC236}">
              <a16:creationId xmlns:a16="http://schemas.microsoft.com/office/drawing/2014/main" id="{93925F27-2790-44DE-AA10-ED0BB934A8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9" name="Text Box 15">
          <a:extLst>
            <a:ext uri="{FF2B5EF4-FFF2-40B4-BE49-F238E27FC236}">
              <a16:creationId xmlns:a16="http://schemas.microsoft.com/office/drawing/2014/main" id="{5D994F10-AF21-4336-87D7-87F540BD92D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0" name="Text Box 15">
          <a:extLst>
            <a:ext uri="{FF2B5EF4-FFF2-40B4-BE49-F238E27FC236}">
              <a16:creationId xmlns:a16="http://schemas.microsoft.com/office/drawing/2014/main" id="{E16FA705-3A36-47E3-8BEB-E18C5FB3C7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1" name="Text Box 15">
          <a:extLst>
            <a:ext uri="{FF2B5EF4-FFF2-40B4-BE49-F238E27FC236}">
              <a16:creationId xmlns:a16="http://schemas.microsoft.com/office/drawing/2014/main" id="{DF19DDE8-0B10-4736-8AC3-23B6DC49D9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2" name="Text Box 15">
          <a:extLst>
            <a:ext uri="{FF2B5EF4-FFF2-40B4-BE49-F238E27FC236}">
              <a16:creationId xmlns:a16="http://schemas.microsoft.com/office/drawing/2014/main" id="{30BFBFE3-5FA2-4FB7-9462-5EEC0FE183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3" name="Text Box 15">
          <a:extLst>
            <a:ext uri="{FF2B5EF4-FFF2-40B4-BE49-F238E27FC236}">
              <a16:creationId xmlns:a16="http://schemas.microsoft.com/office/drawing/2014/main" id="{40570DA0-4019-4BC1-8597-F879BEF07A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4" name="Text Box 15">
          <a:extLst>
            <a:ext uri="{FF2B5EF4-FFF2-40B4-BE49-F238E27FC236}">
              <a16:creationId xmlns:a16="http://schemas.microsoft.com/office/drawing/2014/main" id="{96D27E71-0CAA-4A7E-9287-C8BDB0A17D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5" name="Text Box 15">
          <a:extLst>
            <a:ext uri="{FF2B5EF4-FFF2-40B4-BE49-F238E27FC236}">
              <a16:creationId xmlns:a16="http://schemas.microsoft.com/office/drawing/2014/main" id="{ED561C58-C900-4CA3-A390-A0A5FD719C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6" name="Text Box 15">
          <a:extLst>
            <a:ext uri="{FF2B5EF4-FFF2-40B4-BE49-F238E27FC236}">
              <a16:creationId xmlns:a16="http://schemas.microsoft.com/office/drawing/2014/main" id="{AD61A780-CFA4-41E3-A7D0-3A8B8FE7D5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7" name="Text Box 15">
          <a:extLst>
            <a:ext uri="{FF2B5EF4-FFF2-40B4-BE49-F238E27FC236}">
              <a16:creationId xmlns:a16="http://schemas.microsoft.com/office/drawing/2014/main" id="{7F9D860B-2BF6-43A4-A1CA-4094C5721D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8" name="Text Box 15">
          <a:extLst>
            <a:ext uri="{FF2B5EF4-FFF2-40B4-BE49-F238E27FC236}">
              <a16:creationId xmlns:a16="http://schemas.microsoft.com/office/drawing/2014/main" id="{587415CB-2889-466F-95D9-9A89CEB480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9" name="Text Box 15">
          <a:extLst>
            <a:ext uri="{FF2B5EF4-FFF2-40B4-BE49-F238E27FC236}">
              <a16:creationId xmlns:a16="http://schemas.microsoft.com/office/drawing/2014/main" id="{32E00C24-7B87-41E0-8079-4045AEFC1A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0" name="Text Box 15">
          <a:extLst>
            <a:ext uri="{FF2B5EF4-FFF2-40B4-BE49-F238E27FC236}">
              <a16:creationId xmlns:a16="http://schemas.microsoft.com/office/drawing/2014/main" id="{B8B3B630-2808-44DD-99CB-0569D085E0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1" name="Text Box 15">
          <a:extLst>
            <a:ext uri="{FF2B5EF4-FFF2-40B4-BE49-F238E27FC236}">
              <a16:creationId xmlns:a16="http://schemas.microsoft.com/office/drawing/2014/main" id="{B1D5BA14-0C79-43F6-879B-6C723A82B7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2" name="Text Box 15">
          <a:extLst>
            <a:ext uri="{FF2B5EF4-FFF2-40B4-BE49-F238E27FC236}">
              <a16:creationId xmlns:a16="http://schemas.microsoft.com/office/drawing/2014/main" id="{51710D49-C0C7-41F2-8F66-887E236849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3" name="Text Box 15">
          <a:extLst>
            <a:ext uri="{FF2B5EF4-FFF2-40B4-BE49-F238E27FC236}">
              <a16:creationId xmlns:a16="http://schemas.microsoft.com/office/drawing/2014/main" id="{964FDB50-91B7-42BC-BBA9-9D98E5F5FD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4" name="Text Box 15">
          <a:extLst>
            <a:ext uri="{FF2B5EF4-FFF2-40B4-BE49-F238E27FC236}">
              <a16:creationId xmlns:a16="http://schemas.microsoft.com/office/drawing/2014/main" id="{CE3AEBE8-2395-45A2-97ED-D3A523B9FE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5" name="Text Box 15">
          <a:extLst>
            <a:ext uri="{FF2B5EF4-FFF2-40B4-BE49-F238E27FC236}">
              <a16:creationId xmlns:a16="http://schemas.microsoft.com/office/drawing/2014/main" id="{C6326DC5-EE6B-4C7A-A282-632B67BFE2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6" name="Text Box 15">
          <a:extLst>
            <a:ext uri="{FF2B5EF4-FFF2-40B4-BE49-F238E27FC236}">
              <a16:creationId xmlns:a16="http://schemas.microsoft.com/office/drawing/2014/main" id="{893E3AFA-16B4-4EFD-B352-A72BB9E4FF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7" name="Text Box 15">
          <a:extLst>
            <a:ext uri="{FF2B5EF4-FFF2-40B4-BE49-F238E27FC236}">
              <a16:creationId xmlns:a16="http://schemas.microsoft.com/office/drawing/2014/main" id="{6BF8EB14-2B33-4A9D-9C9E-8F823E95AA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8" name="Text Box 15">
          <a:extLst>
            <a:ext uri="{FF2B5EF4-FFF2-40B4-BE49-F238E27FC236}">
              <a16:creationId xmlns:a16="http://schemas.microsoft.com/office/drawing/2014/main" id="{B8DBAE4B-234B-4328-AE8B-3355542D59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9" name="Text Box 15">
          <a:extLst>
            <a:ext uri="{FF2B5EF4-FFF2-40B4-BE49-F238E27FC236}">
              <a16:creationId xmlns:a16="http://schemas.microsoft.com/office/drawing/2014/main" id="{42385430-FBB7-43E7-8AB3-1F184410CF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70" name="Text Box 15">
          <a:extLst>
            <a:ext uri="{FF2B5EF4-FFF2-40B4-BE49-F238E27FC236}">
              <a16:creationId xmlns:a16="http://schemas.microsoft.com/office/drawing/2014/main" id="{FD0C80D9-AEFA-453C-BF70-04D71DF0532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71" name="Text Box 15">
          <a:extLst>
            <a:ext uri="{FF2B5EF4-FFF2-40B4-BE49-F238E27FC236}">
              <a16:creationId xmlns:a16="http://schemas.microsoft.com/office/drawing/2014/main" id="{4C44CBAA-A9CE-4B49-84FC-98E82E5F09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72" name="Text Box 15">
          <a:extLst>
            <a:ext uri="{FF2B5EF4-FFF2-40B4-BE49-F238E27FC236}">
              <a16:creationId xmlns:a16="http://schemas.microsoft.com/office/drawing/2014/main" id="{58BE2CD9-1156-40AB-8A19-9E74F57B1A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73" name="Text Box 15">
          <a:extLst>
            <a:ext uri="{FF2B5EF4-FFF2-40B4-BE49-F238E27FC236}">
              <a16:creationId xmlns:a16="http://schemas.microsoft.com/office/drawing/2014/main" id="{4E875F79-E531-4C20-B62F-677E138A91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74" name="Text Box 15">
          <a:extLst>
            <a:ext uri="{FF2B5EF4-FFF2-40B4-BE49-F238E27FC236}">
              <a16:creationId xmlns:a16="http://schemas.microsoft.com/office/drawing/2014/main" id="{21E21F0D-ED1D-49BF-B066-47B3CD40FD5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75" name="Text Box 15">
          <a:extLst>
            <a:ext uri="{FF2B5EF4-FFF2-40B4-BE49-F238E27FC236}">
              <a16:creationId xmlns:a16="http://schemas.microsoft.com/office/drawing/2014/main" id="{CED9F107-48FB-4950-8D78-256083AFD9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76" name="Text Box 15">
          <a:extLst>
            <a:ext uri="{FF2B5EF4-FFF2-40B4-BE49-F238E27FC236}">
              <a16:creationId xmlns:a16="http://schemas.microsoft.com/office/drawing/2014/main" id="{3AD0F9B6-B3AB-48C3-9CA5-73F8BE044A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77" name="Text Box 15">
          <a:extLst>
            <a:ext uri="{FF2B5EF4-FFF2-40B4-BE49-F238E27FC236}">
              <a16:creationId xmlns:a16="http://schemas.microsoft.com/office/drawing/2014/main" id="{113A7442-2FF2-467E-AC22-F863C7D3AE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78" name="Text Box 15">
          <a:extLst>
            <a:ext uri="{FF2B5EF4-FFF2-40B4-BE49-F238E27FC236}">
              <a16:creationId xmlns:a16="http://schemas.microsoft.com/office/drawing/2014/main" id="{2D4D8225-3ED0-4B7A-B957-E0AAE34E391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79" name="Text Box 15">
          <a:extLst>
            <a:ext uri="{FF2B5EF4-FFF2-40B4-BE49-F238E27FC236}">
              <a16:creationId xmlns:a16="http://schemas.microsoft.com/office/drawing/2014/main" id="{ADAAE08E-0314-4B4E-BB75-595E417D1C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0" name="Text Box 15">
          <a:extLst>
            <a:ext uri="{FF2B5EF4-FFF2-40B4-BE49-F238E27FC236}">
              <a16:creationId xmlns:a16="http://schemas.microsoft.com/office/drawing/2014/main" id="{911A5E19-E20B-47FF-AA31-6DD8A286C9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1" name="Text Box 15">
          <a:extLst>
            <a:ext uri="{FF2B5EF4-FFF2-40B4-BE49-F238E27FC236}">
              <a16:creationId xmlns:a16="http://schemas.microsoft.com/office/drawing/2014/main" id="{B0434476-0DA5-4B5B-A0F2-3D7978102E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2" name="Text Box 15">
          <a:extLst>
            <a:ext uri="{FF2B5EF4-FFF2-40B4-BE49-F238E27FC236}">
              <a16:creationId xmlns:a16="http://schemas.microsoft.com/office/drawing/2014/main" id="{24AB1FF2-C80D-451F-8996-646D03FFD3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3" name="Text Box 15">
          <a:extLst>
            <a:ext uri="{FF2B5EF4-FFF2-40B4-BE49-F238E27FC236}">
              <a16:creationId xmlns:a16="http://schemas.microsoft.com/office/drawing/2014/main" id="{32D2EBA4-A598-4C7E-936A-7C0176868A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4" name="Text Box 15">
          <a:extLst>
            <a:ext uri="{FF2B5EF4-FFF2-40B4-BE49-F238E27FC236}">
              <a16:creationId xmlns:a16="http://schemas.microsoft.com/office/drawing/2014/main" id="{5851D956-97FC-47FB-B73D-6838C2E0CC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5" name="Text Box 15">
          <a:extLst>
            <a:ext uri="{FF2B5EF4-FFF2-40B4-BE49-F238E27FC236}">
              <a16:creationId xmlns:a16="http://schemas.microsoft.com/office/drawing/2014/main" id="{26BDC418-9D39-44BD-956E-13023BB3C8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86" name="Text Box 15">
          <a:extLst>
            <a:ext uri="{FF2B5EF4-FFF2-40B4-BE49-F238E27FC236}">
              <a16:creationId xmlns:a16="http://schemas.microsoft.com/office/drawing/2014/main" id="{BF7406BC-8522-47CD-B5A6-6EE27F624F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87" name="Text Box 15">
          <a:extLst>
            <a:ext uri="{FF2B5EF4-FFF2-40B4-BE49-F238E27FC236}">
              <a16:creationId xmlns:a16="http://schemas.microsoft.com/office/drawing/2014/main" id="{EF83AE18-08CF-46C1-B278-9DB5407C0F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88" name="Text Box 15">
          <a:extLst>
            <a:ext uri="{FF2B5EF4-FFF2-40B4-BE49-F238E27FC236}">
              <a16:creationId xmlns:a16="http://schemas.microsoft.com/office/drawing/2014/main" id="{3298EBAE-DE7D-45BC-B0A6-716FF72CC15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89" name="Text Box 15">
          <a:extLst>
            <a:ext uri="{FF2B5EF4-FFF2-40B4-BE49-F238E27FC236}">
              <a16:creationId xmlns:a16="http://schemas.microsoft.com/office/drawing/2014/main" id="{948DBA08-564E-431F-B7C8-47D20BB408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90" name="Text Box 15">
          <a:extLst>
            <a:ext uri="{FF2B5EF4-FFF2-40B4-BE49-F238E27FC236}">
              <a16:creationId xmlns:a16="http://schemas.microsoft.com/office/drawing/2014/main" id="{2F3970B4-3E6F-41E1-98D3-1AD401ECE1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1" name="Text Box 15">
          <a:extLst>
            <a:ext uri="{FF2B5EF4-FFF2-40B4-BE49-F238E27FC236}">
              <a16:creationId xmlns:a16="http://schemas.microsoft.com/office/drawing/2014/main" id="{7A174988-B649-4ECB-8799-E86A3A6A2E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2" name="Text Box 15">
          <a:extLst>
            <a:ext uri="{FF2B5EF4-FFF2-40B4-BE49-F238E27FC236}">
              <a16:creationId xmlns:a16="http://schemas.microsoft.com/office/drawing/2014/main" id="{8CDE5E11-EC34-485A-9CBC-C4F03D6573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3" name="Text Box 15">
          <a:extLst>
            <a:ext uri="{FF2B5EF4-FFF2-40B4-BE49-F238E27FC236}">
              <a16:creationId xmlns:a16="http://schemas.microsoft.com/office/drawing/2014/main" id="{AFFB97E7-FA9F-4CD1-9AA1-9F9AFB3BFA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4" name="Text Box 15">
          <a:extLst>
            <a:ext uri="{FF2B5EF4-FFF2-40B4-BE49-F238E27FC236}">
              <a16:creationId xmlns:a16="http://schemas.microsoft.com/office/drawing/2014/main" id="{B3131B51-5981-4B26-82D1-BC6BF0300A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5" name="Text Box 15">
          <a:extLst>
            <a:ext uri="{FF2B5EF4-FFF2-40B4-BE49-F238E27FC236}">
              <a16:creationId xmlns:a16="http://schemas.microsoft.com/office/drawing/2014/main" id="{CD560C59-95FE-499A-A2D6-DCDBA4CB028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6" name="Text Box 15">
          <a:extLst>
            <a:ext uri="{FF2B5EF4-FFF2-40B4-BE49-F238E27FC236}">
              <a16:creationId xmlns:a16="http://schemas.microsoft.com/office/drawing/2014/main" id="{F8EF2C8C-76A5-4854-A4D6-BCAE9FEF08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7" name="Text Box 15">
          <a:extLst>
            <a:ext uri="{FF2B5EF4-FFF2-40B4-BE49-F238E27FC236}">
              <a16:creationId xmlns:a16="http://schemas.microsoft.com/office/drawing/2014/main" id="{2F1019E5-FDC8-4841-8F39-C1403DD1A7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8" name="Text Box 15">
          <a:extLst>
            <a:ext uri="{FF2B5EF4-FFF2-40B4-BE49-F238E27FC236}">
              <a16:creationId xmlns:a16="http://schemas.microsoft.com/office/drawing/2014/main" id="{00DE5878-38DC-47EB-8277-772904F2BE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9" name="Text Box 15">
          <a:extLst>
            <a:ext uri="{FF2B5EF4-FFF2-40B4-BE49-F238E27FC236}">
              <a16:creationId xmlns:a16="http://schemas.microsoft.com/office/drawing/2014/main" id="{9D776E2C-FB7E-4D60-A595-D0C48C9A6E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00" name="Text Box 15">
          <a:extLst>
            <a:ext uri="{FF2B5EF4-FFF2-40B4-BE49-F238E27FC236}">
              <a16:creationId xmlns:a16="http://schemas.microsoft.com/office/drawing/2014/main" id="{E368D339-1D44-4E22-A3D5-1BAF7710AF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01" name="Text Box 15">
          <a:extLst>
            <a:ext uri="{FF2B5EF4-FFF2-40B4-BE49-F238E27FC236}">
              <a16:creationId xmlns:a16="http://schemas.microsoft.com/office/drawing/2014/main" id="{EA1BD60A-CCB5-4CE1-B411-606AA93ED5F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02" name="Text Box 15">
          <a:extLst>
            <a:ext uri="{FF2B5EF4-FFF2-40B4-BE49-F238E27FC236}">
              <a16:creationId xmlns:a16="http://schemas.microsoft.com/office/drawing/2014/main" id="{D8D6F6F8-E929-4B5B-A734-57EC90F344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03" name="Text Box 15">
          <a:extLst>
            <a:ext uri="{FF2B5EF4-FFF2-40B4-BE49-F238E27FC236}">
              <a16:creationId xmlns:a16="http://schemas.microsoft.com/office/drawing/2014/main" id="{DC08982D-5A21-42E7-B18B-058D5FF3A0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04" name="Text Box 15">
          <a:extLst>
            <a:ext uri="{FF2B5EF4-FFF2-40B4-BE49-F238E27FC236}">
              <a16:creationId xmlns:a16="http://schemas.microsoft.com/office/drawing/2014/main" id="{74EDB27D-B532-4665-B070-C0CFE405F2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05" name="Text Box 15">
          <a:extLst>
            <a:ext uri="{FF2B5EF4-FFF2-40B4-BE49-F238E27FC236}">
              <a16:creationId xmlns:a16="http://schemas.microsoft.com/office/drawing/2014/main" id="{CDE131AD-E8FE-4F66-BC05-C6B4A34BB4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06" name="Text Box 15">
          <a:extLst>
            <a:ext uri="{FF2B5EF4-FFF2-40B4-BE49-F238E27FC236}">
              <a16:creationId xmlns:a16="http://schemas.microsoft.com/office/drawing/2014/main" id="{E13F191B-BDFA-47F9-A9BC-A7CC312D054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07" name="Text Box 15">
          <a:extLst>
            <a:ext uri="{FF2B5EF4-FFF2-40B4-BE49-F238E27FC236}">
              <a16:creationId xmlns:a16="http://schemas.microsoft.com/office/drawing/2014/main" id="{CCAB1A23-795F-4BD8-B8B1-6971FA8AF7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08" name="Text Box 15">
          <a:extLst>
            <a:ext uri="{FF2B5EF4-FFF2-40B4-BE49-F238E27FC236}">
              <a16:creationId xmlns:a16="http://schemas.microsoft.com/office/drawing/2014/main" id="{0CEDE8D4-483D-450C-8D6D-9E8F6E8BE8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09" name="Text Box 15">
          <a:extLst>
            <a:ext uri="{FF2B5EF4-FFF2-40B4-BE49-F238E27FC236}">
              <a16:creationId xmlns:a16="http://schemas.microsoft.com/office/drawing/2014/main" id="{8CC3341D-2CF2-45DE-A969-76029A8B3E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0" name="Text Box 15">
          <a:extLst>
            <a:ext uri="{FF2B5EF4-FFF2-40B4-BE49-F238E27FC236}">
              <a16:creationId xmlns:a16="http://schemas.microsoft.com/office/drawing/2014/main" id="{B0593515-64FE-4131-BF7F-F9833EC353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1" name="Text Box 15">
          <a:extLst>
            <a:ext uri="{FF2B5EF4-FFF2-40B4-BE49-F238E27FC236}">
              <a16:creationId xmlns:a16="http://schemas.microsoft.com/office/drawing/2014/main" id="{90D3B11A-1758-4FA7-89B5-2B9DC590A9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2" name="Text Box 15">
          <a:extLst>
            <a:ext uri="{FF2B5EF4-FFF2-40B4-BE49-F238E27FC236}">
              <a16:creationId xmlns:a16="http://schemas.microsoft.com/office/drawing/2014/main" id="{60346F87-884E-4E90-9D39-1A9B10891C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3" name="Text Box 15">
          <a:extLst>
            <a:ext uri="{FF2B5EF4-FFF2-40B4-BE49-F238E27FC236}">
              <a16:creationId xmlns:a16="http://schemas.microsoft.com/office/drawing/2014/main" id="{4CA25369-A7E9-43D2-8458-4E8324A862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4" name="Text Box 15">
          <a:extLst>
            <a:ext uri="{FF2B5EF4-FFF2-40B4-BE49-F238E27FC236}">
              <a16:creationId xmlns:a16="http://schemas.microsoft.com/office/drawing/2014/main" id="{A55556C8-9663-46F1-97B6-6A94A25B74B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5" name="Text Box 15">
          <a:extLst>
            <a:ext uri="{FF2B5EF4-FFF2-40B4-BE49-F238E27FC236}">
              <a16:creationId xmlns:a16="http://schemas.microsoft.com/office/drawing/2014/main" id="{23C85A26-FE70-44B1-AD8A-662730375D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16" name="Text Box 15">
          <a:extLst>
            <a:ext uri="{FF2B5EF4-FFF2-40B4-BE49-F238E27FC236}">
              <a16:creationId xmlns:a16="http://schemas.microsoft.com/office/drawing/2014/main" id="{51650263-91CC-4C82-9F73-891D3A85E7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17" name="Text Box 15">
          <a:extLst>
            <a:ext uri="{FF2B5EF4-FFF2-40B4-BE49-F238E27FC236}">
              <a16:creationId xmlns:a16="http://schemas.microsoft.com/office/drawing/2014/main" id="{78DC13A2-6E3F-4F0C-98CB-A11A95542E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18" name="Text Box 15">
          <a:extLst>
            <a:ext uri="{FF2B5EF4-FFF2-40B4-BE49-F238E27FC236}">
              <a16:creationId xmlns:a16="http://schemas.microsoft.com/office/drawing/2014/main" id="{4C96B79C-3FB0-4024-92B0-D034FBDD2C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19" name="Text Box 15">
          <a:extLst>
            <a:ext uri="{FF2B5EF4-FFF2-40B4-BE49-F238E27FC236}">
              <a16:creationId xmlns:a16="http://schemas.microsoft.com/office/drawing/2014/main" id="{C03DBDAF-FDE9-4F28-B9A8-63DC408649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20" name="Text Box 15">
          <a:extLst>
            <a:ext uri="{FF2B5EF4-FFF2-40B4-BE49-F238E27FC236}">
              <a16:creationId xmlns:a16="http://schemas.microsoft.com/office/drawing/2014/main" id="{7B0FE4F3-8036-4758-A10B-9A79FD67B9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1" name="Text Box 15">
          <a:extLst>
            <a:ext uri="{FF2B5EF4-FFF2-40B4-BE49-F238E27FC236}">
              <a16:creationId xmlns:a16="http://schemas.microsoft.com/office/drawing/2014/main" id="{721ACFB6-8031-41D5-BBE9-317EEA14FF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2" name="Text Box 15">
          <a:extLst>
            <a:ext uri="{FF2B5EF4-FFF2-40B4-BE49-F238E27FC236}">
              <a16:creationId xmlns:a16="http://schemas.microsoft.com/office/drawing/2014/main" id="{F1A46771-AF56-4658-AA04-19B04D9953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3" name="Text Box 15">
          <a:extLst>
            <a:ext uri="{FF2B5EF4-FFF2-40B4-BE49-F238E27FC236}">
              <a16:creationId xmlns:a16="http://schemas.microsoft.com/office/drawing/2014/main" id="{41236418-55F8-4A22-871F-FBE344ECA1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4" name="Text Box 15">
          <a:extLst>
            <a:ext uri="{FF2B5EF4-FFF2-40B4-BE49-F238E27FC236}">
              <a16:creationId xmlns:a16="http://schemas.microsoft.com/office/drawing/2014/main" id="{8E3B5ADC-6DAA-444D-86D7-0F7B56CDB6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5" name="Text Box 15">
          <a:extLst>
            <a:ext uri="{FF2B5EF4-FFF2-40B4-BE49-F238E27FC236}">
              <a16:creationId xmlns:a16="http://schemas.microsoft.com/office/drawing/2014/main" id="{6FFD6C72-A4FA-4E79-BCF2-C45D0F33EC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6" name="Text Box 15">
          <a:extLst>
            <a:ext uri="{FF2B5EF4-FFF2-40B4-BE49-F238E27FC236}">
              <a16:creationId xmlns:a16="http://schemas.microsoft.com/office/drawing/2014/main" id="{6097F26B-F757-42F4-A044-CD9F8A2DAD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7" name="Text Box 15">
          <a:extLst>
            <a:ext uri="{FF2B5EF4-FFF2-40B4-BE49-F238E27FC236}">
              <a16:creationId xmlns:a16="http://schemas.microsoft.com/office/drawing/2014/main" id="{7441B708-E90D-46E1-AE5E-7080E2FDA4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8" name="Text Box 15">
          <a:extLst>
            <a:ext uri="{FF2B5EF4-FFF2-40B4-BE49-F238E27FC236}">
              <a16:creationId xmlns:a16="http://schemas.microsoft.com/office/drawing/2014/main" id="{F0F86DC9-AD03-42B5-A49B-C018C5A547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9" name="Text Box 15">
          <a:extLst>
            <a:ext uri="{FF2B5EF4-FFF2-40B4-BE49-F238E27FC236}">
              <a16:creationId xmlns:a16="http://schemas.microsoft.com/office/drawing/2014/main" id="{CC5FEB96-2E63-4515-9084-86D6712A8A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30" name="Text Box 15">
          <a:extLst>
            <a:ext uri="{FF2B5EF4-FFF2-40B4-BE49-F238E27FC236}">
              <a16:creationId xmlns:a16="http://schemas.microsoft.com/office/drawing/2014/main" id="{98300BB0-694E-441A-ABAB-7E0F863936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31" name="Text Box 15">
          <a:extLst>
            <a:ext uri="{FF2B5EF4-FFF2-40B4-BE49-F238E27FC236}">
              <a16:creationId xmlns:a16="http://schemas.microsoft.com/office/drawing/2014/main" id="{EBCCE97B-EA4B-410A-BEED-BE57ED40D9A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32" name="Text Box 15">
          <a:extLst>
            <a:ext uri="{FF2B5EF4-FFF2-40B4-BE49-F238E27FC236}">
              <a16:creationId xmlns:a16="http://schemas.microsoft.com/office/drawing/2014/main" id="{23259DB0-9EEC-439A-AD34-19D2572F0C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33" name="Text Box 15">
          <a:extLst>
            <a:ext uri="{FF2B5EF4-FFF2-40B4-BE49-F238E27FC236}">
              <a16:creationId xmlns:a16="http://schemas.microsoft.com/office/drawing/2014/main" id="{15C03E7D-C2A3-46D0-AD3B-6ACF83A1F9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34" name="Text Box 15">
          <a:extLst>
            <a:ext uri="{FF2B5EF4-FFF2-40B4-BE49-F238E27FC236}">
              <a16:creationId xmlns:a16="http://schemas.microsoft.com/office/drawing/2014/main" id="{D31B081A-6544-47D1-81F9-370A4DA020B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35" name="Text Box 15">
          <a:extLst>
            <a:ext uri="{FF2B5EF4-FFF2-40B4-BE49-F238E27FC236}">
              <a16:creationId xmlns:a16="http://schemas.microsoft.com/office/drawing/2014/main" id="{9ED2BFB8-0004-43D6-A4F3-2877530130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36" name="Text Box 15">
          <a:extLst>
            <a:ext uri="{FF2B5EF4-FFF2-40B4-BE49-F238E27FC236}">
              <a16:creationId xmlns:a16="http://schemas.microsoft.com/office/drawing/2014/main" id="{277B4E0A-CE41-4D2F-84C6-D9340341E8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37" name="Text Box 15">
          <a:extLst>
            <a:ext uri="{FF2B5EF4-FFF2-40B4-BE49-F238E27FC236}">
              <a16:creationId xmlns:a16="http://schemas.microsoft.com/office/drawing/2014/main" id="{7BB98C7A-83D8-4C35-9F55-86846871607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38" name="Text Box 15">
          <a:extLst>
            <a:ext uri="{FF2B5EF4-FFF2-40B4-BE49-F238E27FC236}">
              <a16:creationId xmlns:a16="http://schemas.microsoft.com/office/drawing/2014/main" id="{A66EEC0B-4ED7-4D03-84D0-0025DE022A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39" name="Text Box 15">
          <a:extLst>
            <a:ext uri="{FF2B5EF4-FFF2-40B4-BE49-F238E27FC236}">
              <a16:creationId xmlns:a16="http://schemas.microsoft.com/office/drawing/2014/main" id="{00419E10-2D05-47CF-A82C-C48BB6FD7B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0" name="Text Box 15">
          <a:extLst>
            <a:ext uri="{FF2B5EF4-FFF2-40B4-BE49-F238E27FC236}">
              <a16:creationId xmlns:a16="http://schemas.microsoft.com/office/drawing/2014/main" id="{E59C4BD5-758D-40E8-81FF-7B03F05270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1" name="Text Box 15">
          <a:extLst>
            <a:ext uri="{FF2B5EF4-FFF2-40B4-BE49-F238E27FC236}">
              <a16:creationId xmlns:a16="http://schemas.microsoft.com/office/drawing/2014/main" id="{565F02D3-58D6-4CD3-9329-DCBCCCD8A9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2" name="Text Box 15">
          <a:extLst>
            <a:ext uri="{FF2B5EF4-FFF2-40B4-BE49-F238E27FC236}">
              <a16:creationId xmlns:a16="http://schemas.microsoft.com/office/drawing/2014/main" id="{5849D235-4863-4330-B3C1-946D6AE7B8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3" name="Text Box 15">
          <a:extLst>
            <a:ext uri="{FF2B5EF4-FFF2-40B4-BE49-F238E27FC236}">
              <a16:creationId xmlns:a16="http://schemas.microsoft.com/office/drawing/2014/main" id="{566DFA88-C1A6-43EC-A3E3-0951147BFE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4" name="Text Box 15">
          <a:extLst>
            <a:ext uri="{FF2B5EF4-FFF2-40B4-BE49-F238E27FC236}">
              <a16:creationId xmlns:a16="http://schemas.microsoft.com/office/drawing/2014/main" id="{2C56E697-44C3-486C-AFC5-C91A9B4FA54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5" name="Text Box 15">
          <a:extLst>
            <a:ext uri="{FF2B5EF4-FFF2-40B4-BE49-F238E27FC236}">
              <a16:creationId xmlns:a16="http://schemas.microsoft.com/office/drawing/2014/main" id="{E27602E7-271C-4B53-88A6-CD717AB5B9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46" name="Text Box 15">
          <a:extLst>
            <a:ext uri="{FF2B5EF4-FFF2-40B4-BE49-F238E27FC236}">
              <a16:creationId xmlns:a16="http://schemas.microsoft.com/office/drawing/2014/main" id="{CB6C5CD2-9D6F-4D17-8E83-D5BCC1A047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47" name="Text Box 15">
          <a:extLst>
            <a:ext uri="{FF2B5EF4-FFF2-40B4-BE49-F238E27FC236}">
              <a16:creationId xmlns:a16="http://schemas.microsoft.com/office/drawing/2014/main" id="{AF67D2F7-B018-4F42-B198-B134FAEC1E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48" name="Text Box 15">
          <a:extLst>
            <a:ext uri="{FF2B5EF4-FFF2-40B4-BE49-F238E27FC236}">
              <a16:creationId xmlns:a16="http://schemas.microsoft.com/office/drawing/2014/main" id="{48BAC64D-BF8C-45E0-8D18-B290563B8D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49" name="Text Box 15">
          <a:extLst>
            <a:ext uri="{FF2B5EF4-FFF2-40B4-BE49-F238E27FC236}">
              <a16:creationId xmlns:a16="http://schemas.microsoft.com/office/drawing/2014/main" id="{600FC745-7016-4D74-BC16-631B551BBD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50" name="Text Box 15">
          <a:extLst>
            <a:ext uri="{FF2B5EF4-FFF2-40B4-BE49-F238E27FC236}">
              <a16:creationId xmlns:a16="http://schemas.microsoft.com/office/drawing/2014/main" id="{7BF6535A-D814-4D93-9913-F6211B1855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1" name="Text Box 15">
          <a:extLst>
            <a:ext uri="{FF2B5EF4-FFF2-40B4-BE49-F238E27FC236}">
              <a16:creationId xmlns:a16="http://schemas.microsoft.com/office/drawing/2014/main" id="{AF7324B8-FC83-4A04-ACA9-DAB52CDD271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2" name="Text Box 15">
          <a:extLst>
            <a:ext uri="{FF2B5EF4-FFF2-40B4-BE49-F238E27FC236}">
              <a16:creationId xmlns:a16="http://schemas.microsoft.com/office/drawing/2014/main" id="{3F4ED4EC-6F64-49F0-81AC-D8A3D9707F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3" name="Text Box 15">
          <a:extLst>
            <a:ext uri="{FF2B5EF4-FFF2-40B4-BE49-F238E27FC236}">
              <a16:creationId xmlns:a16="http://schemas.microsoft.com/office/drawing/2014/main" id="{A58BE062-9271-49CA-9816-C60F906C27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4" name="Text Box 15">
          <a:extLst>
            <a:ext uri="{FF2B5EF4-FFF2-40B4-BE49-F238E27FC236}">
              <a16:creationId xmlns:a16="http://schemas.microsoft.com/office/drawing/2014/main" id="{1CDCB4BB-B767-4C29-A8B2-C0853F68381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5" name="Text Box 15">
          <a:extLst>
            <a:ext uri="{FF2B5EF4-FFF2-40B4-BE49-F238E27FC236}">
              <a16:creationId xmlns:a16="http://schemas.microsoft.com/office/drawing/2014/main" id="{4FD64C07-158E-479C-8E91-F61CA611EBA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6" name="Text Box 15">
          <a:extLst>
            <a:ext uri="{FF2B5EF4-FFF2-40B4-BE49-F238E27FC236}">
              <a16:creationId xmlns:a16="http://schemas.microsoft.com/office/drawing/2014/main" id="{770E6C75-F74E-4D62-ADDA-025F3A1FE9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7" name="Text Box 15">
          <a:extLst>
            <a:ext uri="{FF2B5EF4-FFF2-40B4-BE49-F238E27FC236}">
              <a16:creationId xmlns:a16="http://schemas.microsoft.com/office/drawing/2014/main" id="{6FDB3547-7097-43D1-9299-0CD1EB278D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8" name="Text Box 15">
          <a:extLst>
            <a:ext uri="{FF2B5EF4-FFF2-40B4-BE49-F238E27FC236}">
              <a16:creationId xmlns:a16="http://schemas.microsoft.com/office/drawing/2014/main" id="{4739526D-EC1D-460D-BB5E-E0ACCEDB2D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9" name="Text Box 15">
          <a:extLst>
            <a:ext uri="{FF2B5EF4-FFF2-40B4-BE49-F238E27FC236}">
              <a16:creationId xmlns:a16="http://schemas.microsoft.com/office/drawing/2014/main" id="{F3CD714B-0E5F-4340-9147-62D16B96AE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60" name="Text Box 15">
          <a:extLst>
            <a:ext uri="{FF2B5EF4-FFF2-40B4-BE49-F238E27FC236}">
              <a16:creationId xmlns:a16="http://schemas.microsoft.com/office/drawing/2014/main" id="{EEA1CBC8-F557-4E0B-8B9B-5EB47C4CC8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1" name="Text Box 15">
          <a:extLst>
            <a:ext uri="{FF2B5EF4-FFF2-40B4-BE49-F238E27FC236}">
              <a16:creationId xmlns:a16="http://schemas.microsoft.com/office/drawing/2014/main" id="{BDC24BB5-5806-473E-B802-6D1CF96DD4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2" name="Text Box 15">
          <a:extLst>
            <a:ext uri="{FF2B5EF4-FFF2-40B4-BE49-F238E27FC236}">
              <a16:creationId xmlns:a16="http://schemas.microsoft.com/office/drawing/2014/main" id="{176D044B-7988-4292-9B9C-3215541BC3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3" name="Text Box 15">
          <a:extLst>
            <a:ext uri="{FF2B5EF4-FFF2-40B4-BE49-F238E27FC236}">
              <a16:creationId xmlns:a16="http://schemas.microsoft.com/office/drawing/2014/main" id="{020D328C-101B-4B37-8FD1-72DADBF807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4" name="Text Box 15">
          <a:extLst>
            <a:ext uri="{FF2B5EF4-FFF2-40B4-BE49-F238E27FC236}">
              <a16:creationId xmlns:a16="http://schemas.microsoft.com/office/drawing/2014/main" id="{312A0A31-DDB8-4126-BF22-7EB88FDE05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5" name="Text Box 15">
          <a:extLst>
            <a:ext uri="{FF2B5EF4-FFF2-40B4-BE49-F238E27FC236}">
              <a16:creationId xmlns:a16="http://schemas.microsoft.com/office/drawing/2014/main" id="{6DB45FE1-34A7-4682-BC3D-1461CEAD15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6" name="Text Box 15">
          <a:extLst>
            <a:ext uri="{FF2B5EF4-FFF2-40B4-BE49-F238E27FC236}">
              <a16:creationId xmlns:a16="http://schemas.microsoft.com/office/drawing/2014/main" id="{70CBD0E0-B0CD-4618-91A0-1F7FDB18CD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7" name="Text Box 15">
          <a:extLst>
            <a:ext uri="{FF2B5EF4-FFF2-40B4-BE49-F238E27FC236}">
              <a16:creationId xmlns:a16="http://schemas.microsoft.com/office/drawing/2014/main" id="{9017D5AC-9C96-4E74-9CEA-19523AE0EF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8" name="Text Box 15">
          <a:extLst>
            <a:ext uri="{FF2B5EF4-FFF2-40B4-BE49-F238E27FC236}">
              <a16:creationId xmlns:a16="http://schemas.microsoft.com/office/drawing/2014/main" id="{B314F80F-BA6B-47B4-B3A6-68F2F70E4A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9" name="Text Box 15">
          <a:extLst>
            <a:ext uri="{FF2B5EF4-FFF2-40B4-BE49-F238E27FC236}">
              <a16:creationId xmlns:a16="http://schemas.microsoft.com/office/drawing/2014/main" id="{AEDD6379-26F7-4F5E-B3A5-C76DD21BF0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0" name="Text Box 15">
          <a:extLst>
            <a:ext uri="{FF2B5EF4-FFF2-40B4-BE49-F238E27FC236}">
              <a16:creationId xmlns:a16="http://schemas.microsoft.com/office/drawing/2014/main" id="{4DB1005F-AD26-4D06-A387-4D543D0C60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1" name="Text Box 15">
          <a:extLst>
            <a:ext uri="{FF2B5EF4-FFF2-40B4-BE49-F238E27FC236}">
              <a16:creationId xmlns:a16="http://schemas.microsoft.com/office/drawing/2014/main" id="{B8F3E8A4-18F8-4AAA-99B2-3CB2481337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2" name="Text Box 15">
          <a:extLst>
            <a:ext uri="{FF2B5EF4-FFF2-40B4-BE49-F238E27FC236}">
              <a16:creationId xmlns:a16="http://schemas.microsoft.com/office/drawing/2014/main" id="{9C2F0682-F26D-4EF7-A0A8-C3F6A77C06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3" name="Text Box 15">
          <a:extLst>
            <a:ext uri="{FF2B5EF4-FFF2-40B4-BE49-F238E27FC236}">
              <a16:creationId xmlns:a16="http://schemas.microsoft.com/office/drawing/2014/main" id="{23FAC3A2-AE79-4A5E-BEB3-8AED2DFB08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4" name="Text Box 15">
          <a:extLst>
            <a:ext uri="{FF2B5EF4-FFF2-40B4-BE49-F238E27FC236}">
              <a16:creationId xmlns:a16="http://schemas.microsoft.com/office/drawing/2014/main" id="{309783BF-6716-43D1-82D8-350D66DA03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5" name="Text Box 15">
          <a:extLst>
            <a:ext uri="{FF2B5EF4-FFF2-40B4-BE49-F238E27FC236}">
              <a16:creationId xmlns:a16="http://schemas.microsoft.com/office/drawing/2014/main" id="{2701D999-7AC3-4C67-AAD4-5B9F21CBAC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6" name="Text Box 15">
          <a:extLst>
            <a:ext uri="{FF2B5EF4-FFF2-40B4-BE49-F238E27FC236}">
              <a16:creationId xmlns:a16="http://schemas.microsoft.com/office/drawing/2014/main" id="{2EC2D787-D23E-4C59-BC2B-417C5111D26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7" name="Text Box 15">
          <a:extLst>
            <a:ext uri="{FF2B5EF4-FFF2-40B4-BE49-F238E27FC236}">
              <a16:creationId xmlns:a16="http://schemas.microsoft.com/office/drawing/2014/main" id="{BE64C28B-C1FA-4408-88A8-0828F2E040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8" name="Text Box 15">
          <a:extLst>
            <a:ext uri="{FF2B5EF4-FFF2-40B4-BE49-F238E27FC236}">
              <a16:creationId xmlns:a16="http://schemas.microsoft.com/office/drawing/2014/main" id="{3FB8F6EC-8D07-4B74-B709-065A89D2DB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9" name="Text Box 15">
          <a:extLst>
            <a:ext uri="{FF2B5EF4-FFF2-40B4-BE49-F238E27FC236}">
              <a16:creationId xmlns:a16="http://schemas.microsoft.com/office/drawing/2014/main" id="{4B80B68D-41DB-4B5C-89D8-EE5DF41A33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0" name="Text Box 15">
          <a:extLst>
            <a:ext uri="{FF2B5EF4-FFF2-40B4-BE49-F238E27FC236}">
              <a16:creationId xmlns:a16="http://schemas.microsoft.com/office/drawing/2014/main" id="{0AE6CD0B-3081-4005-840A-03E9D8FC80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1" name="Text Box 15">
          <a:extLst>
            <a:ext uri="{FF2B5EF4-FFF2-40B4-BE49-F238E27FC236}">
              <a16:creationId xmlns:a16="http://schemas.microsoft.com/office/drawing/2014/main" id="{8125DA2F-42D9-4809-964F-8034776CA4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2" name="Text Box 15">
          <a:extLst>
            <a:ext uri="{FF2B5EF4-FFF2-40B4-BE49-F238E27FC236}">
              <a16:creationId xmlns:a16="http://schemas.microsoft.com/office/drawing/2014/main" id="{C3520731-12A2-46DF-940A-763E3B480B8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3" name="Text Box 15">
          <a:extLst>
            <a:ext uri="{FF2B5EF4-FFF2-40B4-BE49-F238E27FC236}">
              <a16:creationId xmlns:a16="http://schemas.microsoft.com/office/drawing/2014/main" id="{6086971E-1DF0-4D42-B282-CA39CDB982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4" name="Text Box 15">
          <a:extLst>
            <a:ext uri="{FF2B5EF4-FFF2-40B4-BE49-F238E27FC236}">
              <a16:creationId xmlns:a16="http://schemas.microsoft.com/office/drawing/2014/main" id="{316EE114-283C-436F-8C3A-6224AA779B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5" name="Text Box 15">
          <a:extLst>
            <a:ext uri="{FF2B5EF4-FFF2-40B4-BE49-F238E27FC236}">
              <a16:creationId xmlns:a16="http://schemas.microsoft.com/office/drawing/2014/main" id="{38A7E59A-B575-42E6-B502-5B1C288B8E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6" name="Text Box 15">
          <a:extLst>
            <a:ext uri="{FF2B5EF4-FFF2-40B4-BE49-F238E27FC236}">
              <a16:creationId xmlns:a16="http://schemas.microsoft.com/office/drawing/2014/main" id="{A148847B-3529-42EF-A4B6-CD52CAD5B66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7" name="Text Box 15">
          <a:extLst>
            <a:ext uri="{FF2B5EF4-FFF2-40B4-BE49-F238E27FC236}">
              <a16:creationId xmlns:a16="http://schemas.microsoft.com/office/drawing/2014/main" id="{C5AF4529-D33C-46C7-91B5-7444CCF33D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8" name="Text Box 15">
          <a:extLst>
            <a:ext uri="{FF2B5EF4-FFF2-40B4-BE49-F238E27FC236}">
              <a16:creationId xmlns:a16="http://schemas.microsoft.com/office/drawing/2014/main" id="{76CE0969-5BA3-4FD4-9BDD-94D1F8D210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9" name="Text Box 15">
          <a:extLst>
            <a:ext uri="{FF2B5EF4-FFF2-40B4-BE49-F238E27FC236}">
              <a16:creationId xmlns:a16="http://schemas.microsoft.com/office/drawing/2014/main" id="{98165A5B-CBD5-4854-9EA7-4F2CDBFD70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0" name="Text Box 15">
          <a:extLst>
            <a:ext uri="{FF2B5EF4-FFF2-40B4-BE49-F238E27FC236}">
              <a16:creationId xmlns:a16="http://schemas.microsoft.com/office/drawing/2014/main" id="{8755DA9F-CF9B-4291-9EB8-BFAEF3F8A0A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1" name="Text Box 15">
          <a:extLst>
            <a:ext uri="{FF2B5EF4-FFF2-40B4-BE49-F238E27FC236}">
              <a16:creationId xmlns:a16="http://schemas.microsoft.com/office/drawing/2014/main" id="{05918971-7015-48CC-871B-1682C609C0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2" name="Text Box 15">
          <a:extLst>
            <a:ext uri="{FF2B5EF4-FFF2-40B4-BE49-F238E27FC236}">
              <a16:creationId xmlns:a16="http://schemas.microsoft.com/office/drawing/2014/main" id="{9F45FAE5-3D30-40FF-B709-DAA1006B37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3" name="Text Box 15">
          <a:extLst>
            <a:ext uri="{FF2B5EF4-FFF2-40B4-BE49-F238E27FC236}">
              <a16:creationId xmlns:a16="http://schemas.microsoft.com/office/drawing/2014/main" id="{E875631E-0986-4414-9BF2-31FBFBA8C5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4" name="Text Box 15">
          <a:extLst>
            <a:ext uri="{FF2B5EF4-FFF2-40B4-BE49-F238E27FC236}">
              <a16:creationId xmlns:a16="http://schemas.microsoft.com/office/drawing/2014/main" id="{DA4A09DC-2CB8-43AD-B786-6C8BB74B92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5" name="Text Box 15">
          <a:extLst>
            <a:ext uri="{FF2B5EF4-FFF2-40B4-BE49-F238E27FC236}">
              <a16:creationId xmlns:a16="http://schemas.microsoft.com/office/drawing/2014/main" id="{33BA0EB9-D153-41CF-9FA0-3611979471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6" name="Text Box 15">
          <a:extLst>
            <a:ext uri="{FF2B5EF4-FFF2-40B4-BE49-F238E27FC236}">
              <a16:creationId xmlns:a16="http://schemas.microsoft.com/office/drawing/2014/main" id="{7067C2A3-5D94-44A5-B278-BB6B284813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7" name="Text Box 15">
          <a:extLst>
            <a:ext uri="{FF2B5EF4-FFF2-40B4-BE49-F238E27FC236}">
              <a16:creationId xmlns:a16="http://schemas.microsoft.com/office/drawing/2014/main" id="{B38C2470-9724-4E36-8645-0F64D781C7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8" name="Text Box 15">
          <a:extLst>
            <a:ext uri="{FF2B5EF4-FFF2-40B4-BE49-F238E27FC236}">
              <a16:creationId xmlns:a16="http://schemas.microsoft.com/office/drawing/2014/main" id="{626E74B2-12A0-4CCA-9116-7ED9DE8336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9" name="Text Box 15">
          <a:extLst>
            <a:ext uri="{FF2B5EF4-FFF2-40B4-BE49-F238E27FC236}">
              <a16:creationId xmlns:a16="http://schemas.microsoft.com/office/drawing/2014/main" id="{AC899946-3FF0-470F-A6A1-1D0A741D8D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0" name="Text Box 15">
          <a:extLst>
            <a:ext uri="{FF2B5EF4-FFF2-40B4-BE49-F238E27FC236}">
              <a16:creationId xmlns:a16="http://schemas.microsoft.com/office/drawing/2014/main" id="{9EAF3386-AC94-4E0D-8E58-817DA9B5EFA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1" name="Text Box 15">
          <a:extLst>
            <a:ext uri="{FF2B5EF4-FFF2-40B4-BE49-F238E27FC236}">
              <a16:creationId xmlns:a16="http://schemas.microsoft.com/office/drawing/2014/main" id="{CC6371DA-2E1C-4C85-916B-C408E6FDF2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2" name="Text Box 15">
          <a:extLst>
            <a:ext uri="{FF2B5EF4-FFF2-40B4-BE49-F238E27FC236}">
              <a16:creationId xmlns:a16="http://schemas.microsoft.com/office/drawing/2014/main" id="{07F21B87-B853-4F9C-80C7-14F927797F5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3" name="Text Box 15">
          <a:extLst>
            <a:ext uri="{FF2B5EF4-FFF2-40B4-BE49-F238E27FC236}">
              <a16:creationId xmlns:a16="http://schemas.microsoft.com/office/drawing/2014/main" id="{AEE2E0F8-9313-499B-9CA6-B8FC168D8C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4" name="Text Box 15">
          <a:extLst>
            <a:ext uri="{FF2B5EF4-FFF2-40B4-BE49-F238E27FC236}">
              <a16:creationId xmlns:a16="http://schemas.microsoft.com/office/drawing/2014/main" id="{F476173E-A6B5-45C3-8751-3BD2793C47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5" name="Text Box 15">
          <a:extLst>
            <a:ext uri="{FF2B5EF4-FFF2-40B4-BE49-F238E27FC236}">
              <a16:creationId xmlns:a16="http://schemas.microsoft.com/office/drawing/2014/main" id="{2C6054EB-5A1E-438C-99D2-30726E972B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6" name="Text Box 15">
          <a:extLst>
            <a:ext uri="{FF2B5EF4-FFF2-40B4-BE49-F238E27FC236}">
              <a16:creationId xmlns:a16="http://schemas.microsoft.com/office/drawing/2014/main" id="{6B85CE39-B529-42D2-8000-D0A51F74B94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7" name="Text Box 15">
          <a:extLst>
            <a:ext uri="{FF2B5EF4-FFF2-40B4-BE49-F238E27FC236}">
              <a16:creationId xmlns:a16="http://schemas.microsoft.com/office/drawing/2014/main" id="{B8F79570-EF81-4F50-8263-81DD59B683A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8" name="Text Box 15">
          <a:extLst>
            <a:ext uri="{FF2B5EF4-FFF2-40B4-BE49-F238E27FC236}">
              <a16:creationId xmlns:a16="http://schemas.microsoft.com/office/drawing/2014/main" id="{8671E439-CEA8-4D7B-AD02-7661BA0036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9" name="Text Box 15">
          <a:extLst>
            <a:ext uri="{FF2B5EF4-FFF2-40B4-BE49-F238E27FC236}">
              <a16:creationId xmlns:a16="http://schemas.microsoft.com/office/drawing/2014/main" id="{65CE57F3-9A89-456C-9857-AE2D88A634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0" name="Text Box 15">
          <a:extLst>
            <a:ext uri="{FF2B5EF4-FFF2-40B4-BE49-F238E27FC236}">
              <a16:creationId xmlns:a16="http://schemas.microsoft.com/office/drawing/2014/main" id="{B894BC2D-5D6D-4803-AC3F-DB7BBA2D9E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1" name="Text Box 15">
          <a:extLst>
            <a:ext uri="{FF2B5EF4-FFF2-40B4-BE49-F238E27FC236}">
              <a16:creationId xmlns:a16="http://schemas.microsoft.com/office/drawing/2014/main" id="{DCBDAC06-30B8-43BC-A264-13AD550AC0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2" name="Text Box 15">
          <a:extLst>
            <a:ext uri="{FF2B5EF4-FFF2-40B4-BE49-F238E27FC236}">
              <a16:creationId xmlns:a16="http://schemas.microsoft.com/office/drawing/2014/main" id="{36EA4273-E00A-4244-80BF-4616D0F843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3" name="Text Box 15">
          <a:extLst>
            <a:ext uri="{FF2B5EF4-FFF2-40B4-BE49-F238E27FC236}">
              <a16:creationId xmlns:a16="http://schemas.microsoft.com/office/drawing/2014/main" id="{EA976B13-615C-41F4-ABA3-E296CDBB26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4" name="Text Box 15">
          <a:extLst>
            <a:ext uri="{FF2B5EF4-FFF2-40B4-BE49-F238E27FC236}">
              <a16:creationId xmlns:a16="http://schemas.microsoft.com/office/drawing/2014/main" id="{D01B8661-4CD9-419C-A0C9-B5771B2E11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5" name="Text Box 15">
          <a:extLst>
            <a:ext uri="{FF2B5EF4-FFF2-40B4-BE49-F238E27FC236}">
              <a16:creationId xmlns:a16="http://schemas.microsoft.com/office/drawing/2014/main" id="{74935B1A-A610-4302-8E4A-76BC0CB59C6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6" name="Text Box 15">
          <a:extLst>
            <a:ext uri="{FF2B5EF4-FFF2-40B4-BE49-F238E27FC236}">
              <a16:creationId xmlns:a16="http://schemas.microsoft.com/office/drawing/2014/main" id="{5D134D38-EE9F-4DC5-B1DB-D1CDC2DDA1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7" name="Text Box 15">
          <a:extLst>
            <a:ext uri="{FF2B5EF4-FFF2-40B4-BE49-F238E27FC236}">
              <a16:creationId xmlns:a16="http://schemas.microsoft.com/office/drawing/2014/main" id="{56745B37-5720-4C2D-847E-16EC189BF6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8" name="Text Box 15">
          <a:extLst>
            <a:ext uri="{FF2B5EF4-FFF2-40B4-BE49-F238E27FC236}">
              <a16:creationId xmlns:a16="http://schemas.microsoft.com/office/drawing/2014/main" id="{34A7C8D3-668D-43CB-BE8C-23995FA6DA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9" name="Text Box 15">
          <a:extLst>
            <a:ext uri="{FF2B5EF4-FFF2-40B4-BE49-F238E27FC236}">
              <a16:creationId xmlns:a16="http://schemas.microsoft.com/office/drawing/2014/main" id="{6997082A-D376-4648-9A12-8AACD488FE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0" name="Text Box 15">
          <a:extLst>
            <a:ext uri="{FF2B5EF4-FFF2-40B4-BE49-F238E27FC236}">
              <a16:creationId xmlns:a16="http://schemas.microsoft.com/office/drawing/2014/main" id="{5AE2D9CB-0475-432A-AAF7-08525DDC6A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1" name="Text Box 15">
          <a:extLst>
            <a:ext uri="{FF2B5EF4-FFF2-40B4-BE49-F238E27FC236}">
              <a16:creationId xmlns:a16="http://schemas.microsoft.com/office/drawing/2014/main" id="{FE116FFA-24F2-4EBF-8753-3EF5CE28E35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2" name="Text Box 15">
          <a:extLst>
            <a:ext uri="{FF2B5EF4-FFF2-40B4-BE49-F238E27FC236}">
              <a16:creationId xmlns:a16="http://schemas.microsoft.com/office/drawing/2014/main" id="{A85DC9F7-213F-49AC-9266-36ADE36C92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3" name="Text Box 15">
          <a:extLst>
            <a:ext uri="{FF2B5EF4-FFF2-40B4-BE49-F238E27FC236}">
              <a16:creationId xmlns:a16="http://schemas.microsoft.com/office/drawing/2014/main" id="{D1EA87CF-9193-47E6-87C9-484063F92CC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4" name="Text Box 15">
          <a:extLst>
            <a:ext uri="{FF2B5EF4-FFF2-40B4-BE49-F238E27FC236}">
              <a16:creationId xmlns:a16="http://schemas.microsoft.com/office/drawing/2014/main" id="{C37A49B5-A1B2-4E0D-8ADD-9C2FEB82AC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5" name="Text Box 15">
          <a:extLst>
            <a:ext uri="{FF2B5EF4-FFF2-40B4-BE49-F238E27FC236}">
              <a16:creationId xmlns:a16="http://schemas.microsoft.com/office/drawing/2014/main" id="{98CB4F0B-0D44-43C8-818F-967E7B5497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6" name="Text Box 15">
          <a:extLst>
            <a:ext uri="{FF2B5EF4-FFF2-40B4-BE49-F238E27FC236}">
              <a16:creationId xmlns:a16="http://schemas.microsoft.com/office/drawing/2014/main" id="{3B4764BA-807F-42AB-B747-6A765B8AB8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7" name="Text Box 15">
          <a:extLst>
            <a:ext uri="{FF2B5EF4-FFF2-40B4-BE49-F238E27FC236}">
              <a16:creationId xmlns:a16="http://schemas.microsoft.com/office/drawing/2014/main" id="{918FDFCC-93F9-4532-A27C-64BD8FA3BC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8" name="Text Box 15">
          <a:extLst>
            <a:ext uri="{FF2B5EF4-FFF2-40B4-BE49-F238E27FC236}">
              <a16:creationId xmlns:a16="http://schemas.microsoft.com/office/drawing/2014/main" id="{3365C4DD-67AD-4DA3-A2F7-2F234AB715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9" name="Text Box 15">
          <a:extLst>
            <a:ext uri="{FF2B5EF4-FFF2-40B4-BE49-F238E27FC236}">
              <a16:creationId xmlns:a16="http://schemas.microsoft.com/office/drawing/2014/main" id="{EA5C467F-A1D4-4727-8DF1-E280A7F878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0" name="Text Box 15">
          <a:extLst>
            <a:ext uri="{FF2B5EF4-FFF2-40B4-BE49-F238E27FC236}">
              <a16:creationId xmlns:a16="http://schemas.microsoft.com/office/drawing/2014/main" id="{BA7E04AF-4505-40C6-80D6-6CCF1BBCA6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1" name="Text Box 15">
          <a:extLst>
            <a:ext uri="{FF2B5EF4-FFF2-40B4-BE49-F238E27FC236}">
              <a16:creationId xmlns:a16="http://schemas.microsoft.com/office/drawing/2014/main" id="{F7FD676B-A47E-43B3-A2A4-6E140001E7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2" name="Text Box 15">
          <a:extLst>
            <a:ext uri="{FF2B5EF4-FFF2-40B4-BE49-F238E27FC236}">
              <a16:creationId xmlns:a16="http://schemas.microsoft.com/office/drawing/2014/main" id="{1DC1C727-40A8-4925-B6EE-3AC1346549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3" name="Text Box 15">
          <a:extLst>
            <a:ext uri="{FF2B5EF4-FFF2-40B4-BE49-F238E27FC236}">
              <a16:creationId xmlns:a16="http://schemas.microsoft.com/office/drawing/2014/main" id="{C81564EF-7020-473A-BFFC-7E3D8B8CA7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4" name="Text Box 15">
          <a:extLst>
            <a:ext uri="{FF2B5EF4-FFF2-40B4-BE49-F238E27FC236}">
              <a16:creationId xmlns:a16="http://schemas.microsoft.com/office/drawing/2014/main" id="{DCB6DBDF-3450-440D-8039-202EAC3307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5" name="Text Box 15">
          <a:extLst>
            <a:ext uri="{FF2B5EF4-FFF2-40B4-BE49-F238E27FC236}">
              <a16:creationId xmlns:a16="http://schemas.microsoft.com/office/drawing/2014/main" id="{E985CB60-FD18-4CD8-88A9-4A3107242F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6" name="Text Box 15">
          <a:extLst>
            <a:ext uri="{FF2B5EF4-FFF2-40B4-BE49-F238E27FC236}">
              <a16:creationId xmlns:a16="http://schemas.microsoft.com/office/drawing/2014/main" id="{EF725CB0-B514-413F-B4F8-F0184461E5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7" name="Text Box 15">
          <a:extLst>
            <a:ext uri="{FF2B5EF4-FFF2-40B4-BE49-F238E27FC236}">
              <a16:creationId xmlns:a16="http://schemas.microsoft.com/office/drawing/2014/main" id="{596ABF03-586F-426D-92E1-9DE1846CC7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8" name="Text Box 15">
          <a:extLst>
            <a:ext uri="{FF2B5EF4-FFF2-40B4-BE49-F238E27FC236}">
              <a16:creationId xmlns:a16="http://schemas.microsoft.com/office/drawing/2014/main" id="{A5FCC47F-F081-4BD1-AF81-8AB6E4579C4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9" name="Text Box 15">
          <a:extLst>
            <a:ext uri="{FF2B5EF4-FFF2-40B4-BE49-F238E27FC236}">
              <a16:creationId xmlns:a16="http://schemas.microsoft.com/office/drawing/2014/main" id="{EB7A8446-F85C-4200-B13E-7522E63575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0" name="Text Box 15">
          <a:extLst>
            <a:ext uri="{FF2B5EF4-FFF2-40B4-BE49-F238E27FC236}">
              <a16:creationId xmlns:a16="http://schemas.microsoft.com/office/drawing/2014/main" id="{DF8F42C3-1177-4773-9D7C-81A268AD6A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1" name="Text Box 15">
          <a:extLst>
            <a:ext uri="{FF2B5EF4-FFF2-40B4-BE49-F238E27FC236}">
              <a16:creationId xmlns:a16="http://schemas.microsoft.com/office/drawing/2014/main" id="{790062EC-7A5E-4733-9F1B-7BCE0182A6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2" name="Text Box 15">
          <a:extLst>
            <a:ext uri="{FF2B5EF4-FFF2-40B4-BE49-F238E27FC236}">
              <a16:creationId xmlns:a16="http://schemas.microsoft.com/office/drawing/2014/main" id="{4080F58A-1551-4753-8E87-05FE315B9B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3" name="Text Box 15">
          <a:extLst>
            <a:ext uri="{FF2B5EF4-FFF2-40B4-BE49-F238E27FC236}">
              <a16:creationId xmlns:a16="http://schemas.microsoft.com/office/drawing/2014/main" id="{90DC33D5-B277-42C1-880D-51FBDD51BA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4" name="Text Box 15">
          <a:extLst>
            <a:ext uri="{FF2B5EF4-FFF2-40B4-BE49-F238E27FC236}">
              <a16:creationId xmlns:a16="http://schemas.microsoft.com/office/drawing/2014/main" id="{96749B3E-83E3-4376-844F-7B567DE608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5" name="Text Box 15">
          <a:extLst>
            <a:ext uri="{FF2B5EF4-FFF2-40B4-BE49-F238E27FC236}">
              <a16:creationId xmlns:a16="http://schemas.microsoft.com/office/drawing/2014/main" id="{E36D4A5C-F994-47B6-8DDA-1AC0D119A8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6" name="Text Box 15">
          <a:extLst>
            <a:ext uri="{FF2B5EF4-FFF2-40B4-BE49-F238E27FC236}">
              <a16:creationId xmlns:a16="http://schemas.microsoft.com/office/drawing/2014/main" id="{E8956151-8549-4937-9D5C-703140EE60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7" name="Text Box 15">
          <a:extLst>
            <a:ext uri="{FF2B5EF4-FFF2-40B4-BE49-F238E27FC236}">
              <a16:creationId xmlns:a16="http://schemas.microsoft.com/office/drawing/2014/main" id="{FF4F20CC-BF5E-4C52-974B-CB1487D2C2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8" name="Text Box 15">
          <a:extLst>
            <a:ext uri="{FF2B5EF4-FFF2-40B4-BE49-F238E27FC236}">
              <a16:creationId xmlns:a16="http://schemas.microsoft.com/office/drawing/2014/main" id="{B915091B-081F-45A6-BEBA-2031B63051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9" name="Text Box 15">
          <a:extLst>
            <a:ext uri="{FF2B5EF4-FFF2-40B4-BE49-F238E27FC236}">
              <a16:creationId xmlns:a16="http://schemas.microsoft.com/office/drawing/2014/main" id="{2C55A533-DA69-44BE-9DFB-48989544BC0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0" name="Text Box 15">
          <a:extLst>
            <a:ext uri="{FF2B5EF4-FFF2-40B4-BE49-F238E27FC236}">
              <a16:creationId xmlns:a16="http://schemas.microsoft.com/office/drawing/2014/main" id="{469841B2-0E42-4CED-8D15-57301699F2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1" name="Text Box 15">
          <a:extLst>
            <a:ext uri="{FF2B5EF4-FFF2-40B4-BE49-F238E27FC236}">
              <a16:creationId xmlns:a16="http://schemas.microsoft.com/office/drawing/2014/main" id="{48563282-1618-48B3-832C-5E61277F9D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2" name="Text Box 15">
          <a:extLst>
            <a:ext uri="{FF2B5EF4-FFF2-40B4-BE49-F238E27FC236}">
              <a16:creationId xmlns:a16="http://schemas.microsoft.com/office/drawing/2014/main" id="{25BE3865-D5FE-44CA-A0ED-DB009ECADB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3" name="Text Box 15">
          <a:extLst>
            <a:ext uri="{FF2B5EF4-FFF2-40B4-BE49-F238E27FC236}">
              <a16:creationId xmlns:a16="http://schemas.microsoft.com/office/drawing/2014/main" id="{030397CE-0F30-4C1E-A7B8-A520FA620B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4" name="Text Box 15">
          <a:extLst>
            <a:ext uri="{FF2B5EF4-FFF2-40B4-BE49-F238E27FC236}">
              <a16:creationId xmlns:a16="http://schemas.microsoft.com/office/drawing/2014/main" id="{3DE5E8FF-5852-422C-9ED8-9B88235518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5" name="Text Box 15">
          <a:extLst>
            <a:ext uri="{FF2B5EF4-FFF2-40B4-BE49-F238E27FC236}">
              <a16:creationId xmlns:a16="http://schemas.microsoft.com/office/drawing/2014/main" id="{24B8140A-EB17-4B46-AED6-39AAFFB8750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6" name="Text Box 15">
          <a:extLst>
            <a:ext uri="{FF2B5EF4-FFF2-40B4-BE49-F238E27FC236}">
              <a16:creationId xmlns:a16="http://schemas.microsoft.com/office/drawing/2014/main" id="{6B38B113-C5B9-4EC7-9BAF-2DFB1B8C376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7" name="Text Box 15">
          <a:extLst>
            <a:ext uri="{FF2B5EF4-FFF2-40B4-BE49-F238E27FC236}">
              <a16:creationId xmlns:a16="http://schemas.microsoft.com/office/drawing/2014/main" id="{60FD6F49-3860-4209-AE45-9D9E560C214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8" name="Text Box 15">
          <a:extLst>
            <a:ext uri="{FF2B5EF4-FFF2-40B4-BE49-F238E27FC236}">
              <a16:creationId xmlns:a16="http://schemas.microsoft.com/office/drawing/2014/main" id="{2EF2CCB0-F06E-48CB-A016-D7F0EFD9A2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9" name="Text Box 15">
          <a:extLst>
            <a:ext uri="{FF2B5EF4-FFF2-40B4-BE49-F238E27FC236}">
              <a16:creationId xmlns:a16="http://schemas.microsoft.com/office/drawing/2014/main" id="{F2AD9517-FEA9-4447-80CA-7F04A25109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0" name="Text Box 15">
          <a:extLst>
            <a:ext uri="{FF2B5EF4-FFF2-40B4-BE49-F238E27FC236}">
              <a16:creationId xmlns:a16="http://schemas.microsoft.com/office/drawing/2014/main" id="{C84F094D-C7BD-410B-B6A9-DFC9D01544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1" name="Text Box 15">
          <a:extLst>
            <a:ext uri="{FF2B5EF4-FFF2-40B4-BE49-F238E27FC236}">
              <a16:creationId xmlns:a16="http://schemas.microsoft.com/office/drawing/2014/main" id="{9E5F3027-E4D8-4435-AB71-31AB419969F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2" name="Text Box 15">
          <a:extLst>
            <a:ext uri="{FF2B5EF4-FFF2-40B4-BE49-F238E27FC236}">
              <a16:creationId xmlns:a16="http://schemas.microsoft.com/office/drawing/2014/main" id="{2E440740-292A-4D18-907A-F8E9E6AC0C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3" name="Text Box 15">
          <a:extLst>
            <a:ext uri="{FF2B5EF4-FFF2-40B4-BE49-F238E27FC236}">
              <a16:creationId xmlns:a16="http://schemas.microsoft.com/office/drawing/2014/main" id="{2AB8E3A3-4E96-439F-8413-4337914FD7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4" name="Text Box 15">
          <a:extLst>
            <a:ext uri="{FF2B5EF4-FFF2-40B4-BE49-F238E27FC236}">
              <a16:creationId xmlns:a16="http://schemas.microsoft.com/office/drawing/2014/main" id="{61116388-092F-4F11-9544-F2EA00FB83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5" name="Text Box 15">
          <a:extLst>
            <a:ext uri="{FF2B5EF4-FFF2-40B4-BE49-F238E27FC236}">
              <a16:creationId xmlns:a16="http://schemas.microsoft.com/office/drawing/2014/main" id="{1943649D-26CC-4433-9704-35998175B7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6" name="Text Box 15">
          <a:extLst>
            <a:ext uri="{FF2B5EF4-FFF2-40B4-BE49-F238E27FC236}">
              <a16:creationId xmlns:a16="http://schemas.microsoft.com/office/drawing/2014/main" id="{B6890801-E75C-4086-92CD-CC52095BAF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7" name="Text Box 15">
          <a:extLst>
            <a:ext uri="{FF2B5EF4-FFF2-40B4-BE49-F238E27FC236}">
              <a16:creationId xmlns:a16="http://schemas.microsoft.com/office/drawing/2014/main" id="{4E801746-9AC5-4F83-BA21-7EA6024959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8" name="Text Box 15">
          <a:extLst>
            <a:ext uri="{FF2B5EF4-FFF2-40B4-BE49-F238E27FC236}">
              <a16:creationId xmlns:a16="http://schemas.microsoft.com/office/drawing/2014/main" id="{95C1FD5D-D7F1-463A-B19F-534CCE76DA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9" name="Text Box 15">
          <a:extLst>
            <a:ext uri="{FF2B5EF4-FFF2-40B4-BE49-F238E27FC236}">
              <a16:creationId xmlns:a16="http://schemas.microsoft.com/office/drawing/2014/main" id="{C449C669-3E29-44F4-A0E0-5DFA717B9C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0" name="Text Box 15">
          <a:extLst>
            <a:ext uri="{FF2B5EF4-FFF2-40B4-BE49-F238E27FC236}">
              <a16:creationId xmlns:a16="http://schemas.microsoft.com/office/drawing/2014/main" id="{026FB385-F313-4C60-B09B-E1C99DDE2A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1" name="Text Box 15">
          <a:extLst>
            <a:ext uri="{FF2B5EF4-FFF2-40B4-BE49-F238E27FC236}">
              <a16:creationId xmlns:a16="http://schemas.microsoft.com/office/drawing/2014/main" id="{594A90ED-B102-4DEE-AA3B-641594AC74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2" name="Text Box 15">
          <a:extLst>
            <a:ext uri="{FF2B5EF4-FFF2-40B4-BE49-F238E27FC236}">
              <a16:creationId xmlns:a16="http://schemas.microsoft.com/office/drawing/2014/main" id="{C6CC3640-992A-4C19-A072-420CE4ECED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3" name="Text Box 15">
          <a:extLst>
            <a:ext uri="{FF2B5EF4-FFF2-40B4-BE49-F238E27FC236}">
              <a16:creationId xmlns:a16="http://schemas.microsoft.com/office/drawing/2014/main" id="{DFE49E76-FC15-4559-8DF3-A5D4FC50E0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4" name="Text Box 15">
          <a:extLst>
            <a:ext uri="{FF2B5EF4-FFF2-40B4-BE49-F238E27FC236}">
              <a16:creationId xmlns:a16="http://schemas.microsoft.com/office/drawing/2014/main" id="{56CE4701-158F-461B-A4F3-632524651E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5" name="Text Box 15">
          <a:extLst>
            <a:ext uri="{FF2B5EF4-FFF2-40B4-BE49-F238E27FC236}">
              <a16:creationId xmlns:a16="http://schemas.microsoft.com/office/drawing/2014/main" id="{21660894-C17E-4ACF-8A5F-D3D28705E3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6" name="Text Box 15">
          <a:extLst>
            <a:ext uri="{FF2B5EF4-FFF2-40B4-BE49-F238E27FC236}">
              <a16:creationId xmlns:a16="http://schemas.microsoft.com/office/drawing/2014/main" id="{809D08CA-4FC1-40C5-A506-34B0227AF1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7" name="Text Box 15">
          <a:extLst>
            <a:ext uri="{FF2B5EF4-FFF2-40B4-BE49-F238E27FC236}">
              <a16:creationId xmlns:a16="http://schemas.microsoft.com/office/drawing/2014/main" id="{8EB24137-5169-4379-BC3C-4E9FE981F5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8" name="Text Box 15">
          <a:extLst>
            <a:ext uri="{FF2B5EF4-FFF2-40B4-BE49-F238E27FC236}">
              <a16:creationId xmlns:a16="http://schemas.microsoft.com/office/drawing/2014/main" id="{12C1A083-91EE-4AF9-93E9-D00427E19A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9" name="Text Box 15">
          <a:extLst>
            <a:ext uri="{FF2B5EF4-FFF2-40B4-BE49-F238E27FC236}">
              <a16:creationId xmlns:a16="http://schemas.microsoft.com/office/drawing/2014/main" id="{28566943-D467-4388-AA24-28E924AA59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0" name="Text Box 15">
          <a:extLst>
            <a:ext uri="{FF2B5EF4-FFF2-40B4-BE49-F238E27FC236}">
              <a16:creationId xmlns:a16="http://schemas.microsoft.com/office/drawing/2014/main" id="{9BAF55F9-5586-4BB7-89E8-96A18DC821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1" name="Text Box 15">
          <a:extLst>
            <a:ext uri="{FF2B5EF4-FFF2-40B4-BE49-F238E27FC236}">
              <a16:creationId xmlns:a16="http://schemas.microsoft.com/office/drawing/2014/main" id="{ABFE7FBC-07D3-4C14-AAC2-FBDE5A7FE1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2" name="Text Box 15">
          <a:extLst>
            <a:ext uri="{FF2B5EF4-FFF2-40B4-BE49-F238E27FC236}">
              <a16:creationId xmlns:a16="http://schemas.microsoft.com/office/drawing/2014/main" id="{4E182C80-8182-465F-B031-13AC2926C1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3" name="Text Box 15">
          <a:extLst>
            <a:ext uri="{FF2B5EF4-FFF2-40B4-BE49-F238E27FC236}">
              <a16:creationId xmlns:a16="http://schemas.microsoft.com/office/drawing/2014/main" id="{1E03019F-6186-4F1A-B0FB-27D67CCE69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4" name="Text Box 15">
          <a:extLst>
            <a:ext uri="{FF2B5EF4-FFF2-40B4-BE49-F238E27FC236}">
              <a16:creationId xmlns:a16="http://schemas.microsoft.com/office/drawing/2014/main" id="{8A663D62-F219-4E07-8C8E-A43B1FDFC1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5" name="Text Box 15">
          <a:extLst>
            <a:ext uri="{FF2B5EF4-FFF2-40B4-BE49-F238E27FC236}">
              <a16:creationId xmlns:a16="http://schemas.microsoft.com/office/drawing/2014/main" id="{4C0C76DC-DB92-4017-8523-2EE35480CA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6" name="Text Box 15">
          <a:extLst>
            <a:ext uri="{FF2B5EF4-FFF2-40B4-BE49-F238E27FC236}">
              <a16:creationId xmlns:a16="http://schemas.microsoft.com/office/drawing/2014/main" id="{B70295C4-EDBB-4C97-A241-024AB7B170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7" name="Text Box 15">
          <a:extLst>
            <a:ext uri="{FF2B5EF4-FFF2-40B4-BE49-F238E27FC236}">
              <a16:creationId xmlns:a16="http://schemas.microsoft.com/office/drawing/2014/main" id="{D310986E-D4BA-477D-8089-CC9B063851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8" name="Text Box 15">
          <a:extLst>
            <a:ext uri="{FF2B5EF4-FFF2-40B4-BE49-F238E27FC236}">
              <a16:creationId xmlns:a16="http://schemas.microsoft.com/office/drawing/2014/main" id="{1708FE51-5437-4F7A-A6A7-9D1DFEB43D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9" name="Text Box 15">
          <a:extLst>
            <a:ext uri="{FF2B5EF4-FFF2-40B4-BE49-F238E27FC236}">
              <a16:creationId xmlns:a16="http://schemas.microsoft.com/office/drawing/2014/main" id="{8792EA09-0801-4F1E-87C5-284AE4E0F3C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0" name="Text Box 15">
          <a:extLst>
            <a:ext uri="{FF2B5EF4-FFF2-40B4-BE49-F238E27FC236}">
              <a16:creationId xmlns:a16="http://schemas.microsoft.com/office/drawing/2014/main" id="{FDA878CB-1900-4F79-9171-FD48C32B254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1" name="Text Box 15">
          <a:extLst>
            <a:ext uri="{FF2B5EF4-FFF2-40B4-BE49-F238E27FC236}">
              <a16:creationId xmlns:a16="http://schemas.microsoft.com/office/drawing/2014/main" id="{3794CAE4-6B4F-4944-AEC8-C6A10F87D6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2" name="Text Box 15">
          <a:extLst>
            <a:ext uri="{FF2B5EF4-FFF2-40B4-BE49-F238E27FC236}">
              <a16:creationId xmlns:a16="http://schemas.microsoft.com/office/drawing/2014/main" id="{CBE34855-9E70-46ED-AA01-6C843A7378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3" name="Text Box 15">
          <a:extLst>
            <a:ext uri="{FF2B5EF4-FFF2-40B4-BE49-F238E27FC236}">
              <a16:creationId xmlns:a16="http://schemas.microsoft.com/office/drawing/2014/main" id="{E6765AB9-B11E-4AFB-9DC9-95F5C08C0D0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4" name="Text Box 15">
          <a:extLst>
            <a:ext uri="{FF2B5EF4-FFF2-40B4-BE49-F238E27FC236}">
              <a16:creationId xmlns:a16="http://schemas.microsoft.com/office/drawing/2014/main" id="{47ED92B2-71EC-4F04-B028-7411677BB8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5" name="Text Box 15">
          <a:extLst>
            <a:ext uri="{FF2B5EF4-FFF2-40B4-BE49-F238E27FC236}">
              <a16:creationId xmlns:a16="http://schemas.microsoft.com/office/drawing/2014/main" id="{2B126171-696F-4E14-9E41-A470C3AA169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6" name="Text Box 15">
          <a:extLst>
            <a:ext uri="{FF2B5EF4-FFF2-40B4-BE49-F238E27FC236}">
              <a16:creationId xmlns:a16="http://schemas.microsoft.com/office/drawing/2014/main" id="{3D217C93-B583-47FE-ADA5-EC6BBFDEE0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7" name="Text Box 15">
          <a:extLst>
            <a:ext uri="{FF2B5EF4-FFF2-40B4-BE49-F238E27FC236}">
              <a16:creationId xmlns:a16="http://schemas.microsoft.com/office/drawing/2014/main" id="{9525F4F8-6036-4C57-B85C-1BAA73311A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8" name="Text Box 15">
          <a:extLst>
            <a:ext uri="{FF2B5EF4-FFF2-40B4-BE49-F238E27FC236}">
              <a16:creationId xmlns:a16="http://schemas.microsoft.com/office/drawing/2014/main" id="{FC30AC51-6B56-480D-9284-0A5EE6027B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9" name="Text Box 15">
          <a:extLst>
            <a:ext uri="{FF2B5EF4-FFF2-40B4-BE49-F238E27FC236}">
              <a16:creationId xmlns:a16="http://schemas.microsoft.com/office/drawing/2014/main" id="{4263F079-D15E-4221-8984-E57ADAEAFD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0" name="Text Box 15">
          <a:extLst>
            <a:ext uri="{FF2B5EF4-FFF2-40B4-BE49-F238E27FC236}">
              <a16:creationId xmlns:a16="http://schemas.microsoft.com/office/drawing/2014/main" id="{E165EB5E-03CB-4848-80AB-4BEC2EF201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1" name="Text Box 15">
          <a:extLst>
            <a:ext uri="{FF2B5EF4-FFF2-40B4-BE49-F238E27FC236}">
              <a16:creationId xmlns:a16="http://schemas.microsoft.com/office/drawing/2014/main" id="{7A7A27F2-442E-495D-92A0-12AC4F500B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2" name="Text Box 15">
          <a:extLst>
            <a:ext uri="{FF2B5EF4-FFF2-40B4-BE49-F238E27FC236}">
              <a16:creationId xmlns:a16="http://schemas.microsoft.com/office/drawing/2014/main" id="{BD46BA6F-AAEA-4BDE-84D8-F5F180558EE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3" name="Text Box 15">
          <a:extLst>
            <a:ext uri="{FF2B5EF4-FFF2-40B4-BE49-F238E27FC236}">
              <a16:creationId xmlns:a16="http://schemas.microsoft.com/office/drawing/2014/main" id="{F5BDDA61-9EAF-441E-BD86-B0378DC18A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4" name="Text Box 15">
          <a:extLst>
            <a:ext uri="{FF2B5EF4-FFF2-40B4-BE49-F238E27FC236}">
              <a16:creationId xmlns:a16="http://schemas.microsoft.com/office/drawing/2014/main" id="{841DDF4E-1CF0-485F-9555-190D6F8A3A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5" name="Text Box 15">
          <a:extLst>
            <a:ext uri="{FF2B5EF4-FFF2-40B4-BE49-F238E27FC236}">
              <a16:creationId xmlns:a16="http://schemas.microsoft.com/office/drawing/2014/main" id="{187EAAC7-431A-45A8-A675-336DAD6462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6" name="Text Box 15">
          <a:extLst>
            <a:ext uri="{FF2B5EF4-FFF2-40B4-BE49-F238E27FC236}">
              <a16:creationId xmlns:a16="http://schemas.microsoft.com/office/drawing/2014/main" id="{07334C1F-7F9F-4FDF-914F-DB03355348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7" name="Text Box 15">
          <a:extLst>
            <a:ext uri="{FF2B5EF4-FFF2-40B4-BE49-F238E27FC236}">
              <a16:creationId xmlns:a16="http://schemas.microsoft.com/office/drawing/2014/main" id="{934EDB7C-7C79-4D94-A53B-90320D275C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8" name="Text Box 15">
          <a:extLst>
            <a:ext uri="{FF2B5EF4-FFF2-40B4-BE49-F238E27FC236}">
              <a16:creationId xmlns:a16="http://schemas.microsoft.com/office/drawing/2014/main" id="{D62E5A7A-DF7D-4F73-800F-437666B541A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9" name="Text Box 15">
          <a:extLst>
            <a:ext uri="{FF2B5EF4-FFF2-40B4-BE49-F238E27FC236}">
              <a16:creationId xmlns:a16="http://schemas.microsoft.com/office/drawing/2014/main" id="{68CF74D4-A760-4063-A423-67C5C59368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0" name="Text Box 15">
          <a:extLst>
            <a:ext uri="{FF2B5EF4-FFF2-40B4-BE49-F238E27FC236}">
              <a16:creationId xmlns:a16="http://schemas.microsoft.com/office/drawing/2014/main" id="{54CE0C7D-90AE-4F3C-8239-AD4E75F4B6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1" name="Text Box 15">
          <a:extLst>
            <a:ext uri="{FF2B5EF4-FFF2-40B4-BE49-F238E27FC236}">
              <a16:creationId xmlns:a16="http://schemas.microsoft.com/office/drawing/2014/main" id="{C91AFD1F-F68B-46E6-BED4-976CBC63C4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2" name="Text Box 15">
          <a:extLst>
            <a:ext uri="{FF2B5EF4-FFF2-40B4-BE49-F238E27FC236}">
              <a16:creationId xmlns:a16="http://schemas.microsoft.com/office/drawing/2014/main" id="{BDD4338A-CF2B-449F-A6C2-D95DD0B63DA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3" name="Text Box 15">
          <a:extLst>
            <a:ext uri="{FF2B5EF4-FFF2-40B4-BE49-F238E27FC236}">
              <a16:creationId xmlns:a16="http://schemas.microsoft.com/office/drawing/2014/main" id="{1CBBD996-06CB-4A9F-869E-23C74B7C53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4" name="Text Box 15">
          <a:extLst>
            <a:ext uri="{FF2B5EF4-FFF2-40B4-BE49-F238E27FC236}">
              <a16:creationId xmlns:a16="http://schemas.microsoft.com/office/drawing/2014/main" id="{36DD016D-142B-4853-90A5-54247D44F0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5" name="Text Box 15">
          <a:extLst>
            <a:ext uri="{FF2B5EF4-FFF2-40B4-BE49-F238E27FC236}">
              <a16:creationId xmlns:a16="http://schemas.microsoft.com/office/drawing/2014/main" id="{D574465C-FAED-41F6-B4DC-4028EF0508A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6" name="Text Box 15">
          <a:extLst>
            <a:ext uri="{FF2B5EF4-FFF2-40B4-BE49-F238E27FC236}">
              <a16:creationId xmlns:a16="http://schemas.microsoft.com/office/drawing/2014/main" id="{C74009C5-5C91-462D-9E2B-84BBDB10CB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7" name="Text Box 15">
          <a:extLst>
            <a:ext uri="{FF2B5EF4-FFF2-40B4-BE49-F238E27FC236}">
              <a16:creationId xmlns:a16="http://schemas.microsoft.com/office/drawing/2014/main" id="{AB7DFC6E-EFAA-4BCD-B336-2FDB816162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8" name="Text Box 15">
          <a:extLst>
            <a:ext uri="{FF2B5EF4-FFF2-40B4-BE49-F238E27FC236}">
              <a16:creationId xmlns:a16="http://schemas.microsoft.com/office/drawing/2014/main" id="{A273421A-05FA-4F18-AB47-FE2AD8B092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9" name="Text Box 15">
          <a:extLst>
            <a:ext uri="{FF2B5EF4-FFF2-40B4-BE49-F238E27FC236}">
              <a16:creationId xmlns:a16="http://schemas.microsoft.com/office/drawing/2014/main" id="{00490DBB-8DD9-486F-B6D4-4E1F945EBC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0" name="Text Box 15">
          <a:extLst>
            <a:ext uri="{FF2B5EF4-FFF2-40B4-BE49-F238E27FC236}">
              <a16:creationId xmlns:a16="http://schemas.microsoft.com/office/drawing/2014/main" id="{3BE2A1D2-1FE1-44F6-9F19-58D9F7E3B8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1" name="Text Box 15">
          <a:extLst>
            <a:ext uri="{FF2B5EF4-FFF2-40B4-BE49-F238E27FC236}">
              <a16:creationId xmlns:a16="http://schemas.microsoft.com/office/drawing/2014/main" id="{D7A3A451-7DA7-4BB4-9CFB-CC49FAF90A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2" name="Text Box 15">
          <a:extLst>
            <a:ext uri="{FF2B5EF4-FFF2-40B4-BE49-F238E27FC236}">
              <a16:creationId xmlns:a16="http://schemas.microsoft.com/office/drawing/2014/main" id="{859C4796-13C9-4937-808C-C2CE2F48BA6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3" name="Text Box 15">
          <a:extLst>
            <a:ext uri="{FF2B5EF4-FFF2-40B4-BE49-F238E27FC236}">
              <a16:creationId xmlns:a16="http://schemas.microsoft.com/office/drawing/2014/main" id="{5D818988-5D6D-4E6E-B193-8E68513D80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4" name="Text Box 15">
          <a:extLst>
            <a:ext uri="{FF2B5EF4-FFF2-40B4-BE49-F238E27FC236}">
              <a16:creationId xmlns:a16="http://schemas.microsoft.com/office/drawing/2014/main" id="{6110D5EF-9237-4032-B5FF-929460AB36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5" name="Text Box 15">
          <a:extLst>
            <a:ext uri="{FF2B5EF4-FFF2-40B4-BE49-F238E27FC236}">
              <a16:creationId xmlns:a16="http://schemas.microsoft.com/office/drawing/2014/main" id="{C4955BDB-47BA-4CB1-9920-EF89C4B8F2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6" name="Text Box 15">
          <a:extLst>
            <a:ext uri="{FF2B5EF4-FFF2-40B4-BE49-F238E27FC236}">
              <a16:creationId xmlns:a16="http://schemas.microsoft.com/office/drawing/2014/main" id="{7EBA862C-A5BD-479D-BEA8-1DD7EDFADE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7" name="Text Box 15">
          <a:extLst>
            <a:ext uri="{FF2B5EF4-FFF2-40B4-BE49-F238E27FC236}">
              <a16:creationId xmlns:a16="http://schemas.microsoft.com/office/drawing/2014/main" id="{98E80A0B-7F89-4481-ABB8-258B6AA4F4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8" name="Text Box 15">
          <a:extLst>
            <a:ext uri="{FF2B5EF4-FFF2-40B4-BE49-F238E27FC236}">
              <a16:creationId xmlns:a16="http://schemas.microsoft.com/office/drawing/2014/main" id="{0974FF1B-A53A-4EC4-9AF6-5FA6C53E96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9" name="Text Box 15">
          <a:extLst>
            <a:ext uri="{FF2B5EF4-FFF2-40B4-BE49-F238E27FC236}">
              <a16:creationId xmlns:a16="http://schemas.microsoft.com/office/drawing/2014/main" id="{22A59DB8-60A4-4E59-89ED-FA05163FDF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0" name="Text Box 15">
          <a:extLst>
            <a:ext uri="{FF2B5EF4-FFF2-40B4-BE49-F238E27FC236}">
              <a16:creationId xmlns:a16="http://schemas.microsoft.com/office/drawing/2014/main" id="{A605432C-0D64-4264-8630-14079B0F710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1" name="Text Box 15">
          <a:extLst>
            <a:ext uri="{FF2B5EF4-FFF2-40B4-BE49-F238E27FC236}">
              <a16:creationId xmlns:a16="http://schemas.microsoft.com/office/drawing/2014/main" id="{55717C7C-9CFE-43C9-B9B9-AC228A569E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2" name="Text Box 15">
          <a:extLst>
            <a:ext uri="{FF2B5EF4-FFF2-40B4-BE49-F238E27FC236}">
              <a16:creationId xmlns:a16="http://schemas.microsoft.com/office/drawing/2014/main" id="{24BBD203-F74B-4DBE-8AC0-91EB3B6216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3" name="Text Box 15">
          <a:extLst>
            <a:ext uri="{FF2B5EF4-FFF2-40B4-BE49-F238E27FC236}">
              <a16:creationId xmlns:a16="http://schemas.microsoft.com/office/drawing/2014/main" id="{21B3082C-E381-413C-8EFA-6A398611A3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4" name="Text Box 15">
          <a:extLst>
            <a:ext uri="{FF2B5EF4-FFF2-40B4-BE49-F238E27FC236}">
              <a16:creationId xmlns:a16="http://schemas.microsoft.com/office/drawing/2014/main" id="{C01ACE1E-48E3-4D21-91FE-DC10871A3C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5" name="Text Box 15">
          <a:extLst>
            <a:ext uri="{FF2B5EF4-FFF2-40B4-BE49-F238E27FC236}">
              <a16:creationId xmlns:a16="http://schemas.microsoft.com/office/drawing/2014/main" id="{EF5E76AA-2D11-4F07-B918-5AF6808987A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6" name="Text Box 15">
          <a:extLst>
            <a:ext uri="{FF2B5EF4-FFF2-40B4-BE49-F238E27FC236}">
              <a16:creationId xmlns:a16="http://schemas.microsoft.com/office/drawing/2014/main" id="{764D5C95-0B6C-4F59-B7F2-2DFF483940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7" name="Text Box 15">
          <a:extLst>
            <a:ext uri="{FF2B5EF4-FFF2-40B4-BE49-F238E27FC236}">
              <a16:creationId xmlns:a16="http://schemas.microsoft.com/office/drawing/2014/main" id="{22303B4B-DE83-4577-B5E1-CC699C65E6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8" name="Text Box 15">
          <a:extLst>
            <a:ext uri="{FF2B5EF4-FFF2-40B4-BE49-F238E27FC236}">
              <a16:creationId xmlns:a16="http://schemas.microsoft.com/office/drawing/2014/main" id="{699CC00F-9913-45FB-9E05-543F67FFBD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9" name="Text Box 15">
          <a:extLst>
            <a:ext uri="{FF2B5EF4-FFF2-40B4-BE49-F238E27FC236}">
              <a16:creationId xmlns:a16="http://schemas.microsoft.com/office/drawing/2014/main" id="{3D285A64-FE13-4359-8921-39CF8E21CF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0" name="Text Box 15">
          <a:extLst>
            <a:ext uri="{FF2B5EF4-FFF2-40B4-BE49-F238E27FC236}">
              <a16:creationId xmlns:a16="http://schemas.microsoft.com/office/drawing/2014/main" id="{40ED24A0-FEC5-4440-9995-A412E35BDF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1" name="Text Box 15">
          <a:extLst>
            <a:ext uri="{FF2B5EF4-FFF2-40B4-BE49-F238E27FC236}">
              <a16:creationId xmlns:a16="http://schemas.microsoft.com/office/drawing/2014/main" id="{7484911B-9442-40A7-8E3F-10E2EF7532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2" name="Text Box 15">
          <a:extLst>
            <a:ext uri="{FF2B5EF4-FFF2-40B4-BE49-F238E27FC236}">
              <a16:creationId xmlns:a16="http://schemas.microsoft.com/office/drawing/2014/main" id="{12565516-6B4E-49FB-8417-EA019BFD244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3" name="Text Box 15">
          <a:extLst>
            <a:ext uri="{FF2B5EF4-FFF2-40B4-BE49-F238E27FC236}">
              <a16:creationId xmlns:a16="http://schemas.microsoft.com/office/drawing/2014/main" id="{23E80626-C4BB-4B95-8D0C-AA716E7A5C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4" name="Text Box 15">
          <a:extLst>
            <a:ext uri="{FF2B5EF4-FFF2-40B4-BE49-F238E27FC236}">
              <a16:creationId xmlns:a16="http://schemas.microsoft.com/office/drawing/2014/main" id="{E20B8224-703D-4DEF-AEA1-654F85377F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5" name="Text Box 15">
          <a:extLst>
            <a:ext uri="{FF2B5EF4-FFF2-40B4-BE49-F238E27FC236}">
              <a16:creationId xmlns:a16="http://schemas.microsoft.com/office/drawing/2014/main" id="{4B880583-E93A-4B62-8FA8-FF11A1C99B3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6" name="Text Box 15">
          <a:extLst>
            <a:ext uri="{FF2B5EF4-FFF2-40B4-BE49-F238E27FC236}">
              <a16:creationId xmlns:a16="http://schemas.microsoft.com/office/drawing/2014/main" id="{1039E589-4F09-4F98-9306-56AB5CD2F8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7" name="Text Box 15">
          <a:extLst>
            <a:ext uri="{FF2B5EF4-FFF2-40B4-BE49-F238E27FC236}">
              <a16:creationId xmlns:a16="http://schemas.microsoft.com/office/drawing/2014/main" id="{42E175AE-BE2E-4BE8-A091-ABA0D738BD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8" name="Text Box 15">
          <a:extLst>
            <a:ext uri="{FF2B5EF4-FFF2-40B4-BE49-F238E27FC236}">
              <a16:creationId xmlns:a16="http://schemas.microsoft.com/office/drawing/2014/main" id="{F7D1E464-0FFA-46CC-B76A-B2CFE51505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9" name="Text Box 15">
          <a:extLst>
            <a:ext uri="{FF2B5EF4-FFF2-40B4-BE49-F238E27FC236}">
              <a16:creationId xmlns:a16="http://schemas.microsoft.com/office/drawing/2014/main" id="{1C983B9E-0413-4329-8710-2C4C9ABB1C1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0" name="Text Box 15">
          <a:extLst>
            <a:ext uri="{FF2B5EF4-FFF2-40B4-BE49-F238E27FC236}">
              <a16:creationId xmlns:a16="http://schemas.microsoft.com/office/drawing/2014/main" id="{6267AD4A-BB38-4EC8-82A9-2F539CED45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1" name="Text Box 15">
          <a:extLst>
            <a:ext uri="{FF2B5EF4-FFF2-40B4-BE49-F238E27FC236}">
              <a16:creationId xmlns:a16="http://schemas.microsoft.com/office/drawing/2014/main" id="{A7D4639C-8A9E-49FA-B3D0-5101AE6C9F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2" name="Text Box 15">
          <a:extLst>
            <a:ext uri="{FF2B5EF4-FFF2-40B4-BE49-F238E27FC236}">
              <a16:creationId xmlns:a16="http://schemas.microsoft.com/office/drawing/2014/main" id="{FD201BA4-1C0F-4940-9927-6634FDC9F0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3" name="Text Box 15">
          <a:extLst>
            <a:ext uri="{FF2B5EF4-FFF2-40B4-BE49-F238E27FC236}">
              <a16:creationId xmlns:a16="http://schemas.microsoft.com/office/drawing/2014/main" id="{4079972F-9774-4FD9-BCA6-035FF34E10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4" name="Text Box 15">
          <a:extLst>
            <a:ext uri="{FF2B5EF4-FFF2-40B4-BE49-F238E27FC236}">
              <a16:creationId xmlns:a16="http://schemas.microsoft.com/office/drawing/2014/main" id="{51145F62-BECB-4973-A3CB-6110A09815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5" name="Text Box 15">
          <a:extLst>
            <a:ext uri="{FF2B5EF4-FFF2-40B4-BE49-F238E27FC236}">
              <a16:creationId xmlns:a16="http://schemas.microsoft.com/office/drawing/2014/main" id="{423C400C-90B5-4BBC-B262-AA327260D1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6" name="Text Box 15">
          <a:extLst>
            <a:ext uri="{FF2B5EF4-FFF2-40B4-BE49-F238E27FC236}">
              <a16:creationId xmlns:a16="http://schemas.microsoft.com/office/drawing/2014/main" id="{6A7CC98F-05CF-4ADE-A302-E2E9E4C850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7" name="Text Box 15">
          <a:extLst>
            <a:ext uri="{FF2B5EF4-FFF2-40B4-BE49-F238E27FC236}">
              <a16:creationId xmlns:a16="http://schemas.microsoft.com/office/drawing/2014/main" id="{88D486F3-3380-4C0A-87ED-A3B1FFF987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8" name="Text Box 15">
          <a:extLst>
            <a:ext uri="{FF2B5EF4-FFF2-40B4-BE49-F238E27FC236}">
              <a16:creationId xmlns:a16="http://schemas.microsoft.com/office/drawing/2014/main" id="{4356A876-D547-4D82-A945-E8B4B6DD6D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9" name="Text Box 15">
          <a:extLst>
            <a:ext uri="{FF2B5EF4-FFF2-40B4-BE49-F238E27FC236}">
              <a16:creationId xmlns:a16="http://schemas.microsoft.com/office/drawing/2014/main" id="{0519E625-5910-495F-9615-80D37FE8E2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0" name="Text Box 15">
          <a:extLst>
            <a:ext uri="{FF2B5EF4-FFF2-40B4-BE49-F238E27FC236}">
              <a16:creationId xmlns:a16="http://schemas.microsoft.com/office/drawing/2014/main" id="{046EA6C0-7FF2-4EB1-96E5-7CC04F85798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1" name="Text Box 15">
          <a:extLst>
            <a:ext uri="{FF2B5EF4-FFF2-40B4-BE49-F238E27FC236}">
              <a16:creationId xmlns:a16="http://schemas.microsoft.com/office/drawing/2014/main" id="{DD29915C-4FA1-4657-8DF0-3FCCA252F9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2" name="Text Box 15">
          <a:extLst>
            <a:ext uri="{FF2B5EF4-FFF2-40B4-BE49-F238E27FC236}">
              <a16:creationId xmlns:a16="http://schemas.microsoft.com/office/drawing/2014/main" id="{E30FE583-9172-4DEC-9742-3F7F949743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3" name="Text Box 15">
          <a:extLst>
            <a:ext uri="{FF2B5EF4-FFF2-40B4-BE49-F238E27FC236}">
              <a16:creationId xmlns:a16="http://schemas.microsoft.com/office/drawing/2014/main" id="{48C6357A-5D83-4BBA-AD50-26F71D69A74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4" name="Text Box 15">
          <a:extLst>
            <a:ext uri="{FF2B5EF4-FFF2-40B4-BE49-F238E27FC236}">
              <a16:creationId xmlns:a16="http://schemas.microsoft.com/office/drawing/2014/main" id="{EC437E83-423D-4341-8BED-AE46CC17CD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5" name="Text Box 15">
          <a:extLst>
            <a:ext uri="{FF2B5EF4-FFF2-40B4-BE49-F238E27FC236}">
              <a16:creationId xmlns:a16="http://schemas.microsoft.com/office/drawing/2014/main" id="{5D81E565-DD2E-45E5-939A-80968EE55C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6" name="Text Box 15">
          <a:extLst>
            <a:ext uri="{FF2B5EF4-FFF2-40B4-BE49-F238E27FC236}">
              <a16:creationId xmlns:a16="http://schemas.microsoft.com/office/drawing/2014/main" id="{A166CF55-FA5B-423E-BFAB-ACD7D5EED9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7" name="Text Box 15">
          <a:extLst>
            <a:ext uri="{FF2B5EF4-FFF2-40B4-BE49-F238E27FC236}">
              <a16:creationId xmlns:a16="http://schemas.microsoft.com/office/drawing/2014/main" id="{3480C781-F5E5-4CE5-8C10-34F5E1DD98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8" name="Text Box 15">
          <a:extLst>
            <a:ext uri="{FF2B5EF4-FFF2-40B4-BE49-F238E27FC236}">
              <a16:creationId xmlns:a16="http://schemas.microsoft.com/office/drawing/2014/main" id="{D8BB3473-B0DA-45C5-8A05-053E5F5647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9" name="Text Box 15">
          <a:extLst>
            <a:ext uri="{FF2B5EF4-FFF2-40B4-BE49-F238E27FC236}">
              <a16:creationId xmlns:a16="http://schemas.microsoft.com/office/drawing/2014/main" id="{C005FB6E-4CBC-4021-BD1A-0B3480F0A81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0" name="Text Box 15">
          <a:extLst>
            <a:ext uri="{FF2B5EF4-FFF2-40B4-BE49-F238E27FC236}">
              <a16:creationId xmlns:a16="http://schemas.microsoft.com/office/drawing/2014/main" id="{F52137BD-13DA-4AC1-B7FF-FB17DC0F36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1" name="Text Box 15">
          <a:extLst>
            <a:ext uri="{FF2B5EF4-FFF2-40B4-BE49-F238E27FC236}">
              <a16:creationId xmlns:a16="http://schemas.microsoft.com/office/drawing/2014/main" id="{61B75D63-A6E6-42AD-9B8C-0FA47F2EB4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2" name="Text Box 15">
          <a:extLst>
            <a:ext uri="{FF2B5EF4-FFF2-40B4-BE49-F238E27FC236}">
              <a16:creationId xmlns:a16="http://schemas.microsoft.com/office/drawing/2014/main" id="{961D267B-E136-47EC-B436-55C9499976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3" name="Text Box 15">
          <a:extLst>
            <a:ext uri="{FF2B5EF4-FFF2-40B4-BE49-F238E27FC236}">
              <a16:creationId xmlns:a16="http://schemas.microsoft.com/office/drawing/2014/main" id="{33EAEFCF-1387-43C7-B52F-5F245BC435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4" name="Text Box 15">
          <a:extLst>
            <a:ext uri="{FF2B5EF4-FFF2-40B4-BE49-F238E27FC236}">
              <a16:creationId xmlns:a16="http://schemas.microsoft.com/office/drawing/2014/main" id="{AEE7ECB2-D6CD-47B1-966C-CAFE3D296D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5" name="Text Box 15">
          <a:extLst>
            <a:ext uri="{FF2B5EF4-FFF2-40B4-BE49-F238E27FC236}">
              <a16:creationId xmlns:a16="http://schemas.microsoft.com/office/drawing/2014/main" id="{1628BB63-E1D4-417B-B492-E95CE9088A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6" name="Text Box 15">
          <a:extLst>
            <a:ext uri="{FF2B5EF4-FFF2-40B4-BE49-F238E27FC236}">
              <a16:creationId xmlns:a16="http://schemas.microsoft.com/office/drawing/2014/main" id="{85CCDBC4-B8E6-4AEF-B0D6-0A942F2003B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7" name="Text Box 15">
          <a:extLst>
            <a:ext uri="{FF2B5EF4-FFF2-40B4-BE49-F238E27FC236}">
              <a16:creationId xmlns:a16="http://schemas.microsoft.com/office/drawing/2014/main" id="{BBBA84C6-DF8B-4C8A-A43C-58CC2E6C36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8" name="Text Box 15">
          <a:extLst>
            <a:ext uri="{FF2B5EF4-FFF2-40B4-BE49-F238E27FC236}">
              <a16:creationId xmlns:a16="http://schemas.microsoft.com/office/drawing/2014/main" id="{25F3DE88-A6E3-4FB3-BE9F-357017A616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9" name="Text Box 15">
          <a:extLst>
            <a:ext uri="{FF2B5EF4-FFF2-40B4-BE49-F238E27FC236}">
              <a16:creationId xmlns:a16="http://schemas.microsoft.com/office/drawing/2014/main" id="{8BC14AD1-9B3C-4810-8897-D688919D08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0" name="Text Box 15">
          <a:extLst>
            <a:ext uri="{FF2B5EF4-FFF2-40B4-BE49-F238E27FC236}">
              <a16:creationId xmlns:a16="http://schemas.microsoft.com/office/drawing/2014/main" id="{15701D86-9171-4340-A1E3-CA6160775F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1" name="Text Box 15">
          <a:extLst>
            <a:ext uri="{FF2B5EF4-FFF2-40B4-BE49-F238E27FC236}">
              <a16:creationId xmlns:a16="http://schemas.microsoft.com/office/drawing/2014/main" id="{6B237BE1-A79F-4E83-AA23-E6088F302A4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2" name="Text Box 15">
          <a:extLst>
            <a:ext uri="{FF2B5EF4-FFF2-40B4-BE49-F238E27FC236}">
              <a16:creationId xmlns:a16="http://schemas.microsoft.com/office/drawing/2014/main" id="{D725C662-AECD-4FC3-81F2-220E899B91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3" name="Text Box 15">
          <a:extLst>
            <a:ext uri="{FF2B5EF4-FFF2-40B4-BE49-F238E27FC236}">
              <a16:creationId xmlns:a16="http://schemas.microsoft.com/office/drawing/2014/main" id="{20D98671-0754-4C01-8121-E9E7B96B33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4" name="Text Box 15">
          <a:extLst>
            <a:ext uri="{FF2B5EF4-FFF2-40B4-BE49-F238E27FC236}">
              <a16:creationId xmlns:a16="http://schemas.microsoft.com/office/drawing/2014/main" id="{A66DE696-CAD4-43C3-A0F1-6F94798D07C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5" name="Text Box 15">
          <a:extLst>
            <a:ext uri="{FF2B5EF4-FFF2-40B4-BE49-F238E27FC236}">
              <a16:creationId xmlns:a16="http://schemas.microsoft.com/office/drawing/2014/main" id="{3E7943A6-6642-4B6C-8A41-297CC22EB76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6" name="Text Box 15">
          <a:extLst>
            <a:ext uri="{FF2B5EF4-FFF2-40B4-BE49-F238E27FC236}">
              <a16:creationId xmlns:a16="http://schemas.microsoft.com/office/drawing/2014/main" id="{F6905FEE-F412-441A-BD7E-B434530A84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7" name="Text Box 15">
          <a:extLst>
            <a:ext uri="{FF2B5EF4-FFF2-40B4-BE49-F238E27FC236}">
              <a16:creationId xmlns:a16="http://schemas.microsoft.com/office/drawing/2014/main" id="{005A744B-C8DD-40A5-A922-166DEE4B93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8" name="Text Box 15">
          <a:extLst>
            <a:ext uri="{FF2B5EF4-FFF2-40B4-BE49-F238E27FC236}">
              <a16:creationId xmlns:a16="http://schemas.microsoft.com/office/drawing/2014/main" id="{48AD9722-69ED-46B0-837B-D46A43003E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9" name="Text Box 15">
          <a:extLst>
            <a:ext uri="{FF2B5EF4-FFF2-40B4-BE49-F238E27FC236}">
              <a16:creationId xmlns:a16="http://schemas.microsoft.com/office/drawing/2014/main" id="{E814D822-8B44-42B5-9624-638BDB11B5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0" name="Text Box 15">
          <a:extLst>
            <a:ext uri="{FF2B5EF4-FFF2-40B4-BE49-F238E27FC236}">
              <a16:creationId xmlns:a16="http://schemas.microsoft.com/office/drawing/2014/main" id="{FF7B6806-7CA7-463A-A730-E683126C48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1" name="Text Box 15">
          <a:extLst>
            <a:ext uri="{FF2B5EF4-FFF2-40B4-BE49-F238E27FC236}">
              <a16:creationId xmlns:a16="http://schemas.microsoft.com/office/drawing/2014/main" id="{91CA9B0E-DE5D-4B78-9B3A-CE539C676E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2" name="Text Box 15">
          <a:extLst>
            <a:ext uri="{FF2B5EF4-FFF2-40B4-BE49-F238E27FC236}">
              <a16:creationId xmlns:a16="http://schemas.microsoft.com/office/drawing/2014/main" id="{5AC23C20-5BB8-48A4-BCAF-C0D2657B8CE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3" name="Text Box 15">
          <a:extLst>
            <a:ext uri="{FF2B5EF4-FFF2-40B4-BE49-F238E27FC236}">
              <a16:creationId xmlns:a16="http://schemas.microsoft.com/office/drawing/2014/main" id="{DD760AEC-38F7-4329-909A-FEBB2E75F5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4" name="Text Box 15">
          <a:extLst>
            <a:ext uri="{FF2B5EF4-FFF2-40B4-BE49-F238E27FC236}">
              <a16:creationId xmlns:a16="http://schemas.microsoft.com/office/drawing/2014/main" id="{0E20CBA0-459C-44CD-BD72-08F9C600EC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5" name="Text Box 15">
          <a:extLst>
            <a:ext uri="{FF2B5EF4-FFF2-40B4-BE49-F238E27FC236}">
              <a16:creationId xmlns:a16="http://schemas.microsoft.com/office/drawing/2014/main" id="{69A0E797-2A97-4B68-B614-F2E8620F473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6" name="Text Box 15">
          <a:extLst>
            <a:ext uri="{FF2B5EF4-FFF2-40B4-BE49-F238E27FC236}">
              <a16:creationId xmlns:a16="http://schemas.microsoft.com/office/drawing/2014/main" id="{5BBFD70E-8B7F-42E7-BCC8-51A47AFADA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597" name="Text Box 15">
          <a:extLst>
            <a:ext uri="{FF2B5EF4-FFF2-40B4-BE49-F238E27FC236}">
              <a16:creationId xmlns:a16="http://schemas.microsoft.com/office/drawing/2014/main" id="{4C66EAF6-E8BE-49B1-B4B4-108A1990F0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598" name="Text Box 15">
          <a:extLst>
            <a:ext uri="{FF2B5EF4-FFF2-40B4-BE49-F238E27FC236}">
              <a16:creationId xmlns:a16="http://schemas.microsoft.com/office/drawing/2014/main" id="{D2EEB0BB-AC31-42B9-BDFC-751F4561AC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599" name="Text Box 15">
          <a:extLst>
            <a:ext uri="{FF2B5EF4-FFF2-40B4-BE49-F238E27FC236}">
              <a16:creationId xmlns:a16="http://schemas.microsoft.com/office/drawing/2014/main" id="{03C6CF38-D61F-43AC-ABCA-B8B3CDC403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0" name="Text Box 15">
          <a:extLst>
            <a:ext uri="{FF2B5EF4-FFF2-40B4-BE49-F238E27FC236}">
              <a16:creationId xmlns:a16="http://schemas.microsoft.com/office/drawing/2014/main" id="{44434579-0C0F-493D-BA47-FA4EF99F6C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1" name="Text Box 15">
          <a:extLst>
            <a:ext uri="{FF2B5EF4-FFF2-40B4-BE49-F238E27FC236}">
              <a16:creationId xmlns:a16="http://schemas.microsoft.com/office/drawing/2014/main" id="{1BF29590-1170-4C6F-89FC-68EB04F116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2" name="Text Box 15">
          <a:extLst>
            <a:ext uri="{FF2B5EF4-FFF2-40B4-BE49-F238E27FC236}">
              <a16:creationId xmlns:a16="http://schemas.microsoft.com/office/drawing/2014/main" id="{4DC530B3-2C15-4153-A3BB-0F18686D7D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3" name="Text Box 15">
          <a:extLst>
            <a:ext uri="{FF2B5EF4-FFF2-40B4-BE49-F238E27FC236}">
              <a16:creationId xmlns:a16="http://schemas.microsoft.com/office/drawing/2014/main" id="{17EA567A-9A18-46BF-8F1D-71E8F11BC5B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4" name="Text Box 15">
          <a:extLst>
            <a:ext uri="{FF2B5EF4-FFF2-40B4-BE49-F238E27FC236}">
              <a16:creationId xmlns:a16="http://schemas.microsoft.com/office/drawing/2014/main" id="{6B4EDD77-1A48-4338-A223-D0D15AA0E7E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5" name="Text Box 15">
          <a:extLst>
            <a:ext uri="{FF2B5EF4-FFF2-40B4-BE49-F238E27FC236}">
              <a16:creationId xmlns:a16="http://schemas.microsoft.com/office/drawing/2014/main" id="{58131B73-F5D1-4712-8AC0-EC9C950754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6" name="Text Box 15">
          <a:extLst>
            <a:ext uri="{FF2B5EF4-FFF2-40B4-BE49-F238E27FC236}">
              <a16:creationId xmlns:a16="http://schemas.microsoft.com/office/drawing/2014/main" id="{3BB42049-8903-4A78-A968-31F6865E5D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7" name="Text Box 15">
          <a:extLst>
            <a:ext uri="{FF2B5EF4-FFF2-40B4-BE49-F238E27FC236}">
              <a16:creationId xmlns:a16="http://schemas.microsoft.com/office/drawing/2014/main" id="{CE9E1E5C-E179-4043-91A5-82AE5EEB90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8" name="Text Box 15">
          <a:extLst>
            <a:ext uri="{FF2B5EF4-FFF2-40B4-BE49-F238E27FC236}">
              <a16:creationId xmlns:a16="http://schemas.microsoft.com/office/drawing/2014/main" id="{62AFF03F-99B9-44AD-BD60-7485281111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9" name="Text Box 15">
          <a:extLst>
            <a:ext uri="{FF2B5EF4-FFF2-40B4-BE49-F238E27FC236}">
              <a16:creationId xmlns:a16="http://schemas.microsoft.com/office/drawing/2014/main" id="{DFEABF9A-B22E-4469-B3FB-F3D09F90A9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10" name="Text Box 15">
          <a:extLst>
            <a:ext uri="{FF2B5EF4-FFF2-40B4-BE49-F238E27FC236}">
              <a16:creationId xmlns:a16="http://schemas.microsoft.com/office/drawing/2014/main" id="{800E7388-88DA-4681-AFB3-A586C5C6430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11" name="Text Box 15">
          <a:extLst>
            <a:ext uri="{FF2B5EF4-FFF2-40B4-BE49-F238E27FC236}">
              <a16:creationId xmlns:a16="http://schemas.microsoft.com/office/drawing/2014/main" id="{1AEAECC0-7207-4A57-8167-3F6ECCB2DC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12" name="Text Box 15">
          <a:extLst>
            <a:ext uri="{FF2B5EF4-FFF2-40B4-BE49-F238E27FC236}">
              <a16:creationId xmlns:a16="http://schemas.microsoft.com/office/drawing/2014/main" id="{ED85D0C2-31E0-46BF-96C8-3CC0078CAD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13" name="Text Box 15">
          <a:extLst>
            <a:ext uri="{FF2B5EF4-FFF2-40B4-BE49-F238E27FC236}">
              <a16:creationId xmlns:a16="http://schemas.microsoft.com/office/drawing/2014/main" id="{71EA52E8-8D1D-4D0B-8428-509F2D5AE5E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14" name="Text Box 15">
          <a:extLst>
            <a:ext uri="{FF2B5EF4-FFF2-40B4-BE49-F238E27FC236}">
              <a16:creationId xmlns:a16="http://schemas.microsoft.com/office/drawing/2014/main" id="{4316BB7A-E708-48F2-BCDA-1B5B642192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15" name="Text Box 15">
          <a:extLst>
            <a:ext uri="{FF2B5EF4-FFF2-40B4-BE49-F238E27FC236}">
              <a16:creationId xmlns:a16="http://schemas.microsoft.com/office/drawing/2014/main" id="{20FFD370-EF32-46CB-B6C2-482F265C31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16" name="Text Box 15">
          <a:extLst>
            <a:ext uri="{FF2B5EF4-FFF2-40B4-BE49-F238E27FC236}">
              <a16:creationId xmlns:a16="http://schemas.microsoft.com/office/drawing/2014/main" id="{589CCCE9-5DAF-4E42-BB96-21B116223B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17" name="Text Box 15">
          <a:extLst>
            <a:ext uri="{FF2B5EF4-FFF2-40B4-BE49-F238E27FC236}">
              <a16:creationId xmlns:a16="http://schemas.microsoft.com/office/drawing/2014/main" id="{976BEAC5-99E1-4F96-9FD6-AE003595CE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18" name="Text Box 15">
          <a:extLst>
            <a:ext uri="{FF2B5EF4-FFF2-40B4-BE49-F238E27FC236}">
              <a16:creationId xmlns:a16="http://schemas.microsoft.com/office/drawing/2014/main" id="{25D3A45C-5930-487A-86ED-46B78A7348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19" name="Text Box 15">
          <a:extLst>
            <a:ext uri="{FF2B5EF4-FFF2-40B4-BE49-F238E27FC236}">
              <a16:creationId xmlns:a16="http://schemas.microsoft.com/office/drawing/2014/main" id="{4E45EF9C-29EF-4E85-B53B-F502017C37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20" name="Text Box 15">
          <a:extLst>
            <a:ext uri="{FF2B5EF4-FFF2-40B4-BE49-F238E27FC236}">
              <a16:creationId xmlns:a16="http://schemas.microsoft.com/office/drawing/2014/main" id="{D5D2386D-E770-4B46-8ED7-BF6360A3058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21" name="Text Box 15">
          <a:extLst>
            <a:ext uri="{FF2B5EF4-FFF2-40B4-BE49-F238E27FC236}">
              <a16:creationId xmlns:a16="http://schemas.microsoft.com/office/drawing/2014/main" id="{222D435C-8B09-4A4A-9413-3F3AE1028A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22" name="Text Box 15">
          <a:extLst>
            <a:ext uri="{FF2B5EF4-FFF2-40B4-BE49-F238E27FC236}">
              <a16:creationId xmlns:a16="http://schemas.microsoft.com/office/drawing/2014/main" id="{3DB35967-7B79-4926-987D-44313C1495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23" name="Text Box 15">
          <a:extLst>
            <a:ext uri="{FF2B5EF4-FFF2-40B4-BE49-F238E27FC236}">
              <a16:creationId xmlns:a16="http://schemas.microsoft.com/office/drawing/2014/main" id="{A5C192E4-27D3-4696-8C24-E4E6FB8B90A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24" name="Text Box 15">
          <a:extLst>
            <a:ext uri="{FF2B5EF4-FFF2-40B4-BE49-F238E27FC236}">
              <a16:creationId xmlns:a16="http://schemas.microsoft.com/office/drawing/2014/main" id="{5E9EB539-A0B8-47BE-832A-B8A1C35684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25" name="Text Box 15">
          <a:extLst>
            <a:ext uri="{FF2B5EF4-FFF2-40B4-BE49-F238E27FC236}">
              <a16:creationId xmlns:a16="http://schemas.microsoft.com/office/drawing/2014/main" id="{13FD055A-0E44-468F-B44E-14677C2A59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26" name="Text Box 15">
          <a:extLst>
            <a:ext uri="{FF2B5EF4-FFF2-40B4-BE49-F238E27FC236}">
              <a16:creationId xmlns:a16="http://schemas.microsoft.com/office/drawing/2014/main" id="{731D1F0D-020C-42B3-BAFF-7CDDDEB7E7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27" name="Text Box 15">
          <a:extLst>
            <a:ext uri="{FF2B5EF4-FFF2-40B4-BE49-F238E27FC236}">
              <a16:creationId xmlns:a16="http://schemas.microsoft.com/office/drawing/2014/main" id="{CD2126ED-50D1-4DF4-8C21-D53F420055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28" name="Text Box 15">
          <a:extLst>
            <a:ext uri="{FF2B5EF4-FFF2-40B4-BE49-F238E27FC236}">
              <a16:creationId xmlns:a16="http://schemas.microsoft.com/office/drawing/2014/main" id="{E6399F9C-37FE-4F73-89CC-AD8BABCB5E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29" name="Text Box 15">
          <a:extLst>
            <a:ext uri="{FF2B5EF4-FFF2-40B4-BE49-F238E27FC236}">
              <a16:creationId xmlns:a16="http://schemas.microsoft.com/office/drawing/2014/main" id="{0B403115-E2EF-4D61-9FF4-A6FD0AB1ABA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0" name="Text Box 15">
          <a:extLst>
            <a:ext uri="{FF2B5EF4-FFF2-40B4-BE49-F238E27FC236}">
              <a16:creationId xmlns:a16="http://schemas.microsoft.com/office/drawing/2014/main" id="{936837BF-B498-4F6D-BDF4-A9F7910900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1" name="Text Box 15">
          <a:extLst>
            <a:ext uri="{FF2B5EF4-FFF2-40B4-BE49-F238E27FC236}">
              <a16:creationId xmlns:a16="http://schemas.microsoft.com/office/drawing/2014/main" id="{D9453272-A020-4252-915F-B28E3F7EBE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2" name="Text Box 15">
          <a:extLst>
            <a:ext uri="{FF2B5EF4-FFF2-40B4-BE49-F238E27FC236}">
              <a16:creationId xmlns:a16="http://schemas.microsoft.com/office/drawing/2014/main" id="{FF190B05-4D2D-4396-8408-736A0752DC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3" name="Text Box 15">
          <a:extLst>
            <a:ext uri="{FF2B5EF4-FFF2-40B4-BE49-F238E27FC236}">
              <a16:creationId xmlns:a16="http://schemas.microsoft.com/office/drawing/2014/main" id="{FAAB93F4-9130-4125-9A2C-4BF5A2384B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4" name="Text Box 15">
          <a:extLst>
            <a:ext uri="{FF2B5EF4-FFF2-40B4-BE49-F238E27FC236}">
              <a16:creationId xmlns:a16="http://schemas.microsoft.com/office/drawing/2014/main" id="{2E75B25E-CEA6-4E54-9463-B93F51A5786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5" name="Text Box 15">
          <a:extLst>
            <a:ext uri="{FF2B5EF4-FFF2-40B4-BE49-F238E27FC236}">
              <a16:creationId xmlns:a16="http://schemas.microsoft.com/office/drawing/2014/main" id="{27C35222-06A4-4ABF-A89B-2E0BC2FC90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6" name="Text Box 15">
          <a:extLst>
            <a:ext uri="{FF2B5EF4-FFF2-40B4-BE49-F238E27FC236}">
              <a16:creationId xmlns:a16="http://schemas.microsoft.com/office/drawing/2014/main" id="{DDD87CD7-5D40-449D-95FE-18FC08C478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7" name="Text Box 15">
          <a:extLst>
            <a:ext uri="{FF2B5EF4-FFF2-40B4-BE49-F238E27FC236}">
              <a16:creationId xmlns:a16="http://schemas.microsoft.com/office/drawing/2014/main" id="{35F82867-0DA3-413D-8982-02CDE3BA163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8" name="Text Box 15">
          <a:extLst>
            <a:ext uri="{FF2B5EF4-FFF2-40B4-BE49-F238E27FC236}">
              <a16:creationId xmlns:a16="http://schemas.microsoft.com/office/drawing/2014/main" id="{AB65D66A-8418-443E-8536-8DCF9443EA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9" name="Text Box 15">
          <a:extLst>
            <a:ext uri="{FF2B5EF4-FFF2-40B4-BE49-F238E27FC236}">
              <a16:creationId xmlns:a16="http://schemas.microsoft.com/office/drawing/2014/main" id="{5FEAA9BE-F2F0-47E7-81B9-649E24D58B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40" name="Text Box 15">
          <a:extLst>
            <a:ext uri="{FF2B5EF4-FFF2-40B4-BE49-F238E27FC236}">
              <a16:creationId xmlns:a16="http://schemas.microsoft.com/office/drawing/2014/main" id="{5E4203D1-B543-4567-9990-9E2600750B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41" name="Text Box 15">
          <a:extLst>
            <a:ext uri="{FF2B5EF4-FFF2-40B4-BE49-F238E27FC236}">
              <a16:creationId xmlns:a16="http://schemas.microsoft.com/office/drawing/2014/main" id="{67750CF1-0471-44AA-AF2E-B913612828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42" name="Text Box 15">
          <a:extLst>
            <a:ext uri="{FF2B5EF4-FFF2-40B4-BE49-F238E27FC236}">
              <a16:creationId xmlns:a16="http://schemas.microsoft.com/office/drawing/2014/main" id="{84FEDF1D-CCD2-438F-BB99-475FC4B70C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43" name="Text Box 15">
          <a:extLst>
            <a:ext uri="{FF2B5EF4-FFF2-40B4-BE49-F238E27FC236}">
              <a16:creationId xmlns:a16="http://schemas.microsoft.com/office/drawing/2014/main" id="{9DB6F3C7-ACD5-4D7B-80ED-22114E89B7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44" name="Text Box 15">
          <a:extLst>
            <a:ext uri="{FF2B5EF4-FFF2-40B4-BE49-F238E27FC236}">
              <a16:creationId xmlns:a16="http://schemas.microsoft.com/office/drawing/2014/main" id="{3279727A-2344-44AF-A226-C8028F9D78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45" name="Text Box 15">
          <a:extLst>
            <a:ext uri="{FF2B5EF4-FFF2-40B4-BE49-F238E27FC236}">
              <a16:creationId xmlns:a16="http://schemas.microsoft.com/office/drawing/2014/main" id="{66A9FD45-624F-4BD5-8722-88C15134EA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46" name="Text Box 15">
          <a:extLst>
            <a:ext uri="{FF2B5EF4-FFF2-40B4-BE49-F238E27FC236}">
              <a16:creationId xmlns:a16="http://schemas.microsoft.com/office/drawing/2014/main" id="{101536CF-FAD2-44F5-AC67-0F7343E066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47" name="Text Box 15">
          <a:extLst>
            <a:ext uri="{FF2B5EF4-FFF2-40B4-BE49-F238E27FC236}">
              <a16:creationId xmlns:a16="http://schemas.microsoft.com/office/drawing/2014/main" id="{9A7BE1FE-4C04-409E-93B2-E5F9A9A8AD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48" name="Text Box 15">
          <a:extLst>
            <a:ext uri="{FF2B5EF4-FFF2-40B4-BE49-F238E27FC236}">
              <a16:creationId xmlns:a16="http://schemas.microsoft.com/office/drawing/2014/main" id="{F0AC159E-0577-47B5-9604-458BE077B1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49" name="Text Box 15">
          <a:extLst>
            <a:ext uri="{FF2B5EF4-FFF2-40B4-BE49-F238E27FC236}">
              <a16:creationId xmlns:a16="http://schemas.microsoft.com/office/drawing/2014/main" id="{6AD23573-4F0E-441B-844C-958C3CDF43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50" name="Text Box 15">
          <a:extLst>
            <a:ext uri="{FF2B5EF4-FFF2-40B4-BE49-F238E27FC236}">
              <a16:creationId xmlns:a16="http://schemas.microsoft.com/office/drawing/2014/main" id="{B2201E92-7FF2-4205-BE9D-7151E2D12C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51" name="Text Box 15">
          <a:extLst>
            <a:ext uri="{FF2B5EF4-FFF2-40B4-BE49-F238E27FC236}">
              <a16:creationId xmlns:a16="http://schemas.microsoft.com/office/drawing/2014/main" id="{1BAC7F50-9295-4A20-B998-230E6158F38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52" name="Text Box 15">
          <a:extLst>
            <a:ext uri="{FF2B5EF4-FFF2-40B4-BE49-F238E27FC236}">
              <a16:creationId xmlns:a16="http://schemas.microsoft.com/office/drawing/2014/main" id="{25C15FB3-E31B-4047-BCE4-C8C42C1505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53" name="Text Box 15">
          <a:extLst>
            <a:ext uri="{FF2B5EF4-FFF2-40B4-BE49-F238E27FC236}">
              <a16:creationId xmlns:a16="http://schemas.microsoft.com/office/drawing/2014/main" id="{BDA3CBF5-B2F0-4209-B022-A57640DD3F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54" name="Text Box 15">
          <a:extLst>
            <a:ext uri="{FF2B5EF4-FFF2-40B4-BE49-F238E27FC236}">
              <a16:creationId xmlns:a16="http://schemas.microsoft.com/office/drawing/2014/main" id="{B276993A-0156-4BB2-99FE-2149406896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55" name="Text Box 15">
          <a:extLst>
            <a:ext uri="{FF2B5EF4-FFF2-40B4-BE49-F238E27FC236}">
              <a16:creationId xmlns:a16="http://schemas.microsoft.com/office/drawing/2014/main" id="{37AD8D4F-7330-4A85-B788-F575C15954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56" name="Text Box 15">
          <a:extLst>
            <a:ext uri="{FF2B5EF4-FFF2-40B4-BE49-F238E27FC236}">
              <a16:creationId xmlns:a16="http://schemas.microsoft.com/office/drawing/2014/main" id="{41361709-6289-4D93-A0B6-47A4DB9ACC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57" name="Text Box 15">
          <a:extLst>
            <a:ext uri="{FF2B5EF4-FFF2-40B4-BE49-F238E27FC236}">
              <a16:creationId xmlns:a16="http://schemas.microsoft.com/office/drawing/2014/main" id="{9448AD56-CBDA-499B-9F5F-EEA27D8191F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58" name="Text Box 15">
          <a:extLst>
            <a:ext uri="{FF2B5EF4-FFF2-40B4-BE49-F238E27FC236}">
              <a16:creationId xmlns:a16="http://schemas.microsoft.com/office/drawing/2014/main" id="{0B707205-8787-43B4-BDEC-5C45C6EACEF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59" name="Text Box 15">
          <a:extLst>
            <a:ext uri="{FF2B5EF4-FFF2-40B4-BE49-F238E27FC236}">
              <a16:creationId xmlns:a16="http://schemas.microsoft.com/office/drawing/2014/main" id="{FAA5695B-FEFD-415C-8DE1-2B4C33CA24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0" name="Text Box 15">
          <a:extLst>
            <a:ext uri="{FF2B5EF4-FFF2-40B4-BE49-F238E27FC236}">
              <a16:creationId xmlns:a16="http://schemas.microsoft.com/office/drawing/2014/main" id="{FD738A17-B9DB-4572-8DA9-6AAD9E6F9C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1" name="Text Box 15">
          <a:extLst>
            <a:ext uri="{FF2B5EF4-FFF2-40B4-BE49-F238E27FC236}">
              <a16:creationId xmlns:a16="http://schemas.microsoft.com/office/drawing/2014/main" id="{4023DB7B-E6BB-4C24-A69D-346970BCD5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2" name="Text Box 15">
          <a:extLst>
            <a:ext uri="{FF2B5EF4-FFF2-40B4-BE49-F238E27FC236}">
              <a16:creationId xmlns:a16="http://schemas.microsoft.com/office/drawing/2014/main" id="{10057676-EE0D-4257-93A2-444145C09F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3" name="Text Box 15">
          <a:extLst>
            <a:ext uri="{FF2B5EF4-FFF2-40B4-BE49-F238E27FC236}">
              <a16:creationId xmlns:a16="http://schemas.microsoft.com/office/drawing/2014/main" id="{36583A40-FE09-45F8-8646-C1D0230FF8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4" name="Text Box 15">
          <a:extLst>
            <a:ext uri="{FF2B5EF4-FFF2-40B4-BE49-F238E27FC236}">
              <a16:creationId xmlns:a16="http://schemas.microsoft.com/office/drawing/2014/main" id="{1804FF53-29F9-4080-9033-015001176D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5" name="Text Box 15">
          <a:extLst>
            <a:ext uri="{FF2B5EF4-FFF2-40B4-BE49-F238E27FC236}">
              <a16:creationId xmlns:a16="http://schemas.microsoft.com/office/drawing/2014/main" id="{26B6BADF-C9ED-40D9-984A-9FB821AA59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6" name="Text Box 15">
          <a:extLst>
            <a:ext uri="{FF2B5EF4-FFF2-40B4-BE49-F238E27FC236}">
              <a16:creationId xmlns:a16="http://schemas.microsoft.com/office/drawing/2014/main" id="{28D34054-2DF9-4BF7-83D6-280EF4C1BB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7" name="Text Box 15">
          <a:extLst>
            <a:ext uri="{FF2B5EF4-FFF2-40B4-BE49-F238E27FC236}">
              <a16:creationId xmlns:a16="http://schemas.microsoft.com/office/drawing/2014/main" id="{79BC6C0E-D1A2-4E96-BB7C-5926849B8F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8" name="Text Box 15">
          <a:extLst>
            <a:ext uri="{FF2B5EF4-FFF2-40B4-BE49-F238E27FC236}">
              <a16:creationId xmlns:a16="http://schemas.microsoft.com/office/drawing/2014/main" id="{EDE7179F-58F2-4CA9-8245-24619B2E8A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9" name="Text Box 15">
          <a:extLst>
            <a:ext uri="{FF2B5EF4-FFF2-40B4-BE49-F238E27FC236}">
              <a16:creationId xmlns:a16="http://schemas.microsoft.com/office/drawing/2014/main" id="{1A44728E-F8AF-4F96-A3AF-E0A09AF585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70" name="Text Box 15">
          <a:extLst>
            <a:ext uri="{FF2B5EF4-FFF2-40B4-BE49-F238E27FC236}">
              <a16:creationId xmlns:a16="http://schemas.microsoft.com/office/drawing/2014/main" id="{03043E5A-ADB7-4751-8F6C-2083FB2FC5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71" name="Text Box 15">
          <a:extLst>
            <a:ext uri="{FF2B5EF4-FFF2-40B4-BE49-F238E27FC236}">
              <a16:creationId xmlns:a16="http://schemas.microsoft.com/office/drawing/2014/main" id="{564EC909-0DF1-4AEE-ABBB-7497BA38B2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72" name="Text Box 15">
          <a:extLst>
            <a:ext uri="{FF2B5EF4-FFF2-40B4-BE49-F238E27FC236}">
              <a16:creationId xmlns:a16="http://schemas.microsoft.com/office/drawing/2014/main" id="{4F9596E9-568B-4AE0-BEBA-5E65C53E7B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73" name="Text Box 15">
          <a:extLst>
            <a:ext uri="{FF2B5EF4-FFF2-40B4-BE49-F238E27FC236}">
              <a16:creationId xmlns:a16="http://schemas.microsoft.com/office/drawing/2014/main" id="{2ED36BAB-A00C-4C99-836C-60BF87E1936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74" name="Text Box 15">
          <a:extLst>
            <a:ext uri="{FF2B5EF4-FFF2-40B4-BE49-F238E27FC236}">
              <a16:creationId xmlns:a16="http://schemas.microsoft.com/office/drawing/2014/main" id="{FA55BF90-BC2E-4336-82C1-5B4EFB2D96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75" name="Text Box 15">
          <a:extLst>
            <a:ext uri="{FF2B5EF4-FFF2-40B4-BE49-F238E27FC236}">
              <a16:creationId xmlns:a16="http://schemas.microsoft.com/office/drawing/2014/main" id="{969B9757-65CB-4D8E-AE2F-3F85BC34B6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76" name="Text Box 15">
          <a:extLst>
            <a:ext uri="{FF2B5EF4-FFF2-40B4-BE49-F238E27FC236}">
              <a16:creationId xmlns:a16="http://schemas.microsoft.com/office/drawing/2014/main" id="{2A616947-C940-4F5A-B02C-4E57E26662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77" name="Text Box 15">
          <a:extLst>
            <a:ext uri="{FF2B5EF4-FFF2-40B4-BE49-F238E27FC236}">
              <a16:creationId xmlns:a16="http://schemas.microsoft.com/office/drawing/2014/main" id="{76C71E36-081E-4B80-83D3-7C89FB18BE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78" name="Text Box 15">
          <a:extLst>
            <a:ext uri="{FF2B5EF4-FFF2-40B4-BE49-F238E27FC236}">
              <a16:creationId xmlns:a16="http://schemas.microsoft.com/office/drawing/2014/main" id="{B5AA3D6E-93DE-4975-915D-9220242577C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79" name="Text Box 15">
          <a:extLst>
            <a:ext uri="{FF2B5EF4-FFF2-40B4-BE49-F238E27FC236}">
              <a16:creationId xmlns:a16="http://schemas.microsoft.com/office/drawing/2014/main" id="{6F5A6F27-061D-46FF-962E-78B21846BC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80" name="Text Box 15">
          <a:extLst>
            <a:ext uri="{FF2B5EF4-FFF2-40B4-BE49-F238E27FC236}">
              <a16:creationId xmlns:a16="http://schemas.microsoft.com/office/drawing/2014/main" id="{5E1CA428-D359-4EED-9B11-6C432E0841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81" name="Text Box 15">
          <a:extLst>
            <a:ext uri="{FF2B5EF4-FFF2-40B4-BE49-F238E27FC236}">
              <a16:creationId xmlns:a16="http://schemas.microsoft.com/office/drawing/2014/main" id="{E7CE2385-F291-4308-ACB7-F57C1BA2904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82" name="Text Box 15">
          <a:extLst>
            <a:ext uri="{FF2B5EF4-FFF2-40B4-BE49-F238E27FC236}">
              <a16:creationId xmlns:a16="http://schemas.microsoft.com/office/drawing/2014/main" id="{90D528AE-6246-4F42-BF26-8B98D4C5DF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83" name="Text Box 15">
          <a:extLst>
            <a:ext uri="{FF2B5EF4-FFF2-40B4-BE49-F238E27FC236}">
              <a16:creationId xmlns:a16="http://schemas.microsoft.com/office/drawing/2014/main" id="{255621A4-DD50-4C3A-9923-9B3D0BC095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84" name="Text Box 15">
          <a:extLst>
            <a:ext uri="{FF2B5EF4-FFF2-40B4-BE49-F238E27FC236}">
              <a16:creationId xmlns:a16="http://schemas.microsoft.com/office/drawing/2014/main" id="{03328B76-FD66-4105-80B6-6A07EAD062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5" name="Text Box 15">
          <a:extLst>
            <a:ext uri="{FF2B5EF4-FFF2-40B4-BE49-F238E27FC236}">
              <a16:creationId xmlns:a16="http://schemas.microsoft.com/office/drawing/2014/main" id="{5B1BFC69-44DE-46D9-B7D8-B40241B168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6" name="Text Box 15">
          <a:extLst>
            <a:ext uri="{FF2B5EF4-FFF2-40B4-BE49-F238E27FC236}">
              <a16:creationId xmlns:a16="http://schemas.microsoft.com/office/drawing/2014/main" id="{4723A1DD-B174-4A9E-89EE-C3E115C04E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7" name="Text Box 15">
          <a:extLst>
            <a:ext uri="{FF2B5EF4-FFF2-40B4-BE49-F238E27FC236}">
              <a16:creationId xmlns:a16="http://schemas.microsoft.com/office/drawing/2014/main" id="{D17FFC3A-B73A-47E7-B28A-98338A6DF2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8" name="Text Box 15">
          <a:extLst>
            <a:ext uri="{FF2B5EF4-FFF2-40B4-BE49-F238E27FC236}">
              <a16:creationId xmlns:a16="http://schemas.microsoft.com/office/drawing/2014/main" id="{3B13B127-8E8F-4E98-8F0E-D76E22D6E8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9" name="Text Box 15">
          <a:extLst>
            <a:ext uri="{FF2B5EF4-FFF2-40B4-BE49-F238E27FC236}">
              <a16:creationId xmlns:a16="http://schemas.microsoft.com/office/drawing/2014/main" id="{DA664D75-3985-44C5-86A2-5175E5FB9E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0" name="Text Box 15">
          <a:extLst>
            <a:ext uri="{FF2B5EF4-FFF2-40B4-BE49-F238E27FC236}">
              <a16:creationId xmlns:a16="http://schemas.microsoft.com/office/drawing/2014/main" id="{805E7A80-16A4-4401-ACBE-415001CB3F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1" name="Text Box 15">
          <a:extLst>
            <a:ext uri="{FF2B5EF4-FFF2-40B4-BE49-F238E27FC236}">
              <a16:creationId xmlns:a16="http://schemas.microsoft.com/office/drawing/2014/main" id="{08C1FAE1-5FB7-4690-B42F-7BB642BEFB6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2" name="Text Box 15">
          <a:extLst>
            <a:ext uri="{FF2B5EF4-FFF2-40B4-BE49-F238E27FC236}">
              <a16:creationId xmlns:a16="http://schemas.microsoft.com/office/drawing/2014/main" id="{58B438DF-9D2F-4AF1-8049-DA781F1200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3" name="Text Box 15">
          <a:extLst>
            <a:ext uri="{FF2B5EF4-FFF2-40B4-BE49-F238E27FC236}">
              <a16:creationId xmlns:a16="http://schemas.microsoft.com/office/drawing/2014/main" id="{F6B5D812-0FC1-4624-89B0-E04D7404A5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4" name="Text Box 15">
          <a:extLst>
            <a:ext uri="{FF2B5EF4-FFF2-40B4-BE49-F238E27FC236}">
              <a16:creationId xmlns:a16="http://schemas.microsoft.com/office/drawing/2014/main" id="{614CD7EE-79ED-4098-9EF6-302B6C3A87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5" name="Text Box 15">
          <a:extLst>
            <a:ext uri="{FF2B5EF4-FFF2-40B4-BE49-F238E27FC236}">
              <a16:creationId xmlns:a16="http://schemas.microsoft.com/office/drawing/2014/main" id="{0D08D04E-F85D-4042-9B7E-16211D63E4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6" name="Text Box 15">
          <a:extLst>
            <a:ext uri="{FF2B5EF4-FFF2-40B4-BE49-F238E27FC236}">
              <a16:creationId xmlns:a16="http://schemas.microsoft.com/office/drawing/2014/main" id="{EB554B0A-4C19-428B-9137-445343E045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7" name="Text Box 15">
          <a:extLst>
            <a:ext uri="{FF2B5EF4-FFF2-40B4-BE49-F238E27FC236}">
              <a16:creationId xmlns:a16="http://schemas.microsoft.com/office/drawing/2014/main" id="{83884034-A088-432A-AFF3-D12BE35BB61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8" name="Text Box 15">
          <a:extLst>
            <a:ext uri="{FF2B5EF4-FFF2-40B4-BE49-F238E27FC236}">
              <a16:creationId xmlns:a16="http://schemas.microsoft.com/office/drawing/2014/main" id="{B1AB0218-4ACD-4F52-93B3-CEF0DFD4981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9" name="Text Box 15">
          <a:extLst>
            <a:ext uri="{FF2B5EF4-FFF2-40B4-BE49-F238E27FC236}">
              <a16:creationId xmlns:a16="http://schemas.microsoft.com/office/drawing/2014/main" id="{4690B0B7-9054-4C1C-B84B-D263A27E74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0" name="Text Box 15">
          <a:extLst>
            <a:ext uri="{FF2B5EF4-FFF2-40B4-BE49-F238E27FC236}">
              <a16:creationId xmlns:a16="http://schemas.microsoft.com/office/drawing/2014/main" id="{4C45E4C3-1C4E-4A58-9278-2F3A427100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1" name="Text Box 15">
          <a:extLst>
            <a:ext uri="{FF2B5EF4-FFF2-40B4-BE49-F238E27FC236}">
              <a16:creationId xmlns:a16="http://schemas.microsoft.com/office/drawing/2014/main" id="{AC7C4005-68D8-4888-BE46-BFAEE3D0CD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2" name="Text Box 15">
          <a:extLst>
            <a:ext uri="{FF2B5EF4-FFF2-40B4-BE49-F238E27FC236}">
              <a16:creationId xmlns:a16="http://schemas.microsoft.com/office/drawing/2014/main" id="{66CFCA68-0D46-4DC4-9E2A-4BC8979B96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3" name="Text Box 15">
          <a:extLst>
            <a:ext uri="{FF2B5EF4-FFF2-40B4-BE49-F238E27FC236}">
              <a16:creationId xmlns:a16="http://schemas.microsoft.com/office/drawing/2014/main" id="{8BFA9674-3212-40EC-AD75-3B889C908B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4" name="Text Box 15">
          <a:extLst>
            <a:ext uri="{FF2B5EF4-FFF2-40B4-BE49-F238E27FC236}">
              <a16:creationId xmlns:a16="http://schemas.microsoft.com/office/drawing/2014/main" id="{386C3584-34ED-4097-80ED-0790398E51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5" name="Text Box 15">
          <a:extLst>
            <a:ext uri="{FF2B5EF4-FFF2-40B4-BE49-F238E27FC236}">
              <a16:creationId xmlns:a16="http://schemas.microsoft.com/office/drawing/2014/main" id="{B4882AAD-D759-425A-A232-A11130708A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6" name="Text Box 15">
          <a:extLst>
            <a:ext uri="{FF2B5EF4-FFF2-40B4-BE49-F238E27FC236}">
              <a16:creationId xmlns:a16="http://schemas.microsoft.com/office/drawing/2014/main" id="{267B5BCB-6F5A-46BB-9EF2-F4AEC3F9A8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7" name="Text Box 15">
          <a:extLst>
            <a:ext uri="{FF2B5EF4-FFF2-40B4-BE49-F238E27FC236}">
              <a16:creationId xmlns:a16="http://schemas.microsoft.com/office/drawing/2014/main" id="{FBFE634B-8947-48D1-8E5A-401198AEBB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8" name="Text Box 15">
          <a:extLst>
            <a:ext uri="{FF2B5EF4-FFF2-40B4-BE49-F238E27FC236}">
              <a16:creationId xmlns:a16="http://schemas.microsoft.com/office/drawing/2014/main" id="{EBCEB8E1-8994-42E2-A539-088E72C343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9" name="Text Box 15">
          <a:extLst>
            <a:ext uri="{FF2B5EF4-FFF2-40B4-BE49-F238E27FC236}">
              <a16:creationId xmlns:a16="http://schemas.microsoft.com/office/drawing/2014/main" id="{01A76E58-D5B5-4100-9814-79646CF708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0" name="Text Box 15">
          <a:extLst>
            <a:ext uri="{FF2B5EF4-FFF2-40B4-BE49-F238E27FC236}">
              <a16:creationId xmlns:a16="http://schemas.microsoft.com/office/drawing/2014/main" id="{63BF24F6-3916-42F5-B4A7-CAE738D29D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1" name="Text Box 15">
          <a:extLst>
            <a:ext uri="{FF2B5EF4-FFF2-40B4-BE49-F238E27FC236}">
              <a16:creationId xmlns:a16="http://schemas.microsoft.com/office/drawing/2014/main" id="{0D717035-4B04-43F6-96AB-BBF2443901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2" name="Text Box 15">
          <a:extLst>
            <a:ext uri="{FF2B5EF4-FFF2-40B4-BE49-F238E27FC236}">
              <a16:creationId xmlns:a16="http://schemas.microsoft.com/office/drawing/2014/main" id="{CE45BA27-D959-4E39-8F10-09787C2001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3" name="Text Box 15">
          <a:extLst>
            <a:ext uri="{FF2B5EF4-FFF2-40B4-BE49-F238E27FC236}">
              <a16:creationId xmlns:a16="http://schemas.microsoft.com/office/drawing/2014/main" id="{CF23CA96-559A-46B9-AA06-8CED9AB654C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4" name="Text Box 15">
          <a:extLst>
            <a:ext uri="{FF2B5EF4-FFF2-40B4-BE49-F238E27FC236}">
              <a16:creationId xmlns:a16="http://schemas.microsoft.com/office/drawing/2014/main" id="{9F39A1A0-3E0B-43DD-8EE6-91D780262F2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5" name="Text Box 15">
          <a:extLst>
            <a:ext uri="{FF2B5EF4-FFF2-40B4-BE49-F238E27FC236}">
              <a16:creationId xmlns:a16="http://schemas.microsoft.com/office/drawing/2014/main" id="{28F592B1-AB3B-411B-B377-8FD47D257E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6" name="Text Box 15">
          <a:extLst>
            <a:ext uri="{FF2B5EF4-FFF2-40B4-BE49-F238E27FC236}">
              <a16:creationId xmlns:a16="http://schemas.microsoft.com/office/drawing/2014/main" id="{224DEFE2-639B-4286-A760-08F9F28ED1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7" name="Text Box 15">
          <a:extLst>
            <a:ext uri="{FF2B5EF4-FFF2-40B4-BE49-F238E27FC236}">
              <a16:creationId xmlns:a16="http://schemas.microsoft.com/office/drawing/2014/main" id="{479CBDBD-4D9B-407D-AAD8-A996C066F27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8" name="Text Box 15">
          <a:extLst>
            <a:ext uri="{FF2B5EF4-FFF2-40B4-BE49-F238E27FC236}">
              <a16:creationId xmlns:a16="http://schemas.microsoft.com/office/drawing/2014/main" id="{C0D64E2F-50F2-4543-BCBC-FBDBC74FC3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9" name="Text Box 15">
          <a:extLst>
            <a:ext uri="{FF2B5EF4-FFF2-40B4-BE49-F238E27FC236}">
              <a16:creationId xmlns:a16="http://schemas.microsoft.com/office/drawing/2014/main" id="{FDFF7B66-5055-4C99-B9EA-98B5B2D690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0" name="Text Box 15">
          <a:extLst>
            <a:ext uri="{FF2B5EF4-FFF2-40B4-BE49-F238E27FC236}">
              <a16:creationId xmlns:a16="http://schemas.microsoft.com/office/drawing/2014/main" id="{E2E19FF4-9FE1-4225-98EB-2D089F34C4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1" name="Text Box 15">
          <a:extLst>
            <a:ext uri="{FF2B5EF4-FFF2-40B4-BE49-F238E27FC236}">
              <a16:creationId xmlns:a16="http://schemas.microsoft.com/office/drawing/2014/main" id="{D1547234-246D-420F-A9F8-8D0372A7F6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2" name="Text Box 15">
          <a:extLst>
            <a:ext uri="{FF2B5EF4-FFF2-40B4-BE49-F238E27FC236}">
              <a16:creationId xmlns:a16="http://schemas.microsoft.com/office/drawing/2014/main" id="{C2A9BD15-74D5-4B5C-8602-1DCA27C05C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3" name="Text Box 15">
          <a:extLst>
            <a:ext uri="{FF2B5EF4-FFF2-40B4-BE49-F238E27FC236}">
              <a16:creationId xmlns:a16="http://schemas.microsoft.com/office/drawing/2014/main" id="{24340AEC-24B6-42F2-9A32-4C8D335A0A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4" name="Text Box 15">
          <a:extLst>
            <a:ext uri="{FF2B5EF4-FFF2-40B4-BE49-F238E27FC236}">
              <a16:creationId xmlns:a16="http://schemas.microsoft.com/office/drawing/2014/main" id="{901D8D57-8057-4AB7-A3CA-30833E889D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5" name="Text Box 15">
          <a:extLst>
            <a:ext uri="{FF2B5EF4-FFF2-40B4-BE49-F238E27FC236}">
              <a16:creationId xmlns:a16="http://schemas.microsoft.com/office/drawing/2014/main" id="{1DCDD513-4A39-495B-89CD-3EBA93C3AD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6" name="Text Box 15">
          <a:extLst>
            <a:ext uri="{FF2B5EF4-FFF2-40B4-BE49-F238E27FC236}">
              <a16:creationId xmlns:a16="http://schemas.microsoft.com/office/drawing/2014/main" id="{AD7C91A9-F87B-4510-A2CF-381FDBBFC4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7" name="Text Box 15">
          <a:extLst>
            <a:ext uri="{FF2B5EF4-FFF2-40B4-BE49-F238E27FC236}">
              <a16:creationId xmlns:a16="http://schemas.microsoft.com/office/drawing/2014/main" id="{071A186C-64F8-4836-A749-E614BF702D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8" name="Text Box 15">
          <a:extLst>
            <a:ext uri="{FF2B5EF4-FFF2-40B4-BE49-F238E27FC236}">
              <a16:creationId xmlns:a16="http://schemas.microsoft.com/office/drawing/2014/main" id="{287C9AE7-1948-4436-9EA7-898FF69C87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9" name="Text Box 15">
          <a:extLst>
            <a:ext uri="{FF2B5EF4-FFF2-40B4-BE49-F238E27FC236}">
              <a16:creationId xmlns:a16="http://schemas.microsoft.com/office/drawing/2014/main" id="{C7550DA7-4923-41F9-B709-FC9DD9C27E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0" name="Text Box 15">
          <a:extLst>
            <a:ext uri="{FF2B5EF4-FFF2-40B4-BE49-F238E27FC236}">
              <a16:creationId xmlns:a16="http://schemas.microsoft.com/office/drawing/2014/main" id="{DA7DDFC8-4067-48B6-B6AD-44C7675B92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1" name="Text Box 15">
          <a:extLst>
            <a:ext uri="{FF2B5EF4-FFF2-40B4-BE49-F238E27FC236}">
              <a16:creationId xmlns:a16="http://schemas.microsoft.com/office/drawing/2014/main" id="{FA6119DD-EF3B-4FC7-828A-ECE0D37FCA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2" name="Text Box 15">
          <a:extLst>
            <a:ext uri="{FF2B5EF4-FFF2-40B4-BE49-F238E27FC236}">
              <a16:creationId xmlns:a16="http://schemas.microsoft.com/office/drawing/2014/main" id="{17880281-64FF-4E81-9A11-B3BFDE4D248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3" name="Text Box 15">
          <a:extLst>
            <a:ext uri="{FF2B5EF4-FFF2-40B4-BE49-F238E27FC236}">
              <a16:creationId xmlns:a16="http://schemas.microsoft.com/office/drawing/2014/main" id="{56C92797-0471-45D8-8C4E-006CC72CA7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4" name="Text Box 15">
          <a:extLst>
            <a:ext uri="{FF2B5EF4-FFF2-40B4-BE49-F238E27FC236}">
              <a16:creationId xmlns:a16="http://schemas.microsoft.com/office/drawing/2014/main" id="{30711CEB-C9C5-4FF6-9178-FF9ACE5DF0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5" name="Text Box 15">
          <a:extLst>
            <a:ext uri="{FF2B5EF4-FFF2-40B4-BE49-F238E27FC236}">
              <a16:creationId xmlns:a16="http://schemas.microsoft.com/office/drawing/2014/main" id="{D93B068D-9229-43FE-BD2A-BD6942FD9B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6" name="Text Box 15">
          <a:extLst>
            <a:ext uri="{FF2B5EF4-FFF2-40B4-BE49-F238E27FC236}">
              <a16:creationId xmlns:a16="http://schemas.microsoft.com/office/drawing/2014/main" id="{556E32A7-484A-4721-9842-FFC3EC47150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7" name="Text Box 15">
          <a:extLst>
            <a:ext uri="{FF2B5EF4-FFF2-40B4-BE49-F238E27FC236}">
              <a16:creationId xmlns:a16="http://schemas.microsoft.com/office/drawing/2014/main" id="{DEE29547-1B70-466B-8EDA-C042DD9989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8" name="Text Box 15">
          <a:extLst>
            <a:ext uri="{FF2B5EF4-FFF2-40B4-BE49-F238E27FC236}">
              <a16:creationId xmlns:a16="http://schemas.microsoft.com/office/drawing/2014/main" id="{4A315346-E201-4AAC-A3E5-69A0F9BA53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9" name="Text Box 15">
          <a:extLst>
            <a:ext uri="{FF2B5EF4-FFF2-40B4-BE49-F238E27FC236}">
              <a16:creationId xmlns:a16="http://schemas.microsoft.com/office/drawing/2014/main" id="{C3B82A41-712D-402A-B42B-E87533A5D8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0" name="Text Box 15">
          <a:extLst>
            <a:ext uri="{FF2B5EF4-FFF2-40B4-BE49-F238E27FC236}">
              <a16:creationId xmlns:a16="http://schemas.microsoft.com/office/drawing/2014/main" id="{FCD28556-853E-4B2A-BA07-EF0664CF29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1" name="Text Box 15">
          <a:extLst>
            <a:ext uri="{FF2B5EF4-FFF2-40B4-BE49-F238E27FC236}">
              <a16:creationId xmlns:a16="http://schemas.microsoft.com/office/drawing/2014/main" id="{E8B5A768-2375-436C-B2CC-0C728D733E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2" name="Text Box 15">
          <a:extLst>
            <a:ext uri="{FF2B5EF4-FFF2-40B4-BE49-F238E27FC236}">
              <a16:creationId xmlns:a16="http://schemas.microsoft.com/office/drawing/2014/main" id="{20DA0E3B-3B91-4BD0-A6E4-22998ADE86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3" name="Text Box 15">
          <a:extLst>
            <a:ext uri="{FF2B5EF4-FFF2-40B4-BE49-F238E27FC236}">
              <a16:creationId xmlns:a16="http://schemas.microsoft.com/office/drawing/2014/main" id="{C9D62FBC-4AE3-43D3-B490-1CAB2F555B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4" name="Text Box 15">
          <a:extLst>
            <a:ext uri="{FF2B5EF4-FFF2-40B4-BE49-F238E27FC236}">
              <a16:creationId xmlns:a16="http://schemas.microsoft.com/office/drawing/2014/main" id="{1441AAE9-69DF-4924-9C6D-6582BA2D5CA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5" name="Text Box 15">
          <a:extLst>
            <a:ext uri="{FF2B5EF4-FFF2-40B4-BE49-F238E27FC236}">
              <a16:creationId xmlns:a16="http://schemas.microsoft.com/office/drawing/2014/main" id="{F42803DE-3C72-4EF5-BF94-1E1539D6F1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6" name="Text Box 15">
          <a:extLst>
            <a:ext uri="{FF2B5EF4-FFF2-40B4-BE49-F238E27FC236}">
              <a16:creationId xmlns:a16="http://schemas.microsoft.com/office/drawing/2014/main" id="{5343F1FA-86D7-4D65-96EE-BFF59606ED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7" name="Text Box 15">
          <a:extLst>
            <a:ext uri="{FF2B5EF4-FFF2-40B4-BE49-F238E27FC236}">
              <a16:creationId xmlns:a16="http://schemas.microsoft.com/office/drawing/2014/main" id="{1F1024A9-AA44-487D-9D31-E3530D98E4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8" name="Text Box 15">
          <a:extLst>
            <a:ext uri="{FF2B5EF4-FFF2-40B4-BE49-F238E27FC236}">
              <a16:creationId xmlns:a16="http://schemas.microsoft.com/office/drawing/2014/main" id="{EF7EAA2A-3646-42EC-867D-FD154F258F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9" name="Text Box 15">
          <a:extLst>
            <a:ext uri="{FF2B5EF4-FFF2-40B4-BE49-F238E27FC236}">
              <a16:creationId xmlns:a16="http://schemas.microsoft.com/office/drawing/2014/main" id="{076D9B13-035D-4B5D-8C4C-B1DA694D36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0" name="Text Box 15">
          <a:extLst>
            <a:ext uri="{FF2B5EF4-FFF2-40B4-BE49-F238E27FC236}">
              <a16:creationId xmlns:a16="http://schemas.microsoft.com/office/drawing/2014/main" id="{EFD947AA-D2FA-4C58-AC56-E9C4B0C476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1" name="Text Box 15">
          <a:extLst>
            <a:ext uri="{FF2B5EF4-FFF2-40B4-BE49-F238E27FC236}">
              <a16:creationId xmlns:a16="http://schemas.microsoft.com/office/drawing/2014/main" id="{019A18FE-6400-4825-8988-833A01C9551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2" name="Text Box 15">
          <a:extLst>
            <a:ext uri="{FF2B5EF4-FFF2-40B4-BE49-F238E27FC236}">
              <a16:creationId xmlns:a16="http://schemas.microsoft.com/office/drawing/2014/main" id="{77CD492A-92A3-43CB-A2D7-9D6B82A7233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3" name="Text Box 15">
          <a:extLst>
            <a:ext uri="{FF2B5EF4-FFF2-40B4-BE49-F238E27FC236}">
              <a16:creationId xmlns:a16="http://schemas.microsoft.com/office/drawing/2014/main" id="{C3579323-F1C8-4954-8E4A-BB8EEF8C34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4" name="Text Box 15">
          <a:extLst>
            <a:ext uri="{FF2B5EF4-FFF2-40B4-BE49-F238E27FC236}">
              <a16:creationId xmlns:a16="http://schemas.microsoft.com/office/drawing/2014/main" id="{8EDB83C7-4F07-419C-B58D-5540DB0100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5" name="Text Box 15">
          <a:extLst>
            <a:ext uri="{FF2B5EF4-FFF2-40B4-BE49-F238E27FC236}">
              <a16:creationId xmlns:a16="http://schemas.microsoft.com/office/drawing/2014/main" id="{AEE3C38B-AADD-4C66-A78F-ED42F7257F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6" name="Text Box 15">
          <a:extLst>
            <a:ext uri="{FF2B5EF4-FFF2-40B4-BE49-F238E27FC236}">
              <a16:creationId xmlns:a16="http://schemas.microsoft.com/office/drawing/2014/main" id="{621A4D9E-83D5-4CF4-85A7-15D572B1A0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7" name="Text Box 15">
          <a:extLst>
            <a:ext uri="{FF2B5EF4-FFF2-40B4-BE49-F238E27FC236}">
              <a16:creationId xmlns:a16="http://schemas.microsoft.com/office/drawing/2014/main" id="{7A8F8EB4-DCF6-494C-960D-B46F153CA3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8" name="Text Box 15">
          <a:extLst>
            <a:ext uri="{FF2B5EF4-FFF2-40B4-BE49-F238E27FC236}">
              <a16:creationId xmlns:a16="http://schemas.microsoft.com/office/drawing/2014/main" id="{2D5F9041-54EC-45D4-B57B-7593708747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9" name="Text Box 15">
          <a:extLst>
            <a:ext uri="{FF2B5EF4-FFF2-40B4-BE49-F238E27FC236}">
              <a16:creationId xmlns:a16="http://schemas.microsoft.com/office/drawing/2014/main" id="{A4321443-F4C1-405A-9184-AB686C761D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0" name="Text Box 15">
          <a:extLst>
            <a:ext uri="{FF2B5EF4-FFF2-40B4-BE49-F238E27FC236}">
              <a16:creationId xmlns:a16="http://schemas.microsoft.com/office/drawing/2014/main" id="{13F48A2E-D5B0-4437-8CA6-282403249D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1" name="Text Box 15">
          <a:extLst>
            <a:ext uri="{FF2B5EF4-FFF2-40B4-BE49-F238E27FC236}">
              <a16:creationId xmlns:a16="http://schemas.microsoft.com/office/drawing/2014/main" id="{05C65039-C02F-443C-B92A-98C9837C86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2" name="Text Box 15">
          <a:extLst>
            <a:ext uri="{FF2B5EF4-FFF2-40B4-BE49-F238E27FC236}">
              <a16:creationId xmlns:a16="http://schemas.microsoft.com/office/drawing/2014/main" id="{51153FCE-BC24-4822-975F-141A3324D4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3" name="Text Box 15">
          <a:extLst>
            <a:ext uri="{FF2B5EF4-FFF2-40B4-BE49-F238E27FC236}">
              <a16:creationId xmlns:a16="http://schemas.microsoft.com/office/drawing/2014/main" id="{959DC00B-03A3-4288-8977-5EB09E9D92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4" name="Text Box 15">
          <a:extLst>
            <a:ext uri="{FF2B5EF4-FFF2-40B4-BE49-F238E27FC236}">
              <a16:creationId xmlns:a16="http://schemas.microsoft.com/office/drawing/2014/main" id="{8D75D7B1-DCA2-4A92-ADEF-E395CBC1A7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5" name="Text Box 15">
          <a:extLst>
            <a:ext uri="{FF2B5EF4-FFF2-40B4-BE49-F238E27FC236}">
              <a16:creationId xmlns:a16="http://schemas.microsoft.com/office/drawing/2014/main" id="{85A3A38C-A39E-4468-A947-E437AA02CCB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6" name="Text Box 15">
          <a:extLst>
            <a:ext uri="{FF2B5EF4-FFF2-40B4-BE49-F238E27FC236}">
              <a16:creationId xmlns:a16="http://schemas.microsoft.com/office/drawing/2014/main" id="{0C4166F2-CA2F-48E9-883F-ECC1058C304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7" name="Text Box 15">
          <a:extLst>
            <a:ext uri="{FF2B5EF4-FFF2-40B4-BE49-F238E27FC236}">
              <a16:creationId xmlns:a16="http://schemas.microsoft.com/office/drawing/2014/main" id="{96A4AFAF-DB7C-429C-94E2-220E4C43C1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8" name="Text Box 15">
          <a:extLst>
            <a:ext uri="{FF2B5EF4-FFF2-40B4-BE49-F238E27FC236}">
              <a16:creationId xmlns:a16="http://schemas.microsoft.com/office/drawing/2014/main" id="{9F68C161-7EDD-4367-8ADA-24A3BA4416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9" name="Text Box 15">
          <a:extLst>
            <a:ext uri="{FF2B5EF4-FFF2-40B4-BE49-F238E27FC236}">
              <a16:creationId xmlns:a16="http://schemas.microsoft.com/office/drawing/2014/main" id="{CB27F296-1059-466C-998D-EA9B945220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0" name="Text Box 15">
          <a:extLst>
            <a:ext uri="{FF2B5EF4-FFF2-40B4-BE49-F238E27FC236}">
              <a16:creationId xmlns:a16="http://schemas.microsoft.com/office/drawing/2014/main" id="{5F28DBF6-6FBE-469A-96F5-C65923B90D2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1" name="Text Box 15">
          <a:extLst>
            <a:ext uri="{FF2B5EF4-FFF2-40B4-BE49-F238E27FC236}">
              <a16:creationId xmlns:a16="http://schemas.microsoft.com/office/drawing/2014/main" id="{2B48AACF-763B-4196-A24A-D66758D017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2" name="Text Box 15">
          <a:extLst>
            <a:ext uri="{FF2B5EF4-FFF2-40B4-BE49-F238E27FC236}">
              <a16:creationId xmlns:a16="http://schemas.microsoft.com/office/drawing/2014/main" id="{9ED07D0A-4B42-452B-8305-BFFA483E5E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3" name="Text Box 15">
          <a:extLst>
            <a:ext uri="{FF2B5EF4-FFF2-40B4-BE49-F238E27FC236}">
              <a16:creationId xmlns:a16="http://schemas.microsoft.com/office/drawing/2014/main" id="{AF434A57-E84C-4E97-8686-4365BF006F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4" name="Text Box 15">
          <a:extLst>
            <a:ext uri="{FF2B5EF4-FFF2-40B4-BE49-F238E27FC236}">
              <a16:creationId xmlns:a16="http://schemas.microsoft.com/office/drawing/2014/main" id="{1D59F253-AB33-41D0-810A-FA9014C868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5" name="Text Box 15">
          <a:extLst>
            <a:ext uri="{FF2B5EF4-FFF2-40B4-BE49-F238E27FC236}">
              <a16:creationId xmlns:a16="http://schemas.microsoft.com/office/drawing/2014/main" id="{E2D2B6DF-C918-4021-99BB-255ED8A60ED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6" name="Text Box 15">
          <a:extLst>
            <a:ext uri="{FF2B5EF4-FFF2-40B4-BE49-F238E27FC236}">
              <a16:creationId xmlns:a16="http://schemas.microsoft.com/office/drawing/2014/main" id="{2950DF5B-C8AE-46A0-894B-2636194A6C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7" name="Text Box 15">
          <a:extLst>
            <a:ext uri="{FF2B5EF4-FFF2-40B4-BE49-F238E27FC236}">
              <a16:creationId xmlns:a16="http://schemas.microsoft.com/office/drawing/2014/main" id="{71CED9BA-8455-4C51-BD1B-50F6500D748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8" name="Text Box 15">
          <a:extLst>
            <a:ext uri="{FF2B5EF4-FFF2-40B4-BE49-F238E27FC236}">
              <a16:creationId xmlns:a16="http://schemas.microsoft.com/office/drawing/2014/main" id="{E1B80971-1835-4DAE-A107-63217D145D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9" name="Text Box 15">
          <a:extLst>
            <a:ext uri="{FF2B5EF4-FFF2-40B4-BE49-F238E27FC236}">
              <a16:creationId xmlns:a16="http://schemas.microsoft.com/office/drawing/2014/main" id="{5B1FA209-E756-468F-A1B6-C61B446679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0" name="Text Box 15">
          <a:extLst>
            <a:ext uri="{FF2B5EF4-FFF2-40B4-BE49-F238E27FC236}">
              <a16:creationId xmlns:a16="http://schemas.microsoft.com/office/drawing/2014/main" id="{FA9F4A2B-7DFC-48B7-B7E3-3128F27FDA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1" name="Text Box 15">
          <a:extLst>
            <a:ext uri="{FF2B5EF4-FFF2-40B4-BE49-F238E27FC236}">
              <a16:creationId xmlns:a16="http://schemas.microsoft.com/office/drawing/2014/main" id="{8D1428D4-C1F5-4867-B3CB-3AE0B83865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2" name="Text Box 15">
          <a:extLst>
            <a:ext uri="{FF2B5EF4-FFF2-40B4-BE49-F238E27FC236}">
              <a16:creationId xmlns:a16="http://schemas.microsoft.com/office/drawing/2014/main" id="{3E97650F-BF09-496C-8773-605066F3BC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3" name="Text Box 15">
          <a:extLst>
            <a:ext uri="{FF2B5EF4-FFF2-40B4-BE49-F238E27FC236}">
              <a16:creationId xmlns:a16="http://schemas.microsoft.com/office/drawing/2014/main" id="{5D844873-E283-402C-98CB-CDABBB0D32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4" name="Text Box 15">
          <a:extLst>
            <a:ext uri="{FF2B5EF4-FFF2-40B4-BE49-F238E27FC236}">
              <a16:creationId xmlns:a16="http://schemas.microsoft.com/office/drawing/2014/main" id="{8A1441CA-D892-43E8-A01A-D01493D15B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5" name="Text Box 15">
          <a:extLst>
            <a:ext uri="{FF2B5EF4-FFF2-40B4-BE49-F238E27FC236}">
              <a16:creationId xmlns:a16="http://schemas.microsoft.com/office/drawing/2014/main" id="{53B54A8B-F686-45AC-AE9F-8CC080A4CF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6" name="Text Box 15">
          <a:extLst>
            <a:ext uri="{FF2B5EF4-FFF2-40B4-BE49-F238E27FC236}">
              <a16:creationId xmlns:a16="http://schemas.microsoft.com/office/drawing/2014/main" id="{B2A0BC62-BBC8-412F-A7F5-8C8F85364D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7" name="Text Box 15">
          <a:extLst>
            <a:ext uri="{FF2B5EF4-FFF2-40B4-BE49-F238E27FC236}">
              <a16:creationId xmlns:a16="http://schemas.microsoft.com/office/drawing/2014/main" id="{73ED3742-993B-48A1-B4D6-65976F4249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8" name="Text Box 15">
          <a:extLst>
            <a:ext uri="{FF2B5EF4-FFF2-40B4-BE49-F238E27FC236}">
              <a16:creationId xmlns:a16="http://schemas.microsoft.com/office/drawing/2014/main" id="{6EFD3E38-06C1-4168-B85A-4F8B0054A5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9" name="Text Box 15">
          <a:extLst>
            <a:ext uri="{FF2B5EF4-FFF2-40B4-BE49-F238E27FC236}">
              <a16:creationId xmlns:a16="http://schemas.microsoft.com/office/drawing/2014/main" id="{47A08DD8-8D32-4622-ABE4-1700A3A2A8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0" name="Text Box 15">
          <a:extLst>
            <a:ext uri="{FF2B5EF4-FFF2-40B4-BE49-F238E27FC236}">
              <a16:creationId xmlns:a16="http://schemas.microsoft.com/office/drawing/2014/main" id="{069E8F46-35FF-4D17-AFA7-22C6EA6248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1" name="Text Box 15">
          <a:extLst>
            <a:ext uri="{FF2B5EF4-FFF2-40B4-BE49-F238E27FC236}">
              <a16:creationId xmlns:a16="http://schemas.microsoft.com/office/drawing/2014/main" id="{745332C7-0D23-48AF-987E-A32C08433D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2" name="Text Box 15">
          <a:extLst>
            <a:ext uri="{FF2B5EF4-FFF2-40B4-BE49-F238E27FC236}">
              <a16:creationId xmlns:a16="http://schemas.microsoft.com/office/drawing/2014/main" id="{31C2D236-ED11-4675-BF12-F10870DE6A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3" name="Text Box 15">
          <a:extLst>
            <a:ext uri="{FF2B5EF4-FFF2-40B4-BE49-F238E27FC236}">
              <a16:creationId xmlns:a16="http://schemas.microsoft.com/office/drawing/2014/main" id="{6C8376E4-365E-4489-9380-6869142749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4" name="Text Box 15">
          <a:extLst>
            <a:ext uri="{FF2B5EF4-FFF2-40B4-BE49-F238E27FC236}">
              <a16:creationId xmlns:a16="http://schemas.microsoft.com/office/drawing/2014/main" id="{A66B3160-AD0E-48A0-90E7-5727C07E71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5" name="Text Box 15">
          <a:extLst>
            <a:ext uri="{FF2B5EF4-FFF2-40B4-BE49-F238E27FC236}">
              <a16:creationId xmlns:a16="http://schemas.microsoft.com/office/drawing/2014/main" id="{1C650F81-3A19-4726-A98C-45351B30CF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6" name="Text Box 15">
          <a:extLst>
            <a:ext uri="{FF2B5EF4-FFF2-40B4-BE49-F238E27FC236}">
              <a16:creationId xmlns:a16="http://schemas.microsoft.com/office/drawing/2014/main" id="{D83D1BB5-4637-4843-9423-99C227C5876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7" name="Text Box 15">
          <a:extLst>
            <a:ext uri="{FF2B5EF4-FFF2-40B4-BE49-F238E27FC236}">
              <a16:creationId xmlns:a16="http://schemas.microsoft.com/office/drawing/2014/main" id="{737210D5-3A86-48C4-9345-5697D23352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8" name="Text Box 15">
          <a:extLst>
            <a:ext uri="{FF2B5EF4-FFF2-40B4-BE49-F238E27FC236}">
              <a16:creationId xmlns:a16="http://schemas.microsoft.com/office/drawing/2014/main" id="{2D170FF3-5DAD-4686-A4BF-75464F93C7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9" name="Text Box 15">
          <a:extLst>
            <a:ext uri="{FF2B5EF4-FFF2-40B4-BE49-F238E27FC236}">
              <a16:creationId xmlns:a16="http://schemas.microsoft.com/office/drawing/2014/main" id="{35DE936C-B55F-462D-A9D4-E5D944AACDF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0" name="Text Box 15">
          <a:extLst>
            <a:ext uri="{FF2B5EF4-FFF2-40B4-BE49-F238E27FC236}">
              <a16:creationId xmlns:a16="http://schemas.microsoft.com/office/drawing/2014/main" id="{46EAE4FC-7247-4C3D-AA94-4B13563097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1" name="Text Box 15">
          <a:extLst>
            <a:ext uri="{FF2B5EF4-FFF2-40B4-BE49-F238E27FC236}">
              <a16:creationId xmlns:a16="http://schemas.microsoft.com/office/drawing/2014/main" id="{A6832AAF-3F1A-4A14-9D37-901C374D3A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2" name="Text Box 15">
          <a:extLst>
            <a:ext uri="{FF2B5EF4-FFF2-40B4-BE49-F238E27FC236}">
              <a16:creationId xmlns:a16="http://schemas.microsoft.com/office/drawing/2014/main" id="{EF2F873D-864F-4516-A7C0-10E5616E4B2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3" name="Text Box 15">
          <a:extLst>
            <a:ext uri="{FF2B5EF4-FFF2-40B4-BE49-F238E27FC236}">
              <a16:creationId xmlns:a16="http://schemas.microsoft.com/office/drawing/2014/main" id="{3B2DE4E5-855F-4FD9-8E77-A4A3EC6ECF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4" name="Text Box 15">
          <a:extLst>
            <a:ext uri="{FF2B5EF4-FFF2-40B4-BE49-F238E27FC236}">
              <a16:creationId xmlns:a16="http://schemas.microsoft.com/office/drawing/2014/main" id="{8D851FEE-6567-457C-A920-2FDBBBB478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5" name="Text Box 15">
          <a:extLst>
            <a:ext uri="{FF2B5EF4-FFF2-40B4-BE49-F238E27FC236}">
              <a16:creationId xmlns:a16="http://schemas.microsoft.com/office/drawing/2014/main" id="{2CE3750C-6DC1-431E-BBE4-CF1C74030B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6" name="Text Box 15">
          <a:extLst>
            <a:ext uri="{FF2B5EF4-FFF2-40B4-BE49-F238E27FC236}">
              <a16:creationId xmlns:a16="http://schemas.microsoft.com/office/drawing/2014/main" id="{06AB6A67-79AB-4972-B729-FBB7F9B2C7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7" name="Text Box 15">
          <a:extLst>
            <a:ext uri="{FF2B5EF4-FFF2-40B4-BE49-F238E27FC236}">
              <a16:creationId xmlns:a16="http://schemas.microsoft.com/office/drawing/2014/main" id="{60842CC8-6A2B-4D02-B94F-910701712E6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8" name="Text Box 15">
          <a:extLst>
            <a:ext uri="{FF2B5EF4-FFF2-40B4-BE49-F238E27FC236}">
              <a16:creationId xmlns:a16="http://schemas.microsoft.com/office/drawing/2014/main" id="{36D7C027-B6D1-4486-A9DD-AE0E6486E5A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9" name="Text Box 15">
          <a:extLst>
            <a:ext uri="{FF2B5EF4-FFF2-40B4-BE49-F238E27FC236}">
              <a16:creationId xmlns:a16="http://schemas.microsoft.com/office/drawing/2014/main" id="{527B8234-FE38-42FB-BFFE-CF8189EE0F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0" name="Text Box 15">
          <a:extLst>
            <a:ext uri="{FF2B5EF4-FFF2-40B4-BE49-F238E27FC236}">
              <a16:creationId xmlns:a16="http://schemas.microsoft.com/office/drawing/2014/main" id="{70AF8CAD-34AB-4CE3-BEF6-C0C24D5C18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1" name="Text Box 15">
          <a:extLst>
            <a:ext uri="{FF2B5EF4-FFF2-40B4-BE49-F238E27FC236}">
              <a16:creationId xmlns:a16="http://schemas.microsoft.com/office/drawing/2014/main" id="{D11CBEED-FFB3-4DA2-B2A8-1C414FC9CE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2" name="Text Box 15">
          <a:extLst>
            <a:ext uri="{FF2B5EF4-FFF2-40B4-BE49-F238E27FC236}">
              <a16:creationId xmlns:a16="http://schemas.microsoft.com/office/drawing/2014/main" id="{04D25E25-06D3-48BB-823A-DE52AEA69D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3" name="Text Box 15">
          <a:extLst>
            <a:ext uri="{FF2B5EF4-FFF2-40B4-BE49-F238E27FC236}">
              <a16:creationId xmlns:a16="http://schemas.microsoft.com/office/drawing/2014/main" id="{685D18FC-7491-4DC5-A3A9-7108677BA6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4" name="Text Box 15">
          <a:extLst>
            <a:ext uri="{FF2B5EF4-FFF2-40B4-BE49-F238E27FC236}">
              <a16:creationId xmlns:a16="http://schemas.microsoft.com/office/drawing/2014/main" id="{71262F48-C643-409F-AF7A-38C92326BE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5" name="Text Box 15">
          <a:extLst>
            <a:ext uri="{FF2B5EF4-FFF2-40B4-BE49-F238E27FC236}">
              <a16:creationId xmlns:a16="http://schemas.microsoft.com/office/drawing/2014/main" id="{86134244-B726-4877-9C3A-CE25A65709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6" name="Text Box 15">
          <a:extLst>
            <a:ext uri="{FF2B5EF4-FFF2-40B4-BE49-F238E27FC236}">
              <a16:creationId xmlns:a16="http://schemas.microsoft.com/office/drawing/2014/main" id="{8F39D1AE-03C9-4B68-9FB0-8E2F667065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7" name="Text Box 15">
          <a:extLst>
            <a:ext uri="{FF2B5EF4-FFF2-40B4-BE49-F238E27FC236}">
              <a16:creationId xmlns:a16="http://schemas.microsoft.com/office/drawing/2014/main" id="{B6B4712C-FE0C-46D8-9933-B3C969577B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8" name="Text Box 15">
          <a:extLst>
            <a:ext uri="{FF2B5EF4-FFF2-40B4-BE49-F238E27FC236}">
              <a16:creationId xmlns:a16="http://schemas.microsoft.com/office/drawing/2014/main" id="{0C46017F-7D41-4A45-8F68-4521C42CFE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9" name="Text Box 15">
          <a:extLst>
            <a:ext uri="{FF2B5EF4-FFF2-40B4-BE49-F238E27FC236}">
              <a16:creationId xmlns:a16="http://schemas.microsoft.com/office/drawing/2014/main" id="{C59F3339-D1FF-4B49-9D1E-4144C6DC33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0" name="Text Box 15">
          <a:extLst>
            <a:ext uri="{FF2B5EF4-FFF2-40B4-BE49-F238E27FC236}">
              <a16:creationId xmlns:a16="http://schemas.microsoft.com/office/drawing/2014/main" id="{8B294F8D-6804-4131-B1B8-CAC6C78AFD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1" name="Text Box 15">
          <a:extLst>
            <a:ext uri="{FF2B5EF4-FFF2-40B4-BE49-F238E27FC236}">
              <a16:creationId xmlns:a16="http://schemas.microsoft.com/office/drawing/2014/main" id="{6DFADEC2-2C0D-4B12-8205-D947292782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2" name="Text Box 15">
          <a:extLst>
            <a:ext uri="{FF2B5EF4-FFF2-40B4-BE49-F238E27FC236}">
              <a16:creationId xmlns:a16="http://schemas.microsoft.com/office/drawing/2014/main" id="{CFB63E1F-955B-4B60-A81B-1A34C0B53C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3" name="Text Box 15">
          <a:extLst>
            <a:ext uri="{FF2B5EF4-FFF2-40B4-BE49-F238E27FC236}">
              <a16:creationId xmlns:a16="http://schemas.microsoft.com/office/drawing/2014/main" id="{F8DED229-7EEF-469A-A892-8163A39D46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4" name="Text Box 15">
          <a:extLst>
            <a:ext uri="{FF2B5EF4-FFF2-40B4-BE49-F238E27FC236}">
              <a16:creationId xmlns:a16="http://schemas.microsoft.com/office/drawing/2014/main" id="{10217CD5-DBF8-4E8B-BDD0-DA73229628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5" name="Text Box 15">
          <a:extLst>
            <a:ext uri="{FF2B5EF4-FFF2-40B4-BE49-F238E27FC236}">
              <a16:creationId xmlns:a16="http://schemas.microsoft.com/office/drawing/2014/main" id="{F7029391-177F-4222-B142-D474D2DC6F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6" name="Text Box 15">
          <a:extLst>
            <a:ext uri="{FF2B5EF4-FFF2-40B4-BE49-F238E27FC236}">
              <a16:creationId xmlns:a16="http://schemas.microsoft.com/office/drawing/2014/main" id="{5718ABE9-CB5C-407F-9C13-4D446B85B4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7" name="Text Box 15">
          <a:extLst>
            <a:ext uri="{FF2B5EF4-FFF2-40B4-BE49-F238E27FC236}">
              <a16:creationId xmlns:a16="http://schemas.microsoft.com/office/drawing/2014/main" id="{99244795-9E4D-4E18-9299-6BAA3BA829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8" name="Text Box 15">
          <a:extLst>
            <a:ext uri="{FF2B5EF4-FFF2-40B4-BE49-F238E27FC236}">
              <a16:creationId xmlns:a16="http://schemas.microsoft.com/office/drawing/2014/main" id="{27DBC4DA-963C-4711-B033-EB86EF4C78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9" name="Text Box 15">
          <a:extLst>
            <a:ext uri="{FF2B5EF4-FFF2-40B4-BE49-F238E27FC236}">
              <a16:creationId xmlns:a16="http://schemas.microsoft.com/office/drawing/2014/main" id="{2C69A2FC-E1C2-400D-B600-E3FB7A1F01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0" name="Text Box 15">
          <a:extLst>
            <a:ext uri="{FF2B5EF4-FFF2-40B4-BE49-F238E27FC236}">
              <a16:creationId xmlns:a16="http://schemas.microsoft.com/office/drawing/2014/main" id="{665B5714-C6E9-4323-9442-0D5FE2ABB3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1" name="Text Box 15">
          <a:extLst>
            <a:ext uri="{FF2B5EF4-FFF2-40B4-BE49-F238E27FC236}">
              <a16:creationId xmlns:a16="http://schemas.microsoft.com/office/drawing/2014/main" id="{37B8DE47-9D16-4C96-8F0C-B76EAB0D32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2" name="Text Box 15">
          <a:extLst>
            <a:ext uri="{FF2B5EF4-FFF2-40B4-BE49-F238E27FC236}">
              <a16:creationId xmlns:a16="http://schemas.microsoft.com/office/drawing/2014/main" id="{6025ACFC-9C5C-41B4-B105-5218B03A75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3" name="Text Box 15">
          <a:extLst>
            <a:ext uri="{FF2B5EF4-FFF2-40B4-BE49-F238E27FC236}">
              <a16:creationId xmlns:a16="http://schemas.microsoft.com/office/drawing/2014/main" id="{637C61D6-A0AE-4813-8CE7-F316AB0ACE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4" name="Text Box 15">
          <a:extLst>
            <a:ext uri="{FF2B5EF4-FFF2-40B4-BE49-F238E27FC236}">
              <a16:creationId xmlns:a16="http://schemas.microsoft.com/office/drawing/2014/main" id="{6726EF90-CFBF-443D-9466-BB35F82589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5" name="Text Box 15">
          <a:extLst>
            <a:ext uri="{FF2B5EF4-FFF2-40B4-BE49-F238E27FC236}">
              <a16:creationId xmlns:a16="http://schemas.microsoft.com/office/drawing/2014/main" id="{1B771B33-7041-4684-B89A-1FBD398279B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6" name="Text Box 15">
          <a:extLst>
            <a:ext uri="{FF2B5EF4-FFF2-40B4-BE49-F238E27FC236}">
              <a16:creationId xmlns:a16="http://schemas.microsoft.com/office/drawing/2014/main" id="{33210023-37F1-4D7E-BCB8-F9D2014F85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7" name="Text Box 15">
          <a:extLst>
            <a:ext uri="{FF2B5EF4-FFF2-40B4-BE49-F238E27FC236}">
              <a16:creationId xmlns:a16="http://schemas.microsoft.com/office/drawing/2014/main" id="{9BAFAD9A-BDA7-46BB-96A3-951C68F690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8" name="Text Box 15">
          <a:extLst>
            <a:ext uri="{FF2B5EF4-FFF2-40B4-BE49-F238E27FC236}">
              <a16:creationId xmlns:a16="http://schemas.microsoft.com/office/drawing/2014/main" id="{D6632B7A-4A18-46C1-954A-B85EDBBD6B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9" name="Text Box 15">
          <a:extLst>
            <a:ext uri="{FF2B5EF4-FFF2-40B4-BE49-F238E27FC236}">
              <a16:creationId xmlns:a16="http://schemas.microsoft.com/office/drawing/2014/main" id="{AACDB88C-CB9C-4195-ADC4-2528921ED2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0" name="Text Box 15">
          <a:extLst>
            <a:ext uri="{FF2B5EF4-FFF2-40B4-BE49-F238E27FC236}">
              <a16:creationId xmlns:a16="http://schemas.microsoft.com/office/drawing/2014/main" id="{CDBADAEC-CEDF-4367-9DB2-B1136D0D9A1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1" name="Text Box 15">
          <a:extLst>
            <a:ext uri="{FF2B5EF4-FFF2-40B4-BE49-F238E27FC236}">
              <a16:creationId xmlns:a16="http://schemas.microsoft.com/office/drawing/2014/main" id="{43262584-DF1F-4CCE-AF30-7B375918CA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2" name="Text Box 15">
          <a:extLst>
            <a:ext uri="{FF2B5EF4-FFF2-40B4-BE49-F238E27FC236}">
              <a16:creationId xmlns:a16="http://schemas.microsoft.com/office/drawing/2014/main" id="{FDF07B59-F0B3-422F-A567-C5230F4AB9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3" name="Text Box 15">
          <a:extLst>
            <a:ext uri="{FF2B5EF4-FFF2-40B4-BE49-F238E27FC236}">
              <a16:creationId xmlns:a16="http://schemas.microsoft.com/office/drawing/2014/main" id="{21ACD2B1-8E1A-43B9-B259-3C0F17100C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4" name="Text Box 15">
          <a:extLst>
            <a:ext uri="{FF2B5EF4-FFF2-40B4-BE49-F238E27FC236}">
              <a16:creationId xmlns:a16="http://schemas.microsoft.com/office/drawing/2014/main" id="{2B0A546D-23BF-4C7F-9C60-1ADC59B1D4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5" name="Text Box 15">
          <a:extLst>
            <a:ext uri="{FF2B5EF4-FFF2-40B4-BE49-F238E27FC236}">
              <a16:creationId xmlns:a16="http://schemas.microsoft.com/office/drawing/2014/main" id="{0ECB962B-C74A-4F05-BCF8-9AD3658E22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6" name="Text Box 15">
          <a:extLst>
            <a:ext uri="{FF2B5EF4-FFF2-40B4-BE49-F238E27FC236}">
              <a16:creationId xmlns:a16="http://schemas.microsoft.com/office/drawing/2014/main" id="{C0A49A60-BB31-4CED-814A-AEEA0ABA2E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7" name="Text Box 15">
          <a:extLst>
            <a:ext uri="{FF2B5EF4-FFF2-40B4-BE49-F238E27FC236}">
              <a16:creationId xmlns:a16="http://schemas.microsoft.com/office/drawing/2014/main" id="{28D7DD3D-78C8-4EC2-A3F0-8A153FC9AC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8" name="Text Box 15">
          <a:extLst>
            <a:ext uri="{FF2B5EF4-FFF2-40B4-BE49-F238E27FC236}">
              <a16:creationId xmlns:a16="http://schemas.microsoft.com/office/drawing/2014/main" id="{F7CA2163-EF94-4DDE-8DBF-2C0440B1663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9" name="Text Box 15">
          <a:extLst>
            <a:ext uri="{FF2B5EF4-FFF2-40B4-BE49-F238E27FC236}">
              <a16:creationId xmlns:a16="http://schemas.microsoft.com/office/drawing/2014/main" id="{175590C1-87E1-4438-90F3-D2BF023AD4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0" name="Text Box 15">
          <a:extLst>
            <a:ext uri="{FF2B5EF4-FFF2-40B4-BE49-F238E27FC236}">
              <a16:creationId xmlns:a16="http://schemas.microsoft.com/office/drawing/2014/main" id="{51421828-7815-4419-BA53-313C9EC236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1" name="Text Box 15">
          <a:extLst>
            <a:ext uri="{FF2B5EF4-FFF2-40B4-BE49-F238E27FC236}">
              <a16:creationId xmlns:a16="http://schemas.microsoft.com/office/drawing/2014/main" id="{34A91A58-5BEC-4E0C-ABAE-75FC7DD269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2" name="Text Box 15">
          <a:extLst>
            <a:ext uri="{FF2B5EF4-FFF2-40B4-BE49-F238E27FC236}">
              <a16:creationId xmlns:a16="http://schemas.microsoft.com/office/drawing/2014/main" id="{92DFE4F4-8A11-41C4-B068-08FD2916FDA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3" name="Text Box 15">
          <a:extLst>
            <a:ext uri="{FF2B5EF4-FFF2-40B4-BE49-F238E27FC236}">
              <a16:creationId xmlns:a16="http://schemas.microsoft.com/office/drawing/2014/main" id="{0BCE09F2-FA70-4212-B084-4C502D4F04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4" name="Text Box 15">
          <a:extLst>
            <a:ext uri="{FF2B5EF4-FFF2-40B4-BE49-F238E27FC236}">
              <a16:creationId xmlns:a16="http://schemas.microsoft.com/office/drawing/2014/main" id="{4AE83BD5-798C-4F2A-891F-117F489652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5" name="Text Box 15">
          <a:extLst>
            <a:ext uri="{FF2B5EF4-FFF2-40B4-BE49-F238E27FC236}">
              <a16:creationId xmlns:a16="http://schemas.microsoft.com/office/drawing/2014/main" id="{2C184BF3-4D07-4779-86F2-68CFEE1EA8A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6" name="Text Box 15">
          <a:extLst>
            <a:ext uri="{FF2B5EF4-FFF2-40B4-BE49-F238E27FC236}">
              <a16:creationId xmlns:a16="http://schemas.microsoft.com/office/drawing/2014/main" id="{65C403E1-1681-4F5A-A300-456EB0F343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7" name="Text Box 15">
          <a:extLst>
            <a:ext uri="{FF2B5EF4-FFF2-40B4-BE49-F238E27FC236}">
              <a16:creationId xmlns:a16="http://schemas.microsoft.com/office/drawing/2014/main" id="{CB4F2ACE-E983-431C-9E76-A0E2EE1D60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8" name="Text Box 15">
          <a:extLst>
            <a:ext uri="{FF2B5EF4-FFF2-40B4-BE49-F238E27FC236}">
              <a16:creationId xmlns:a16="http://schemas.microsoft.com/office/drawing/2014/main" id="{7C5CFB3D-8A8E-429D-8DD8-BD7767DEFD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59" name="Text Box 3">
          <a:extLst>
            <a:ext uri="{FF2B5EF4-FFF2-40B4-BE49-F238E27FC236}">
              <a16:creationId xmlns:a16="http://schemas.microsoft.com/office/drawing/2014/main" id="{2826890A-EC62-4D18-828B-62BDC05A53D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60" name="Text Box 32">
          <a:extLst>
            <a:ext uri="{FF2B5EF4-FFF2-40B4-BE49-F238E27FC236}">
              <a16:creationId xmlns:a16="http://schemas.microsoft.com/office/drawing/2014/main" id="{38841545-9F96-42B3-B717-5F505A10B47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61" name="Text Box 3">
          <a:extLst>
            <a:ext uri="{FF2B5EF4-FFF2-40B4-BE49-F238E27FC236}">
              <a16:creationId xmlns:a16="http://schemas.microsoft.com/office/drawing/2014/main" id="{9DF91CB7-C29C-49D3-BCC6-E228FD3D382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62" name="Text Box 63">
          <a:extLst>
            <a:ext uri="{FF2B5EF4-FFF2-40B4-BE49-F238E27FC236}">
              <a16:creationId xmlns:a16="http://schemas.microsoft.com/office/drawing/2014/main" id="{7FB623A4-16F2-48B3-9248-21B15B930C9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63" name="Text Box 3">
          <a:extLst>
            <a:ext uri="{FF2B5EF4-FFF2-40B4-BE49-F238E27FC236}">
              <a16:creationId xmlns:a16="http://schemas.microsoft.com/office/drawing/2014/main" id="{13AC2FD0-313A-4EFF-8A1C-695F8193671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64" name="Text Box 32">
          <a:extLst>
            <a:ext uri="{FF2B5EF4-FFF2-40B4-BE49-F238E27FC236}">
              <a16:creationId xmlns:a16="http://schemas.microsoft.com/office/drawing/2014/main" id="{043CC737-16BC-407A-9B13-D4343113E75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65" name="Text Box 3">
          <a:extLst>
            <a:ext uri="{FF2B5EF4-FFF2-40B4-BE49-F238E27FC236}">
              <a16:creationId xmlns:a16="http://schemas.microsoft.com/office/drawing/2014/main" id="{7ABAFA60-FB56-4824-8902-DC3E53F36D0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66" name="Text Box 63">
          <a:extLst>
            <a:ext uri="{FF2B5EF4-FFF2-40B4-BE49-F238E27FC236}">
              <a16:creationId xmlns:a16="http://schemas.microsoft.com/office/drawing/2014/main" id="{183BD866-872D-452B-9545-D55B49B8BFE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67" name="Text Box 3">
          <a:extLst>
            <a:ext uri="{FF2B5EF4-FFF2-40B4-BE49-F238E27FC236}">
              <a16:creationId xmlns:a16="http://schemas.microsoft.com/office/drawing/2014/main" id="{11F26D19-CADE-478C-B168-15A3E0231A9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68" name="Text Box 32">
          <a:extLst>
            <a:ext uri="{FF2B5EF4-FFF2-40B4-BE49-F238E27FC236}">
              <a16:creationId xmlns:a16="http://schemas.microsoft.com/office/drawing/2014/main" id="{43C9F13B-6D73-4959-91AF-0CA63783E64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69" name="Text Box 3">
          <a:extLst>
            <a:ext uri="{FF2B5EF4-FFF2-40B4-BE49-F238E27FC236}">
              <a16:creationId xmlns:a16="http://schemas.microsoft.com/office/drawing/2014/main" id="{2AB950A8-2482-4532-B5F0-EAD25BDDFF3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70" name="Text Box 63">
          <a:extLst>
            <a:ext uri="{FF2B5EF4-FFF2-40B4-BE49-F238E27FC236}">
              <a16:creationId xmlns:a16="http://schemas.microsoft.com/office/drawing/2014/main" id="{0DECDA4A-B77F-41CE-88DC-157B2C77375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71" name="Text Box 3">
          <a:extLst>
            <a:ext uri="{FF2B5EF4-FFF2-40B4-BE49-F238E27FC236}">
              <a16:creationId xmlns:a16="http://schemas.microsoft.com/office/drawing/2014/main" id="{026CD57B-BD57-4DC6-8895-A3C0267A918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72" name="Text Box 32">
          <a:extLst>
            <a:ext uri="{FF2B5EF4-FFF2-40B4-BE49-F238E27FC236}">
              <a16:creationId xmlns:a16="http://schemas.microsoft.com/office/drawing/2014/main" id="{274672FC-4C52-4D2E-BB59-8A19A9D62A2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73" name="Text Box 3">
          <a:extLst>
            <a:ext uri="{FF2B5EF4-FFF2-40B4-BE49-F238E27FC236}">
              <a16:creationId xmlns:a16="http://schemas.microsoft.com/office/drawing/2014/main" id="{141B4E1F-3056-4031-91AE-19BD56A993A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74" name="Text Box 63">
          <a:extLst>
            <a:ext uri="{FF2B5EF4-FFF2-40B4-BE49-F238E27FC236}">
              <a16:creationId xmlns:a16="http://schemas.microsoft.com/office/drawing/2014/main" id="{DA2D02ED-DA4F-4D31-B9FB-BEF51668473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75" name="Text Box 3">
          <a:extLst>
            <a:ext uri="{FF2B5EF4-FFF2-40B4-BE49-F238E27FC236}">
              <a16:creationId xmlns:a16="http://schemas.microsoft.com/office/drawing/2014/main" id="{07631764-BE72-450E-83F2-D033FB7B90E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76" name="Text Box 32">
          <a:extLst>
            <a:ext uri="{FF2B5EF4-FFF2-40B4-BE49-F238E27FC236}">
              <a16:creationId xmlns:a16="http://schemas.microsoft.com/office/drawing/2014/main" id="{7EBCC6DB-9F26-41E5-90AE-71F3EEC671D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77" name="Text Box 3">
          <a:extLst>
            <a:ext uri="{FF2B5EF4-FFF2-40B4-BE49-F238E27FC236}">
              <a16:creationId xmlns:a16="http://schemas.microsoft.com/office/drawing/2014/main" id="{C9648A7F-B0A9-4E94-BE2A-CA82D4C440A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78" name="Text Box 63">
          <a:extLst>
            <a:ext uri="{FF2B5EF4-FFF2-40B4-BE49-F238E27FC236}">
              <a16:creationId xmlns:a16="http://schemas.microsoft.com/office/drawing/2014/main" id="{3600589E-94F7-4B99-A5CC-5FC363B3654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79" name="Text Box 3">
          <a:extLst>
            <a:ext uri="{FF2B5EF4-FFF2-40B4-BE49-F238E27FC236}">
              <a16:creationId xmlns:a16="http://schemas.microsoft.com/office/drawing/2014/main" id="{698B7A99-3260-4B00-B7FA-6B83C16D097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80" name="Text Box 32">
          <a:extLst>
            <a:ext uri="{FF2B5EF4-FFF2-40B4-BE49-F238E27FC236}">
              <a16:creationId xmlns:a16="http://schemas.microsoft.com/office/drawing/2014/main" id="{E6706E2C-2BFB-47D6-BDFF-BDAA02FED96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81" name="Text Box 3">
          <a:extLst>
            <a:ext uri="{FF2B5EF4-FFF2-40B4-BE49-F238E27FC236}">
              <a16:creationId xmlns:a16="http://schemas.microsoft.com/office/drawing/2014/main" id="{AA8B8623-6CCF-41C2-827D-A5B737C7D38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82" name="Text Box 63">
          <a:extLst>
            <a:ext uri="{FF2B5EF4-FFF2-40B4-BE49-F238E27FC236}">
              <a16:creationId xmlns:a16="http://schemas.microsoft.com/office/drawing/2014/main" id="{1415DB31-5AE2-45FD-90C8-41E696F5168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83" name="Text Box 3">
          <a:extLst>
            <a:ext uri="{FF2B5EF4-FFF2-40B4-BE49-F238E27FC236}">
              <a16:creationId xmlns:a16="http://schemas.microsoft.com/office/drawing/2014/main" id="{660B110D-35D9-4A86-91CE-A58B0D062FD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84" name="Text Box 32">
          <a:extLst>
            <a:ext uri="{FF2B5EF4-FFF2-40B4-BE49-F238E27FC236}">
              <a16:creationId xmlns:a16="http://schemas.microsoft.com/office/drawing/2014/main" id="{E908724E-B0B6-48E4-BBB2-4042226DFA9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85" name="Text Box 3">
          <a:extLst>
            <a:ext uri="{FF2B5EF4-FFF2-40B4-BE49-F238E27FC236}">
              <a16:creationId xmlns:a16="http://schemas.microsoft.com/office/drawing/2014/main" id="{5B467A84-097D-4233-815C-595AAD683F5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86" name="Text Box 63">
          <a:extLst>
            <a:ext uri="{FF2B5EF4-FFF2-40B4-BE49-F238E27FC236}">
              <a16:creationId xmlns:a16="http://schemas.microsoft.com/office/drawing/2014/main" id="{6C4CC3F8-A255-4A09-9255-A7106D024E4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87" name="Text Box 3">
          <a:extLst>
            <a:ext uri="{FF2B5EF4-FFF2-40B4-BE49-F238E27FC236}">
              <a16:creationId xmlns:a16="http://schemas.microsoft.com/office/drawing/2014/main" id="{8B58E565-FE03-4076-BC0C-889611412DC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88" name="Text Box 32">
          <a:extLst>
            <a:ext uri="{FF2B5EF4-FFF2-40B4-BE49-F238E27FC236}">
              <a16:creationId xmlns:a16="http://schemas.microsoft.com/office/drawing/2014/main" id="{9D788952-4094-4A3D-83FC-CA4916E123A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89" name="Text Box 3">
          <a:extLst>
            <a:ext uri="{FF2B5EF4-FFF2-40B4-BE49-F238E27FC236}">
              <a16:creationId xmlns:a16="http://schemas.microsoft.com/office/drawing/2014/main" id="{AD44058D-70EF-4656-8284-3222ADB2E71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90" name="Text Box 63">
          <a:extLst>
            <a:ext uri="{FF2B5EF4-FFF2-40B4-BE49-F238E27FC236}">
              <a16:creationId xmlns:a16="http://schemas.microsoft.com/office/drawing/2014/main" id="{4EEAF0C2-7A19-44FC-AF3B-9902884B7D2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91" name="Text Box 3">
          <a:extLst>
            <a:ext uri="{FF2B5EF4-FFF2-40B4-BE49-F238E27FC236}">
              <a16:creationId xmlns:a16="http://schemas.microsoft.com/office/drawing/2014/main" id="{C0E03701-E716-4B23-B510-CA4F34C3F92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92" name="Text Box 32">
          <a:extLst>
            <a:ext uri="{FF2B5EF4-FFF2-40B4-BE49-F238E27FC236}">
              <a16:creationId xmlns:a16="http://schemas.microsoft.com/office/drawing/2014/main" id="{A7C1741E-0E96-4766-8639-BC97882E7CF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93" name="Text Box 3">
          <a:extLst>
            <a:ext uri="{FF2B5EF4-FFF2-40B4-BE49-F238E27FC236}">
              <a16:creationId xmlns:a16="http://schemas.microsoft.com/office/drawing/2014/main" id="{C122DDF9-3D58-4F5E-AF73-A6BCAEE2422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94" name="Text Box 63">
          <a:extLst>
            <a:ext uri="{FF2B5EF4-FFF2-40B4-BE49-F238E27FC236}">
              <a16:creationId xmlns:a16="http://schemas.microsoft.com/office/drawing/2014/main" id="{267EE74D-C492-40D5-9383-04DAA741D60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95" name="Text Box 3">
          <a:extLst>
            <a:ext uri="{FF2B5EF4-FFF2-40B4-BE49-F238E27FC236}">
              <a16:creationId xmlns:a16="http://schemas.microsoft.com/office/drawing/2014/main" id="{1534E54E-61A8-472F-9B27-DE2E152B94A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96" name="Text Box 32">
          <a:extLst>
            <a:ext uri="{FF2B5EF4-FFF2-40B4-BE49-F238E27FC236}">
              <a16:creationId xmlns:a16="http://schemas.microsoft.com/office/drawing/2014/main" id="{334C266A-291A-463D-8388-B5AF8327B9A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97" name="Text Box 3">
          <a:extLst>
            <a:ext uri="{FF2B5EF4-FFF2-40B4-BE49-F238E27FC236}">
              <a16:creationId xmlns:a16="http://schemas.microsoft.com/office/drawing/2014/main" id="{8DCBD4D7-D431-4494-A049-1BCA43087C0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98" name="Text Box 63">
          <a:extLst>
            <a:ext uri="{FF2B5EF4-FFF2-40B4-BE49-F238E27FC236}">
              <a16:creationId xmlns:a16="http://schemas.microsoft.com/office/drawing/2014/main" id="{CF36F332-C4D9-4A4C-9DCB-F581B2DCEAC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99" name="Text Box 3">
          <a:extLst>
            <a:ext uri="{FF2B5EF4-FFF2-40B4-BE49-F238E27FC236}">
              <a16:creationId xmlns:a16="http://schemas.microsoft.com/office/drawing/2014/main" id="{08606118-E1F4-4EBD-B371-1DFE6AE65CE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00" name="Text Box 32">
          <a:extLst>
            <a:ext uri="{FF2B5EF4-FFF2-40B4-BE49-F238E27FC236}">
              <a16:creationId xmlns:a16="http://schemas.microsoft.com/office/drawing/2014/main" id="{2EE1AA6A-DBC5-48DA-B57C-A0950DA8C59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01" name="Text Box 3">
          <a:extLst>
            <a:ext uri="{FF2B5EF4-FFF2-40B4-BE49-F238E27FC236}">
              <a16:creationId xmlns:a16="http://schemas.microsoft.com/office/drawing/2014/main" id="{8D3C740E-21FB-4E44-9BA5-D71330D9356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02" name="Text Box 63">
          <a:extLst>
            <a:ext uri="{FF2B5EF4-FFF2-40B4-BE49-F238E27FC236}">
              <a16:creationId xmlns:a16="http://schemas.microsoft.com/office/drawing/2014/main" id="{957279A0-915F-49B9-9185-AE2010F0F0E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03" name="Text Box 3">
          <a:extLst>
            <a:ext uri="{FF2B5EF4-FFF2-40B4-BE49-F238E27FC236}">
              <a16:creationId xmlns:a16="http://schemas.microsoft.com/office/drawing/2014/main" id="{34E0B535-6DBE-4260-B3D2-A2A064E6D4D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04" name="Text Box 32">
          <a:extLst>
            <a:ext uri="{FF2B5EF4-FFF2-40B4-BE49-F238E27FC236}">
              <a16:creationId xmlns:a16="http://schemas.microsoft.com/office/drawing/2014/main" id="{779BD825-AFAA-4C70-A276-54B55DF30D2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05" name="Text Box 3">
          <a:extLst>
            <a:ext uri="{FF2B5EF4-FFF2-40B4-BE49-F238E27FC236}">
              <a16:creationId xmlns:a16="http://schemas.microsoft.com/office/drawing/2014/main" id="{2ED0301B-D06A-483C-95FF-7135989748E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06" name="Text Box 63">
          <a:extLst>
            <a:ext uri="{FF2B5EF4-FFF2-40B4-BE49-F238E27FC236}">
              <a16:creationId xmlns:a16="http://schemas.microsoft.com/office/drawing/2014/main" id="{CFB2EBFC-B969-4C3E-AA52-F1DA29B0C39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07" name="Text Box 3">
          <a:extLst>
            <a:ext uri="{FF2B5EF4-FFF2-40B4-BE49-F238E27FC236}">
              <a16:creationId xmlns:a16="http://schemas.microsoft.com/office/drawing/2014/main" id="{0FB7FAB1-9736-4ADE-B17B-A1679587E07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08" name="Text Box 32">
          <a:extLst>
            <a:ext uri="{FF2B5EF4-FFF2-40B4-BE49-F238E27FC236}">
              <a16:creationId xmlns:a16="http://schemas.microsoft.com/office/drawing/2014/main" id="{A807DB04-E55E-49F5-88DC-0875C055744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09" name="Text Box 3">
          <a:extLst>
            <a:ext uri="{FF2B5EF4-FFF2-40B4-BE49-F238E27FC236}">
              <a16:creationId xmlns:a16="http://schemas.microsoft.com/office/drawing/2014/main" id="{47BF4059-1DCC-43DA-A8E1-5592EA30D8F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10" name="Text Box 63">
          <a:extLst>
            <a:ext uri="{FF2B5EF4-FFF2-40B4-BE49-F238E27FC236}">
              <a16:creationId xmlns:a16="http://schemas.microsoft.com/office/drawing/2014/main" id="{A28BFE06-8205-4AA5-B36B-5FDD9CFD40E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11" name="Text Box 3">
          <a:extLst>
            <a:ext uri="{FF2B5EF4-FFF2-40B4-BE49-F238E27FC236}">
              <a16:creationId xmlns:a16="http://schemas.microsoft.com/office/drawing/2014/main" id="{D56557A1-870C-4D71-92A6-E5F1D313012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12" name="Text Box 32">
          <a:extLst>
            <a:ext uri="{FF2B5EF4-FFF2-40B4-BE49-F238E27FC236}">
              <a16:creationId xmlns:a16="http://schemas.microsoft.com/office/drawing/2014/main" id="{60B3022A-738F-4E01-99E5-32154A02173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13" name="Text Box 3">
          <a:extLst>
            <a:ext uri="{FF2B5EF4-FFF2-40B4-BE49-F238E27FC236}">
              <a16:creationId xmlns:a16="http://schemas.microsoft.com/office/drawing/2014/main" id="{851ED678-9AC6-4631-B92F-AB8A056E07F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14" name="Text Box 63">
          <a:extLst>
            <a:ext uri="{FF2B5EF4-FFF2-40B4-BE49-F238E27FC236}">
              <a16:creationId xmlns:a16="http://schemas.microsoft.com/office/drawing/2014/main" id="{04471C48-85D6-44A1-ACE7-46CD337F24D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15" name="Text Box 3">
          <a:extLst>
            <a:ext uri="{FF2B5EF4-FFF2-40B4-BE49-F238E27FC236}">
              <a16:creationId xmlns:a16="http://schemas.microsoft.com/office/drawing/2014/main" id="{F91299AD-3B39-4BCC-82C6-8FF886708C0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16" name="Text Box 32">
          <a:extLst>
            <a:ext uri="{FF2B5EF4-FFF2-40B4-BE49-F238E27FC236}">
              <a16:creationId xmlns:a16="http://schemas.microsoft.com/office/drawing/2014/main" id="{73353B53-FBBE-422E-ADFB-BE4B2D6E5E0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17" name="Text Box 3">
          <a:extLst>
            <a:ext uri="{FF2B5EF4-FFF2-40B4-BE49-F238E27FC236}">
              <a16:creationId xmlns:a16="http://schemas.microsoft.com/office/drawing/2014/main" id="{17A754D8-84FE-4757-BB97-914AE3A0B56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18" name="Text Box 63">
          <a:extLst>
            <a:ext uri="{FF2B5EF4-FFF2-40B4-BE49-F238E27FC236}">
              <a16:creationId xmlns:a16="http://schemas.microsoft.com/office/drawing/2014/main" id="{55810EF7-7C55-4360-9C06-9BA0B809734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19" name="Text Box 3">
          <a:extLst>
            <a:ext uri="{FF2B5EF4-FFF2-40B4-BE49-F238E27FC236}">
              <a16:creationId xmlns:a16="http://schemas.microsoft.com/office/drawing/2014/main" id="{38308124-8E5E-4B22-80F6-319BC9D2A0F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20" name="Text Box 32">
          <a:extLst>
            <a:ext uri="{FF2B5EF4-FFF2-40B4-BE49-F238E27FC236}">
              <a16:creationId xmlns:a16="http://schemas.microsoft.com/office/drawing/2014/main" id="{E97CC316-02D3-47A1-A226-B1AFF520D08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21" name="Text Box 3">
          <a:extLst>
            <a:ext uri="{FF2B5EF4-FFF2-40B4-BE49-F238E27FC236}">
              <a16:creationId xmlns:a16="http://schemas.microsoft.com/office/drawing/2014/main" id="{5676828B-080A-4AEE-9902-BFFEDEC219D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22" name="Text Box 63">
          <a:extLst>
            <a:ext uri="{FF2B5EF4-FFF2-40B4-BE49-F238E27FC236}">
              <a16:creationId xmlns:a16="http://schemas.microsoft.com/office/drawing/2014/main" id="{B89D7860-9D19-466C-AD41-EA45654F245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23" name="Text Box 3">
          <a:extLst>
            <a:ext uri="{FF2B5EF4-FFF2-40B4-BE49-F238E27FC236}">
              <a16:creationId xmlns:a16="http://schemas.microsoft.com/office/drawing/2014/main" id="{F389A2C7-D818-4780-8D7A-65312F93143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24" name="Text Box 32">
          <a:extLst>
            <a:ext uri="{FF2B5EF4-FFF2-40B4-BE49-F238E27FC236}">
              <a16:creationId xmlns:a16="http://schemas.microsoft.com/office/drawing/2014/main" id="{D1431216-5000-4C58-86BA-28C4B2E0FCE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25" name="Text Box 3">
          <a:extLst>
            <a:ext uri="{FF2B5EF4-FFF2-40B4-BE49-F238E27FC236}">
              <a16:creationId xmlns:a16="http://schemas.microsoft.com/office/drawing/2014/main" id="{3E3E9C58-1316-4120-BA29-C99C22DBEC4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26" name="Text Box 63">
          <a:extLst>
            <a:ext uri="{FF2B5EF4-FFF2-40B4-BE49-F238E27FC236}">
              <a16:creationId xmlns:a16="http://schemas.microsoft.com/office/drawing/2014/main" id="{B2F1109E-0FB9-4A14-A97E-5CD91DA39CF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27" name="Text Box 3">
          <a:extLst>
            <a:ext uri="{FF2B5EF4-FFF2-40B4-BE49-F238E27FC236}">
              <a16:creationId xmlns:a16="http://schemas.microsoft.com/office/drawing/2014/main" id="{E6AB5E57-7976-4E5D-B80E-47D31CB54B3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28" name="Text Box 32">
          <a:extLst>
            <a:ext uri="{FF2B5EF4-FFF2-40B4-BE49-F238E27FC236}">
              <a16:creationId xmlns:a16="http://schemas.microsoft.com/office/drawing/2014/main" id="{EEE276D8-EE94-46CA-8C41-564F856360C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29" name="Text Box 3">
          <a:extLst>
            <a:ext uri="{FF2B5EF4-FFF2-40B4-BE49-F238E27FC236}">
              <a16:creationId xmlns:a16="http://schemas.microsoft.com/office/drawing/2014/main" id="{3F91F525-B52E-4BF4-B874-6589A561934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30" name="Text Box 63">
          <a:extLst>
            <a:ext uri="{FF2B5EF4-FFF2-40B4-BE49-F238E27FC236}">
              <a16:creationId xmlns:a16="http://schemas.microsoft.com/office/drawing/2014/main" id="{D15D2061-B3E7-4A72-8F2D-3F0786B4C8C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31" name="Text Box 3">
          <a:extLst>
            <a:ext uri="{FF2B5EF4-FFF2-40B4-BE49-F238E27FC236}">
              <a16:creationId xmlns:a16="http://schemas.microsoft.com/office/drawing/2014/main" id="{B37BAC79-86DD-4EE3-9D7F-8C667196A36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32" name="Text Box 32">
          <a:extLst>
            <a:ext uri="{FF2B5EF4-FFF2-40B4-BE49-F238E27FC236}">
              <a16:creationId xmlns:a16="http://schemas.microsoft.com/office/drawing/2014/main" id="{742015B0-1C18-4E72-917A-A655F99C19D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33" name="Text Box 3">
          <a:extLst>
            <a:ext uri="{FF2B5EF4-FFF2-40B4-BE49-F238E27FC236}">
              <a16:creationId xmlns:a16="http://schemas.microsoft.com/office/drawing/2014/main" id="{F49A52BB-23E6-4D9C-87E2-5D47B674332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34" name="Text Box 63">
          <a:extLst>
            <a:ext uri="{FF2B5EF4-FFF2-40B4-BE49-F238E27FC236}">
              <a16:creationId xmlns:a16="http://schemas.microsoft.com/office/drawing/2014/main" id="{2AAC8290-B952-4DF6-9EBD-26691988773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35" name="Text Box 3">
          <a:extLst>
            <a:ext uri="{FF2B5EF4-FFF2-40B4-BE49-F238E27FC236}">
              <a16:creationId xmlns:a16="http://schemas.microsoft.com/office/drawing/2014/main" id="{63410D45-FDE8-47EB-BDB2-9550B26817C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36" name="Text Box 32">
          <a:extLst>
            <a:ext uri="{FF2B5EF4-FFF2-40B4-BE49-F238E27FC236}">
              <a16:creationId xmlns:a16="http://schemas.microsoft.com/office/drawing/2014/main" id="{0334E1C4-0F1A-43CD-9D6F-0BDB353D059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37" name="Text Box 3">
          <a:extLst>
            <a:ext uri="{FF2B5EF4-FFF2-40B4-BE49-F238E27FC236}">
              <a16:creationId xmlns:a16="http://schemas.microsoft.com/office/drawing/2014/main" id="{37BBED94-47C4-4679-B8CA-D93D2ACC12B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38" name="Text Box 63">
          <a:extLst>
            <a:ext uri="{FF2B5EF4-FFF2-40B4-BE49-F238E27FC236}">
              <a16:creationId xmlns:a16="http://schemas.microsoft.com/office/drawing/2014/main" id="{D35DDC17-3C6C-4BC2-B4B9-014EB6C8738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39" name="Text Box 3">
          <a:extLst>
            <a:ext uri="{FF2B5EF4-FFF2-40B4-BE49-F238E27FC236}">
              <a16:creationId xmlns:a16="http://schemas.microsoft.com/office/drawing/2014/main" id="{C8D75CB1-DC96-443E-A119-6DC2C98001E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40" name="Text Box 32">
          <a:extLst>
            <a:ext uri="{FF2B5EF4-FFF2-40B4-BE49-F238E27FC236}">
              <a16:creationId xmlns:a16="http://schemas.microsoft.com/office/drawing/2014/main" id="{C9D4D7C6-B7EF-4A72-BE95-4CC0330C3E6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41" name="Text Box 3">
          <a:extLst>
            <a:ext uri="{FF2B5EF4-FFF2-40B4-BE49-F238E27FC236}">
              <a16:creationId xmlns:a16="http://schemas.microsoft.com/office/drawing/2014/main" id="{2E4F48C8-35CD-49F3-AE2F-5B1300797F9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42" name="Text Box 63">
          <a:extLst>
            <a:ext uri="{FF2B5EF4-FFF2-40B4-BE49-F238E27FC236}">
              <a16:creationId xmlns:a16="http://schemas.microsoft.com/office/drawing/2014/main" id="{42206869-9569-430D-8B7D-F02AFBB5AF4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43" name="Text Box 3">
          <a:extLst>
            <a:ext uri="{FF2B5EF4-FFF2-40B4-BE49-F238E27FC236}">
              <a16:creationId xmlns:a16="http://schemas.microsoft.com/office/drawing/2014/main" id="{E4D9AF4A-1E6B-4E14-82F7-A87C097072D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44" name="Text Box 32">
          <a:extLst>
            <a:ext uri="{FF2B5EF4-FFF2-40B4-BE49-F238E27FC236}">
              <a16:creationId xmlns:a16="http://schemas.microsoft.com/office/drawing/2014/main" id="{36A1E9B3-B559-4C51-993E-636A2613576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45" name="Text Box 3">
          <a:extLst>
            <a:ext uri="{FF2B5EF4-FFF2-40B4-BE49-F238E27FC236}">
              <a16:creationId xmlns:a16="http://schemas.microsoft.com/office/drawing/2014/main" id="{2DE610B7-E3AD-4AE3-A24A-DEC2F2AB628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46" name="Text Box 63">
          <a:extLst>
            <a:ext uri="{FF2B5EF4-FFF2-40B4-BE49-F238E27FC236}">
              <a16:creationId xmlns:a16="http://schemas.microsoft.com/office/drawing/2014/main" id="{F27294CD-F63C-48D8-B7EE-56C7117A258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47" name="Text Box 3">
          <a:extLst>
            <a:ext uri="{FF2B5EF4-FFF2-40B4-BE49-F238E27FC236}">
              <a16:creationId xmlns:a16="http://schemas.microsoft.com/office/drawing/2014/main" id="{152413B0-F1A8-4A10-B38B-2E6BAA49E74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48" name="Text Box 32">
          <a:extLst>
            <a:ext uri="{FF2B5EF4-FFF2-40B4-BE49-F238E27FC236}">
              <a16:creationId xmlns:a16="http://schemas.microsoft.com/office/drawing/2014/main" id="{48776DAA-7285-4FBB-BC2C-34BB01B61FA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49" name="Text Box 3">
          <a:extLst>
            <a:ext uri="{FF2B5EF4-FFF2-40B4-BE49-F238E27FC236}">
              <a16:creationId xmlns:a16="http://schemas.microsoft.com/office/drawing/2014/main" id="{381A5BC0-178B-4ADD-9336-636C7547300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50" name="Text Box 63">
          <a:extLst>
            <a:ext uri="{FF2B5EF4-FFF2-40B4-BE49-F238E27FC236}">
              <a16:creationId xmlns:a16="http://schemas.microsoft.com/office/drawing/2014/main" id="{E1B2AAF1-81AA-4807-8B82-EB287390DD9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51" name="Text Box 3">
          <a:extLst>
            <a:ext uri="{FF2B5EF4-FFF2-40B4-BE49-F238E27FC236}">
              <a16:creationId xmlns:a16="http://schemas.microsoft.com/office/drawing/2014/main" id="{BB1E3B77-8E24-4F93-A716-9D181AD487D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52" name="Text Box 32">
          <a:extLst>
            <a:ext uri="{FF2B5EF4-FFF2-40B4-BE49-F238E27FC236}">
              <a16:creationId xmlns:a16="http://schemas.microsoft.com/office/drawing/2014/main" id="{A3E8D608-B7B4-41B5-BB51-4EF604FB5C0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53" name="Text Box 3">
          <a:extLst>
            <a:ext uri="{FF2B5EF4-FFF2-40B4-BE49-F238E27FC236}">
              <a16:creationId xmlns:a16="http://schemas.microsoft.com/office/drawing/2014/main" id="{27318394-18F2-4303-8F91-802D0E7DF4C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54" name="Text Box 63">
          <a:extLst>
            <a:ext uri="{FF2B5EF4-FFF2-40B4-BE49-F238E27FC236}">
              <a16:creationId xmlns:a16="http://schemas.microsoft.com/office/drawing/2014/main" id="{BCBB1433-3C4D-4A49-921C-4DE6A1301E1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55" name="Text Box 3">
          <a:extLst>
            <a:ext uri="{FF2B5EF4-FFF2-40B4-BE49-F238E27FC236}">
              <a16:creationId xmlns:a16="http://schemas.microsoft.com/office/drawing/2014/main" id="{58D58BCA-CB63-4D20-AB04-C64F16EB873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56" name="Text Box 32">
          <a:extLst>
            <a:ext uri="{FF2B5EF4-FFF2-40B4-BE49-F238E27FC236}">
              <a16:creationId xmlns:a16="http://schemas.microsoft.com/office/drawing/2014/main" id="{313048C9-944E-4C0C-9112-490E806F300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57" name="Text Box 3">
          <a:extLst>
            <a:ext uri="{FF2B5EF4-FFF2-40B4-BE49-F238E27FC236}">
              <a16:creationId xmlns:a16="http://schemas.microsoft.com/office/drawing/2014/main" id="{EBA7D36E-E5B7-4CF7-AD5C-254CD38FA42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58" name="Text Box 63">
          <a:extLst>
            <a:ext uri="{FF2B5EF4-FFF2-40B4-BE49-F238E27FC236}">
              <a16:creationId xmlns:a16="http://schemas.microsoft.com/office/drawing/2014/main" id="{0F533B8E-4686-4531-A99C-A378FD117EB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59" name="Text Box 3">
          <a:extLst>
            <a:ext uri="{FF2B5EF4-FFF2-40B4-BE49-F238E27FC236}">
              <a16:creationId xmlns:a16="http://schemas.microsoft.com/office/drawing/2014/main" id="{60989FBA-4FB3-439A-AA07-A15A47B4890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60" name="Text Box 32">
          <a:extLst>
            <a:ext uri="{FF2B5EF4-FFF2-40B4-BE49-F238E27FC236}">
              <a16:creationId xmlns:a16="http://schemas.microsoft.com/office/drawing/2014/main" id="{C9C79DA2-E9B4-4D03-8D9F-B1A93F350E4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61" name="Text Box 3">
          <a:extLst>
            <a:ext uri="{FF2B5EF4-FFF2-40B4-BE49-F238E27FC236}">
              <a16:creationId xmlns:a16="http://schemas.microsoft.com/office/drawing/2014/main" id="{BA0EBD02-4614-44D2-A91C-959296F6107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62" name="Text Box 63">
          <a:extLst>
            <a:ext uri="{FF2B5EF4-FFF2-40B4-BE49-F238E27FC236}">
              <a16:creationId xmlns:a16="http://schemas.microsoft.com/office/drawing/2014/main" id="{9A42E5A0-9A92-426E-B793-D978C5187AF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63" name="Text Box 3">
          <a:extLst>
            <a:ext uri="{FF2B5EF4-FFF2-40B4-BE49-F238E27FC236}">
              <a16:creationId xmlns:a16="http://schemas.microsoft.com/office/drawing/2014/main" id="{D35C980D-8BCF-483C-BF4C-1F858AE95AF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64" name="Text Box 32">
          <a:extLst>
            <a:ext uri="{FF2B5EF4-FFF2-40B4-BE49-F238E27FC236}">
              <a16:creationId xmlns:a16="http://schemas.microsoft.com/office/drawing/2014/main" id="{EE375ED4-5527-4A47-9F08-58D9930B54F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65" name="Text Box 3">
          <a:extLst>
            <a:ext uri="{FF2B5EF4-FFF2-40B4-BE49-F238E27FC236}">
              <a16:creationId xmlns:a16="http://schemas.microsoft.com/office/drawing/2014/main" id="{F8076B82-3F63-48AE-85C8-0AEE1FBF6D1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66" name="Text Box 63">
          <a:extLst>
            <a:ext uri="{FF2B5EF4-FFF2-40B4-BE49-F238E27FC236}">
              <a16:creationId xmlns:a16="http://schemas.microsoft.com/office/drawing/2014/main" id="{CD340AE7-D271-4397-9490-08F66CB3224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67" name="Text Box 3">
          <a:extLst>
            <a:ext uri="{FF2B5EF4-FFF2-40B4-BE49-F238E27FC236}">
              <a16:creationId xmlns:a16="http://schemas.microsoft.com/office/drawing/2014/main" id="{81C45A76-53A2-433A-A6FD-C2C30C8B3D5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68" name="Text Box 32">
          <a:extLst>
            <a:ext uri="{FF2B5EF4-FFF2-40B4-BE49-F238E27FC236}">
              <a16:creationId xmlns:a16="http://schemas.microsoft.com/office/drawing/2014/main" id="{B4F816EC-8DBC-4D65-99D0-91B80A85774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69" name="Text Box 3">
          <a:extLst>
            <a:ext uri="{FF2B5EF4-FFF2-40B4-BE49-F238E27FC236}">
              <a16:creationId xmlns:a16="http://schemas.microsoft.com/office/drawing/2014/main" id="{2D625EDD-1010-43F5-B309-6C3675533F2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70" name="Text Box 63">
          <a:extLst>
            <a:ext uri="{FF2B5EF4-FFF2-40B4-BE49-F238E27FC236}">
              <a16:creationId xmlns:a16="http://schemas.microsoft.com/office/drawing/2014/main" id="{9C19B487-8EC1-48D2-8FA1-63CC55E5BB3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71" name="Text Box 3">
          <a:extLst>
            <a:ext uri="{FF2B5EF4-FFF2-40B4-BE49-F238E27FC236}">
              <a16:creationId xmlns:a16="http://schemas.microsoft.com/office/drawing/2014/main" id="{0F476DAE-9705-400C-A3ED-9320C82F7AF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72" name="Text Box 32">
          <a:extLst>
            <a:ext uri="{FF2B5EF4-FFF2-40B4-BE49-F238E27FC236}">
              <a16:creationId xmlns:a16="http://schemas.microsoft.com/office/drawing/2014/main" id="{7ED5C19F-6A2A-4839-9AA8-27F457B0152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73" name="Text Box 3">
          <a:extLst>
            <a:ext uri="{FF2B5EF4-FFF2-40B4-BE49-F238E27FC236}">
              <a16:creationId xmlns:a16="http://schemas.microsoft.com/office/drawing/2014/main" id="{C9C7F7A6-905B-4DFB-8A3E-767A67426B1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74" name="Text Box 63">
          <a:extLst>
            <a:ext uri="{FF2B5EF4-FFF2-40B4-BE49-F238E27FC236}">
              <a16:creationId xmlns:a16="http://schemas.microsoft.com/office/drawing/2014/main" id="{69FBB84B-3FE2-47B1-A6DE-7985F4DA16D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75" name="Text Box 3">
          <a:extLst>
            <a:ext uri="{FF2B5EF4-FFF2-40B4-BE49-F238E27FC236}">
              <a16:creationId xmlns:a16="http://schemas.microsoft.com/office/drawing/2014/main" id="{B69097F0-9673-4354-906C-D6262E12F45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76" name="Text Box 32">
          <a:extLst>
            <a:ext uri="{FF2B5EF4-FFF2-40B4-BE49-F238E27FC236}">
              <a16:creationId xmlns:a16="http://schemas.microsoft.com/office/drawing/2014/main" id="{D13493F5-58C4-4B39-96F5-66E49AF0D8C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77" name="Text Box 3">
          <a:extLst>
            <a:ext uri="{FF2B5EF4-FFF2-40B4-BE49-F238E27FC236}">
              <a16:creationId xmlns:a16="http://schemas.microsoft.com/office/drawing/2014/main" id="{9B3EC9FD-C8B5-4DDB-A146-F8DE11F9568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78" name="Text Box 63">
          <a:extLst>
            <a:ext uri="{FF2B5EF4-FFF2-40B4-BE49-F238E27FC236}">
              <a16:creationId xmlns:a16="http://schemas.microsoft.com/office/drawing/2014/main" id="{64423391-5E63-48A5-B84E-F3F22F3AC40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79" name="Text Box 3">
          <a:extLst>
            <a:ext uri="{FF2B5EF4-FFF2-40B4-BE49-F238E27FC236}">
              <a16:creationId xmlns:a16="http://schemas.microsoft.com/office/drawing/2014/main" id="{2183B686-E9B3-4F35-B2F9-00904F770D8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0" name="Text Box 32">
          <a:extLst>
            <a:ext uri="{FF2B5EF4-FFF2-40B4-BE49-F238E27FC236}">
              <a16:creationId xmlns:a16="http://schemas.microsoft.com/office/drawing/2014/main" id="{63757CF6-909A-4830-8AF0-058F201017F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81" name="Text Box 3">
          <a:extLst>
            <a:ext uri="{FF2B5EF4-FFF2-40B4-BE49-F238E27FC236}">
              <a16:creationId xmlns:a16="http://schemas.microsoft.com/office/drawing/2014/main" id="{8E1A87EC-9F81-4B76-AF24-A32B7A6CEA7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2" name="Text Box 63">
          <a:extLst>
            <a:ext uri="{FF2B5EF4-FFF2-40B4-BE49-F238E27FC236}">
              <a16:creationId xmlns:a16="http://schemas.microsoft.com/office/drawing/2014/main" id="{13340DE7-61E2-4C0E-9113-447CC2B9A1B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83" name="Text Box 3">
          <a:extLst>
            <a:ext uri="{FF2B5EF4-FFF2-40B4-BE49-F238E27FC236}">
              <a16:creationId xmlns:a16="http://schemas.microsoft.com/office/drawing/2014/main" id="{C7717E0F-8536-4F4F-9945-7C4BE49CF5D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4" name="Text Box 32">
          <a:extLst>
            <a:ext uri="{FF2B5EF4-FFF2-40B4-BE49-F238E27FC236}">
              <a16:creationId xmlns:a16="http://schemas.microsoft.com/office/drawing/2014/main" id="{896DD2F8-B13F-47CF-ADE7-5535C7639CF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85" name="Text Box 3">
          <a:extLst>
            <a:ext uri="{FF2B5EF4-FFF2-40B4-BE49-F238E27FC236}">
              <a16:creationId xmlns:a16="http://schemas.microsoft.com/office/drawing/2014/main" id="{10BCA623-03CB-4FD0-BB8F-C3018D25F4C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6" name="Text Box 63">
          <a:extLst>
            <a:ext uri="{FF2B5EF4-FFF2-40B4-BE49-F238E27FC236}">
              <a16:creationId xmlns:a16="http://schemas.microsoft.com/office/drawing/2014/main" id="{C22C8DA6-14A1-4D1F-9DE4-45310572DE9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7" name="Text Box 32">
          <a:extLst>
            <a:ext uri="{FF2B5EF4-FFF2-40B4-BE49-F238E27FC236}">
              <a16:creationId xmlns:a16="http://schemas.microsoft.com/office/drawing/2014/main" id="{FDA5C922-D8F3-436B-9E17-11C1F95293C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88" name="Text Box 3">
          <a:extLst>
            <a:ext uri="{FF2B5EF4-FFF2-40B4-BE49-F238E27FC236}">
              <a16:creationId xmlns:a16="http://schemas.microsoft.com/office/drawing/2014/main" id="{7E9646DC-8625-4221-BFC1-541A732319A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9" name="Text Box 63">
          <a:extLst>
            <a:ext uri="{FF2B5EF4-FFF2-40B4-BE49-F238E27FC236}">
              <a16:creationId xmlns:a16="http://schemas.microsoft.com/office/drawing/2014/main" id="{735CD049-4129-4961-855D-782C81C91F5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90" name="Text Box 3">
          <a:extLst>
            <a:ext uri="{FF2B5EF4-FFF2-40B4-BE49-F238E27FC236}">
              <a16:creationId xmlns:a16="http://schemas.microsoft.com/office/drawing/2014/main" id="{9FEB98AE-9A5C-4EA4-878F-DEEDF996021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91" name="Text Box 32">
          <a:extLst>
            <a:ext uri="{FF2B5EF4-FFF2-40B4-BE49-F238E27FC236}">
              <a16:creationId xmlns:a16="http://schemas.microsoft.com/office/drawing/2014/main" id="{AEE3FD5C-6FB5-4679-A326-1231322FBDB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92" name="Text Box 3">
          <a:extLst>
            <a:ext uri="{FF2B5EF4-FFF2-40B4-BE49-F238E27FC236}">
              <a16:creationId xmlns:a16="http://schemas.microsoft.com/office/drawing/2014/main" id="{3C0C57B8-B9B8-49FE-981D-3DA48120CBF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93" name="Text Box 63">
          <a:extLst>
            <a:ext uri="{FF2B5EF4-FFF2-40B4-BE49-F238E27FC236}">
              <a16:creationId xmlns:a16="http://schemas.microsoft.com/office/drawing/2014/main" id="{6D6734BD-01D6-4DC0-9F84-1BFE78C39CE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94" name="Text Box 3">
          <a:extLst>
            <a:ext uri="{FF2B5EF4-FFF2-40B4-BE49-F238E27FC236}">
              <a16:creationId xmlns:a16="http://schemas.microsoft.com/office/drawing/2014/main" id="{4C29FA6F-78B7-4276-8E62-BC18B54F5EB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95" name="Text Box 32">
          <a:extLst>
            <a:ext uri="{FF2B5EF4-FFF2-40B4-BE49-F238E27FC236}">
              <a16:creationId xmlns:a16="http://schemas.microsoft.com/office/drawing/2014/main" id="{93093392-B568-45CD-849B-81526456EA9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96" name="Text Box 3">
          <a:extLst>
            <a:ext uri="{FF2B5EF4-FFF2-40B4-BE49-F238E27FC236}">
              <a16:creationId xmlns:a16="http://schemas.microsoft.com/office/drawing/2014/main" id="{339477C0-04E2-4312-BF7B-ADC9253E943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97" name="Text Box 63">
          <a:extLst>
            <a:ext uri="{FF2B5EF4-FFF2-40B4-BE49-F238E27FC236}">
              <a16:creationId xmlns:a16="http://schemas.microsoft.com/office/drawing/2014/main" id="{B4DB5DE9-D308-4228-88E7-498B5682B67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98" name="Text Box 3">
          <a:extLst>
            <a:ext uri="{FF2B5EF4-FFF2-40B4-BE49-F238E27FC236}">
              <a16:creationId xmlns:a16="http://schemas.microsoft.com/office/drawing/2014/main" id="{82A2B97D-1B77-48B4-8621-683029E4BB4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99" name="Text Box 32">
          <a:extLst>
            <a:ext uri="{FF2B5EF4-FFF2-40B4-BE49-F238E27FC236}">
              <a16:creationId xmlns:a16="http://schemas.microsoft.com/office/drawing/2014/main" id="{0988EC10-3719-4E23-A24C-3787D75A3B6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00" name="Text Box 3">
          <a:extLst>
            <a:ext uri="{FF2B5EF4-FFF2-40B4-BE49-F238E27FC236}">
              <a16:creationId xmlns:a16="http://schemas.microsoft.com/office/drawing/2014/main" id="{FC1E9C58-4E73-46F5-B2CF-B4023161AE1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01" name="Text Box 63">
          <a:extLst>
            <a:ext uri="{FF2B5EF4-FFF2-40B4-BE49-F238E27FC236}">
              <a16:creationId xmlns:a16="http://schemas.microsoft.com/office/drawing/2014/main" id="{03DFF476-D5D1-4E7A-A9DD-85C42B5C64D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02" name="Text Box 3">
          <a:extLst>
            <a:ext uri="{FF2B5EF4-FFF2-40B4-BE49-F238E27FC236}">
              <a16:creationId xmlns:a16="http://schemas.microsoft.com/office/drawing/2014/main" id="{95ED182E-FC67-453F-92E2-DFA49E95D70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03" name="Text Box 32">
          <a:extLst>
            <a:ext uri="{FF2B5EF4-FFF2-40B4-BE49-F238E27FC236}">
              <a16:creationId xmlns:a16="http://schemas.microsoft.com/office/drawing/2014/main" id="{4CC33D24-4A2A-4C97-9672-6949971FF37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04" name="Text Box 3">
          <a:extLst>
            <a:ext uri="{FF2B5EF4-FFF2-40B4-BE49-F238E27FC236}">
              <a16:creationId xmlns:a16="http://schemas.microsoft.com/office/drawing/2014/main" id="{B26791F6-4ED4-4C75-A8BB-AD1D177BD36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05" name="Text Box 63">
          <a:extLst>
            <a:ext uri="{FF2B5EF4-FFF2-40B4-BE49-F238E27FC236}">
              <a16:creationId xmlns:a16="http://schemas.microsoft.com/office/drawing/2014/main" id="{5DF09CAC-F8A1-4577-9744-D44A5E058CD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06" name="Text Box 3">
          <a:extLst>
            <a:ext uri="{FF2B5EF4-FFF2-40B4-BE49-F238E27FC236}">
              <a16:creationId xmlns:a16="http://schemas.microsoft.com/office/drawing/2014/main" id="{096DC5FE-4B75-4B25-B7A3-E84D1D05AB5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07" name="Text Box 32">
          <a:extLst>
            <a:ext uri="{FF2B5EF4-FFF2-40B4-BE49-F238E27FC236}">
              <a16:creationId xmlns:a16="http://schemas.microsoft.com/office/drawing/2014/main" id="{44EBEF02-BDD7-46FB-9889-D414AFEAC42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08" name="Text Box 3">
          <a:extLst>
            <a:ext uri="{FF2B5EF4-FFF2-40B4-BE49-F238E27FC236}">
              <a16:creationId xmlns:a16="http://schemas.microsoft.com/office/drawing/2014/main" id="{C7F83D11-DB9A-4EB0-9B82-8A952D4D6A0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09" name="Text Box 63">
          <a:extLst>
            <a:ext uri="{FF2B5EF4-FFF2-40B4-BE49-F238E27FC236}">
              <a16:creationId xmlns:a16="http://schemas.microsoft.com/office/drawing/2014/main" id="{E1AE6193-38E0-4A7C-B257-31350462220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10" name="Text Box 3">
          <a:extLst>
            <a:ext uri="{FF2B5EF4-FFF2-40B4-BE49-F238E27FC236}">
              <a16:creationId xmlns:a16="http://schemas.microsoft.com/office/drawing/2014/main" id="{66A2A89D-7F6F-419C-976B-9427BBC935D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11" name="Text Box 32">
          <a:extLst>
            <a:ext uri="{FF2B5EF4-FFF2-40B4-BE49-F238E27FC236}">
              <a16:creationId xmlns:a16="http://schemas.microsoft.com/office/drawing/2014/main" id="{DC026580-D4EE-484C-BD3F-89353C46800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12" name="Text Box 3">
          <a:extLst>
            <a:ext uri="{FF2B5EF4-FFF2-40B4-BE49-F238E27FC236}">
              <a16:creationId xmlns:a16="http://schemas.microsoft.com/office/drawing/2014/main" id="{522AC650-D4BE-42AD-B336-BFEF12FF814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13" name="Text Box 63">
          <a:extLst>
            <a:ext uri="{FF2B5EF4-FFF2-40B4-BE49-F238E27FC236}">
              <a16:creationId xmlns:a16="http://schemas.microsoft.com/office/drawing/2014/main" id="{6668A4AD-7C99-4548-9F65-2351E40CADB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14" name="Text Box 3">
          <a:extLst>
            <a:ext uri="{FF2B5EF4-FFF2-40B4-BE49-F238E27FC236}">
              <a16:creationId xmlns:a16="http://schemas.microsoft.com/office/drawing/2014/main" id="{F774FB9F-3F73-4C26-8EC8-E50228FFCB1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15" name="Text Box 32">
          <a:extLst>
            <a:ext uri="{FF2B5EF4-FFF2-40B4-BE49-F238E27FC236}">
              <a16:creationId xmlns:a16="http://schemas.microsoft.com/office/drawing/2014/main" id="{EFBE8F83-ECE6-4317-8136-E6206465F16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16" name="Text Box 3">
          <a:extLst>
            <a:ext uri="{FF2B5EF4-FFF2-40B4-BE49-F238E27FC236}">
              <a16:creationId xmlns:a16="http://schemas.microsoft.com/office/drawing/2014/main" id="{96E84970-B844-4085-9754-D8E0EC4F26F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17" name="Text Box 63">
          <a:extLst>
            <a:ext uri="{FF2B5EF4-FFF2-40B4-BE49-F238E27FC236}">
              <a16:creationId xmlns:a16="http://schemas.microsoft.com/office/drawing/2014/main" id="{77819754-1421-4173-BBBD-90E29D269C1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18" name="Text Box 3">
          <a:extLst>
            <a:ext uri="{FF2B5EF4-FFF2-40B4-BE49-F238E27FC236}">
              <a16:creationId xmlns:a16="http://schemas.microsoft.com/office/drawing/2014/main" id="{E6DC6BAA-3E88-420C-A696-118BE11345B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19" name="Text Box 32">
          <a:extLst>
            <a:ext uri="{FF2B5EF4-FFF2-40B4-BE49-F238E27FC236}">
              <a16:creationId xmlns:a16="http://schemas.microsoft.com/office/drawing/2014/main" id="{18396579-D86A-4230-9759-416A4B04756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20" name="Text Box 3">
          <a:extLst>
            <a:ext uri="{FF2B5EF4-FFF2-40B4-BE49-F238E27FC236}">
              <a16:creationId xmlns:a16="http://schemas.microsoft.com/office/drawing/2014/main" id="{35C42553-808E-4B14-857D-B75B61E9776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21" name="Text Box 63">
          <a:extLst>
            <a:ext uri="{FF2B5EF4-FFF2-40B4-BE49-F238E27FC236}">
              <a16:creationId xmlns:a16="http://schemas.microsoft.com/office/drawing/2014/main" id="{5D2ABFA1-427F-4DC6-AB1A-6CF272EFB57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22" name="Text Box 3">
          <a:extLst>
            <a:ext uri="{FF2B5EF4-FFF2-40B4-BE49-F238E27FC236}">
              <a16:creationId xmlns:a16="http://schemas.microsoft.com/office/drawing/2014/main" id="{140B1DE1-5A84-4339-ABA2-342520C1BB0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23" name="Text Box 32">
          <a:extLst>
            <a:ext uri="{FF2B5EF4-FFF2-40B4-BE49-F238E27FC236}">
              <a16:creationId xmlns:a16="http://schemas.microsoft.com/office/drawing/2014/main" id="{032A0D6B-CF03-4043-A71C-B9E69DE62B3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24" name="Text Box 3">
          <a:extLst>
            <a:ext uri="{FF2B5EF4-FFF2-40B4-BE49-F238E27FC236}">
              <a16:creationId xmlns:a16="http://schemas.microsoft.com/office/drawing/2014/main" id="{738722A1-AB72-4D9E-8C83-C5A3DB2DE89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25" name="Text Box 63">
          <a:extLst>
            <a:ext uri="{FF2B5EF4-FFF2-40B4-BE49-F238E27FC236}">
              <a16:creationId xmlns:a16="http://schemas.microsoft.com/office/drawing/2014/main" id="{4F9B41C4-FD16-4779-823A-9A9AC65106D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26" name="Text Box 3">
          <a:extLst>
            <a:ext uri="{FF2B5EF4-FFF2-40B4-BE49-F238E27FC236}">
              <a16:creationId xmlns:a16="http://schemas.microsoft.com/office/drawing/2014/main" id="{3B4A17E2-CF91-4B83-A124-6C2A6540CA0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27" name="Text Box 32">
          <a:extLst>
            <a:ext uri="{FF2B5EF4-FFF2-40B4-BE49-F238E27FC236}">
              <a16:creationId xmlns:a16="http://schemas.microsoft.com/office/drawing/2014/main" id="{2FD3DDFA-E67B-4B8A-A9CA-71819A05DD0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28" name="Text Box 3">
          <a:extLst>
            <a:ext uri="{FF2B5EF4-FFF2-40B4-BE49-F238E27FC236}">
              <a16:creationId xmlns:a16="http://schemas.microsoft.com/office/drawing/2014/main" id="{6D0705DC-7F59-4E61-99F3-480738A4DED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29" name="Text Box 63">
          <a:extLst>
            <a:ext uri="{FF2B5EF4-FFF2-40B4-BE49-F238E27FC236}">
              <a16:creationId xmlns:a16="http://schemas.microsoft.com/office/drawing/2014/main" id="{017C73EE-BA34-451A-A490-FDDFCFA93A7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30" name="Text Box 3">
          <a:extLst>
            <a:ext uri="{FF2B5EF4-FFF2-40B4-BE49-F238E27FC236}">
              <a16:creationId xmlns:a16="http://schemas.microsoft.com/office/drawing/2014/main" id="{9ECF3140-671C-488D-8244-3A4C216A82B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31" name="Text Box 32">
          <a:extLst>
            <a:ext uri="{FF2B5EF4-FFF2-40B4-BE49-F238E27FC236}">
              <a16:creationId xmlns:a16="http://schemas.microsoft.com/office/drawing/2014/main" id="{0B1322D8-DCA2-4E4C-80C3-0B2CB1A8AC7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32" name="Text Box 3">
          <a:extLst>
            <a:ext uri="{FF2B5EF4-FFF2-40B4-BE49-F238E27FC236}">
              <a16:creationId xmlns:a16="http://schemas.microsoft.com/office/drawing/2014/main" id="{36D3A75E-EEDC-44C6-9AEE-3BF5E6977A8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33" name="Text Box 63">
          <a:extLst>
            <a:ext uri="{FF2B5EF4-FFF2-40B4-BE49-F238E27FC236}">
              <a16:creationId xmlns:a16="http://schemas.microsoft.com/office/drawing/2014/main" id="{D32ACA7C-72B8-4E26-A65F-F6FBC5AAB71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34" name="Text Box 3">
          <a:extLst>
            <a:ext uri="{FF2B5EF4-FFF2-40B4-BE49-F238E27FC236}">
              <a16:creationId xmlns:a16="http://schemas.microsoft.com/office/drawing/2014/main" id="{6D0BD1E0-2D37-483F-B7AF-60FA0D32EE1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35" name="Text Box 32">
          <a:extLst>
            <a:ext uri="{FF2B5EF4-FFF2-40B4-BE49-F238E27FC236}">
              <a16:creationId xmlns:a16="http://schemas.microsoft.com/office/drawing/2014/main" id="{808CF491-06AE-4043-B41F-75D14AB22B3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36" name="Text Box 3">
          <a:extLst>
            <a:ext uri="{FF2B5EF4-FFF2-40B4-BE49-F238E27FC236}">
              <a16:creationId xmlns:a16="http://schemas.microsoft.com/office/drawing/2014/main" id="{86CC0AB4-1496-4718-B99A-54BDA78B8DC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37" name="Text Box 63">
          <a:extLst>
            <a:ext uri="{FF2B5EF4-FFF2-40B4-BE49-F238E27FC236}">
              <a16:creationId xmlns:a16="http://schemas.microsoft.com/office/drawing/2014/main" id="{43B8015F-9C0B-4C67-8FCC-6E5F6C207AA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38" name="Text Box 3">
          <a:extLst>
            <a:ext uri="{FF2B5EF4-FFF2-40B4-BE49-F238E27FC236}">
              <a16:creationId xmlns:a16="http://schemas.microsoft.com/office/drawing/2014/main" id="{6CD28409-3066-4762-8E43-D3E1BED4EBA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39" name="Text Box 32">
          <a:extLst>
            <a:ext uri="{FF2B5EF4-FFF2-40B4-BE49-F238E27FC236}">
              <a16:creationId xmlns:a16="http://schemas.microsoft.com/office/drawing/2014/main" id="{FBBE9E0A-2A05-4820-86F9-F13C012D9B2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40" name="Text Box 3">
          <a:extLst>
            <a:ext uri="{FF2B5EF4-FFF2-40B4-BE49-F238E27FC236}">
              <a16:creationId xmlns:a16="http://schemas.microsoft.com/office/drawing/2014/main" id="{8167D780-4956-499E-BB18-E2A7C09617D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41" name="Text Box 63">
          <a:extLst>
            <a:ext uri="{FF2B5EF4-FFF2-40B4-BE49-F238E27FC236}">
              <a16:creationId xmlns:a16="http://schemas.microsoft.com/office/drawing/2014/main" id="{25882FA0-79E1-47A1-942B-8CD4AD3942A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42" name="Text Box 3">
          <a:extLst>
            <a:ext uri="{FF2B5EF4-FFF2-40B4-BE49-F238E27FC236}">
              <a16:creationId xmlns:a16="http://schemas.microsoft.com/office/drawing/2014/main" id="{2B2E61C1-43E9-4C11-A23E-5F81759D3FC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43" name="Text Box 32">
          <a:extLst>
            <a:ext uri="{FF2B5EF4-FFF2-40B4-BE49-F238E27FC236}">
              <a16:creationId xmlns:a16="http://schemas.microsoft.com/office/drawing/2014/main" id="{10CD58CC-50D7-4E56-B7C4-49712C4AA6E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44" name="Text Box 3">
          <a:extLst>
            <a:ext uri="{FF2B5EF4-FFF2-40B4-BE49-F238E27FC236}">
              <a16:creationId xmlns:a16="http://schemas.microsoft.com/office/drawing/2014/main" id="{7BCF6022-8834-499B-8512-C63FDE9E16B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45" name="Text Box 63">
          <a:extLst>
            <a:ext uri="{FF2B5EF4-FFF2-40B4-BE49-F238E27FC236}">
              <a16:creationId xmlns:a16="http://schemas.microsoft.com/office/drawing/2014/main" id="{F9293B5B-6DC2-4B62-9132-B76B19CFA78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46" name="Text Box 3">
          <a:extLst>
            <a:ext uri="{FF2B5EF4-FFF2-40B4-BE49-F238E27FC236}">
              <a16:creationId xmlns:a16="http://schemas.microsoft.com/office/drawing/2014/main" id="{2B7050BB-6F4B-46C5-8035-C717FDB2E85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47" name="Text Box 32">
          <a:extLst>
            <a:ext uri="{FF2B5EF4-FFF2-40B4-BE49-F238E27FC236}">
              <a16:creationId xmlns:a16="http://schemas.microsoft.com/office/drawing/2014/main" id="{5691825A-E72E-4866-A0E5-94D937D842E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48" name="Text Box 3">
          <a:extLst>
            <a:ext uri="{FF2B5EF4-FFF2-40B4-BE49-F238E27FC236}">
              <a16:creationId xmlns:a16="http://schemas.microsoft.com/office/drawing/2014/main" id="{8D51E5F7-BB54-42F9-8D95-A3403A584AE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49" name="Text Box 63">
          <a:extLst>
            <a:ext uri="{FF2B5EF4-FFF2-40B4-BE49-F238E27FC236}">
              <a16:creationId xmlns:a16="http://schemas.microsoft.com/office/drawing/2014/main" id="{4A5EF3DA-DCC9-466C-A495-0B8D2C9C79E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50" name="Text Box 3">
          <a:extLst>
            <a:ext uri="{FF2B5EF4-FFF2-40B4-BE49-F238E27FC236}">
              <a16:creationId xmlns:a16="http://schemas.microsoft.com/office/drawing/2014/main" id="{1E2027BC-84F9-4E57-8C91-AD925B3D661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51" name="Text Box 32">
          <a:extLst>
            <a:ext uri="{FF2B5EF4-FFF2-40B4-BE49-F238E27FC236}">
              <a16:creationId xmlns:a16="http://schemas.microsoft.com/office/drawing/2014/main" id="{9BD6F96A-3562-4371-9EFF-27C6DD9A533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52" name="Text Box 3">
          <a:extLst>
            <a:ext uri="{FF2B5EF4-FFF2-40B4-BE49-F238E27FC236}">
              <a16:creationId xmlns:a16="http://schemas.microsoft.com/office/drawing/2014/main" id="{5E35F523-80DC-4F00-8207-0B247373B23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53" name="Text Box 63">
          <a:extLst>
            <a:ext uri="{FF2B5EF4-FFF2-40B4-BE49-F238E27FC236}">
              <a16:creationId xmlns:a16="http://schemas.microsoft.com/office/drawing/2014/main" id="{A0980B24-CFE4-4C66-8F6F-1110BA281CD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54" name="Text Box 3">
          <a:extLst>
            <a:ext uri="{FF2B5EF4-FFF2-40B4-BE49-F238E27FC236}">
              <a16:creationId xmlns:a16="http://schemas.microsoft.com/office/drawing/2014/main" id="{2C9C95A9-5A1E-49FC-8C00-E67F997CBCB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55" name="Text Box 32">
          <a:extLst>
            <a:ext uri="{FF2B5EF4-FFF2-40B4-BE49-F238E27FC236}">
              <a16:creationId xmlns:a16="http://schemas.microsoft.com/office/drawing/2014/main" id="{A39A5D49-6E09-429B-9EFD-85207A4CC73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56" name="Text Box 3">
          <a:extLst>
            <a:ext uri="{FF2B5EF4-FFF2-40B4-BE49-F238E27FC236}">
              <a16:creationId xmlns:a16="http://schemas.microsoft.com/office/drawing/2014/main" id="{DE36DB49-7AF6-4529-827B-6D159E2B351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57" name="Text Box 63">
          <a:extLst>
            <a:ext uri="{FF2B5EF4-FFF2-40B4-BE49-F238E27FC236}">
              <a16:creationId xmlns:a16="http://schemas.microsoft.com/office/drawing/2014/main" id="{F7207112-13F0-4D52-9B1B-A1989FADDDC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58" name="Text Box 3">
          <a:extLst>
            <a:ext uri="{FF2B5EF4-FFF2-40B4-BE49-F238E27FC236}">
              <a16:creationId xmlns:a16="http://schemas.microsoft.com/office/drawing/2014/main" id="{C21961BA-2612-4ECB-BC3C-EE19923235A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59" name="Text Box 32">
          <a:extLst>
            <a:ext uri="{FF2B5EF4-FFF2-40B4-BE49-F238E27FC236}">
              <a16:creationId xmlns:a16="http://schemas.microsoft.com/office/drawing/2014/main" id="{ED33297D-450F-4F33-B06A-0EA9E372150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60" name="Text Box 3">
          <a:extLst>
            <a:ext uri="{FF2B5EF4-FFF2-40B4-BE49-F238E27FC236}">
              <a16:creationId xmlns:a16="http://schemas.microsoft.com/office/drawing/2014/main" id="{448F42C1-953B-4393-B275-5C800C330FA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61" name="Text Box 63">
          <a:extLst>
            <a:ext uri="{FF2B5EF4-FFF2-40B4-BE49-F238E27FC236}">
              <a16:creationId xmlns:a16="http://schemas.microsoft.com/office/drawing/2014/main" id="{5D0D99C9-A731-4380-8CB9-6D11AFE2658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62" name="Text Box 3">
          <a:extLst>
            <a:ext uri="{FF2B5EF4-FFF2-40B4-BE49-F238E27FC236}">
              <a16:creationId xmlns:a16="http://schemas.microsoft.com/office/drawing/2014/main" id="{03426A3A-5793-47E9-ADA1-0542D3A8138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63" name="Text Box 32">
          <a:extLst>
            <a:ext uri="{FF2B5EF4-FFF2-40B4-BE49-F238E27FC236}">
              <a16:creationId xmlns:a16="http://schemas.microsoft.com/office/drawing/2014/main" id="{C9127273-A83D-4299-A615-D6BB3C14C90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64" name="Text Box 3">
          <a:extLst>
            <a:ext uri="{FF2B5EF4-FFF2-40B4-BE49-F238E27FC236}">
              <a16:creationId xmlns:a16="http://schemas.microsoft.com/office/drawing/2014/main" id="{704E45D8-607D-4EC6-80E5-623EED1B2AF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65" name="Text Box 63">
          <a:extLst>
            <a:ext uri="{FF2B5EF4-FFF2-40B4-BE49-F238E27FC236}">
              <a16:creationId xmlns:a16="http://schemas.microsoft.com/office/drawing/2014/main" id="{B2B845E6-3FB0-4A94-80DF-323D1737098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66" name="Text Box 3">
          <a:extLst>
            <a:ext uri="{FF2B5EF4-FFF2-40B4-BE49-F238E27FC236}">
              <a16:creationId xmlns:a16="http://schemas.microsoft.com/office/drawing/2014/main" id="{FA5D9FAF-CDD1-4762-B720-8D0A8DEF297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67" name="Text Box 32">
          <a:extLst>
            <a:ext uri="{FF2B5EF4-FFF2-40B4-BE49-F238E27FC236}">
              <a16:creationId xmlns:a16="http://schemas.microsoft.com/office/drawing/2014/main" id="{8B12B382-C886-4B19-B306-DB28AFDDD82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68" name="Text Box 3">
          <a:extLst>
            <a:ext uri="{FF2B5EF4-FFF2-40B4-BE49-F238E27FC236}">
              <a16:creationId xmlns:a16="http://schemas.microsoft.com/office/drawing/2014/main" id="{14C9D970-7BEA-4E1A-8F12-29620466D55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69" name="Text Box 63">
          <a:extLst>
            <a:ext uri="{FF2B5EF4-FFF2-40B4-BE49-F238E27FC236}">
              <a16:creationId xmlns:a16="http://schemas.microsoft.com/office/drawing/2014/main" id="{B83479AE-5C38-4F34-986A-91890B58D39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70" name="Text Box 3">
          <a:extLst>
            <a:ext uri="{FF2B5EF4-FFF2-40B4-BE49-F238E27FC236}">
              <a16:creationId xmlns:a16="http://schemas.microsoft.com/office/drawing/2014/main" id="{73BC8A3C-F617-4DE6-B1A8-D2918EC5391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71" name="Text Box 32">
          <a:extLst>
            <a:ext uri="{FF2B5EF4-FFF2-40B4-BE49-F238E27FC236}">
              <a16:creationId xmlns:a16="http://schemas.microsoft.com/office/drawing/2014/main" id="{07AC5EDC-0FD7-4F17-8678-2DBEA5ADDCD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72" name="Text Box 3">
          <a:extLst>
            <a:ext uri="{FF2B5EF4-FFF2-40B4-BE49-F238E27FC236}">
              <a16:creationId xmlns:a16="http://schemas.microsoft.com/office/drawing/2014/main" id="{5F1D22CB-6C96-413D-978C-5A0EB16D6CF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73" name="Text Box 63">
          <a:extLst>
            <a:ext uri="{FF2B5EF4-FFF2-40B4-BE49-F238E27FC236}">
              <a16:creationId xmlns:a16="http://schemas.microsoft.com/office/drawing/2014/main" id="{7C09882E-0257-4F0D-95B9-54580C79852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74" name="Text Box 3">
          <a:extLst>
            <a:ext uri="{FF2B5EF4-FFF2-40B4-BE49-F238E27FC236}">
              <a16:creationId xmlns:a16="http://schemas.microsoft.com/office/drawing/2014/main" id="{6AB10BC1-C30B-47AC-9FAA-0F0D7744F36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75" name="Text Box 32">
          <a:extLst>
            <a:ext uri="{FF2B5EF4-FFF2-40B4-BE49-F238E27FC236}">
              <a16:creationId xmlns:a16="http://schemas.microsoft.com/office/drawing/2014/main" id="{EE263B49-4A17-4132-9449-44620DF3130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76" name="Text Box 3">
          <a:extLst>
            <a:ext uri="{FF2B5EF4-FFF2-40B4-BE49-F238E27FC236}">
              <a16:creationId xmlns:a16="http://schemas.microsoft.com/office/drawing/2014/main" id="{8C3794D1-44F2-4503-9820-70E124A6F5B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77" name="Text Box 63">
          <a:extLst>
            <a:ext uri="{FF2B5EF4-FFF2-40B4-BE49-F238E27FC236}">
              <a16:creationId xmlns:a16="http://schemas.microsoft.com/office/drawing/2014/main" id="{3D13EA26-43EB-439E-A351-34F7CA3B910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78" name="Text Box 3">
          <a:extLst>
            <a:ext uri="{FF2B5EF4-FFF2-40B4-BE49-F238E27FC236}">
              <a16:creationId xmlns:a16="http://schemas.microsoft.com/office/drawing/2014/main" id="{CF54F788-E8BD-4DE6-8FBB-4803D09D809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79" name="Text Box 32">
          <a:extLst>
            <a:ext uri="{FF2B5EF4-FFF2-40B4-BE49-F238E27FC236}">
              <a16:creationId xmlns:a16="http://schemas.microsoft.com/office/drawing/2014/main" id="{F708AEE6-20D3-4342-9DC3-EAB3D49D4C8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80" name="Text Box 3">
          <a:extLst>
            <a:ext uri="{FF2B5EF4-FFF2-40B4-BE49-F238E27FC236}">
              <a16:creationId xmlns:a16="http://schemas.microsoft.com/office/drawing/2014/main" id="{1D3DFAFC-3574-414C-AC9C-B7B1E384DD6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81" name="Text Box 63">
          <a:extLst>
            <a:ext uri="{FF2B5EF4-FFF2-40B4-BE49-F238E27FC236}">
              <a16:creationId xmlns:a16="http://schemas.microsoft.com/office/drawing/2014/main" id="{80E87476-3783-49B5-BB0D-85748711B72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82" name="Text Box 3">
          <a:extLst>
            <a:ext uri="{FF2B5EF4-FFF2-40B4-BE49-F238E27FC236}">
              <a16:creationId xmlns:a16="http://schemas.microsoft.com/office/drawing/2014/main" id="{0A533709-7447-4DE9-9025-0E87F6CB6A1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83" name="Text Box 32">
          <a:extLst>
            <a:ext uri="{FF2B5EF4-FFF2-40B4-BE49-F238E27FC236}">
              <a16:creationId xmlns:a16="http://schemas.microsoft.com/office/drawing/2014/main" id="{84BFE429-4AA6-4476-9307-1CCF03BB5D8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84" name="Text Box 3">
          <a:extLst>
            <a:ext uri="{FF2B5EF4-FFF2-40B4-BE49-F238E27FC236}">
              <a16:creationId xmlns:a16="http://schemas.microsoft.com/office/drawing/2014/main" id="{05358999-461B-443C-B53A-F7CFAB6D66C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85" name="Text Box 63">
          <a:extLst>
            <a:ext uri="{FF2B5EF4-FFF2-40B4-BE49-F238E27FC236}">
              <a16:creationId xmlns:a16="http://schemas.microsoft.com/office/drawing/2014/main" id="{A22F6F1D-07E4-4A9D-910B-D4CD84C7897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86" name="Text Box 3">
          <a:extLst>
            <a:ext uri="{FF2B5EF4-FFF2-40B4-BE49-F238E27FC236}">
              <a16:creationId xmlns:a16="http://schemas.microsoft.com/office/drawing/2014/main" id="{67B048B5-10A8-4C84-9A9B-6BE1A930B0B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87" name="Text Box 32">
          <a:extLst>
            <a:ext uri="{FF2B5EF4-FFF2-40B4-BE49-F238E27FC236}">
              <a16:creationId xmlns:a16="http://schemas.microsoft.com/office/drawing/2014/main" id="{B12DA89F-A104-4591-BD7E-09E18915DC0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88" name="Text Box 3">
          <a:extLst>
            <a:ext uri="{FF2B5EF4-FFF2-40B4-BE49-F238E27FC236}">
              <a16:creationId xmlns:a16="http://schemas.microsoft.com/office/drawing/2014/main" id="{9BFAE96D-2315-48BC-993A-05E57E5FC47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89" name="Text Box 63">
          <a:extLst>
            <a:ext uri="{FF2B5EF4-FFF2-40B4-BE49-F238E27FC236}">
              <a16:creationId xmlns:a16="http://schemas.microsoft.com/office/drawing/2014/main" id="{E35A3F45-DB8E-40A4-8F80-18691CE816B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90" name="Text Box 3">
          <a:extLst>
            <a:ext uri="{FF2B5EF4-FFF2-40B4-BE49-F238E27FC236}">
              <a16:creationId xmlns:a16="http://schemas.microsoft.com/office/drawing/2014/main" id="{2C98FCA6-EFD5-46C6-9B85-08DF8321DDA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91" name="Text Box 32">
          <a:extLst>
            <a:ext uri="{FF2B5EF4-FFF2-40B4-BE49-F238E27FC236}">
              <a16:creationId xmlns:a16="http://schemas.microsoft.com/office/drawing/2014/main" id="{81438165-8557-4FFE-8852-010F1DACF0C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92" name="Text Box 3">
          <a:extLst>
            <a:ext uri="{FF2B5EF4-FFF2-40B4-BE49-F238E27FC236}">
              <a16:creationId xmlns:a16="http://schemas.microsoft.com/office/drawing/2014/main" id="{25E29A40-AB0D-4E2D-BBCC-A6A98DEF579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93" name="Text Box 63">
          <a:extLst>
            <a:ext uri="{FF2B5EF4-FFF2-40B4-BE49-F238E27FC236}">
              <a16:creationId xmlns:a16="http://schemas.microsoft.com/office/drawing/2014/main" id="{FF2E2B19-BF8E-42B2-8995-E56603E0CDB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94" name="Text Box 3">
          <a:extLst>
            <a:ext uri="{FF2B5EF4-FFF2-40B4-BE49-F238E27FC236}">
              <a16:creationId xmlns:a16="http://schemas.microsoft.com/office/drawing/2014/main" id="{3E521ACC-7F46-4EB3-9F23-0A918F57289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95" name="Text Box 32">
          <a:extLst>
            <a:ext uri="{FF2B5EF4-FFF2-40B4-BE49-F238E27FC236}">
              <a16:creationId xmlns:a16="http://schemas.microsoft.com/office/drawing/2014/main" id="{5A831A42-FE9D-43AB-8DEC-D6DE4A9D1DA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96" name="Text Box 3">
          <a:extLst>
            <a:ext uri="{FF2B5EF4-FFF2-40B4-BE49-F238E27FC236}">
              <a16:creationId xmlns:a16="http://schemas.microsoft.com/office/drawing/2014/main" id="{92E89E6C-0076-4D7F-BC88-8E8F9917E50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97" name="Text Box 63">
          <a:extLst>
            <a:ext uri="{FF2B5EF4-FFF2-40B4-BE49-F238E27FC236}">
              <a16:creationId xmlns:a16="http://schemas.microsoft.com/office/drawing/2014/main" id="{A452EC4A-F1F3-435A-A25D-814592569EC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98" name="Text Box 3">
          <a:extLst>
            <a:ext uri="{FF2B5EF4-FFF2-40B4-BE49-F238E27FC236}">
              <a16:creationId xmlns:a16="http://schemas.microsoft.com/office/drawing/2014/main" id="{FC01B3EA-3C81-4E47-BCDA-D4E2C68803A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99" name="Text Box 32">
          <a:extLst>
            <a:ext uri="{FF2B5EF4-FFF2-40B4-BE49-F238E27FC236}">
              <a16:creationId xmlns:a16="http://schemas.microsoft.com/office/drawing/2014/main" id="{FEF06410-669B-4413-BE0C-A982417E272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00" name="Text Box 3">
          <a:extLst>
            <a:ext uri="{FF2B5EF4-FFF2-40B4-BE49-F238E27FC236}">
              <a16:creationId xmlns:a16="http://schemas.microsoft.com/office/drawing/2014/main" id="{643F0C81-80ED-4DE0-9819-26F2BAEF08C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01" name="Text Box 63">
          <a:extLst>
            <a:ext uri="{FF2B5EF4-FFF2-40B4-BE49-F238E27FC236}">
              <a16:creationId xmlns:a16="http://schemas.microsoft.com/office/drawing/2014/main" id="{2680B777-8813-45A2-B320-D5ED0F2E6B7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02" name="Text Box 3">
          <a:extLst>
            <a:ext uri="{FF2B5EF4-FFF2-40B4-BE49-F238E27FC236}">
              <a16:creationId xmlns:a16="http://schemas.microsoft.com/office/drawing/2014/main" id="{5494EA6E-4C24-4518-BACE-E622467955A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03" name="Text Box 32">
          <a:extLst>
            <a:ext uri="{FF2B5EF4-FFF2-40B4-BE49-F238E27FC236}">
              <a16:creationId xmlns:a16="http://schemas.microsoft.com/office/drawing/2014/main" id="{2E27D744-B637-43E4-9C59-1757FDF0A42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04" name="Text Box 3">
          <a:extLst>
            <a:ext uri="{FF2B5EF4-FFF2-40B4-BE49-F238E27FC236}">
              <a16:creationId xmlns:a16="http://schemas.microsoft.com/office/drawing/2014/main" id="{9177563E-801B-4F18-A176-3EDD2B5B499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05" name="Text Box 63">
          <a:extLst>
            <a:ext uri="{FF2B5EF4-FFF2-40B4-BE49-F238E27FC236}">
              <a16:creationId xmlns:a16="http://schemas.microsoft.com/office/drawing/2014/main" id="{1CB5EAC7-A409-43E9-9ABE-9E6F001E7B3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06" name="Text Box 3">
          <a:extLst>
            <a:ext uri="{FF2B5EF4-FFF2-40B4-BE49-F238E27FC236}">
              <a16:creationId xmlns:a16="http://schemas.microsoft.com/office/drawing/2014/main" id="{96E8DA80-8586-4ED9-B881-B2CDF2DB73A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07" name="Text Box 32">
          <a:extLst>
            <a:ext uri="{FF2B5EF4-FFF2-40B4-BE49-F238E27FC236}">
              <a16:creationId xmlns:a16="http://schemas.microsoft.com/office/drawing/2014/main" id="{E55A3DE0-A75C-4669-BAA7-326EBD8811F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08" name="Text Box 3">
          <a:extLst>
            <a:ext uri="{FF2B5EF4-FFF2-40B4-BE49-F238E27FC236}">
              <a16:creationId xmlns:a16="http://schemas.microsoft.com/office/drawing/2014/main" id="{C8B712FF-1335-47FF-96EB-9CFC10538CE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09" name="Text Box 63">
          <a:extLst>
            <a:ext uri="{FF2B5EF4-FFF2-40B4-BE49-F238E27FC236}">
              <a16:creationId xmlns:a16="http://schemas.microsoft.com/office/drawing/2014/main" id="{5BBBEAD6-BD9C-4277-83B4-16BA61B9956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10" name="Text Box 3">
          <a:extLst>
            <a:ext uri="{FF2B5EF4-FFF2-40B4-BE49-F238E27FC236}">
              <a16:creationId xmlns:a16="http://schemas.microsoft.com/office/drawing/2014/main" id="{D94B271D-361A-402C-A7BE-DE592853D36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11" name="Text Box 32">
          <a:extLst>
            <a:ext uri="{FF2B5EF4-FFF2-40B4-BE49-F238E27FC236}">
              <a16:creationId xmlns:a16="http://schemas.microsoft.com/office/drawing/2014/main" id="{23B6B50A-B12D-48EB-A4F8-B940A0634E1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12" name="Text Box 3">
          <a:extLst>
            <a:ext uri="{FF2B5EF4-FFF2-40B4-BE49-F238E27FC236}">
              <a16:creationId xmlns:a16="http://schemas.microsoft.com/office/drawing/2014/main" id="{DB762AAE-EE2E-4188-B4B0-BE2F3A3B736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13" name="Text Box 63">
          <a:extLst>
            <a:ext uri="{FF2B5EF4-FFF2-40B4-BE49-F238E27FC236}">
              <a16:creationId xmlns:a16="http://schemas.microsoft.com/office/drawing/2014/main" id="{6070C950-B282-4266-90F5-5913332CD47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0</xdr:colOff>
      <xdr:row>49</xdr:row>
      <xdr:rowOff>152400</xdr:rowOff>
    </xdr:to>
    <xdr:sp macro="" textlink="">
      <xdr:nvSpPr>
        <xdr:cNvPr id="2114" name="Text Box 3">
          <a:extLst>
            <a:ext uri="{FF2B5EF4-FFF2-40B4-BE49-F238E27FC236}">
              <a16:creationId xmlns:a16="http://schemas.microsoft.com/office/drawing/2014/main" id="{CA9EFBAD-9805-4E68-8513-74518A053BE2}"/>
            </a:ext>
          </a:extLst>
        </xdr:cNvPr>
        <xdr:cNvSpPr txBox="1">
          <a:spLocks noChangeArrowheads="1"/>
        </xdr:cNvSpPr>
      </xdr:nvSpPr>
      <xdr:spPr bwMode="auto">
        <a:xfrm>
          <a:off x="476250" y="84010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216353</xdr:colOff>
      <xdr:row>1</xdr:row>
      <xdr:rowOff>93889</xdr:rowOff>
    </xdr:from>
    <xdr:to>
      <xdr:col>1</xdr:col>
      <xdr:colOff>695325</xdr:colOff>
      <xdr:row>5</xdr:row>
      <xdr:rowOff>189354</xdr:rowOff>
    </xdr:to>
    <xdr:pic>
      <xdr:nvPicPr>
        <xdr:cNvPr id="2115" name="Imagen 1160" descr="INAPA">
          <a:extLst>
            <a:ext uri="{FF2B5EF4-FFF2-40B4-BE49-F238E27FC236}">
              <a16:creationId xmlns:a16="http://schemas.microsoft.com/office/drawing/2014/main" id="{04F65D7E-BB23-4C97-B7F0-B595DFA75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53" y="255814"/>
          <a:ext cx="955222" cy="876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248892</xdr:colOff>
      <xdr:row>1755</xdr:row>
      <xdr:rowOff>153642</xdr:rowOff>
    </xdr:from>
    <xdr:to>
      <xdr:col>5</xdr:col>
      <xdr:colOff>687042</xdr:colOff>
      <xdr:row>1756</xdr:row>
      <xdr:rowOff>1242</xdr:rowOff>
    </xdr:to>
    <xdr:sp macro="" textlink="">
      <xdr:nvSpPr>
        <xdr:cNvPr id="2116" name="Line 65">
          <a:extLst>
            <a:ext uri="{FF2B5EF4-FFF2-40B4-BE49-F238E27FC236}">
              <a16:creationId xmlns:a16="http://schemas.microsoft.com/office/drawing/2014/main" id="{19880637-1273-43CD-883F-FC1EB5323F16}"/>
            </a:ext>
          </a:extLst>
        </xdr:cNvPr>
        <xdr:cNvSpPr>
          <a:spLocks noChangeShapeType="1"/>
        </xdr:cNvSpPr>
      </xdr:nvSpPr>
      <xdr:spPr bwMode="auto">
        <a:xfrm flipV="1">
          <a:off x="4992342" y="151210617"/>
          <a:ext cx="28670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161925</xdr:colOff>
      <xdr:row>1756</xdr:row>
      <xdr:rowOff>9525</xdr:rowOff>
    </xdr:from>
    <xdr:to>
      <xdr:col>1</xdr:col>
      <xdr:colOff>2133600</xdr:colOff>
      <xdr:row>1756</xdr:row>
      <xdr:rowOff>9525</xdr:rowOff>
    </xdr:to>
    <xdr:sp macro="" textlink="">
      <xdr:nvSpPr>
        <xdr:cNvPr id="2117" name="Line 68">
          <a:extLst>
            <a:ext uri="{FF2B5EF4-FFF2-40B4-BE49-F238E27FC236}">
              <a16:creationId xmlns:a16="http://schemas.microsoft.com/office/drawing/2014/main" id="{0421637A-858B-4AF1-8021-76CA5BB68D3A}"/>
            </a:ext>
          </a:extLst>
        </xdr:cNvPr>
        <xdr:cNvSpPr>
          <a:spLocks noChangeShapeType="1"/>
        </xdr:cNvSpPr>
      </xdr:nvSpPr>
      <xdr:spPr bwMode="auto">
        <a:xfrm>
          <a:off x="161925" y="151228425"/>
          <a:ext cx="2447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1714500</xdr:colOff>
      <xdr:row>1764</xdr:row>
      <xdr:rowOff>104775</xdr:rowOff>
    </xdr:from>
    <xdr:to>
      <xdr:col>3</xdr:col>
      <xdr:colOff>9525</xdr:colOff>
      <xdr:row>1764</xdr:row>
      <xdr:rowOff>104775</xdr:rowOff>
    </xdr:to>
    <xdr:sp macro="" textlink="">
      <xdr:nvSpPr>
        <xdr:cNvPr id="2118" name="Line 4">
          <a:extLst>
            <a:ext uri="{FF2B5EF4-FFF2-40B4-BE49-F238E27FC236}">
              <a16:creationId xmlns:a16="http://schemas.microsoft.com/office/drawing/2014/main" id="{2320C8F9-6536-49EB-9480-24AA02E978E3}"/>
            </a:ext>
          </a:extLst>
        </xdr:cNvPr>
        <xdr:cNvSpPr>
          <a:spLocks noChangeShapeType="1"/>
        </xdr:cNvSpPr>
      </xdr:nvSpPr>
      <xdr:spPr bwMode="auto">
        <a:xfrm>
          <a:off x="2190750" y="152619075"/>
          <a:ext cx="3533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3" name="Text Box 15">
          <a:extLst>
            <a:ext uri="{FF2B5EF4-FFF2-40B4-BE49-F238E27FC236}">
              <a16:creationId xmlns:a16="http://schemas.microsoft.com/office/drawing/2014/main" id="{E36984B0-D990-4434-A9BB-0C602CE0C0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4" name="Text Box 15">
          <a:extLst>
            <a:ext uri="{FF2B5EF4-FFF2-40B4-BE49-F238E27FC236}">
              <a16:creationId xmlns:a16="http://schemas.microsoft.com/office/drawing/2014/main" id="{8B8C59BD-1C73-476B-967F-914C15380B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5" name="Text Box 15">
          <a:extLst>
            <a:ext uri="{FF2B5EF4-FFF2-40B4-BE49-F238E27FC236}">
              <a16:creationId xmlns:a16="http://schemas.microsoft.com/office/drawing/2014/main" id="{73BA53FB-C3CF-4E95-8F54-A9F3BB2A3F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6" name="Text Box 15">
          <a:extLst>
            <a:ext uri="{FF2B5EF4-FFF2-40B4-BE49-F238E27FC236}">
              <a16:creationId xmlns:a16="http://schemas.microsoft.com/office/drawing/2014/main" id="{F27FFEE5-33FF-41E3-8B04-DCF71D9738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7" name="Text Box 15">
          <a:extLst>
            <a:ext uri="{FF2B5EF4-FFF2-40B4-BE49-F238E27FC236}">
              <a16:creationId xmlns:a16="http://schemas.microsoft.com/office/drawing/2014/main" id="{F5826688-19BD-415E-AF31-245F2983CE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8" name="Text Box 15">
          <a:extLst>
            <a:ext uri="{FF2B5EF4-FFF2-40B4-BE49-F238E27FC236}">
              <a16:creationId xmlns:a16="http://schemas.microsoft.com/office/drawing/2014/main" id="{C42D3B1E-F706-4C05-ADF9-4C31FF0878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9" name="Text Box 15">
          <a:extLst>
            <a:ext uri="{FF2B5EF4-FFF2-40B4-BE49-F238E27FC236}">
              <a16:creationId xmlns:a16="http://schemas.microsoft.com/office/drawing/2014/main" id="{2AF4EF65-61A3-472D-A892-27AFCDBF7D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40" name="Text Box 15">
          <a:extLst>
            <a:ext uri="{FF2B5EF4-FFF2-40B4-BE49-F238E27FC236}">
              <a16:creationId xmlns:a16="http://schemas.microsoft.com/office/drawing/2014/main" id="{852D9BC7-8952-4EB4-BB4F-48EE2D21A2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41" name="Text Box 15">
          <a:extLst>
            <a:ext uri="{FF2B5EF4-FFF2-40B4-BE49-F238E27FC236}">
              <a16:creationId xmlns:a16="http://schemas.microsoft.com/office/drawing/2014/main" id="{22C67A58-4C9F-4B1A-9C72-97D5252941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42" name="Text Box 15">
          <a:extLst>
            <a:ext uri="{FF2B5EF4-FFF2-40B4-BE49-F238E27FC236}">
              <a16:creationId xmlns:a16="http://schemas.microsoft.com/office/drawing/2014/main" id="{35BF6EB6-38A2-45CC-8B6F-AFE124A8C0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43" name="Text Box 15">
          <a:extLst>
            <a:ext uri="{FF2B5EF4-FFF2-40B4-BE49-F238E27FC236}">
              <a16:creationId xmlns:a16="http://schemas.microsoft.com/office/drawing/2014/main" id="{AB2E3A51-96BC-4A28-AD40-632BE720EEF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44" name="Text Box 15">
          <a:extLst>
            <a:ext uri="{FF2B5EF4-FFF2-40B4-BE49-F238E27FC236}">
              <a16:creationId xmlns:a16="http://schemas.microsoft.com/office/drawing/2014/main" id="{9C27FAA5-EA64-4698-98FE-3DCB75017A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45" name="Text Box 15">
          <a:extLst>
            <a:ext uri="{FF2B5EF4-FFF2-40B4-BE49-F238E27FC236}">
              <a16:creationId xmlns:a16="http://schemas.microsoft.com/office/drawing/2014/main" id="{B8D87EB8-7DCD-4CA1-84E6-245E3FFDB3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46" name="Text Box 15">
          <a:extLst>
            <a:ext uri="{FF2B5EF4-FFF2-40B4-BE49-F238E27FC236}">
              <a16:creationId xmlns:a16="http://schemas.microsoft.com/office/drawing/2014/main" id="{20E8410F-65D1-4928-9C23-AE8B9C55047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47" name="Text Box 15">
          <a:extLst>
            <a:ext uri="{FF2B5EF4-FFF2-40B4-BE49-F238E27FC236}">
              <a16:creationId xmlns:a16="http://schemas.microsoft.com/office/drawing/2014/main" id="{6B7F66C2-1632-4598-A2A0-9B1A1D7D3F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48" name="Text Box 15">
          <a:extLst>
            <a:ext uri="{FF2B5EF4-FFF2-40B4-BE49-F238E27FC236}">
              <a16:creationId xmlns:a16="http://schemas.microsoft.com/office/drawing/2014/main" id="{85A19AF9-0B31-472C-A9C1-CFD22BF3AC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49" name="Text Box 15">
          <a:extLst>
            <a:ext uri="{FF2B5EF4-FFF2-40B4-BE49-F238E27FC236}">
              <a16:creationId xmlns:a16="http://schemas.microsoft.com/office/drawing/2014/main" id="{F3C45B1D-0611-4A5F-9AD4-C33DC7A3517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0" name="Text Box 15">
          <a:extLst>
            <a:ext uri="{FF2B5EF4-FFF2-40B4-BE49-F238E27FC236}">
              <a16:creationId xmlns:a16="http://schemas.microsoft.com/office/drawing/2014/main" id="{591CB81E-E734-40D5-A964-DFB0B161FC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1" name="Text Box 15">
          <a:extLst>
            <a:ext uri="{FF2B5EF4-FFF2-40B4-BE49-F238E27FC236}">
              <a16:creationId xmlns:a16="http://schemas.microsoft.com/office/drawing/2014/main" id="{093C15F2-3ECF-4822-B6D3-DB62B2594E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2" name="Text Box 15">
          <a:extLst>
            <a:ext uri="{FF2B5EF4-FFF2-40B4-BE49-F238E27FC236}">
              <a16:creationId xmlns:a16="http://schemas.microsoft.com/office/drawing/2014/main" id="{BC864AA9-FFD2-4A6D-85B7-9B701C0F55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3" name="Text Box 15">
          <a:extLst>
            <a:ext uri="{FF2B5EF4-FFF2-40B4-BE49-F238E27FC236}">
              <a16:creationId xmlns:a16="http://schemas.microsoft.com/office/drawing/2014/main" id="{FED6D09D-A991-4305-B301-7404CFB577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4" name="Text Box 15">
          <a:extLst>
            <a:ext uri="{FF2B5EF4-FFF2-40B4-BE49-F238E27FC236}">
              <a16:creationId xmlns:a16="http://schemas.microsoft.com/office/drawing/2014/main" id="{25616B20-EAE7-4911-AC22-DFE77D0740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5" name="Text Box 15">
          <a:extLst>
            <a:ext uri="{FF2B5EF4-FFF2-40B4-BE49-F238E27FC236}">
              <a16:creationId xmlns:a16="http://schemas.microsoft.com/office/drawing/2014/main" id="{8AC3B8C6-82D6-4CEC-B8ED-B85245EE2C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6" name="Text Box 15">
          <a:extLst>
            <a:ext uri="{FF2B5EF4-FFF2-40B4-BE49-F238E27FC236}">
              <a16:creationId xmlns:a16="http://schemas.microsoft.com/office/drawing/2014/main" id="{15457A20-03B9-4353-9261-E4D7B76F1AF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7" name="Text Box 15">
          <a:extLst>
            <a:ext uri="{FF2B5EF4-FFF2-40B4-BE49-F238E27FC236}">
              <a16:creationId xmlns:a16="http://schemas.microsoft.com/office/drawing/2014/main" id="{80366CD4-C057-4931-AF88-B263CDDE68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58" name="Text Box 15">
          <a:extLst>
            <a:ext uri="{FF2B5EF4-FFF2-40B4-BE49-F238E27FC236}">
              <a16:creationId xmlns:a16="http://schemas.microsoft.com/office/drawing/2014/main" id="{5AFAE6BE-CFC9-4235-AAF9-E3876AA71E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59" name="Text Box 15">
          <a:extLst>
            <a:ext uri="{FF2B5EF4-FFF2-40B4-BE49-F238E27FC236}">
              <a16:creationId xmlns:a16="http://schemas.microsoft.com/office/drawing/2014/main" id="{E63F48A3-EA03-4B38-9910-F19B5DB0F20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60" name="Text Box 15">
          <a:extLst>
            <a:ext uri="{FF2B5EF4-FFF2-40B4-BE49-F238E27FC236}">
              <a16:creationId xmlns:a16="http://schemas.microsoft.com/office/drawing/2014/main" id="{E2BAA4A4-F3FB-4B8D-88CE-73DAD78C4E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61" name="Text Box 15">
          <a:extLst>
            <a:ext uri="{FF2B5EF4-FFF2-40B4-BE49-F238E27FC236}">
              <a16:creationId xmlns:a16="http://schemas.microsoft.com/office/drawing/2014/main" id="{04D00B44-D605-41B8-A45F-F0139EC245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62" name="Text Box 15">
          <a:extLst>
            <a:ext uri="{FF2B5EF4-FFF2-40B4-BE49-F238E27FC236}">
              <a16:creationId xmlns:a16="http://schemas.microsoft.com/office/drawing/2014/main" id="{ADE0E976-A377-4C3C-A5E6-BEE422EBF50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263" name="Text Box 15">
          <a:extLst>
            <a:ext uri="{FF2B5EF4-FFF2-40B4-BE49-F238E27FC236}">
              <a16:creationId xmlns:a16="http://schemas.microsoft.com/office/drawing/2014/main" id="{1367FB86-75D7-4492-9B0D-A07AE9C9C9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264" name="Text Box 15">
          <a:extLst>
            <a:ext uri="{FF2B5EF4-FFF2-40B4-BE49-F238E27FC236}">
              <a16:creationId xmlns:a16="http://schemas.microsoft.com/office/drawing/2014/main" id="{9D0095BC-437C-4BB9-BCAB-263264CE2E0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265" name="Text Box 15">
          <a:extLst>
            <a:ext uri="{FF2B5EF4-FFF2-40B4-BE49-F238E27FC236}">
              <a16:creationId xmlns:a16="http://schemas.microsoft.com/office/drawing/2014/main" id="{DC97AFDC-44BC-42EC-A898-4C9D20F20C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66" name="Text Box 15">
          <a:extLst>
            <a:ext uri="{FF2B5EF4-FFF2-40B4-BE49-F238E27FC236}">
              <a16:creationId xmlns:a16="http://schemas.microsoft.com/office/drawing/2014/main" id="{7A2464D6-2217-48EC-A523-6B0BFFB216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67" name="Text Box 15">
          <a:extLst>
            <a:ext uri="{FF2B5EF4-FFF2-40B4-BE49-F238E27FC236}">
              <a16:creationId xmlns:a16="http://schemas.microsoft.com/office/drawing/2014/main" id="{46CF1B9B-8E24-4D88-A5E6-08950BEE919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68" name="Text Box 15">
          <a:extLst>
            <a:ext uri="{FF2B5EF4-FFF2-40B4-BE49-F238E27FC236}">
              <a16:creationId xmlns:a16="http://schemas.microsoft.com/office/drawing/2014/main" id="{C390F6C7-534E-4443-805D-C892DB4963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69" name="Text Box 15">
          <a:extLst>
            <a:ext uri="{FF2B5EF4-FFF2-40B4-BE49-F238E27FC236}">
              <a16:creationId xmlns:a16="http://schemas.microsoft.com/office/drawing/2014/main" id="{56D6D377-F418-4501-8876-A624746E03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70" name="Text Box 15">
          <a:extLst>
            <a:ext uri="{FF2B5EF4-FFF2-40B4-BE49-F238E27FC236}">
              <a16:creationId xmlns:a16="http://schemas.microsoft.com/office/drawing/2014/main" id="{5C355877-B065-427F-8117-7F4C8A1CE1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71" name="Text Box 15">
          <a:extLst>
            <a:ext uri="{FF2B5EF4-FFF2-40B4-BE49-F238E27FC236}">
              <a16:creationId xmlns:a16="http://schemas.microsoft.com/office/drawing/2014/main" id="{D677F423-F41C-46A6-AE53-2696A35950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72" name="Text Box 15">
          <a:extLst>
            <a:ext uri="{FF2B5EF4-FFF2-40B4-BE49-F238E27FC236}">
              <a16:creationId xmlns:a16="http://schemas.microsoft.com/office/drawing/2014/main" id="{FC71004B-D86B-435C-B513-1394B32768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73" name="Text Box 15">
          <a:extLst>
            <a:ext uri="{FF2B5EF4-FFF2-40B4-BE49-F238E27FC236}">
              <a16:creationId xmlns:a16="http://schemas.microsoft.com/office/drawing/2014/main" id="{AB33E95F-4541-4899-9638-ADFA21EFDD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74" name="Text Box 15">
          <a:extLst>
            <a:ext uri="{FF2B5EF4-FFF2-40B4-BE49-F238E27FC236}">
              <a16:creationId xmlns:a16="http://schemas.microsoft.com/office/drawing/2014/main" id="{BEE33061-F48F-44CA-8DD2-A199F568B4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75" name="Text Box 15">
          <a:extLst>
            <a:ext uri="{FF2B5EF4-FFF2-40B4-BE49-F238E27FC236}">
              <a16:creationId xmlns:a16="http://schemas.microsoft.com/office/drawing/2014/main" id="{AAAAAF97-6AE9-4ADE-B1F3-9EB16B5878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76" name="Text Box 15">
          <a:extLst>
            <a:ext uri="{FF2B5EF4-FFF2-40B4-BE49-F238E27FC236}">
              <a16:creationId xmlns:a16="http://schemas.microsoft.com/office/drawing/2014/main" id="{E957A2F3-D99A-4F99-8C8B-76A81B9A05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77" name="Text Box 15">
          <a:extLst>
            <a:ext uri="{FF2B5EF4-FFF2-40B4-BE49-F238E27FC236}">
              <a16:creationId xmlns:a16="http://schemas.microsoft.com/office/drawing/2014/main" id="{897EB60D-6DBA-42A4-A80E-E7CD976AE3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278" name="Text Box 15">
          <a:extLst>
            <a:ext uri="{FF2B5EF4-FFF2-40B4-BE49-F238E27FC236}">
              <a16:creationId xmlns:a16="http://schemas.microsoft.com/office/drawing/2014/main" id="{242EBA44-B9BC-4EA6-9646-B5B54322EF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79" name="Text Box 15">
          <a:extLst>
            <a:ext uri="{FF2B5EF4-FFF2-40B4-BE49-F238E27FC236}">
              <a16:creationId xmlns:a16="http://schemas.microsoft.com/office/drawing/2014/main" id="{290DA5E6-76C0-4651-9DCB-F3FB0A0EFC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0" name="Text Box 15">
          <a:extLst>
            <a:ext uri="{FF2B5EF4-FFF2-40B4-BE49-F238E27FC236}">
              <a16:creationId xmlns:a16="http://schemas.microsoft.com/office/drawing/2014/main" id="{F58F41A7-2E01-4645-A899-63EA0C7379E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1" name="Text Box 15">
          <a:extLst>
            <a:ext uri="{FF2B5EF4-FFF2-40B4-BE49-F238E27FC236}">
              <a16:creationId xmlns:a16="http://schemas.microsoft.com/office/drawing/2014/main" id="{2B36DFEE-E0CD-45BB-95AB-8944C0DAE8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2" name="Text Box 15">
          <a:extLst>
            <a:ext uri="{FF2B5EF4-FFF2-40B4-BE49-F238E27FC236}">
              <a16:creationId xmlns:a16="http://schemas.microsoft.com/office/drawing/2014/main" id="{B0CC7A16-AF56-4367-8287-F8C2EBCA28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3" name="Text Box 15">
          <a:extLst>
            <a:ext uri="{FF2B5EF4-FFF2-40B4-BE49-F238E27FC236}">
              <a16:creationId xmlns:a16="http://schemas.microsoft.com/office/drawing/2014/main" id="{5D148B75-9BE9-4B05-8752-FC633DC391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4" name="Text Box 15">
          <a:extLst>
            <a:ext uri="{FF2B5EF4-FFF2-40B4-BE49-F238E27FC236}">
              <a16:creationId xmlns:a16="http://schemas.microsoft.com/office/drawing/2014/main" id="{6D36B575-235E-4474-8D2F-75C16BB28B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5" name="Text Box 15">
          <a:extLst>
            <a:ext uri="{FF2B5EF4-FFF2-40B4-BE49-F238E27FC236}">
              <a16:creationId xmlns:a16="http://schemas.microsoft.com/office/drawing/2014/main" id="{B94CF8CB-7553-439F-9B87-F0B9741CD2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6" name="Text Box 15">
          <a:extLst>
            <a:ext uri="{FF2B5EF4-FFF2-40B4-BE49-F238E27FC236}">
              <a16:creationId xmlns:a16="http://schemas.microsoft.com/office/drawing/2014/main" id="{4CAA2959-ED05-41E2-A7B6-0BD1F79D1B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7" name="Text Box 15">
          <a:extLst>
            <a:ext uri="{FF2B5EF4-FFF2-40B4-BE49-F238E27FC236}">
              <a16:creationId xmlns:a16="http://schemas.microsoft.com/office/drawing/2014/main" id="{DD24B110-CCE1-4F32-98CB-5DCE5B4527F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88" name="Text Box 15">
          <a:extLst>
            <a:ext uri="{FF2B5EF4-FFF2-40B4-BE49-F238E27FC236}">
              <a16:creationId xmlns:a16="http://schemas.microsoft.com/office/drawing/2014/main" id="{3FAAC48D-F5BB-48FE-8D01-32375A2CC8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89" name="Text Box 15">
          <a:extLst>
            <a:ext uri="{FF2B5EF4-FFF2-40B4-BE49-F238E27FC236}">
              <a16:creationId xmlns:a16="http://schemas.microsoft.com/office/drawing/2014/main" id="{9E082107-05F3-413F-9B43-60C9FCDE9E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90" name="Text Box 15">
          <a:extLst>
            <a:ext uri="{FF2B5EF4-FFF2-40B4-BE49-F238E27FC236}">
              <a16:creationId xmlns:a16="http://schemas.microsoft.com/office/drawing/2014/main" id="{9D66E189-8035-4F1E-BB6B-675088B74F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91" name="Text Box 15">
          <a:extLst>
            <a:ext uri="{FF2B5EF4-FFF2-40B4-BE49-F238E27FC236}">
              <a16:creationId xmlns:a16="http://schemas.microsoft.com/office/drawing/2014/main" id="{6C48BA55-213D-494B-8F86-546B8D424C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92" name="Text Box 15">
          <a:extLst>
            <a:ext uri="{FF2B5EF4-FFF2-40B4-BE49-F238E27FC236}">
              <a16:creationId xmlns:a16="http://schemas.microsoft.com/office/drawing/2014/main" id="{7973DB33-CECE-46A0-B233-40A0F615AB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3" name="Text Box 15">
          <a:extLst>
            <a:ext uri="{FF2B5EF4-FFF2-40B4-BE49-F238E27FC236}">
              <a16:creationId xmlns:a16="http://schemas.microsoft.com/office/drawing/2014/main" id="{7BF62AEC-75E4-4532-9747-321449A235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4" name="Text Box 15">
          <a:extLst>
            <a:ext uri="{FF2B5EF4-FFF2-40B4-BE49-F238E27FC236}">
              <a16:creationId xmlns:a16="http://schemas.microsoft.com/office/drawing/2014/main" id="{A31FB404-82F6-4CFC-BECA-4E781BCCAC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5" name="Text Box 15">
          <a:extLst>
            <a:ext uri="{FF2B5EF4-FFF2-40B4-BE49-F238E27FC236}">
              <a16:creationId xmlns:a16="http://schemas.microsoft.com/office/drawing/2014/main" id="{83116CF0-9243-4F1A-837D-11F7112AD7C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6" name="Text Box 15">
          <a:extLst>
            <a:ext uri="{FF2B5EF4-FFF2-40B4-BE49-F238E27FC236}">
              <a16:creationId xmlns:a16="http://schemas.microsoft.com/office/drawing/2014/main" id="{C6067FEB-D45B-4BAA-8664-5EF80EA0DD8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7" name="Text Box 15">
          <a:extLst>
            <a:ext uri="{FF2B5EF4-FFF2-40B4-BE49-F238E27FC236}">
              <a16:creationId xmlns:a16="http://schemas.microsoft.com/office/drawing/2014/main" id="{EB798D45-837C-4527-85C5-82D2F1A06E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8" name="Text Box 15">
          <a:extLst>
            <a:ext uri="{FF2B5EF4-FFF2-40B4-BE49-F238E27FC236}">
              <a16:creationId xmlns:a16="http://schemas.microsoft.com/office/drawing/2014/main" id="{4B4848B3-C4BB-4F90-837F-8413A6F560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9" name="Text Box 15">
          <a:extLst>
            <a:ext uri="{FF2B5EF4-FFF2-40B4-BE49-F238E27FC236}">
              <a16:creationId xmlns:a16="http://schemas.microsoft.com/office/drawing/2014/main" id="{629EBDAF-B9EE-4BBB-99EA-EB12062000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00" name="Text Box 15">
          <a:extLst>
            <a:ext uri="{FF2B5EF4-FFF2-40B4-BE49-F238E27FC236}">
              <a16:creationId xmlns:a16="http://schemas.microsoft.com/office/drawing/2014/main" id="{7F869B4C-D1E7-4EC9-B968-42CB79ABB4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01" name="Text Box 15">
          <a:extLst>
            <a:ext uri="{FF2B5EF4-FFF2-40B4-BE49-F238E27FC236}">
              <a16:creationId xmlns:a16="http://schemas.microsoft.com/office/drawing/2014/main" id="{D17CA65C-AAF5-49DA-A7CA-42C245C9A1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02" name="Text Box 15">
          <a:extLst>
            <a:ext uri="{FF2B5EF4-FFF2-40B4-BE49-F238E27FC236}">
              <a16:creationId xmlns:a16="http://schemas.microsoft.com/office/drawing/2014/main" id="{3E39E747-E1E4-4F41-9BC0-4E211B3766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303" name="Text Box 15">
          <a:extLst>
            <a:ext uri="{FF2B5EF4-FFF2-40B4-BE49-F238E27FC236}">
              <a16:creationId xmlns:a16="http://schemas.microsoft.com/office/drawing/2014/main" id="{026440D7-CA4C-497B-BD63-22E1A967FB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304" name="Text Box 15">
          <a:extLst>
            <a:ext uri="{FF2B5EF4-FFF2-40B4-BE49-F238E27FC236}">
              <a16:creationId xmlns:a16="http://schemas.microsoft.com/office/drawing/2014/main" id="{DF18562E-96C8-47B9-BA6C-85FA07486F9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305" name="Text Box 15">
          <a:extLst>
            <a:ext uri="{FF2B5EF4-FFF2-40B4-BE49-F238E27FC236}">
              <a16:creationId xmlns:a16="http://schemas.microsoft.com/office/drawing/2014/main" id="{E0A8B38F-CDA6-4A94-9BC6-0670DAA74F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306" name="Text Box 15">
          <a:extLst>
            <a:ext uri="{FF2B5EF4-FFF2-40B4-BE49-F238E27FC236}">
              <a16:creationId xmlns:a16="http://schemas.microsoft.com/office/drawing/2014/main" id="{8E1D1C48-501F-45EB-9FE0-F7B0BEDE50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307" name="Text Box 15">
          <a:extLst>
            <a:ext uri="{FF2B5EF4-FFF2-40B4-BE49-F238E27FC236}">
              <a16:creationId xmlns:a16="http://schemas.microsoft.com/office/drawing/2014/main" id="{69102596-5CEA-4BB7-9A2C-CE6BB6B749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08" name="Text Box 15">
          <a:extLst>
            <a:ext uri="{FF2B5EF4-FFF2-40B4-BE49-F238E27FC236}">
              <a16:creationId xmlns:a16="http://schemas.microsoft.com/office/drawing/2014/main" id="{D200450F-9CA6-4509-84DA-033D602B22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309" name="Text Box 15">
          <a:extLst>
            <a:ext uri="{FF2B5EF4-FFF2-40B4-BE49-F238E27FC236}">
              <a16:creationId xmlns:a16="http://schemas.microsoft.com/office/drawing/2014/main" id="{F6AF4A99-8AE2-4580-929A-36CA45CF03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0" name="Text Box 15">
          <a:extLst>
            <a:ext uri="{FF2B5EF4-FFF2-40B4-BE49-F238E27FC236}">
              <a16:creationId xmlns:a16="http://schemas.microsoft.com/office/drawing/2014/main" id="{2DE5CB66-09C1-4388-A4BB-F4B8DA51D6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1" name="Text Box 15">
          <a:extLst>
            <a:ext uri="{FF2B5EF4-FFF2-40B4-BE49-F238E27FC236}">
              <a16:creationId xmlns:a16="http://schemas.microsoft.com/office/drawing/2014/main" id="{392BA161-DF0B-45FE-A9BC-DC4C4226FA5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2" name="Text Box 15">
          <a:extLst>
            <a:ext uri="{FF2B5EF4-FFF2-40B4-BE49-F238E27FC236}">
              <a16:creationId xmlns:a16="http://schemas.microsoft.com/office/drawing/2014/main" id="{7D36792A-D7ED-474C-945A-60BDD85A3F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3" name="Text Box 15">
          <a:extLst>
            <a:ext uri="{FF2B5EF4-FFF2-40B4-BE49-F238E27FC236}">
              <a16:creationId xmlns:a16="http://schemas.microsoft.com/office/drawing/2014/main" id="{3D9B13AA-E233-4085-B25D-70A6DCA20EF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314" name="Text Box 15">
          <a:extLst>
            <a:ext uri="{FF2B5EF4-FFF2-40B4-BE49-F238E27FC236}">
              <a16:creationId xmlns:a16="http://schemas.microsoft.com/office/drawing/2014/main" id="{1EC3B418-6A25-4E19-81B9-D68FC28FCB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5" name="Text Box 15">
          <a:extLst>
            <a:ext uri="{FF2B5EF4-FFF2-40B4-BE49-F238E27FC236}">
              <a16:creationId xmlns:a16="http://schemas.microsoft.com/office/drawing/2014/main" id="{375C3600-0143-4CFE-A8DE-9397EE12BB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6" name="Text Box 15">
          <a:extLst>
            <a:ext uri="{FF2B5EF4-FFF2-40B4-BE49-F238E27FC236}">
              <a16:creationId xmlns:a16="http://schemas.microsoft.com/office/drawing/2014/main" id="{C4A48AA7-9D9D-4BB9-A124-07D29D874C9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7" name="Text Box 15">
          <a:extLst>
            <a:ext uri="{FF2B5EF4-FFF2-40B4-BE49-F238E27FC236}">
              <a16:creationId xmlns:a16="http://schemas.microsoft.com/office/drawing/2014/main" id="{857B03FF-77D7-4A88-AFFC-6BCA401904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18" name="Text Box 15">
          <a:extLst>
            <a:ext uri="{FF2B5EF4-FFF2-40B4-BE49-F238E27FC236}">
              <a16:creationId xmlns:a16="http://schemas.microsoft.com/office/drawing/2014/main" id="{5081B6DD-E96E-4324-B1E8-878D7FF9B9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19" name="Text Box 15">
          <a:extLst>
            <a:ext uri="{FF2B5EF4-FFF2-40B4-BE49-F238E27FC236}">
              <a16:creationId xmlns:a16="http://schemas.microsoft.com/office/drawing/2014/main" id="{E618C74D-89A1-4E80-9F08-D7FDAE79EB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20" name="Text Box 15">
          <a:extLst>
            <a:ext uri="{FF2B5EF4-FFF2-40B4-BE49-F238E27FC236}">
              <a16:creationId xmlns:a16="http://schemas.microsoft.com/office/drawing/2014/main" id="{62F04D5F-3713-4070-974B-A07A176DF99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1" name="Text Box 15">
          <a:extLst>
            <a:ext uri="{FF2B5EF4-FFF2-40B4-BE49-F238E27FC236}">
              <a16:creationId xmlns:a16="http://schemas.microsoft.com/office/drawing/2014/main" id="{8EA8169C-06E4-41C2-AE0B-6FA3C6F611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2" name="Text Box 15">
          <a:extLst>
            <a:ext uri="{FF2B5EF4-FFF2-40B4-BE49-F238E27FC236}">
              <a16:creationId xmlns:a16="http://schemas.microsoft.com/office/drawing/2014/main" id="{F515277F-4102-49A6-95E4-9B771D8E18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3" name="Text Box 15">
          <a:extLst>
            <a:ext uri="{FF2B5EF4-FFF2-40B4-BE49-F238E27FC236}">
              <a16:creationId xmlns:a16="http://schemas.microsoft.com/office/drawing/2014/main" id="{CF9F768B-67FB-40A5-A262-CDC25BE9E8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4" name="Text Box 15">
          <a:extLst>
            <a:ext uri="{FF2B5EF4-FFF2-40B4-BE49-F238E27FC236}">
              <a16:creationId xmlns:a16="http://schemas.microsoft.com/office/drawing/2014/main" id="{4919C5DE-8BA5-49D5-9F04-01040808C3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325" name="Text Box 15">
          <a:extLst>
            <a:ext uri="{FF2B5EF4-FFF2-40B4-BE49-F238E27FC236}">
              <a16:creationId xmlns:a16="http://schemas.microsoft.com/office/drawing/2014/main" id="{0DF8E672-3F97-45EC-B881-1F463F7560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6" name="Text Box 15">
          <a:extLst>
            <a:ext uri="{FF2B5EF4-FFF2-40B4-BE49-F238E27FC236}">
              <a16:creationId xmlns:a16="http://schemas.microsoft.com/office/drawing/2014/main" id="{41C5AF31-75FE-4581-AF09-DDAC9FEAB3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7" name="Text Box 15">
          <a:extLst>
            <a:ext uri="{FF2B5EF4-FFF2-40B4-BE49-F238E27FC236}">
              <a16:creationId xmlns:a16="http://schemas.microsoft.com/office/drawing/2014/main" id="{7A474E56-2784-4554-AA00-08A91111EB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8" name="Text Box 15">
          <a:extLst>
            <a:ext uri="{FF2B5EF4-FFF2-40B4-BE49-F238E27FC236}">
              <a16:creationId xmlns:a16="http://schemas.microsoft.com/office/drawing/2014/main" id="{8C700B5E-BC09-4D36-BD8C-FBE4AE9B9D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9" name="Text Box 15">
          <a:extLst>
            <a:ext uri="{FF2B5EF4-FFF2-40B4-BE49-F238E27FC236}">
              <a16:creationId xmlns:a16="http://schemas.microsoft.com/office/drawing/2014/main" id="{01ACDC8D-C7F5-44B1-9BFF-A72BD697BA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30" name="Text Box 15">
          <a:extLst>
            <a:ext uri="{FF2B5EF4-FFF2-40B4-BE49-F238E27FC236}">
              <a16:creationId xmlns:a16="http://schemas.microsoft.com/office/drawing/2014/main" id="{F2C02286-20A6-450C-A5ED-A3A819EF5D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31" name="Text Box 15">
          <a:extLst>
            <a:ext uri="{FF2B5EF4-FFF2-40B4-BE49-F238E27FC236}">
              <a16:creationId xmlns:a16="http://schemas.microsoft.com/office/drawing/2014/main" id="{CF15BA89-2AA9-443D-8AC3-30BA91B8FF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32" name="Text Box 15">
          <a:extLst>
            <a:ext uri="{FF2B5EF4-FFF2-40B4-BE49-F238E27FC236}">
              <a16:creationId xmlns:a16="http://schemas.microsoft.com/office/drawing/2014/main" id="{F53B27A5-7118-4258-A1BC-6E8E6C7940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33" name="Text Box 15">
          <a:extLst>
            <a:ext uri="{FF2B5EF4-FFF2-40B4-BE49-F238E27FC236}">
              <a16:creationId xmlns:a16="http://schemas.microsoft.com/office/drawing/2014/main" id="{C599298F-D454-4D11-B05F-0496C582BC6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34" name="Text Box 15">
          <a:extLst>
            <a:ext uri="{FF2B5EF4-FFF2-40B4-BE49-F238E27FC236}">
              <a16:creationId xmlns:a16="http://schemas.microsoft.com/office/drawing/2014/main" id="{415B8669-70F3-4104-84E6-06570317BC7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35" name="Text Box 15">
          <a:extLst>
            <a:ext uri="{FF2B5EF4-FFF2-40B4-BE49-F238E27FC236}">
              <a16:creationId xmlns:a16="http://schemas.microsoft.com/office/drawing/2014/main" id="{2E46CDC3-1843-4E00-9EF1-095955B0077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36" name="Text Box 15">
          <a:extLst>
            <a:ext uri="{FF2B5EF4-FFF2-40B4-BE49-F238E27FC236}">
              <a16:creationId xmlns:a16="http://schemas.microsoft.com/office/drawing/2014/main" id="{9C7CC821-59BB-4742-975E-9EF322789D8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37" name="Text Box 15">
          <a:extLst>
            <a:ext uri="{FF2B5EF4-FFF2-40B4-BE49-F238E27FC236}">
              <a16:creationId xmlns:a16="http://schemas.microsoft.com/office/drawing/2014/main" id="{9A960B8F-3EC0-4812-9813-3EA61B1916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38" name="Text Box 15">
          <a:extLst>
            <a:ext uri="{FF2B5EF4-FFF2-40B4-BE49-F238E27FC236}">
              <a16:creationId xmlns:a16="http://schemas.microsoft.com/office/drawing/2014/main" id="{B2EE6FF0-FFD1-4152-BFC2-A0311FA73C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39" name="Text Box 15">
          <a:extLst>
            <a:ext uri="{FF2B5EF4-FFF2-40B4-BE49-F238E27FC236}">
              <a16:creationId xmlns:a16="http://schemas.microsoft.com/office/drawing/2014/main" id="{1FE72A7F-F83D-46FA-B791-3F1B8E9D5A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0" name="Text Box 15">
          <a:extLst>
            <a:ext uri="{FF2B5EF4-FFF2-40B4-BE49-F238E27FC236}">
              <a16:creationId xmlns:a16="http://schemas.microsoft.com/office/drawing/2014/main" id="{A8B44C86-F194-4B00-9FE1-BF5F5034222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1" name="Text Box 15">
          <a:extLst>
            <a:ext uri="{FF2B5EF4-FFF2-40B4-BE49-F238E27FC236}">
              <a16:creationId xmlns:a16="http://schemas.microsoft.com/office/drawing/2014/main" id="{E5683B80-D103-4787-AA9B-CE8924C4FE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2" name="Text Box 15">
          <a:extLst>
            <a:ext uri="{FF2B5EF4-FFF2-40B4-BE49-F238E27FC236}">
              <a16:creationId xmlns:a16="http://schemas.microsoft.com/office/drawing/2014/main" id="{9E249EC2-BEAA-4A14-8AD2-8388053F24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3" name="Text Box 15">
          <a:extLst>
            <a:ext uri="{FF2B5EF4-FFF2-40B4-BE49-F238E27FC236}">
              <a16:creationId xmlns:a16="http://schemas.microsoft.com/office/drawing/2014/main" id="{CAA1E80C-B4CA-4504-95F7-22173ECCA8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4" name="Text Box 15">
          <a:extLst>
            <a:ext uri="{FF2B5EF4-FFF2-40B4-BE49-F238E27FC236}">
              <a16:creationId xmlns:a16="http://schemas.microsoft.com/office/drawing/2014/main" id="{DE5E8980-840B-4C14-B740-4D076ECA67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5" name="Text Box 15">
          <a:extLst>
            <a:ext uri="{FF2B5EF4-FFF2-40B4-BE49-F238E27FC236}">
              <a16:creationId xmlns:a16="http://schemas.microsoft.com/office/drawing/2014/main" id="{0861F7DA-CF83-45F8-9730-D07AB3E8AA0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46" name="Text Box 15">
          <a:extLst>
            <a:ext uri="{FF2B5EF4-FFF2-40B4-BE49-F238E27FC236}">
              <a16:creationId xmlns:a16="http://schemas.microsoft.com/office/drawing/2014/main" id="{8256439B-F2E1-4EA5-9A97-23218C5A9E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47" name="Text Box 15">
          <a:extLst>
            <a:ext uri="{FF2B5EF4-FFF2-40B4-BE49-F238E27FC236}">
              <a16:creationId xmlns:a16="http://schemas.microsoft.com/office/drawing/2014/main" id="{F07DCB6E-2D15-40F6-9472-1C22CF7F27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48" name="Text Box 15">
          <a:extLst>
            <a:ext uri="{FF2B5EF4-FFF2-40B4-BE49-F238E27FC236}">
              <a16:creationId xmlns:a16="http://schemas.microsoft.com/office/drawing/2014/main" id="{CA09D520-9B5B-4270-A1CC-803008F9D6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49" name="Text Box 15">
          <a:extLst>
            <a:ext uri="{FF2B5EF4-FFF2-40B4-BE49-F238E27FC236}">
              <a16:creationId xmlns:a16="http://schemas.microsoft.com/office/drawing/2014/main" id="{67174BC3-CF2F-42FA-8A99-BF8710209C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50" name="Text Box 15">
          <a:extLst>
            <a:ext uri="{FF2B5EF4-FFF2-40B4-BE49-F238E27FC236}">
              <a16:creationId xmlns:a16="http://schemas.microsoft.com/office/drawing/2014/main" id="{C1975A27-28D5-45BB-B03A-8C067D5508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1" name="Text Box 15">
          <a:extLst>
            <a:ext uri="{FF2B5EF4-FFF2-40B4-BE49-F238E27FC236}">
              <a16:creationId xmlns:a16="http://schemas.microsoft.com/office/drawing/2014/main" id="{99B02D1D-0DFE-4E08-815E-18F31C7AA7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2" name="Text Box 15">
          <a:extLst>
            <a:ext uri="{FF2B5EF4-FFF2-40B4-BE49-F238E27FC236}">
              <a16:creationId xmlns:a16="http://schemas.microsoft.com/office/drawing/2014/main" id="{FB557BA8-A224-483F-9662-1317E9CA850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3" name="Text Box 15">
          <a:extLst>
            <a:ext uri="{FF2B5EF4-FFF2-40B4-BE49-F238E27FC236}">
              <a16:creationId xmlns:a16="http://schemas.microsoft.com/office/drawing/2014/main" id="{838ECF86-7930-4D18-885B-6815894F75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354" name="Text Box 15">
          <a:extLst>
            <a:ext uri="{FF2B5EF4-FFF2-40B4-BE49-F238E27FC236}">
              <a16:creationId xmlns:a16="http://schemas.microsoft.com/office/drawing/2014/main" id="{85E08ACE-F7D1-4064-A4C8-8E61D04C48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5" name="Text Box 15">
          <a:extLst>
            <a:ext uri="{FF2B5EF4-FFF2-40B4-BE49-F238E27FC236}">
              <a16:creationId xmlns:a16="http://schemas.microsoft.com/office/drawing/2014/main" id="{47DAE30B-A99C-4CA9-8DB4-1A6467FFFF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356" name="Text Box 15">
          <a:extLst>
            <a:ext uri="{FF2B5EF4-FFF2-40B4-BE49-F238E27FC236}">
              <a16:creationId xmlns:a16="http://schemas.microsoft.com/office/drawing/2014/main" id="{8F0E9E48-1046-4D53-B1BD-E82D68FDE0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7" name="Text Box 15">
          <a:extLst>
            <a:ext uri="{FF2B5EF4-FFF2-40B4-BE49-F238E27FC236}">
              <a16:creationId xmlns:a16="http://schemas.microsoft.com/office/drawing/2014/main" id="{8FD7DC55-6D3B-45C4-9BBB-30ED11DAD7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8" name="Text Box 15">
          <a:extLst>
            <a:ext uri="{FF2B5EF4-FFF2-40B4-BE49-F238E27FC236}">
              <a16:creationId xmlns:a16="http://schemas.microsoft.com/office/drawing/2014/main" id="{755F0994-B0B9-4B31-AEBE-A87361BB3A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9" name="Text Box 15">
          <a:extLst>
            <a:ext uri="{FF2B5EF4-FFF2-40B4-BE49-F238E27FC236}">
              <a16:creationId xmlns:a16="http://schemas.microsoft.com/office/drawing/2014/main" id="{B53AF086-D613-4D29-8AC1-F49271062B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60" name="Text Box 15">
          <a:extLst>
            <a:ext uri="{FF2B5EF4-FFF2-40B4-BE49-F238E27FC236}">
              <a16:creationId xmlns:a16="http://schemas.microsoft.com/office/drawing/2014/main" id="{24B090DB-420E-4B81-BDF0-06350A146C0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61" name="Text Box 15">
          <a:extLst>
            <a:ext uri="{FF2B5EF4-FFF2-40B4-BE49-F238E27FC236}">
              <a16:creationId xmlns:a16="http://schemas.microsoft.com/office/drawing/2014/main" id="{2CA68299-4BDC-4876-8A52-7C0DB9BF90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62" name="Text Box 15">
          <a:extLst>
            <a:ext uri="{FF2B5EF4-FFF2-40B4-BE49-F238E27FC236}">
              <a16:creationId xmlns:a16="http://schemas.microsoft.com/office/drawing/2014/main" id="{B2A98DBA-6242-4283-94D7-56DF5E6874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63" name="Text Box 15">
          <a:extLst>
            <a:ext uri="{FF2B5EF4-FFF2-40B4-BE49-F238E27FC236}">
              <a16:creationId xmlns:a16="http://schemas.microsoft.com/office/drawing/2014/main" id="{E6D45198-F61F-4E77-85D3-7E2EBCD172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64" name="Text Box 15">
          <a:extLst>
            <a:ext uri="{FF2B5EF4-FFF2-40B4-BE49-F238E27FC236}">
              <a16:creationId xmlns:a16="http://schemas.microsoft.com/office/drawing/2014/main" id="{36337158-913E-497B-9AA1-BF8F15CD81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65" name="Text Box 15">
          <a:extLst>
            <a:ext uri="{FF2B5EF4-FFF2-40B4-BE49-F238E27FC236}">
              <a16:creationId xmlns:a16="http://schemas.microsoft.com/office/drawing/2014/main" id="{638DF640-C90D-4CAE-8541-79B2263A561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366" name="Text Box 15">
          <a:extLst>
            <a:ext uri="{FF2B5EF4-FFF2-40B4-BE49-F238E27FC236}">
              <a16:creationId xmlns:a16="http://schemas.microsoft.com/office/drawing/2014/main" id="{5973AC65-A2B0-4550-8ABD-FE55733749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67" name="Text Box 15">
          <a:extLst>
            <a:ext uri="{FF2B5EF4-FFF2-40B4-BE49-F238E27FC236}">
              <a16:creationId xmlns:a16="http://schemas.microsoft.com/office/drawing/2014/main" id="{7BBA7522-8AB7-4F26-9DC1-3ED78AE248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68" name="Text Box 15">
          <a:extLst>
            <a:ext uri="{FF2B5EF4-FFF2-40B4-BE49-F238E27FC236}">
              <a16:creationId xmlns:a16="http://schemas.microsoft.com/office/drawing/2014/main" id="{2F106B93-FBE0-4BF6-A6E9-F6E4177167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69" name="Text Box 15">
          <a:extLst>
            <a:ext uri="{FF2B5EF4-FFF2-40B4-BE49-F238E27FC236}">
              <a16:creationId xmlns:a16="http://schemas.microsoft.com/office/drawing/2014/main" id="{46017BA3-4C9B-41B3-9759-2A2133D45FA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0" name="Text Box 15">
          <a:extLst>
            <a:ext uri="{FF2B5EF4-FFF2-40B4-BE49-F238E27FC236}">
              <a16:creationId xmlns:a16="http://schemas.microsoft.com/office/drawing/2014/main" id="{AD1704E7-F7FC-4AF8-946F-AD59B55300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1" name="Text Box 15">
          <a:extLst>
            <a:ext uri="{FF2B5EF4-FFF2-40B4-BE49-F238E27FC236}">
              <a16:creationId xmlns:a16="http://schemas.microsoft.com/office/drawing/2014/main" id="{9EB09556-072F-432C-92BF-5A8BDE4509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2" name="Text Box 15">
          <a:extLst>
            <a:ext uri="{FF2B5EF4-FFF2-40B4-BE49-F238E27FC236}">
              <a16:creationId xmlns:a16="http://schemas.microsoft.com/office/drawing/2014/main" id="{4876B385-F99E-4085-87D8-266EE7E2507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3" name="Text Box 15">
          <a:extLst>
            <a:ext uri="{FF2B5EF4-FFF2-40B4-BE49-F238E27FC236}">
              <a16:creationId xmlns:a16="http://schemas.microsoft.com/office/drawing/2014/main" id="{A5B9F6A5-68FF-402A-BFE5-610941C3CF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4" name="Text Box 15">
          <a:extLst>
            <a:ext uri="{FF2B5EF4-FFF2-40B4-BE49-F238E27FC236}">
              <a16:creationId xmlns:a16="http://schemas.microsoft.com/office/drawing/2014/main" id="{3AD32F50-2481-452A-ADD5-70DF8B1363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5" name="Text Box 15">
          <a:extLst>
            <a:ext uri="{FF2B5EF4-FFF2-40B4-BE49-F238E27FC236}">
              <a16:creationId xmlns:a16="http://schemas.microsoft.com/office/drawing/2014/main" id="{A83F9BD3-D762-46A3-9709-B4ED59DF4B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76" name="Text Box 15">
          <a:extLst>
            <a:ext uri="{FF2B5EF4-FFF2-40B4-BE49-F238E27FC236}">
              <a16:creationId xmlns:a16="http://schemas.microsoft.com/office/drawing/2014/main" id="{7F77DFA9-EE63-46A7-8333-5DC435EB2B8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77" name="Text Box 15">
          <a:extLst>
            <a:ext uri="{FF2B5EF4-FFF2-40B4-BE49-F238E27FC236}">
              <a16:creationId xmlns:a16="http://schemas.microsoft.com/office/drawing/2014/main" id="{ACFFF02A-2FE1-4C36-A215-E8DE7D6567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78" name="Text Box 15">
          <a:extLst>
            <a:ext uri="{FF2B5EF4-FFF2-40B4-BE49-F238E27FC236}">
              <a16:creationId xmlns:a16="http://schemas.microsoft.com/office/drawing/2014/main" id="{8A7A94CA-1AC7-49D8-9F1D-EAEFF26A93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79" name="Text Box 15">
          <a:extLst>
            <a:ext uri="{FF2B5EF4-FFF2-40B4-BE49-F238E27FC236}">
              <a16:creationId xmlns:a16="http://schemas.microsoft.com/office/drawing/2014/main" id="{FCBD2653-FC27-4C47-AF11-2C044E040C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80" name="Text Box 15">
          <a:extLst>
            <a:ext uri="{FF2B5EF4-FFF2-40B4-BE49-F238E27FC236}">
              <a16:creationId xmlns:a16="http://schemas.microsoft.com/office/drawing/2014/main" id="{71F87C94-384C-4973-88FB-FF0C04A052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1" name="Text Box 15">
          <a:extLst>
            <a:ext uri="{FF2B5EF4-FFF2-40B4-BE49-F238E27FC236}">
              <a16:creationId xmlns:a16="http://schemas.microsoft.com/office/drawing/2014/main" id="{88852314-25D4-4B78-A535-73D21836EC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2" name="Text Box 15">
          <a:extLst>
            <a:ext uri="{FF2B5EF4-FFF2-40B4-BE49-F238E27FC236}">
              <a16:creationId xmlns:a16="http://schemas.microsoft.com/office/drawing/2014/main" id="{F385DC7F-7FBD-4480-90B9-4EAD9895943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3" name="Text Box 15">
          <a:extLst>
            <a:ext uri="{FF2B5EF4-FFF2-40B4-BE49-F238E27FC236}">
              <a16:creationId xmlns:a16="http://schemas.microsoft.com/office/drawing/2014/main" id="{43221275-C851-4CF6-84AC-C12876D0E0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4" name="Text Box 15">
          <a:extLst>
            <a:ext uri="{FF2B5EF4-FFF2-40B4-BE49-F238E27FC236}">
              <a16:creationId xmlns:a16="http://schemas.microsoft.com/office/drawing/2014/main" id="{3B578FF4-971C-4053-9EA2-FAF040BF1C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5" name="Text Box 15">
          <a:extLst>
            <a:ext uri="{FF2B5EF4-FFF2-40B4-BE49-F238E27FC236}">
              <a16:creationId xmlns:a16="http://schemas.microsoft.com/office/drawing/2014/main" id="{9617337A-7EFF-4B8D-A1E0-E5E83B90AB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6" name="Text Box 15">
          <a:extLst>
            <a:ext uri="{FF2B5EF4-FFF2-40B4-BE49-F238E27FC236}">
              <a16:creationId xmlns:a16="http://schemas.microsoft.com/office/drawing/2014/main" id="{8F2D9162-5227-4FCD-BAE5-1CAFBD4675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7" name="Text Box 15">
          <a:extLst>
            <a:ext uri="{FF2B5EF4-FFF2-40B4-BE49-F238E27FC236}">
              <a16:creationId xmlns:a16="http://schemas.microsoft.com/office/drawing/2014/main" id="{7BF49C8C-2ADC-441A-81C1-33E2E19C7C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8" name="Text Box 15">
          <a:extLst>
            <a:ext uri="{FF2B5EF4-FFF2-40B4-BE49-F238E27FC236}">
              <a16:creationId xmlns:a16="http://schemas.microsoft.com/office/drawing/2014/main" id="{736CDD34-FF27-418F-B6BD-0670B715A1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89" name="Text Box 15">
          <a:extLst>
            <a:ext uri="{FF2B5EF4-FFF2-40B4-BE49-F238E27FC236}">
              <a16:creationId xmlns:a16="http://schemas.microsoft.com/office/drawing/2014/main" id="{ADDAA7A7-4B5B-47B0-9478-0A7B57A4CD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90" name="Text Box 15">
          <a:extLst>
            <a:ext uri="{FF2B5EF4-FFF2-40B4-BE49-F238E27FC236}">
              <a16:creationId xmlns:a16="http://schemas.microsoft.com/office/drawing/2014/main" id="{8D08FDAE-CAA5-4E0A-97CC-25C381FF52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391" name="Text Box 15">
          <a:extLst>
            <a:ext uri="{FF2B5EF4-FFF2-40B4-BE49-F238E27FC236}">
              <a16:creationId xmlns:a16="http://schemas.microsoft.com/office/drawing/2014/main" id="{5CEF2E7D-1304-4D59-BBD2-7550E03C27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392" name="Text Box 15">
          <a:extLst>
            <a:ext uri="{FF2B5EF4-FFF2-40B4-BE49-F238E27FC236}">
              <a16:creationId xmlns:a16="http://schemas.microsoft.com/office/drawing/2014/main" id="{41244C94-940C-4DEF-8485-3577CAF215F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393" name="Text Box 15">
          <a:extLst>
            <a:ext uri="{FF2B5EF4-FFF2-40B4-BE49-F238E27FC236}">
              <a16:creationId xmlns:a16="http://schemas.microsoft.com/office/drawing/2014/main" id="{01DB9CAF-D618-4C73-80CE-0E79F6A1A3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394" name="Text Box 15">
          <a:extLst>
            <a:ext uri="{FF2B5EF4-FFF2-40B4-BE49-F238E27FC236}">
              <a16:creationId xmlns:a16="http://schemas.microsoft.com/office/drawing/2014/main" id="{77EAB2CF-6B6C-451F-BC27-8279CBAA18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395" name="Text Box 15">
          <a:extLst>
            <a:ext uri="{FF2B5EF4-FFF2-40B4-BE49-F238E27FC236}">
              <a16:creationId xmlns:a16="http://schemas.microsoft.com/office/drawing/2014/main" id="{BA310158-357B-4813-B2D7-C2390C4FCB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96" name="Text Box 15">
          <a:extLst>
            <a:ext uri="{FF2B5EF4-FFF2-40B4-BE49-F238E27FC236}">
              <a16:creationId xmlns:a16="http://schemas.microsoft.com/office/drawing/2014/main" id="{98D1B7F1-518C-4A2C-8241-203656C3E0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97" name="Text Box 15">
          <a:extLst>
            <a:ext uri="{FF2B5EF4-FFF2-40B4-BE49-F238E27FC236}">
              <a16:creationId xmlns:a16="http://schemas.microsoft.com/office/drawing/2014/main" id="{4E085E56-B3C7-43C6-8940-5F9F7B1232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98" name="Text Box 15">
          <a:extLst>
            <a:ext uri="{FF2B5EF4-FFF2-40B4-BE49-F238E27FC236}">
              <a16:creationId xmlns:a16="http://schemas.microsoft.com/office/drawing/2014/main" id="{26A2DF6D-38A5-428B-B6F6-B5DD26EC55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99" name="Text Box 15">
          <a:extLst>
            <a:ext uri="{FF2B5EF4-FFF2-40B4-BE49-F238E27FC236}">
              <a16:creationId xmlns:a16="http://schemas.microsoft.com/office/drawing/2014/main" id="{B93388CF-CAAA-4225-997D-BE7A83253F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400" name="Text Box 15">
          <a:extLst>
            <a:ext uri="{FF2B5EF4-FFF2-40B4-BE49-F238E27FC236}">
              <a16:creationId xmlns:a16="http://schemas.microsoft.com/office/drawing/2014/main" id="{3824BB01-B58E-4D65-92BA-4E6F4CB3D8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401" name="Text Box 15">
          <a:extLst>
            <a:ext uri="{FF2B5EF4-FFF2-40B4-BE49-F238E27FC236}">
              <a16:creationId xmlns:a16="http://schemas.microsoft.com/office/drawing/2014/main" id="{926EF9F6-8B7C-4740-8052-5220BC4E7A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402" name="Text Box 15">
          <a:extLst>
            <a:ext uri="{FF2B5EF4-FFF2-40B4-BE49-F238E27FC236}">
              <a16:creationId xmlns:a16="http://schemas.microsoft.com/office/drawing/2014/main" id="{555C6577-113F-4B99-A915-3398E27623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403" name="Text Box 15">
          <a:extLst>
            <a:ext uri="{FF2B5EF4-FFF2-40B4-BE49-F238E27FC236}">
              <a16:creationId xmlns:a16="http://schemas.microsoft.com/office/drawing/2014/main" id="{B475A230-F9C1-4F7B-B007-44911EEFCC8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404" name="Text Box 15">
          <a:extLst>
            <a:ext uri="{FF2B5EF4-FFF2-40B4-BE49-F238E27FC236}">
              <a16:creationId xmlns:a16="http://schemas.microsoft.com/office/drawing/2014/main" id="{B00D2202-F6A9-4C17-A389-6ABB88996A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405" name="Text Box 15">
          <a:extLst>
            <a:ext uri="{FF2B5EF4-FFF2-40B4-BE49-F238E27FC236}">
              <a16:creationId xmlns:a16="http://schemas.microsoft.com/office/drawing/2014/main" id="{6B6F6053-733E-43B8-BF1E-75713C2EE18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406" name="Text Box 15">
          <a:extLst>
            <a:ext uri="{FF2B5EF4-FFF2-40B4-BE49-F238E27FC236}">
              <a16:creationId xmlns:a16="http://schemas.microsoft.com/office/drawing/2014/main" id="{4F32D351-14A5-4C5C-BA3C-9A403AECE1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407" name="Text Box 15">
          <a:extLst>
            <a:ext uri="{FF2B5EF4-FFF2-40B4-BE49-F238E27FC236}">
              <a16:creationId xmlns:a16="http://schemas.microsoft.com/office/drawing/2014/main" id="{35A8207C-0CDD-4DC4-85AE-DEC80A76BD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408" name="Text Box 15">
          <a:extLst>
            <a:ext uri="{FF2B5EF4-FFF2-40B4-BE49-F238E27FC236}">
              <a16:creationId xmlns:a16="http://schemas.microsoft.com/office/drawing/2014/main" id="{E0BC28A6-60B0-47F6-9BE8-0579FFAE30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409" name="Text Box 15">
          <a:extLst>
            <a:ext uri="{FF2B5EF4-FFF2-40B4-BE49-F238E27FC236}">
              <a16:creationId xmlns:a16="http://schemas.microsoft.com/office/drawing/2014/main" id="{8141BCC1-370C-4F9E-81C8-84E8ECD7FB5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0" name="Text Box 15">
          <a:extLst>
            <a:ext uri="{FF2B5EF4-FFF2-40B4-BE49-F238E27FC236}">
              <a16:creationId xmlns:a16="http://schemas.microsoft.com/office/drawing/2014/main" id="{1E8BA878-DAC5-446E-82B4-BA187B8D72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1" name="Text Box 15">
          <a:extLst>
            <a:ext uri="{FF2B5EF4-FFF2-40B4-BE49-F238E27FC236}">
              <a16:creationId xmlns:a16="http://schemas.microsoft.com/office/drawing/2014/main" id="{6D90C75A-DDC5-4656-A2D1-7E708D12DD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2" name="Text Box 15">
          <a:extLst>
            <a:ext uri="{FF2B5EF4-FFF2-40B4-BE49-F238E27FC236}">
              <a16:creationId xmlns:a16="http://schemas.microsoft.com/office/drawing/2014/main" id="{750312D9-B475-4F86-9639-3A50CCD069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3" name="Text Box 15">
          <a:extLst>
            <a:ext uri="{FF2B5EF4-FFF2-40B4-BE49-F238E27FC236}">
              <a16:creationId xmlns:a16="http://schemas.microsoft.com/office/drawing/2014/main" id="{A2101740-5783-48C0-BC79-1DCE135CD9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4" name="Text Box 15">
          <a:extLst>
            <a:ext uri="{FF2B5EF4-FFF2-40B4-BE49-F238E27FC236}">
              <a16:creationId xmlns:a16="http://schemas.microsoft.com/office/drawing/2014/main" id="{405F0D2A-AC2B-46CB-8FA2-D9C9483B8FB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15" name="Text Box 15">
          <a:extLst>
            <a:ext uri="{FF2B5EF4-FFF2-40B4-BE49-F238E27FC236}">
              <a16:creationId xmlns:a16="http://schemas.microsoft.com/office/drawing/2014/main" id="{6E6D2031-44CF-46BB-816E-4FBE4064F3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6" name="Text Box 15">
          <a:extLst>
            <a:ext uri="{FF2B5EF4-FFF2-40B4-BE49-F238E27FC236}">
              <a16:creationId xmlns:a16="http://schemas.microsoft.com/office/drawing/2014/main" id="{159F6E48-5404-4AC5-BAA6-79961098E46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86094"/>
    <xdr:sp macro="" textlink="">
      <xdr:nvSpPr>
        <xdr:cNvPr id="4417" name="Text Box 15">
          <a:extLst>
            <a:ext uri="{FF2B5EF4-FFF2-40B4-BE49-F238E27FC236}">
              <a16:creationId xmlns:a16="http://schemas.microsoft.com/office/drawing/2014/main" id="{5A5E2DBD-C600-48EF-AF0A-925A5B721E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8" name="Text Box 15">
          <a:extLst>
            <a:ext uri="{FF2B5EF4-FFF2-40B4-BE49-F238E27FC236}">
              <a16:creationId xmlns:a16="http://schemas.microsoft.com/office/drawing/2014/main" id="{FED70214-0F41-4742-80F7-174FA79301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95619"/>
    <xdr:sp macro="" textlink="">
      <xdr:nvSpPr>
        <xdr:cNvPr id="4419" name="Text Box 15">
          <a:extLst>
            <a:ext uri="{FF2B5EF4-FFF2-40B4-BE49-F238E27FC236}">
              <a16:creationId xmlns:a16="http://schemas.microsoft.com/office/drawing/2014/main" id="{939BF406-6382-455E-B57C-5148DB3FE8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95619"/>
    <xdr:sp macro="" textlink="">
      <xdr:nvSpPr>
        <xdr:cNvPr id="4420" name="Text Box 15">
          <a:extLst>
            <a:ext uri="{FF2B5EF4-FFF2-40B4-BE49-F238E27FC236}">
              <a16:creationId xmlns:a16="http://schemas.microsoft.com/office/drawing/2014/main" id="{F8E734FF-65AC-4786-8BCF-21E00B41B3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95619"/>
    <xdr:sp macro="" textlink="">
      <xdr:nvSpPr>
        <xdr:cNvPr id="4421" name="Text Box 15">
          <a:extLst>
            <a:ext uri="{FF2B5EF4-FFF2-40B4-BE49-F238E27FC236}">
              <a16:creationId xmlns:a16="http://schemas.microsoft.com/office/drawing/2014/main" id="{B665F1C6-551C-489D-8898-F7861CDEF8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95619"/>
    <xdr:sp macro="" textlink="">
      <xdr:nvSpPr>
        <xdr:cNvPr id="4422" name="Text Box 15">
          <a:extLst>
            <a:ext uri="{FF2B5EF4-FFF2-40B4-BE49-F238E27FC236}">
              <a16:creationId xmlns:a16="http://schemas.microsoft.com/office/drawing/2014/main" id="{5E30A0A9-26C8-4378-82B1-509B5DA443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95619"/>
    <xdr:sp macro="" textlink="">
      <xdr:nvSpPr>
        <xdr:cNvPr id="4423" name="Text Box 15">
          <a:extLst>
            <a:ext uri="{FF2B5EF4-FFF2-40B4-BE49-F238E27FC236}">
              <a16:creationId xmlns:a16="http://schemas.microsoft.com/office/drawing/2014/main" id="{D72A7D2B-C3A3-458C-9213-B8E8B56252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86094"/>
    <xdr:sp macro="" textlink="">
      <xdr:nvSpPr>
        <xdr:cNvPr id="4424" name="Text Box 15">
          <a:extLst>
            <a:ext uri="{FF2B5EF4-FFF2-40B4-BE49-F238E27FC236}">
              <a16:creationId xmlns:a16="http://schemas.microsoft.com/office/drawing/2014/main" id="{BDCA3E36-BE25-4E57-87EC-6BBC39F865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25" name="Text Box 15">
          <a:extLst>
            <a:ext uri="{FF2B5EF4-FFF2-40B4-BE49-F238E27FC236}">
              <a16:creationId xmlns:a16="http://schemas.microsoft.com/office/drawing/2014/main" id="{C30848D9-8387-4C78-90D2-386585EA47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26" name="Text Box 15">
          <a:extLst>
            <a:ext uri="{FF2B5EF4-FFF2-40B4-BE49-F238E27FC236}">
              <a16:creationId xmlns:a16="http://schemas.microsoft.com/office/drawing/2014/main" id="{B6EC54CB-6EF9-4837-99DF-3129961586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27" name="Text Box 15">
          <a:extLst>
            <a:ext uri="{FF2B5EF4-FFF2-40B4-BE49-F238E27FC236}">
              <a16:creationId xmlns:a16="http://schemas.microsoft.com/office/drawing/2014/main" id="{7AC459AE-1799-4159-B248-DF43B8D91BF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28" name="Text Box 15">
          <a:extLst>
            <a:ext uri="{FF2B5EF4-FFF2-40B4-BE49-F238E27FC236}">
              <a16:creationId xmlns:a16="http://schemas.microsoft.com/office/drawing/2014/main" id="{68F6CBA7-4CF8-4EEA-AEE3-1AC5DBE698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29" name="Text Box 15">
          <a:extLst>
            <a:ext uri="{FF2B5EF4-FFF2-40B4-BE49-F238E27FC236}">
              <a16:creationId xmlns:a16="http://schemas.microsoft.com/office/drawing/2014/main" id="{816F4251-71C9-4C03-B62F-615F175DFE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86094"/>
    <xdr:sp macro="" textlink="">
      <xdr:nvSpPr>
        <xdr:cNvPr id="4430" name="Text Box 15">
          <a:extLst>
            <a:ext uri="{FF2B5EF4-FFF2-40B4-BE49-F238E27FC236}">
              <a16:creationId xmlns:a16="http://schemas.microsoft.com/office/drawing/2014/main" id="{31CEF2F5-D135-4B39-B7E2-ED45A831E1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86094"/>
    <xdr:sp macro="" textlink="">
      <xdr:nvSpPr>
        <xdr:cNvPr id="4431" name="Text Box 15">
          <a:extLst>
            <a:ext uri="{FF2B5EF4-FFF2-40B4-BE49-F238E27FC236}">
              <a16:creationId xmlns:a16="http://schemas.microsoft.com/office/drawing/2014/main" id="{0EC5B3DF-C4FF-4FC6-86DB-11BF217E09A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32" name="Text Box 15">
          <a:extLst>
            <a:ext uri="{FF2B5EF4-FFF2-40B4-BE49-F238E27FC236}">
              <a16:creationId xmlns:a16="http://schemas.microsoft.com/office/drawing/2014/main" id="{D95BDE87-4B47-4B7A-A9BD-6749EEB900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33" name="Text Box 15">
          <a:extLst>
            <a:ext uri="{FF2B5EF4-FFF2-40B4-BE49-F238E27FC236}">
              <a16:creationId xmlns:a16="http://schemas.microsoft.com/office/drawing/2014/main" id="{69936FE3-7AFA-4D9C-9EB0-7C9AF10BBE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34" name="Text Box 15">
          <a:extLst>
            <a:ext uri="{FF2B5EF4-FFF2-40B4-BE49-F238E27FC236}">
              <a16:creationId xmlns:a16="http://schemas.microsoft.com/office/drawing/2014/main" id="{83CF4D13-A3C4-4144-9CE1-EA1C521526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35" name="Text Box 15">
          <a:extLst>
            <a:ext uri="{FF2B5EF4-FFF2-40B4-BE49-F238E27FC236}">
              <a16:creationId xmlns:a16="http://schemas.microsoft.com/office/drawing/2014/main" id="{790281EA-7D4A-4979-A9F2-F6301AB0D8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36" name="Text Box 15">
          <a:extLst>
            <a:ext uri="{FF2B5EF4-FFF2-40B4-BE49-F238E27FC236}">
              <a16:creationId xmlns:a16="http://schemas.microsoft.com/office/drawing/2014/main" id="{D95C7DA3-4202-4E28-A540-4C721E9B0B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37" name="Text Box 15">
          <a:extLst>
            <a:ext uri="{FF2B5EF4-FFF2-40B4-BE49-F238E27FC236}">
              <a16:creationId xmlns:a16="http://schemas.microsoft.com/office/drawing/2014/main" id="{85A72AC3-EE58-4A3D-915E-CCDA355706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38" name="Text Box 15">
          <a:extLst>
            <a:ext uri="{FF2B5EF4-FFF2-40B4-BE49-F238E27FC236}">
              <a16:creationId xmlns:a16="http://schemas.microsoft.com/office/drawing/2014/main" id="{1EDA6FB9-3452-4A51-9EC9-0840B25B74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39" name="Text Box 15">
          <a:extLst>
            <a:ext uri="{FF2B5EF4-FFF2-40B4-BE49-F238E27FC236}">
              <a16:creationId xmlns:a16="http://schemas.microsoft.com/office/drawing/2014/main" id="{60E37CA0-BD5C-4585-AC8F-7B3D8B1708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0" name="Text Box 15">
          <a:extLst>
            <a:ext uri="{FF2B5EF4-FFF2-40B4-BE49-F238E27FC236}">
              <a16:creationId xmlns:a16="http://schemas.microsoft.com/office/drawing/2014/main" id="{2E008FA1-4FD0-454F-A169-CEF860D421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1" name="Text Box 15">
          <a:extLst>
            <a:ext uri="{FF2B5EF4-FFF2-40B4-BE49-F238E27FC236}">
              <a16:creationId xmlns:a16="http://schemas.microsoft.com/office/drawing/2014/main" id="{469899B4-4626-4B0F-B02F-D55517BB0D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2" name="Text Box 15">
          <a:extLst>
            <a:ext uri="{FF2B5EF4-FFF2-40B4-BE49-F238E27FC236}">
              <a16:creationId xmlns:a16="http://schemas.microsoft.com/office/drawing/2014/main" id="{BEA2FAAE-3644-489D-95A2-595E5EE3D0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3" name="Text Box 15">
          <a:extLst>
            <a:ext uri="{FF2B5EF4-FFF2-40B4-BE49-F238E27FC236}">
              <a16:creationId xmlns:a16="http://schemas.microsoft.com/office/drawing/2014/main" id="{80D6E93B-1AEF-4157-A95D-E97E12214D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4" name="Text Box 15">
          <a:extLst>
            <a:ext uri="{FF2B5EF4-FFF2-40B4-BE49-F238E27FC236}">
              <a16:creationId xmlns:a16="http://schemas.microsoft.com/office/drawing/2014/main" id="{855ACAB3-A7BE-4ADB-8FD9-7F7096EB737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5" name="Text Box 15">
          <a:extLst>
            <a:ext uri="{FF2B5EF4-FFF2-40B4-BE49-F238E27FC236}">
              <a16:creationId xmlns:a16="http://schemas.microsoft.com/office/drawing/2014/main" id="{DB933B06-FA17-4AFE-9FC0-5AE124B29F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6" name="Text Box 15">
          <a:extLst>
            <a:ext uri="{FF2B5EF4-FFF2-40B4-BE49-F238E27FC236}">
              <a16:creationId xmlns:a16="http://schemas.microsoft.com/office/drawing/2014/main" id="{8FC84649-4C11-4E75-B7E0-B663875112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7" name="Text Box 15">
          <a:extLst>
            <a:ext uri="{FF2B5EF4-FFF2-40B4-BE49-F238E27FC236}">
              <a16:creationId xmlns:a16="http://schemas.microsoft.com/office/drawing/2014/main" id="{F303425E-A61F-4080-95B5-58F934EAA5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8" name="Text Box 15">
          <a:extLst>
            <a:ext uri="{FF2B5EF4-FFF2-40B4-BE49-F238E27FC236}">
              <a16:creationId xmlns:a16="http://schemas.microsoft.com/office/drawing/2014/main" id="{20306DC9-D9FD-4F92-A427-E27057720A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49" name="Text Box 15">
          <a:extLst>
            <a:ext uri="{FF2B5EF4-FFF2-40B4-BE49-F238E27FC236}">
              <a16:creationId xmlns:a16="http://schemas.microsoft.com/office/drawing/2014/main" id="{86C9452E-6BD1-4535-8944-B3B79CC6F3A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50" name="Text Box 15">
          <a:extLst>
            <a:ext uri="{FF2B5EF4-FFF2-40B4-BE49-F238E27FC236}">
              <a16:creationId xmlns:a16="http://schemas.microsoft.com/office/drawing/2014/main" id="{60682EB2-EC48-41E1-B4C7-E76504A002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51" name="Text Box 15">
          <a:extLst>
            <a:ext uri="{FF2B5EF4-FFF2-40B4-BE49-F238E27FC236}">
              <a16:creationId xmlns:a16="http://schemas.microsoft.com/office/drawing/2014/main" id="{7C384EC3-E98B-478C-8645-56F070F3DA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52" name="Text Box 15">
          <a:extLst>
            <a:ext uri="{FF2B5EF4-FFF2-40B4-BE49-F238E27FC236}">
              <a16:creationId xmlns:a16="http://schemas.microsoft.com/office/drawing/2014/main" id="{07F28825-FF32-4B5F-9818-20C8B4EBBD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53" name="Text Box 15">
          <a:extLst>
            <a:ext uri="{FF2B5EF4-FFF2-40B4-BE49-F238E27FC236}">
              <a16:creationId xmlns:a16="http://schemas.microsoft.com/office/drawing/2014/main" id="{18008444-96B7-430D-A615-883043A46D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4" name="Text Box 15">
          <a:extLst>
            <a:ext uri="{FF2B5EF4-FFF2-40B4-BE49-F238E27FC236}">
              <a16:creationId xmlns:a16="http://schemas.microsoft.com/office/drawing/2014/main" id="{09087AD6-D759-4B31-878F-24E2C6F083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5" name="Text Box 15">
          <a:extLst>
            <a:ext uri="{FF2B5EF4-FFF2-40B4-BE49-F238E27FC236}">
              <a16:creationId xmlns:a16="http://schemas.microsoft.com/office/drawing/2014/main" id="{8A723A36-EF74-4AED-AF85-011FCAC2C2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6" name="Text Box 15">
          <a:extLst>
            <a:ext uri="{FF2B5EF4-FFF2-40B4-BE49-F238E27FC236}">
              <a16:creationId xmlns:a16="http://schemas.microsoft.com/office/drawing/2014/main" id="{CD8F8F11-7969-499D-93E8-5D71E1EBB6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7" name="Text Box 15">
          <a:extLst>
            <a:ext uri="{FF2B5EF4-FFF2-40B4-BE49-F238E27FC236}">
              <a16:creationId xmlns:a16="http://schemas.microsoft.com/office/drawing/2014/main" id="{FFEBEE48-9AEF-45E9-9A74-4A8F2DE588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8" name="Text Box 15">
          <a:extLst>
            <a:ext uri="{FF2B5EF4-FFF2-40B4-BE49-F238E27FC236}">
              <a16:creationId xmlns:a16="http://schemas.microsoft.com/office/drawing/2014/main" id="{9055EFDF-99A8-40D6-B781-8086A02885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9" name="Text Box 15">
          <a:extLst>
            <a:ext uri="{FF2B5EF4-FFF2-40B4-BE49-F238E27FC236}">
              <a16:creationId xmlns:a16="http://schemas.microsoft.com/office/drawing/2014/main" id="{AFD2E19E-31F9-4BBD-9C67-AC30A81364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60" name="Text Box 15">
          <a:extLst>
            <a:ext uri="{FF2B5EF4-FFF2-40B4-BE49-F238E27FC236}">
              <a16:creationId xmlns:a16="http://schemas.microsoft.com/office/drawing/2014/main" id="{26601E76-65E5-4F96-9023-951932BF698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61" name="Text Box 15">
          <a:extLst>
            <a:ext uri="{FF2B5EF4-FFF2-40B4-BE49-F238E27FC236}">
              <a16:creationId xmlns:a16="http://schemas.microsoft.com/office/drawing/2014/main" id="{13C3A3E1-201E-4806-B183-0DD85EE3A2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62" name="Text Box 15">
          <a:extLst>
            <a:ext uri="{FF2B5EF4-FFF2-40B4-BE49-F238E27FC236}">
              <a16:creationId xmlns:a16="http://schemas.microsoft.com/office/drawing/2014/main" id="{20FD81FF-6A81-4B88-9D27-A01694CA02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63" name="Text Box 15">
          <a:extLst>
            <a:ext uri="{FF2B5EF4-FFF2-40B4-BE49-F238E27FC236}">
              <a16:creationId xmlns:a16="http://schemas.microsoft.com/office/drawing/2014/main" id="{95FF5BC7-9978-4F41-BAAE-7AA2C39B50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64" name="Text Box 15">
          <a:extLst>
            <a:ext uri="{FF2B5EF4-FFF2-40B4-BE49-F238E27FC236}">
              <a16:creationId xmlns:a16="http://schemas.microsoft.com/office/drawing/2014/main" id="{BA3474A5-D363-4968-8FD2-632D9557A8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65" name="Text Box 15">
          <a:extLst>
            <a:ext uri="{FF2B5EF4-FFF2-40B4-BE49-F238E27FC236}">
              <a16:creationId xmlns:a16="http://schemas.microsoft.com/office/drawing/2014/main" id="{34A97581-592A-41D2-BA69-F56ABD8D2E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66" name="Text Box 15">
          <a:extLst>
            <a:ext uri="{FF2B5EF4-FFF2-40B4-BE49-F238E27FC236}">
              <a16:creationId xmlns:a16="http://schemas.microsoft.com/office/drawing/2014/main" id="{6C908D39-58A8-4050-950B-976028320A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67" name="Text Box 15">
          <a:extLst>
            <a:ext uri="{FF2B5EF4-FFF2-40B4-BE49-F238E27FC236}">
              <a16:creationId xmlns:a16="http://schemas.microsoft.com/office/drawing/2014/main" id="{FA0943E8-2CF3-47FB-A156-2F7B495930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68" name="Text Box 15">
          <a:extLst>
            <a:ext uri="{FF2B5EF4-FFF2-40B4-BE49-F238E27FC236}">
              <a16:creationId xmlns:a16="http://schemas.microsoft.com/office/drawing/2014/main" id="{7D537968-B9A8-446D-8AFA-065A26A65D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69" name="Text Box 15">
          <a:extLst>
            <a:ext uri="{FF2B5EF4-FFF2-40B4-BE49-F238E27FC236}">
              <a16:creationId xmlns:a16="http://schemas.microsoft.com/office/drawing/2014/main" id="{36E69316-5F6C-49E2-885E-E9785B63A09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0" name="Text Box 15">
          <a:extLst>
            <a:ext uri="{FF2B5EF4-FFF2-40B4-BE49-F238E27FC236}">
              <a16:creationId xmlns:a16="http://schemas.microsoft.com/office/drawing/2014/main" id="{F941E479-A93E-466A-9A9E-A3A391B79A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1" name="Text Box 15">
          <a:extLst>
            <a:ext uri="{FF2B5EF4-FFF2-40B4-BE49-F238E27FC236}">
              <a16:creationId xmlns:a16="http://schemas.microsoft.com/office/drawing/2014/main" id="{9CF6D958-E804-43A6-8ACD-5FB86EB8A8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2" name="Text Box 15">
          <a:extLst>
            <a:ext uri="{FF2B5EF4-FFF2-40B4-BE49-F238E27FC236}">
              <a16:creationId xmlns:a16="http://schemas.microsoft.com/office/drawing/2014/main" id="{E638C0CA-BFD6-4D9F-B092-D77928447A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3" name="Text Box 15">
          <a:extLst>
            <a:ext uri="{FF2B5EF4-FFF2-40B4-BE49-F238E27FC236}">
              <a16:creationId xmlns:a16="http://schemas.microsoft.com/office/drawing/2014/main" id="{345A4357-8C2D-4A0F-9394-22FBBAD9828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4" name="Text Box 15">
          <a:extLst>
            <a:ext uri="{FF2B5EF4-FFF2-40B4-BE49-F238E27FC236}">
              <a16:creationId xmlns:a16="http://schemas.microsoft.com/office/drawing/2014/main" id="{DD6BE4FC-8D4B-419A-9B37-B6C78122C1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5" name="Text Box 15">
          <a:extLst>
            <a:ext uri="{FF2B5EF4-FFF2-40B4-BE49-F238E27FC236}">
              <a16:creationId xmlns:a16="http://schemas.microsoft.com/office/drawing/2014/main" id="{56D531FD-1534-4C6C-819B-679ECFDB8B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6" name="Text Box 15">
          <a:extLst>
            <a:ext uri="{FF2B5EF4-FFF2-40B4-BE49-F238E27FC236}">
              <a16:creationId xmlns:a16="http://schemas.microsoft.com/office/drawing/2014/main" id="{706C7945-8386-4C15-954F-5EDCD25C77B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7" name="Text Box 15">
          <a:extLst>
            <a:ext uri="{FF2B5EF4-FFF2-40B4-BE49-F238E27FC236}">
              <a16:creationId xmlns:a16="http://schemas.microsoft.com/office/drawing/2014/main" id="{961E32E9-F298-46E5-8759-57329FDF63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8" name="Text Box 15">
          <a:extLst>
            <a:ext uri="{FF2B5EF4-FFF2-40B4-BE49-F238E27FC236}">
              <a16:creationId xmlns:a16="http://schemas.microsoft.com/office/drawing/2014/main" id="{15DF4D10-1E68-408A-83B4-EB8888B8D1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79" name="Text Box 15">
          <a:extLst>
            <a:ext uri="{FF2B5EF4-FFF2-40B4-BE49-F238E27FC236}">
              <a16:creationId xmlns:a16="http://schemas.microsoft.com/office/drawing/2014/main" id="{F3C0BA46-DAB3-495E-B07F-E91B95F212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80" name="Text Box 15">
          <a:extLst>
            <a:ext uri="{FF2B5EF4-FFF2-40B4-BE49-F238E27FC236}">
              <a16:creationId xmlns:a16="http://schemas.microsoft.com/office/drawing/2014/main" id="{9B09D4E7-4447-4E64-9E89-A46BB5CFCC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81" name="Text Box 15">
          <a:extLst>
            <a:ext uri="{FF2B5EF4-FFF2-40B4-BE49-F238E27FC236}">
              <a16:creationId xmlns:a16="http://schemas.microsoft.com/office/drawing/2014/main" id="{453F29F7-7F1D-4CF7-82B7-805F291E55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82" name="Text Box 15">
          <a:extLst>
            <a:ext uri="{FF2B5EF4-FFF2-40B4-BE49-F238E27FC236}">
              <a16:creationId xmlns:a16="http://schemas.microsoft.com/office/drawing/2014/main" id="{58B84EA7-C7B3-4842-B4AD-4A2D432F40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83" name="Text Box 15">
          <a:extLst>
            <a:ext uri="{FF2B5EF4-FFF2-40B4-BE49-F238E27FC236}">
              <a16:creationId xmlns:a16="http://schemas.microsoft.com/office/drawing/2014/main" id="{30323E03-2A05-4006-BD99-95E942E6B4F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4" name="Text Box 15">
          <a:extLst>
            <a:ext uri="{FF2B5EF4-FFF2-40B4-BE49-F238E27FC236}">
              <a16:creationId xmlns:a16="http://schemas.microsoft.com/office/drawing/2014/main" id="{723B1506-341B-45FF-8D9F-4CA87CC971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5" name="Text Box 15">
          <a:extLst>
            <a:ext uri="{FF2B5EF4-FFF2-40B4-BE49-F238E27FC236}">
              <a16:creationId xmlns:a16="http://schemas.microsoft.com/office/drawing/2014/main" id="{7DEE1B02-DE0A-44FB-B1E7-529313D158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6" name="Text Box 15">
          <a:extLst>
            <a:ext uri="{FF2B5EF4-FFF2-40B4-BE49-F238E27FC236}">
              <a16:creationId xmlns:a16="http://schemas.microsoft.com/office/drawing/2014/main" id="{D74646F8-75A8-449C-B94A-F5DBF00BF4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7" name="Text Box 15">
          <a:extLst>
            <a:ext uri="{FF2B5EF4-FFF2-40B4-BE49-F238E27FC236}">
              <a16:creationId xmlns:a16="http://schemas.microsoft.com/office/drawing/2014/main" id="{82FE65F2-C5E7-4827-BD5D-47F9CFF1D3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8" name="Text Box 15">
          <a:extLst>
            <a:ext uri="{FF2B5EF4-FFF2-40B4-BE49-F238E27FC236}">
              <a16:creationId xmlns:a16="http://schemas.microsoft.com/office/drawing/2014/main" id="{214D881B-357C-49CB-9F17-4892EE8B7B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9" name="Text Box 15">
          <a:extLst>
            <a:ext uri="{FF2B5EF4-FFF2-40B4-BE49-F238E27FC236}">
              <a16:creationId xmlns:a16="http://schemas.microsoft.com/office/drawing/2014/main" id="{FD448E9C-BE41-4BD2-9E65-78B425BA0F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90" name="Text Box 15">
          <a:extLst>
            <a:ext uri="{FF2B5EF4-FFF2-40B4-BE49-F238E27FC236}">
              <a16:creationId xmlns:a16="http://schemas.microsoft.com/office/drawing/2014/main" id="{5B7D2A55-D004-4C7D-B4A3-2242E4F617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491" name="Text Box 15">
          <a:extLst>
            <a:ext uri="{FF2B5EF4-FFF2-40B4-BE49-F238E27FC236}">
              <a16:creationId xmlns:a16="http://schemas.microsoft.com/office/drawing/2014/main" id="{422773B8-0096-48EB-BCC7-02CBA47513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492" name="Text Box 15">
          <a:extLst>
            <a:ext uri="{FF2B5EF4-FFF2-40B4-BE49-F238E27FC236}">
              <a16:creationId xmlns:a16="http://schemas.microsoft.com/office/drawing/2014/main" id="{FA652129-89A5-4FF5-80B2-FCAA1C1A1C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493" name="Text Box 15">
          <a:extLst>
            <a:ext uri="{FF2B5EF4-FFF2-40B4-BE49-F238E27FC236}">
              <a16:creationId xmlns:a16="http://schemas.microsoft.com/office/drawing/2014/main" id="{B5D16EF9-DD76-46D8-8789-8F529AADB2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4" name="Text Box 15">
          <a:extLst>
            <a:ext uri="{FF2B5EF4-FFF2-40B4-BE49-F238E27FC236}">
              <a16:creationId xmlns:a16="http://schemas.microsoft.com/office/drawing/2014/main" id="{A0D3D65E-308D-4FD1-A767-5E6C1CAF38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5" name="Text Box 15">
          <a:extLst>
            <a:ext uri="{FF2B5EF4-FFF2-40B4-BE49-F238E27FC236}">
              <a16:creationId xmlns:a16="http://schemas.microsoft.com/office/drawing/2014/main" id="{7A3EC689-EA70-42D0-89BE-0D3DA067F8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6" name="Text Box 15">
          <a:extLst>
            <a:ext uri="{FF2B5EF4-FFF2-40B4-BE49-F238E27FC236}">
              <a16:creationId xmlns:a16="http://schemas.microsoft.com/office/drawing/2014/main" id="{FE219D54-FD4D-4891-BD71-AC8DBD6E7E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7" name="Text Box 15">
          <a:extLst>
            <a:ext uri="{FF2B5EF4-FFF2-40B4-BE49-F238E27FC236}">
              <a16:creationId xmlns:a16="http://schemas.microsoft.com/office/drawing/2014/main" id="{92382ECD-4ED3-49F3-A0A1-269AB8AD71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8" name="Text Box 15">
          <a:extLst>
            <a:ext uri="{FF2B5EF4-FFF2-40B4-BE49-F238E27FC236}">
              <a16:creationId xmlns:a16="http://schemas.microsoft.com/office/drawing/2014/main" id="{EF81EF4C-CB2F-4C6D-95A2-1B317196E08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9" name="Text Box 15">
          <a:extLst>
            <a:ext uri="{FF2B5EF4-FFF2-40B4-BE49-F238E27FC236}">
              <a16:creationId xmlns:a16="http://schemas.microsoft.com/office/drawing/2014/main" id="{03FF1DE9-33A7-4AC1-9283-1FBBACEDEE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00" name="Text Box 15">
          <a:extLst>
            <a:ext uri="{FF2B5EF4-FFF2-40B4-BE49-F238E27FC236}">
              <a16:creationId xmlns:a16="http://schemas.microsoft.com/office/drawing/2014/main" id="{0F7A49A3-15DF-4E48-A7C3-031044E4B7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01" name="Text Box 15">
          <a:extLst>
            <a:ext uri="{FF2B5EF4-FFF2-40B4-BE49-F238E27FC236}">
              <a16:creationId xmlns:a16="http://schemas.microsoft.com/office/drawing/2014/main" id="{C2A964AC-BF3A-49B2-997A-F3DD6D7595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02" name="Text Box 15">
          <a:extLst>
            <a:ext uri="{FF2B5EF4-FFF2-40B4-BE49-F238E27FC236}">
              <a16:creationId xmlns:a16="http://schemas.microsoft.com/office/drawing/2014/main" id="{D5FC696C-9EF3-4A5F-AD5D-F4717B971F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03" name="Text Box 15">
          <a:extLst>
            <a:ext uri="{FF2B5EF4-FFF2-40B4-BE49-F238E27FC236}">
              <a16:creationId xmlns:a16="http://schemas.microsoft.com/office/drawing/2014/main" id="{583E180C-5B93-40F0-B3BB-DF355DA979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04" name="Text Box 15">
          <a:extLst>
            <a:ext uri="{FF2B5EF4-FFF2-40B4-BE49-F238E27FC236}">
              <a16:creationId xmlns:a16="http://schemas.microsoft.com/office/drawing/2014/main" id="{165B839D-A0A2-4F0A-B504-BC7133B05E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05" name="Text Box 15">
          <a:extLst>
            <a:ext uri="{FF2B5EF4-FFF2-40B4-BE49-F238E27FC236}">
              <a16:creationId xmlns:a16="http://schemas.microsoft.com/office/drawing/2014/main" id="{91289AA8-AADC-4FE2-9FC7-4FFCF58302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06" name="Text Box 15">
          <a:extLst>
            <a:ext uri="{FF2B5EF4-FFF2-40B4-BE49-F238E27FC236}">
              <a16:creationId xmlns:a16="http://schemas.microsoft.com/office/drawing/2014/main" id="{3CED4B19-6511-480D-BFC8-F0AD96F895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07" name="Text Box 15">
          <a:extLst>
            <a:ext uri="{FF2B5EF4-FFF2-40B4-BE49-F238E27FC236}">
              <a16:creationId xmlns:a16="http://schemas.microsoft.com/office/drawing/2014/main" id="{68B0A289-7062-42ED-9DD7-F74F9E7990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08" name="Text Box 15">
          <a:extLst>
            <a:ext uri="{FF2B5EF4-FFF2-40B4-BE49-F238E27FC236}">
              <a16:creationId xmlns:a16="http://schemas.microsoft.com/office/drawing/2014/main" id="{24C4E71C-6811-4169-BFC9-C4F8398CBF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09" name="Text Box 15">
          <a:extLst>
            <a:ext uri="{FF2B5EF4-FFF2-40B4-BE49-F238E27FC236}">
              <a16:creationId xmlns:a16="http://schemas.microsoft.com/office/drawing/2014/main" id="{DB387F2A-84B3-4F3E-B175-1A8D270F7F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0" name="Text Box 15">
          <a:extLst>
            <a:ext uri="{FF2B5EF4-FFF2-40B4-BE49-F238E27FC236}">
              <a16:creationId xmlns:a16="http://schemas.microsoft.com/office/drawing/2014/main" id="{DE096210-65F1-4D01-B527-A18A506065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1" name="Text Box 15">
          <a:extLst>
            <a:ext uri="{FF2B5EF4-FFF2-40B4-BE49-F238E27FC236}">
              <a16:creationId xmlns:a16="http://schemas.microsoft.com/office/drawing/2014/main" id="{1F302FFE-4DDD-42D3-9BE9-42477AEEE7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2" name="Text Box 15">
          <a:extLst>
            <a:ext uri="{FF2B5EF4-FFF2-40B4-BE49-F238E27FC236}">
              <a16:creationId xmlns:a16="http://schemas.microsoft.com/office/drawing/2014/main" id="{612E24B6-C1F3-4DB3-B7E2-346A121EC4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3" name="Text Box 15">
          <a:extLst>
            <a:ext uri="{FF2B5EF4-FFF2-40B4-BE49-F238E27FC236}">
              <a16:creationId xmlns:a16="http://schemas.microsoft.com/office/drawing/2014/main" id="{2A9FDA94-AE3F-443C-9668-8AC8E7B017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4" name="Text Box 15">
          <a:extLst>
            <a:ext uri="{FF2B5EF4-FFF2-40B4-BE49-F238E27FC236}">
              <a16:creationId xmlns:a16="http://schemas.microsoft.com/office/drawing/2014/main" id="{4CF57942-30B5-4CC3-8960-8880F220D6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5" name="Text Box 15">
          <a:extLst>
            <a:ext uri="{FF2B5EF4-FFF2-40B4-BE49-F238E27FC236}">
              <a16:creationId xmlns:a16="http://schemas.microsoft.com/office/drawing/2014/main" id="{76312129-F6AF-42A5-A954-04F6C30359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6" name="Text Box 15">
          <a:extLst>
            <a:ext uri="{FF2B5EF4-FFF2-40B4-BE49-F238E27FC236}">
              <a16:creationId xmlns:a16="http://schemas.microsoft.com/office/drawing/2014/main" id="{3EC13363-249D-45C9-AF1F-A68501F6AC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7" name="Text Box 15">
          <a:extLst>
            <a:ext uri="{FF2B5EF4-FFF2-40B4-BE49-F238E27FC236}">
              <a16:creationId xmlns:a16="http://schemas.microsoft.com/office/drawing/2014/main" id="{9F499D40-F12F-49AA-8D20-3A17F272DD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8" name="Text Box 15">
          <a:extLst>
            <a:ext uri="{FF2B5EF4-FFF2-40B4-BE49-F238E27FC236}">
              <a16:creationId xmlns:a16="http://schemas.microsoft.com/office/drawing/2014/main" id="{93A1BBE9-AA5A-4A82-81F9-FBDCC9DC57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19" name="Text Box 15">
          <a:extLst>
            <a:ext uri="{FF2B5EF4-FFF2-40B4-BE49-F238E27FC236}">
              <a16:creationId xmlns:a16="http://schemas.microsoft.com/office/drawing/2014/main" id="{A755EE9F-151C-420F-9AB8-A899C893D6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20" name="Text Box 15">
          <a:extLst>
            <a:ext uri="{FF2B5EF4-FFF2-40B4-BE49-F238E27FC236}">
              <a16:creationId xmlns:a16="http://schemas.microsoft.com/office/drawing/2014/main" id="{264A3741-2FC5-40E0-BEEA-F19DD106CE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21" name="Text Box 15">
          <a:extLst>
            <a:ext uri="{FF2B5EF4-FFF2-40B4-BE49-F238E27FC236}">
              <a16:creationId xmlns:a16="http://schemas.microsoft.com/office/drawing/2014/main" id="{4A858D74-2F82-43F1-B442-3FDC92A50E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22" name="Text Box 15">
          <a:extLst>
            <a:ext uri="{FF2B5EF4-FFF2-40B4-BE49-F238E27FC236}">
              <a16:creationId xmlns:a16="http://schemas.microsoft.com/office/drawing/2014/main" id="{CED5F294-1741-458B-9D67-D3358B87B6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23" name="Text Box 15">
          <a:extLst>
            <a:ext uri="{FF2B5EF4-FFF2-40B4-BE49-F238E27FC236}">
              <a16:creationId xmlns:a16="http://schemas.microsoft.com/office/drawing/2014/main" id="{79F9294C-6EB4-4585-91A4-BB6FF0C172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4" name="Text Box 15">
          <a:extLst>
            <a:ext uri="{FF2B5EF4-FFF2-40B4-BE49-F238E27FC236}">
              <a16:creationId xmlns:a16="http://schemas.microsoft.com/office/drawing/2014/main" id="{5E712999-BF9E-4912-9651-B02F53E842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5" name="Text Box 15">
          <a:extLst>
            <a:ext uri="{FF2B5EF4-FFF2-40B4-BE49-F238E27FC236}">
              <a16:creationId xmlns:a16="http://schemas.microsoft.com/office/drawing/2014/main" id="{C0EB56D0-FDC8-496C-8A53-D562E52563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6" name="Text Box 15">
          <a:extLst>
            <a:ext uri="{FF2B5EF4-FFF2-40B4-BE49-F238E27FC236}">
              <a16:creationId xmlns:a16="http://schemas.microsoft.com/office/drawing/2014/main" id="{84283358-9E42-4F6C-BBF4-1A51D8E092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7" name="Text Box 15">
          <a:extLst>
            <a:ext uri="{FF2B5EF4-FFF2-40B4-BE49-F238E27FC236}">
              <a16:creationId xmlns:a16="http://schemas.microsoft.com/office/drawing/2014/main" id="{BDDFEEC8-6EA7-4EF2-81D7-B07E3AE0B0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8" name="Text Box 15">
          <a:extLst>
            <a:ext uri="{FF2B5EF4-FFF2-40B4-BE49-F238E27FC236}">
              <a16:creationId xmlns:a16="http://schemas.microsoft.com/office/drawing/2014/main" id="{EE4CCE4A-7454-4687-8DEE-176385B036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9" name="Text Box 15">
          <a:extLst>
            <a:ext uri="{FF2B5EF4-FFF2-40B4-BE49-F238E27FC236}">
              <a16:creationId xmlns:a16="http://schemas.microsoft.com/office/drawing/2014/main" id="{F54DCAEA-7269-427A-8C1E-D450FB3612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30" name="Text Box 15">
          <a:extLst>
            <a:ext uri="{FF2B5EF4-FFF2-40B4-BE49-F238E27FC236}">
              <a16:creationId xmlns:a16="http://schemas.microsoft.com/office/drawing/2014/main" id="{21C64123-9E9D-4BB2-BADE-F495A51612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31" name="Text Box 15">
          <a:extLst>
            <a:ext uri="{FF2B5EF4-FFF2-40B4-BE49-F238E27FC236}">
              <a16:creationId xmlns:a16="http://schemas.microsoft.com/office/drawing/2014/main" id="{1D25741C-8353-41EC-92AF-706A679B5C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32" name="Text Box 15">
          <a:extLst>
            <a:ext uri="{FF2B5EF4-FFF2-40B4-BE49-F238E27FC236}">
              <a16:creationId xmlns:a16="http://schemas.microsoft.com/office/drawing/2014/main" id="{7CB9B2C4-B6F7-4C62-AA7A-E7E0DF4674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33" name="Text Box 15">
          <a:extLst>
            <a:ext uri="{FF2B5EF4-FFF2-40B4-BE49-F238E27FC236}">
              <a16:creationId xmlns:a16="http://schemas.microsoft.com/office/drawing/2014/main" id="{53FEC8A6-9C8E-4CA6-A4CB-7965B06650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34" name="Text Box 15">
          <a:extLst>
            <a:ext uri="{FF2B5EF4-FFF2-40B4-BE49-F238E27FC236}">
              <a16:creationId xmlns:a16="http://schemas.microsoft.com/office/drawing/2014/main" id="{7C82C0A0-4E68-4CF6-A6F7-B211BC9132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35" name="Text Box 15">
          <a:extLst>
            <a:ext uri="{FF2B5EF4-FFF2-40B4-BE49-F238E27FC236}">
              <a16:creationId xmlns:a16="http://schemas.microsoft.com/office/drawing/2014/main" id="{BB67B2A1-562D-4C28-B658-C574FED31B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36" name="Text Box 15">
          <a:extLst>
            <a:ext uri="{FF2B5EF4-FFF2-40B4-BE49-F238E27FC236}">
              <a16:creationId xmlns:a16="http://schemas.microsoft.com/office/drawing/2014/main" id="{892E6A70-0451-4686-A17A-A9250B42D8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37" name="Text Box 15">
          <a:extLst>
            <a:ext uri="{FF2B5EF4-FFF2-40B4-BE49-F238E27FC236}">
              <a16:creationId xmlns:a16="http://schemas.microsoft.com/office/drawing/2014/main" id="{D1C2DA79-D9FE-4FA0-8CCB-99DDF91DA6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38" name="Text Box 15">
          <a:extLst>
            <a:ext uri="{FF2B5EF4-FFF2-40B4-BE49-F238E27FC236}">
              <a16:creationId xmlns:a16="http://schemas.microsoft.com/office/drawing/2014/main" id="{FC29A98F-172F-4391-8C94-71615EF9BC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39" name="Text Box 15">
          <a:extLst>
            <a:ext uri="{FF2B5EF4-FFF2-40B4-BE49-F238E27FC236}">
              <a16:creationId xmlns:a16="http://schemas.microsoft.com/office/drawing/2014/main" id="{ADBD2479-2610-4D6F-B85B-F79A743E83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0" name="Text Box 15">
          <a:extLst>
            <a:ext uri="{FF2B5EF4-FFF2-40B4-BE49-F238E27FC236}">
              <a16:creationId xmlns:a16="http://schemas.microsoft.com/office/drawing/2014/main" id="{0C4C9ED7-B5AE-4110-BC38-A81493381D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1" name="Text Box 15">
          <a:extLst>
            <a:ext uri="{FF2B5EF4-FFF2-40B4-BE49-F238E27FC236}">
              <a16:creationId xmlns:a16="http://schemas.microsoft.com/office/drawing/2014/main" id="{65BFE66D-3241-4F6D-B6F9-4BBC1892F5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2" name="Text Box 15">
          <a:extLst>
            <a:ext uri="{FF2B5EF4-FFF2-40B4-BE49-F238E27FC236}">
              <a16:creationId xmlns:a16="http://schemas.microsoft.com/office/drawing/2014/main" id="{367E9039-BBC5-45F2-9DEF-E074A1BE19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3" name="Text Box 15">
          <a:extLst>
            <a:ext uri="{FF2B5EF4-FFF2-40B4-BE49-F238E27FC236}">
              <a16:creationId xmlns:a16="http://schemas.microsoft.com/office/drawing/2014/main" id="{C136B2D3-1C73-4C4C-88B5-8EE6C03C70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4" name="Text Box 15">
          <a:extLst>
            <a:ext uri="{FF2B5EF4-FFF2-40B4-BE49-F238E27FC236}">
              <a16:creationId xmlns:a16="http://schemas.microsoft.com/office/drawing/2014/main" id="{22007550-EFDC-417A-8560-F0EBAB938C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5" name="Text Box 15">
          <a:extLst>
            <a:ext uri="{FF2B5EF4-FFF2-40B4-BE49-F238E27FC236}">
              <a16:creationId xmlns:a16="http://schemas.microsoft.com/office/drawing/2014/main" id="{9E58DCE4-3B10-4503-8C0A-5949B86E72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6" name="Text Box 15">
          <a:extLst>
            <a:ext uri="{FF2B5EF4-FFF2-40B4-BE49-F238E27FC236}">
              <a16:creationId xmlns:a16="http://schemas.microsoft.com/office/drawing/2014/main" id="{C28CA210-F3C4-4984-90B9-BF9F928BA4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7" name="Text Box 15">
          <a:extLst>
            <a:ext uri="{FF2B5EF4-FFF2-40B4-BE49-F238E27FC236}">
              <a16:creationId xmlns:a16="http://schemas.microsoft.com/office/drawing/2014/main" id="{84906720-3322-4601-B864-BE108F3706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8" name="Text Box 15">
          <a:extLst>
            <a:ext uri="{FF2B5EF4-FFF2-40B4-BE49-F238E27FC236}">
              <a16:creationId xmlns:a16="http://schemas.microsoft.com/office/drawing/2014/main" id="{E5F4CBC3-FA92-4D94-B8D3-C6378B76EC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49" name="Text Box 15">
          <a:extLst>
            <a:ext uri="{FF2B5EF4-FFF2-40B4-BE49-F238E27FC236}">
              <a16:creationId xmlns:a16="http://schemas.microsoft.com/office/drawing/2014/main" id="{0B1B7CD9-708E-4939-BA53-EC60AB7B28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50" name="Text Box 15">
          <a:extLst>
            <a:ext uri="{FF2B5EF4-FFF2-40B4-BE49-F238E27FC236}">
              <a16:creationId xmlns:a16="http://schemas.microsoft.com/office/drawing/2014/main" id="{A51F2F7A-89D9-4CAB-B4DE-282745ECA0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51" name="Text Box 15">
          <a:extLst>
            <a:ext uri="{FF2B5EF4-FFF2-40B4-BE49-F238E27FC236}">
              <a16:creationId xmlns:a16="http://schemas.microsoft.com/office/drawing/2014/main" id="{87E63865-7D83-4492-A385-7584BE004F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52" name="Text Box 15">
          <a:extLst>
            <a:ext uri="{FF2B5EF4-FFF2-40B4-BE49-F238E27FC236}">
              <a16:creationId xmlns:a16="http://schemas.microsoft.com/office/drawing/2014/main" id="{2D4D3596-25CE-4E16-B286-272444DCCC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53" name="Text Box 15">
          <a:extLst>
            <a:ext uri="{FF2B5EF4-FFF2-40B4-BE49-F238E27FC236}">
              <a16:creationId xmlns:a16="http://schemas.microsoft.com/office/drawing/2014/main" id="{F34ED684-159A-4A59-9620-3C146EF0E3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4" name="Text Box 15">
          <a:extLst>
            <a:ext uri="{FF2B5EF4-FFF2-40B4-BE49-F238E27FC236}">
              <a16:creationId xmlns:a16="http://schemas.microsoft.com/office/drawing/2014/main" id="{950A1641-64CB-458D-A4E4-21C6B96254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5" name="Text Box 15">
          <a:extLst>
            <a:ext uri="{FF2B5EF4-FFF2-40B4-BE49-F238E27FC236}">
              <a16:creationId xmlns:a16="http://schemas.microsoft.com/office/drawing/2014/main" id="{51CD1655-25E7-4A07-AEE9-9990A42033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6" name="Text Box 15">
          <a:extLst>
            <a:ext uri="{FF2B5EF4-FFF2-40B4-BE49-F238E27FC236}">
              <a16:creationId xmlns:a16="http://schemas.microsoft.com/office/drawing/2014/main" id="{81B3E620-BA6D-4C2F-A51C-074ECAF555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7" name="Text Box 15">
          <a:extLst>
            <a:ext uri="{FF2B5EF4-FFF2-40B4-BE49-F238E27FC236}">
              <a16:creationId xmlns:a16="http://schemas.microsoft.com/office/drawing/2014/main" id="{BD27AC4E-55C4-419D-B563-DD7DFAA7D7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8" name="Text Box 15">
          <a:extLst>
            <a:ext uri="{FF2B5EF4-FFF2-40B4-BE49-F238E27FC236}">
              <a16:creationId xmlns:a16="http://schemas.microsoft.com/office/drawing/2014/main" id="{DA6EED33-4C81-4A72-92C4-6CE7534CA1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9" name="Text Box 15">
          <a:extLst>
            <a:ext uri="{FF2B5EF4-FFF2-40B4-BE49-F238E27FC236}">
              <a16:creationId xmlns:a16="http://schemas.microsoft.com/office/drawing/2014/main" id="{F8CD4FC0-76B4-47F5-9452-B32A559743B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60" name="Text Box 15">
          <a:extLst>
            <a:ext uri="{FF2B5EF4-FFF2-40B4-BE49-F238E27FC236}">
              <a16:creationId xmlns:a16="http://schemas.microsoft.com/office/drawing/2014/main" id="{2A768895-23A2-4354-B743-4640A5E602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61" name="Text Box 15">
          <a:extLst>
            <a:ext uri="{FF2B5EF4-FFF2-40B4-BE49-F238E27FC236}">
              <a16:creationId xmlns:a16="http://schemas.microsoft.com/office/drawing/2014/main" id="{C46F1141-1025-4156-BFEF-EDFDBAF738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62" name="Text Box 15">
          <a:extLst>
            <a:ext uri="{FF2B5EF4-FFF2-40B4-BE49-F238E27FC236}">
              <a16:creationId xmlns:a16="http://schemas.microsoft.com/office/drawing/2014/main" id="{572341CC-B45F-4E8D-B42A-0F7A2163370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63" name="Text Box 15">
          <a:extLst>
            <a:ext uri="{FF2B5EF4-FFF2-40B4-BE49-F238E27FC236}">
              <a16:creationId xmlns:a16="http://schemas.microsoft.com/office/drawing/2014/main" id="{3A639CBB-ECED-4C16-B0BD-64DD5D5639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64" name="Text Box 15">
          <a:extLst>
            <a:ext uri="{FF2B5EF4-FFF2-40B4-BE49-F238E27FC236}">
              <a16:creationId xmlns:a16="http://schemas.microsoft.com/office/drawing/2014/main" id="{811B1781-8011-44AB-8990-449DEA914E9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65" name="Text Box 15">
          <a:extLst>
            <a:ext uri="{FF2B5EF4-FFF2-40B4-BE49-F238E27FC236}">
              <a16:creationId xmlns:a16="http://schemas.microsoft.com/office/drawing/2014/main" id="{C5A26896-64E8-4D87-B601-46029ED9A6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66" name="Text Box 15">
          <a:extLst>
            <a:ext uri="{FF2B5EF4-FFF2-40B4-BE49-F238E27FC236}">
              <a16:creationId xmlns:a16="http://schemas.microsoft.com/office/drawing/2014/main" id="{7AA584D3-EB1A-48E8-829F-18B4AC288F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67" name="Text Box 15">
          <a:extLst>
            <a:ext uri="{FF2B5EF4-FFF2-40B4-BE49-F238E27FC236}">
              <a16:creationId xmlns:a16="http://schemas.microsoft.com/office/drawing/2014/main" id="{2E714D54-6E6B-4912-8285-3DA3E9B643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68" name="Text Box 15">
          <a:extLst>
            <a:ext uri="{FF2B5EF4-FFF2-40B4-BE49-F238E27FC236}">
              <a16:creationId xmlns:a16="http://schemas.microsoft.com/office/drawing/2014/main" id="{7371A45C-5098-4529-9B2F-3AD9E5EAC8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69" name="Text Box 15">
          <a:extLst>
            <a:ext uri="{FF2B5EF4-FFF2-40B4-BE49-F238E27FC236}">
              <a16:creationId xmlns:a16="http://schemas.microsoft.com/office/drawing/2014/main" id="{308959EE-8DBC-4DCA-B83B-E386B21855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0" name="Text Box 15">
          <a:extLst>
            <a:ext uri="{FF2B5EF4-FFF2-40B4-BE49-F238E27FC236}">
              <a16:creationId xmlns:a16="http://schemas.microsoft.com/office/drawing/2014/main" id="{B89675FE-B1D8-43E5-BF06-769E4E6B86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1" name="Text Box 15">
          <a:extLst>
            <a:ext uri="{FF2B5EF4-FFF2-40B4-BE49-F238E27FC236}">
              <a16:creationId xmlns:a16="http://schemas.microsoft.com/office/drawing/2014/main" id="{44FC736E-889C-4C8A-AB79-DD501F3C379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2" name="Text Box 15">
          <a:extLst>
            <a:ext uri="{FF2B5EF4-FFF2-40B4-BE49-F238E27FC236}">
              <a16:creationId xmlns:a16="http://schemas.microsoft.com/office/drawing/2014/main" id="{BC56CCA1-55E4-4D1D-9ABC-192B787603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3" name="Text Box 15">
          <a:extLst>
            <a:ext uri="{FF2B5EF4-FFF2-40B4-BE49-F238E27FC236}">
              <a16:creationId xmlns:a16="http://schemas.microsoft.com/office/drawing/2014/main" id="{FD9C70F3-AEFF-4077-AFF0-672B023EFC4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4" name="Text Box 15">
          <a:extLst>
            <a:ext uri="{FF2B5EF4-FFF2-40B4-BE49-F238E27FC236}">
              <a16:creationId xmlns:a16="http://schemas.microsoft.com/office/drawing/2014/main" id="{B423B5CB-4B84-403C-8941-31AD6E11EA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5" name="Text Box 15">
          <a:extLst>
            <a:ext uri="{FF2B5EF4-FFF2-40B4-BE49-F238E27FC236}">
              <a16:creationId xmlns:a16="http://schemas.microsoft.com/office/drawing/2014/main" id="{8BC0DD06-2999-4C55-95F7-B73BC8E6368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6" name="Text Box 15">
          <a:extLst>
            <a:ext uri="{FF2B5EF4-FFF2-40B4-BE49-F238E27FC236}">
              <a16:creationId xmlns:a16="http://schemas.microsoft.com/office/drawing/2014/main" id="{08A1AE5C-E60D-4B47-BE74-0156C9EBB7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7" name="Text Box 15">
          <a:extLst>
            <a:ext uri="{FF2B5EF4-FFF2-40B4-BE49-F238E27FC236}">
              <a16:creationId xmlns:a16="http://schemas.microsoft.com/office/drawing/2014/main" id="{7375651C-AD7D-4193-BF62-38C89CD0DA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8" name="Text Box 15">
          <a:extLst>
            <a:ext uri="{FF2B5EF4-FFF2-40B4-BE49-F238E27FC236}">
              <a16:creationId xmlns:a16="http://schemas.microsoft.com/office/drawing/2014/main" id="{747A1C62-B6B6-4268-A36E-5D393918A8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79" name="Text Box 15">
          <a:extLst>
            <a:ext uri="{FF2B5EF4-FFF2-40B4-BE49-F238E27FC236}">
              <a16:creationId xmlns:a16="http://schemas.microsoft.com/office/drawing/2014/main" id="{30C9C7AB-BC0D-49BC-A45C-F7A80E8A36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80" name="Text Box 15">
          <a:extLst>
            <a:ext uri="{FF2B5EF4-FFF2-40B4-BE49-F238E27FC236}">
              <a16:creationId xmlns:a16="http://schemas.microsoft.com/office/drawing/2014/main" id="{B3D7211F-615D-479D-BB6E-EB185D851D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81" name="Text Box 15">
          <a:extLst>
            <a:ext uri="{FF2B5EF4-FFF2-40B4-BE49-F238E27FC236}">
              <a16:creationId xmlns:a16="http://schemas.microsoft.com/office/drawing/2014/main" id="{C4F04424-6224-46E3-A6F2-112C50BCF4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2" name="Text Box 15">
          <a:extLst>
            <a:ext uri="{FF2B5EF4-FFF2-40B4-BE49-F238E27FC236}">
              <a16:creationId xmlns:a16="http://schemas.microsoft.com/office/drawing/2014/main" id="{38481D45-8738-4C14-8EC5-367EDB9578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3" name="Text Box 15">
          <a:extLst>
            <a:ext uri="{FF2B5EF4-FFF2-40B4-BE49-F238E27FC236}">
              <a16:creationId xmlns:a16="http://schemas.microsoft.com/office/drawing/2014/main" id="{1DF9E281-F410-4AB5-B7F2-15EFDC7705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4" name="Text Box 15">
          <a:extLst>
            <a:ext uri="{FF2B5EF4-FFF2-40B4-BE49-F238E27FC236}">
              <a16:creationId xmlns:a16="http://schemas.microsoft.com/office/drawing/2014/main" id="{FA00CA1F-7F62-4F18-9BDB-BF946A6525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5" name="Text Box 15">
          <a:extLst>
            <a:ext uri="{FF2B5EF4-FFF2-40B4-BE49-F238E27FC236}">
              <a16:creationId xmlns:a16="http://schemas.microsoft.com/office/drawing/2014/main" id="{73565F89-806A-419F-A8CA-94D20EA2B1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6" name="Text Box 15">
          <a:extLst>
            <a:ext uri="{FF2B5EF4-FFF2-40B4-BE49-F238E27FC236}">
              <a16:creationId xmlns:a16="http://schemas.microsoft.com/office/drawing/2014/main" id="{9F43B583-8B9E-4744-A6DC-73B8574871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7" name="Text Box 15">
          <a:extLst>
            <a:ext uri="{FF2B5EF4-FFF2-40B4-BE49-F238E27FC236}">
              <a16:creationId xmlns:a16="http://schemas.microsoft.com/office/drawing/2014/main" id="{B35B2CF1-0010-4C04-B1AC-6B31846570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8" name="Text Box 15">
          <a:extLst>
            <a:ext uri="{FF2B5EF4-FFF2-40B4-BE49-F238E27FC236}">
              <a16:creationId xmlns:a16="http://schemas.microsoft.com/office/drawing/2014/main" id="{213A6672-09D5-4744-A97A-CCFE7AAC5EB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9" name="Text Box 15">
          <a:extLst>
            <a:ext uri="{FF2B5EF4-FFF2-40B4-BE49-F238E27FC236}">
              <a16:creationId xmlns:a16="http://schemas.microsoft.com/office/drawing/2014/main" id="{E53150F0-EBFA-4EF6-97BA-1F2FB3F6CC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90" name="Text Box 15">
          <a:extLst>
            <a:ext uri="{FF2B5EF4-FFF2-40B4-BE49-F238E27FC236}">
              <a16:creationId xmlns:a16="http://schemas.microsoft.com/office/drawing/2014/main" id="{4F6A8EDD-505A-4623-A231-00B0C6F5F4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91" name="Text Box 15">
          <a:extLst>
            <a:ext uri="{FF2B5EF4-FFF2-40B4-BE49-F238E27FC236}">
              <a16:creationId xmlns:a16="http://schemas.microsoft.com/office/drawing/2014/main" id="{56D2AF17-4D35-4979-8AB9-91C4AF9A30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92" name="Text Box 15">
          <a:extLst>
            <a:ext uri="{FF2B5EF4-FFF2-40B4-BE49-F238E27FC236}">
              <a16:creationId xmlns:a16="http://schemas.microsoft.com/office/drawing/2014/main" id="{EBD726FE-227E-4DB7-BC92-0B9EC1195C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93" name="Text Box 15">
          <a:extLst>
            <a:ext uri="{FF2B5EF4-FFF2-40B4-BE49-F238E27FC236}">
              <a16:creationId xmlns:a16="http://schemas.microsoft.com/office/drawing/2014/main" id="{E061E91A-6C01-4D7D-838B-8826B6B235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94" name="Text Box 15">
          <a:extLst>
            <a:ext uri="{FF2B5EF4-FFF2-40B4-BE49-F238E27FC236}">
              <a16:creationId xmlns:a16="http://schemas.microsoft.com/office/drawing/2014/main" id="{2AAFB0F1-44B3-492A-8621-81B7C56482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95" name="Text Box 15">
          <a:extLst>
            <a:ext uri="{FF2B5EF4-FFF2-40B4-BE49-F238E27FC236}">
              <a16:creationId xmlns:a16="http://schemas.microsoft.com/office/drawing/2014/main" id="{816ED431-FF8B-4E56-81FB-9902C6EF3A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96" name="Text Box 15">
          <a:extLst>
            <a:ext uri="{FF2B5EF4-FFF2-40B4-BE49-F238E27FC236}">
              <a16:creationId xmlns:a16="http://schemas.microsoft.com/office/drawing/2014/main" id="{F24B2078-D22A-4164-968E-31C98C316F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97" name="Text Box 15">
          <a:extLst>
            <a:ext uri="{FF2B5EF4-FFF2-40B4-BE49-F238E27FC236}">
              <a16:creationId xmlns:a16="http://schemas.microsoft.com/office/drawing/2014/main" id="{D5151961-BB11-4404-BEEE-AD9A70B487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98" name="Text Box 15">
          <a:extLst>
            <a:ext uri="{FF2B5EF4-FFF2-40B4-BE49-F238E27FC236}">
              <a16:creationId xmlns:a16="http://schemas.microsoft.com/office/drawing/2014/main" id="{D289D2C3-A755-4A9A-9E62-2ED4257719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99" name="Text Box 15">
          <a:extLst>
            <a:ext uri="{FF2B5EF4-FFF2-40B4-BE49-F238E27FC236}">
              <a16:creationId xmlns:a16="http://schemas.microsoft.com/office/drawing/2014/main" id="{EC164217-1ED6-458D-A8BB-2595A2951C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0" name="Text Box 15">
          <a:extLst>
            <a:ext uri="{FF2B5EF4-FFF2-40B4-BE49-F238E27FC236}">
              <a16:creationId xmlns:a16="http://schemas.microsoft.com/office/drawing/2014/main" id="{F64AC344-6B6C-43EF-AA8E-B703119234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1" name="Text Box 15">
          <a:extLst>
            <a:ext uri="{FF2B5EF4-FFF2-40B4-BE49-F238E27FC236}">
              <a16:creationId xmlns:a16="http://schemas.microsoft.com/office/drawing/2014/main" id="{54756C05-3453-44AB-A54B-7205314C2D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2" name="Text Box 15">
          <a:extLst>
            <a:ext uri="{FF2B5EF4-FFF2-40B4-BE49-F238E27FC236}">
              <a16:creationId xmlns:a16="http://schemas.microsoft.com/office/drawing/2014/main" id="{9A7312BE-B3F3-4391-B3EE-19C08AA1A3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3" name="Text Box 15">
          <a:extLst>
            <a:ext uri="{FF2B5EF4-FFF2-40B4-BE49-F238E27FC236}">
              <a16:creationId xmlns:a16="http://schemas.microsoft.com/office/drawing/2014/main" id="{5F90B9A4-4EE4-4E9E-83FF-FF265E8448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4" name="Text Box 15">
          <a:extLst>
            <a:ext uri="{FF2B5EF4-FFF2-40B4-BE49-F238E27FC236}">
              <a16:creationId xmlns:a16="http://schemas.microsoft.com/office/drawing/2014/main" id="{8D154D6C-F7B3-49EA-B5E2-0A48CC0F1A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5" name="Text Box 15">
          <a:extLst>
            <a:ext uri="{FF2B5EF4-FFF2-40B4-BE49-F238E27FC236}">
              <a16:creationId xmlns:a16="http://schemas.microsoft.com/office/drawing/2014/main" id="{EBA7FDF8-CA8A-4597-B5E9-F875D637DF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6" name="Text Box 15">
          <a:extLst>
            <a:ext uri="{FF2B5EF4-FFF2-40B4-BE49-F238E27FC236}">
              <a16:creationId xmlns:a16="http://schemas.microsoft.com/office/drawing/2014/main" id="{1BEB875D-E875-4FC1-BBB7-836360BBD9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07" name="Text Box 15">
          <a:extLst>
            <a:ext uri="{FF2B5EF4-FFF2-40B4-BE49-F238E27FC236}">
              <a16:creationId xmlns:a16="http://schemas.microsoft.com/office/drawing/2014/main" id="{36E44583-D35C-41E8-837D-92548038C1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08" name="Text Box 15">
          <a:extLst>
            <a:ext uri="{FF2B5EF4-FFF2-40B4-BE49-F238E27FC236}">
              <a16:creationId xmlns:a16="http://schemas.microsoft.com/office/drawing/2014/main" id="{6F6B9B20-D100-48B3-873D-A37F5166D9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09" name="Text Box 15">
          <a:extLst>
            <a:ext uri="{FF2B5EF4-FFF2-40B4-BE49-F238E27FC236}">
              <a16:creationId xmlns:a16="http://schemas.microsoft.com/office/drawing/2014/main" id="{844F1371-2C8C-4321-A496-B947931460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10" name="Text Box 15">
          <a:extLst>
            <a:ext uri="{FF2B5EF4-FFF2-40B4-BE49-F238E27FC236}">
              <a16:creationId xmlns:a16="http://schemas.microsoft.com/office/drawing/2014/main" id="{C1EBD72A-0E04-45DB-8440-561ACF24BD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11" name="Text Box 15">
          <a:extLst>
            <a:ext uri="{FF2B5EF4-FFF2-40B4-BE49-F238E27FC236}">
              <a16:creationId xmlns:a16="http://schemas.microsoft.com/office/drawing/2014/main" id="{2418E8CF-5A6F-47BE-AF38-619A8BEAD1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2" name="Text Box 15">
          <a:extLst>
            <a:ext uri="{FF2B5EF4-FFF2-40B4-BE49-F238E27FC236}">
              <a16:creationId xmlns:a16="http://schemas.microsoft.com/office/drawing/2014/main" id="{0972D75B-E3D7-4F55-BA86-DF23F0A8D5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3" name="Text Box 15">
          <a:extLst>
            <a:ext uri="{FF2B5EF4-FFF2-40B4-BE49-F238E27FC236}">
              <a16:creationId xmlns:a16="http://schemas.microsoft.com/office/drawing/2014/main" id="{E8DAF85D-88DE-40C4-8B87-8526C496D0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4" name="Text Box 15">
          <a:extLst>
            <a:ext uri="{FF2B5EF4-FFF2-40B4-BE49-F238E27FC236}">
              <a16:creationId xmlns:a16="http://schemas.microsoft.com/office/drawing/2014/main" id="{B2620E2D-A759-4B7E-9E2B-EBC4DD8023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5" name="Text Box 15">
          <a:extLst>
            <a:ext uri="{FF2B5EF4-FFF2-40B4-BE49-F238E27FC236}">
              <a16:creationId xmlns:a16="http://schemas.microsoft.com/office/drawing/2014/main" id="{4FC0EB3E-25F3-4991-ABEF-07CC45B72B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6" name="Text Box 15">
          <a:extLst>
            <a:ext uri="{FF2B5EF4-FFF2-40B4-BE49-F238E27FC236}">
              <a16:creationId xmlns:a16="http://schemas.microsoft.com/office/drawing/2014/main" id="{B6A960E2-BD3A-4C8E-A02B-BBC1C16004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7" name="Text Box 15">
          <a:extLst>
            <a:ext uri="{FF2B5EF4-FFF2-40B4-BE49-F238E27FC236}">
              <a16:creationId xmlns:a16="http://schemas.microsoft.com/office/drawing/2014/main" id="{91A1912C-BF7F-42E6-BCEE-C77F1F6F51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8" name="Text Box 15">
          <a:extLst>
            <a:ext uri="{FF2B5EF4-FFF2-40B4-BE49-F238E27FC236}">
              <a16:creationId xmlns:a16="http://schemas.microsoft.com/office/drawing/2014/main" id="{76D35DA8-1070-45DB-9980-505BE94219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9" name="Text Box 15">
          <a:extLst>
            <a:ext uri="{FF2B5EF4-FFF2-40B4-BE49-F238E27FC236}">
              <a16:creationId xmlns:a16="http://schemas.microsoft.com/office/drawing/2014/main" id="{665DF71F-F9FE-4CD5-9CEB-09C362C130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20" name="Text Box 15">
          <a:extLst>
            <a:ext uri="{FF2B5EF4-FFF2-40B4-BE49-F238E27FC236}">
              <a16:creationId xmlns:a16="http://schemas.microsoft.com/office/drawing/2014/main" id="{584FAC20-7FC9-4922-BD91-E00283194D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21" name="Text Box 15">
          <a:extLst>
            <a:ext uri="{FF2B5EF4-FFF2-40B4-BE49-F238E27FC236}">
              <a16:creationId xmlns:a16="http://schemas.microsoft.com/office/drawing/2014/main" id="{6B4F9FAF-EAD8-4857-A205-AF5BF92CDF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22" name="Text Box 15">
          <a:extLst>
            <a:ext uri="{FF2B5EF4-FFF2-40B4-BE49-F238E27FC236}">
              <a16:creationId xmlns:a16="http://schemas.microsoft.com/office/drawing/2014/main" id="{ECAF97CA-6CCA-4923-83D4-34F6A74AD58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23" name="Text Box 15">
          <a:extLst>
            <a:ext uri="{FF2B5EF4-FFF2-40B4-BE49-F238E27FC236}">
              <a16:creationId xmlns:a16="http://schemas.microsoft.com/office/drawing/2014/main" id="{7253296D-8BEA-4E2E-B0AF-7AA5210AFB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24" name="Text Box 15">
          <a:extLst>
            <a:ext uri="{FF2B5EF4-FFF2-40B4-BE49-F238E27FC236}">
              <a16:creationId xmlns:a16="http://schemas.microsoft.com/office/drawing/2014/main" id="{62F411F4-A1EA-4D41-9790-9563C8E912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25" name="Text Box 15">
          <a:extLst>
            <a:ext uri="{FF2B5EF4-FFF2-40B4-BE49-F238E27FC236}">
              <a16:creationId xmlns:a16="http://schemas.microsoft.com/office/drawing/2014/main" id="{C313EADF-5632-4D0B-AC12-3D1822EBE8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26" name="Text Box 15">
          <a:extLst>
            <a:ext uri="{FF2B5EF4-FFF2-40B4-BE49-F238E27FC236}">
              <a16:creationId xmlns:a16="http://schemas.microsoft.com/office/drawing/2014/main" id="{5E8BC28D-33DF-47EB-A69D-DD0DB46527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27" name="Text Box 15">
          <a:extLst>
            <a:ext uri="{FF2B5EF4-FFF2-40B4-BE49-F238E27FC236}">
              <a16:creationId xmlns:a16="http://schemas.microsoft.com/office/drawing/2014/main" id="{C4452854-16AE-4029-899C-D97B9F4C19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28" name="Text Box 15">
          <a:extLst>
            <a:ext uri="{FF2B5EF4-FFF2-40B4-BE49-F238E27FC236}">
              <a16:creationId xmlns:a16="http://schemas.microsoft.com/office/drawing/2014/main" id="{3BE336FB-A041-402B-84B2-5285359D76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29" name="Text Box 15">
          <a:extLst>
            <a:ext uri="{FF2B5EF4-FFF2-40B4-BE49-F238E27FC236}">
              <a16:creationId xmlns:a16="http://schemas.microsoft.com/office/drawing/2014/main" id="{E1575133-D466-415D-8FDA-827EB16F6C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0" name="Text Box 15">
          <a:extLst>
            <a:ext uri="{FF2B5EF4-FFF2-40B4-BE49-F238E27FC236}">
              <a16:creationId xmlns:a16="http://schemas.microsoft.com/office/drawing/2014/main" id="{76A4D7F8-1A20-4E20-8218-CF22068F92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1" name="Text Box 15">
          <a:extLst>
            <a:ext uri="{FF2B5EF4-FFF2-40B4-BE49-F238E27FC236}">
              <a16:creationId xmlns:a16="http://schemas.microsoft.com/office/drawing/2014/main" id="{4DE25AF2-B494-42A3-B0DB-B2358D61AA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2" name="Text Box 15">
          <a:extLst>
            <a:ext uri="{FF2B5EF4-FFF2-40B4-BE49-F238E27FC236}">
              <a16:creationId xmlns:a16="http://schemas.microsoft.com/office/drawing/2014/main" id="{3122DED8-2A78-4D1C-9025-D5ED599A28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3" name="Text Box 15">
          <a:extLst>
            <a:ext uri="{FF2B5EF4-FFF2-40B4-BE49-F238E27FC236}">
              <a16:creationId xmlns:a16="http://schemas.microsoft.com/office/drawing/2014/main" id="{B09F5F05-D0BF-455C-9905-0F6B0B9C5B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4" name="Text Box 15">
          <a:extLst>
            <a:ext uri="{FF2B5EF4-FFF2-40B4-BE49-F238E27FC236}">
              <a16:creationId xmlns:a16="http://schemas.microsoft.com/office/drawing/2014/main" id="{C5C51BA8-C700-4768-91FE-438F50CF02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5" name="Text Box 15">
          <a:extLst>
            <a:ext uri="{FF2B5EF4-FFF2-40B4-BE49-F238E27FC236}">
              <a16:creationId xmlns:a16="http://schemas.microsoft.com/office/drawing/2014/main" id="{724B7857-20E9-41C2-A52F-9DD6D9846E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6" name="Text Box 15">
          <a:extLst>
            <a:ext uri="{FF2B5EF4-FFF2-40B4-BE49-F238E27FC236}">
              <a16:creationId xmlns:a16="http://schemas.microsoft.com/office/drawing/2014/main" id="{4000824E-35B1-4753-9195-C317DC6D2F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37" name="Text Box 15">
          <a:extLst>
            <a:ext uri="{FF2B5EF4-FFF2-40B4-BE49-F238E27FC236}">
              <a16:creationId xmlns:a16="http://schemas.microsoft.com/office/drawing/2014/main" id="{8015019A-6EA6-481D-8ECB-A70A80824AA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38" name="Text Box 15">
          <a:extLst>
            <a:ext uri="{FF2B5EF4-FFF2-40B4-BE49-F238E27FC236}">
              <a16:creationId xmlns:a16="http://schemas.microsoft.com/office/drawing/2014/main" id="{BC1C1A05-ABC1-4D6B-9D2D-132E3A9211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39" name="Text Box 15">
          <a:extLst>
            <a:ext uri="{FF2B5EF4-FFF2-40B4-BE49-F238E27FC236}">
              <a16:creationId xmlns:a16="http://schemas.microsoft.com/office/drawing/2014/main" id="{37D79CEF-73D0-43A9-80B2-DF95D458F5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40" name="Text Box 15">
          <a:extLst>
            <a:ext uri="{FF2B5EF4-FFF2-40B4-BE49-F238E27FC236}">
              <a16:creationId xmlns:a16="http://schemas.microsoft.com/office/drawing/2014/main" id="{E61F9072-41F9-4391-BC91-6CD4BA8C77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41" name="Text Box 15">
          <a:extLst>
            <a:ext uri="{FF2B5EF4-FFF2-40B4-BE49-F238E27FC236}">
              <a16:creationId xmlns:a16="http://schemas.microsoft.com/office/drawing/2014/main" id="{CB67E0B7-A3D6-46F3-9E2C-935FDD8774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2" name="Text Box 15">
          <a:extLst>
            <a:ext uri="{FF2B5EF4-FFF2-40B4-BE49-F238E27FC236}">
              <a16:creationId xmlns:a16="http://schemas.microsoft.com/office/drawing/2014/main" id="{BA3E92C7-B77F-4252-B578-4D31D4C1C1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3" name="Text Box 15">
          <a:extLst>
            <a:ext uri="{FF2B5EF4-FFF2-40B4-BE49-F238E27FC236}">
              <a16:creationId xmlns:a16="http://schemas.microsoft.com/office/drawing/2014/main" id="{1FE375E7-E787-433F-AA94-5BE683E82E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4" name="Text Box 15">
          <a:extLst>
            <a:ext uri="{FF2B5EF4-FFF2-40B4-BE49-F238E27FC236}">
              <a16:creationId xmlns:a16="http://schemas.microsoft.com/office/drawing/2014/main" id="{4D9671C0-E923-4A0F-A24C-92B97490AD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5" name="Text Box 15">
          <a:extLst>
            <a:ext uri="{FF2B5EF4-FFF2-40B4-BE49-F238E27FC236}">
              <a16:creationId xmlns:a16="http://schemas.microsoft.com/office/drawing/2014/main" id="{E5A05C88-F345-4870-937E-39FED29AF8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6" name="Text Box 15">
          <a:extLst>
            <a:ext uri="{FF2B5EF4-FFF2-40B4-BE49-F238E27FC236}">
              <a16:creationId xmlns:a16="http://schemas.microsoft.com/office/drawing/2014/main" id="{82924748-DBEB-4539-B6EB-47360941B0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7" name="Text Box 15">
          <a:extLst>
            <a:ext uri="{FF2B5EF4-FFF2-40B4-BE49-F238E27FC236}">
              <a16:creationId xmlns:a16="http://schemas.microsoft.com/office/drawing/2014/main" id="{DD797ABE-5FCF-4DAE-914E-5D612AEA6C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8" name="Text Box 15">
          <a:extLst>
            <a:ext uri="{FF2B5EF4-FFF2-40B4-BE49-F238E27FC236}">
              <a16:creationId xmlns:a16="http://schemas.microsoft.com/office/drawing/2014/main" id="{4848DC27-3895-4D0A-AC4A-4B1CEFCD9D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9" name="Text Box 15">
          <a:extLst>
            <a:ext uri="{FF2B5EF4-FFF2-40B4-BE49-F238E27FC236}">
              <a16:creationId xmlns:a16="http://schemas.microsoft.com/office/drawing/2014/main" id="{A0EA48CE-EB11-4FDC-B7D9-53DCE4A0DF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50" name="Text Box 15">
          <a:extLst>
            <a:ext uri="{FF2B5EF4-FFF2-40B4-BE49-F238E27FC236}">
              <a16:creationId xmlns:a16="http://schemas.microsoft.com/office/drawing/2014/main" id="{AD9EFBB1-76B3-4E87-BF14-7D0F20034C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51" name="Text Box 15">
          <a:extLst>
            <a:ext uri="{FF2B5EF4-FFF2-40B4-BE49-F238E27FC236}">
              <a16:creationId xmlns:a16="http://schemas.microsoft.com/office/drawing/2014/main" id="{F3FFB018-1506-4525-804F-50687720E5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52" name="Text Box 15">
          <a:extLst>
            <a:ext uri="{FF2B5EF4-FFF2-40B4-BE49-F238E27FC236}">
              <a16:creationId xmlns:a16="http://schemas.microsoft.com/office/drawing/2014/main" id="{832B5368-216B-4C32-9417-A4E4B350EF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53" name="Text Box 15">
          <a:extLst>
            <a:ext uri="{FF2B5EF4-FFF2-40B4-BE49-F238E27FC236}">
              <a16:creationId xmlns:a16="http://schemas.microsoft.com/office/drawing/2014/main" id="{4D2545D8-182C-4E70-81C8-453CFFC731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54" name="Text Box 15">
          <a:extLst>
            <a:ext uri="{FF2B5EF4-FFF2-40B4-BE49-F238E27FC236}">
              <a16:creationId xmlns:a16="http://schemas.microsoft.com/office/drawing/2014/main" id="{48964A96-4764-4410-8BE5-73E86BCA81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55" name="Text Box 15">
          <a:extLst>
            <a:ext uri="{FF2B5EF4-FFF2-40B4-BE49-F238E27FC236}">
              <a16:creationId xmlns:a16="http://schemas.microsoft.com/office/drawing/2014/main" id="{DF8A50DD-5AD5-4DE6-A886-88CC8D1AAD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56" name="Text Box 15">
          <a:extLst>
            <a:ext uri="{FF2B5EF4-FFF2-40B4-BE49-F238E27FC236}">
              <a16:creationId xmlns:a16="http://schemas.microsoft.com/office/drawing/2014/main" id="{7FC07D56-E1D9-4CAE-BB4D-2EACC54BD7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57" name="Text Box 15">
          <a:extLst>
            <a:ext uri="{FF2B5EF4-FFF2-40B4-BE49-F238E27FC236}">
              <a16:creationId xmlns:a16="http://schemas.microsoft.com/office/drawing/2014/main" id="{4825A932-371D-41AC-AE78-2E85B09349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58" name="Text Box 15">
          <a:extLst>
            <a:ext uri="{FF2B5EF4-FFF2-40B4-BE49-F238E27FC236}">
              <a16:creationId xmlns:a16="http://schemas.microsoft.com/office/drawing/2014/main" id="{5DF6BDED-ACA4-4799-9CF9-8CB0A6A950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59" name="Text Box 15">
          <a:extLst>
            <a:ext uri="{FF2B5EF4-FFF2-40B4-BE49-F238E27FC236}">
              <a16:creationId xmlns:a16="http://schemas.microsoft.com/office/drawing/2014/main" id="{6D222667-3343-4C5E-A708-74A2E0D02D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0" name="Text Box 15">
          <a:extLst>
            <a:ext uri="{FF2B5EF4-FFF2-40B4-BE49-F238E27FC236}">
              <a16:creationId xmlns:a16="http://schemas.microsoft.com/office/drawing/2014/main" id="{B71A3D20-67F0-4177-B3F3-14C4FDC63B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1" name="Text Box 15">
          <a:extLst>
            <a:ext uri="{FF2B5EF4-FFF2-40B4-BE49-F238E27FC236}">
              <a16:creationId xmlns:a16="http://schemas.microsoft.com/office/drawing/2014/main" id="{19FBFAE6-9ED9-4F3B-B7E2-805F3ECD80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2" name="Text Box 15">
          <a:extLst>
            <a:ext uri="{FF2B5EF4-FFF2-40B4-BE49-F238E27FC236}">
              <a16:creationId xmlns:a16="http://schemas.microsoft.com/office/drawing/2014/main" id="{F254B9A4-26BF-4091-8BB0-A35E1660B0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3" name="Text Box 15">
          <a:extLst>
            <a:ext uri="{FF2B5EF4-FFF2-40B4-BE49-F238E27FC236}">
              <a16:creationId xmlns:a16="http://schemas.microsoft.com/office/drawing/2014/main" id="{72A2FC72-FA6B-481B-A439-3A30704D3F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4" name="Text Box 15">
          <a:extLst>
            <a:ext uri="{FF2B5EF4-FFF2-40B4-BE49-F238E27FC236}">
              <a16:creationId xmlns:a16="http://schemas.microsoft.com/office/drawing/2014/main" id="{878098AE-6888-4655-B9CA-5C5B00F481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5" name="Text Box 15">
          <a:extLst>
            <a:ext uri="{FF2B5EF4-FFF2-40B4-BE49-F238E27FC236}">
              <a16:creationId xmlns:a16="http://schemas.microsoft.com/office/drawing/2014/main" id="{872AB4CB-F6A0-4B3D-A7E6-AF768C92FE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6" name="Text Box 15">
          <a:extLst>
            <a:ext uri="{FF2B5EF4-FFF2-40B4-BE49-F238E27FC236}">
              <a16:creationId xmlns:a16="http://schemas.microsoft.com/office/drawing/2014/main" id="{3E72933E-F50C-4292-91B0-F5CC197D13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67" name="Text Box 15">
          <a:extLst>
            <a:ext uri="{FF2B5EF4-FFF2-40B4-BE49-F238E27FC236}">
              <a16:creationId xmlns:a16="http://schemas.microsoft.com/office/drawing/2014/main" id="{B19A4791-C801-483B-BCE6-AC50F8C40A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68" name="Text Box 15">
          <a:extLst>
            <a:ext uri="{FF2B5EF4-FFF2-40B4-BE49-F238E27FC236}">
              <a16:creationId xmlns:a16="http://schemas.microsoft.com/office/drawing/2014/main" id="{C1C41F5A-486B-4E8C-BB69-63050EE1C8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69" name="Text Box 15">
          <a:extLst>
            <a:ext uri="{FF2B5EF4-FFF2-40B4-BE49-F238E27FC236}">
              <a16:creationId xmlns:a16="http://schemas.microsoft.com/office/drawing/2014/main" id="{58030882-F693-47AD-B2AA-53D9F88A3E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0" name="Text Box 15">
          <a:extLst>
            <a:ext uri="{FF2B5EF4-FFF2-40B4-BE49-F238E27FC236}">
              <a16:creationId xmlns:a16="http://schemas.microsoft.com/office/drawing/2014/main" id="{370EB9C1-4892-4518-A8AF-789CABBA962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1" name="Text Box 15">
          <a:extLst>
            <a:ext uri="{FF2B5EF4-FFF2-40B4-BE49-F238E27FC236}">
              <a16:creationId xmlns:a16="http://schemas.microsoft.com/office/drawing/2014/main" id="{68D16758-A110-476E-A154-C478D9095B5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2" name="Text Box 15">
          <a:extLst>
            <a:ext uri="{FF2B5EF4-FFF2-40B4-BE49-F238E27FC236}">
              <a16:creationId xmlns:a16="http://schemas.microsoft.com/office/drawing/2014/main" id="{C0EB7FA4-165A-409D-80FB-0576EE19379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3" name="Text Box 15">
          <a:extLst>
            <a:ext uri="{FF2B5EF4-FFF2-40B4-BE49-F238E27FC236}">
              <a16:creationId xmlns:a16="http://schemas.microsoft.com/office/drawing/2014/main" id="{D8F8087C-23CC-422C-9CA0-BEBE7A1D65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4" name="Text Box 15">
          <a:extLst>
            <a:ext uri="{FF2B5EF4-FFF2-40B4-BE49-F238E27FC236}">
              <a16:creationId xmlns:a16="http://schemas.microsoft.com/office/drawing/2014/main" id="{B176995A-357F-4AFA-87BE-F044A48A38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5" name="Text Box 15">
          <a:extLst>
            <a:ext uri="{FF2B5EF4-FFF2-40B4-BE49-F238E27FC236}">
              <a16:creationId xmlns:a16="http://schemas.microsoft.com/office/drawing/2014/main" id="{BA167E46-DAF0-40DF-919A-3DCFE32EF00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6" name="Text Box 15">
          <a:extLst>
            <a:ext uri="{FF2B5EF4-FFF2-40B4-BE49-F238E27FC236}">
              <a16:creationId xmlns:a16="http://schemas.microsoft.com/office/drawing/2014/main" id="{7E0A1D23-268B-4526-9C65-818647F525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7" name="Text Box 15">
          <a:extLst>
            <a:ext uri="{FF2B5EF4-FFF2-40B4-BE49-F238E27FC236}">
              <a16:creationId xmlns:a16="http://schemas.microsoft.com/office/drawing/2014/main" id="{78583144-0507-444C-A5C1-E7A44C62CC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8" name="Text Box 15">
          <a:extLst>
            <a:ext uri="{FF2B5EF4-FFF2-40B4-BE49-F238E27FC236}">
              <a16:creationId xmlns:a16="http://schemas.microsoft.com/office/drawing/2014/main" id="{C06A393D-7CC8-46C5-9B55-31E56E434C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9" name="Text Box 15">
          <a:extLst>
            <a:ext uri="{FF2B5EF4-FFF2-40B4-BE49-F238E27FC236}">
              <a16:creationId xmlns:a16="http://schemas.microsoft.com/office/drawing/2014/main" id="{D6773682-7408-4D68-B739-81708B71EAE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80" name="Text Box 15">
          <a:extLst>
            <a:ext uri="{FF2B5EF4-FFF2-40B4-BE49-F238E27FC236}">
              <a16:creationId xmlns:a16="http://schemas.microsoft.com/office/drawing/2014/main" id="{BF23BD08-75F6-4838-8B06-3CAA699BFF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81" name="Text Box 15">
          <a:extLst>
            <a:ext uri="{FF2B5EF4-FFF2-40B4-BE49-F238E27FC236}">
              <a16:creationId xmlns:a16="http://schemas.microsoft.com/office/drawing/2014/main" id="{4D5DBBFC-575C-497C-BB94-F3BA8C6429B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82" name="Text Box 15">
          <a:extLst>
            <a:ext uri="{FF2B5EF4-FFF2-40B4-BE49-F238E27FC236}">
              <a16:creationId xmlns:a16="http://schemas.microsoft.com/office/drawing/2014/main" id="{7DBBD78B-A49F-4C11-95DD-AB383B17C48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83" name="Text Box 15">
          <a:extLst>
            <a:ext uri="{FF2B5EF4-FFF2-40B4-BE49-F238E27FC236}">
              <a16:creationId xmlns:a16="http://schemas.microsoft.com/office/drawing/2014/main" id="{DEC756D4-8A5F-4C52-A09C-E255FE534B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84" name="Text Box 15">
          <a:extLst>
            <a:ext uri="{FF2B5EF4-FFF2-40B4-BE49-F238E27FC236}">
              <a16:creationId xmlns:a16="http://schemas.microsoft.com/office/drawing/2014/main" id="{2E623572-6F27-48CA-B7A0-46715E3F13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85" name="Text Box 15">
          <a:extLst>
            <a:ext uri="{FF2B5EF4-FFF2-40B4-BE49-F238E27FC236}">
              <a16:creationId xmlns:a16="http://schemas.microsoft.com/office/drawing/2014/main" id="{05940170-C9D4-451E-9CCF-FA3C6463BF2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86" name="Text Box 15">
          <a:extLst>
            <a:ext uri="{FF2B5EF4-FFF2-40B4-BE49-F238E27FC236}">
              <a16:creationId xmlns:a16="http://schemas.microsoft.com/office/drawing/2014/main" id="{5C440D8E-1DD7-4073-8D28-B7B5FBABE3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87" name="Text Box 15">
          <a:extLst>
            <a:ext uri="{FF2B5EF4-FFF2-40B4-BE49-F238E27FC236}">
              <a16:creationId xmlns:a16="http://schemas.microsoft.com/office/drawing/2014/main" id="{15C53768-BC4A-4304-B588-CFA1A58A8A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88" name="Text Box 15">
          <a:extLst>
            <a:ext uri="{FF2B5EF4-FFF2-40B4-BE49-F238E27FC236}">
              <a16:creationId xmlns:a16="http://schemas.microsoft.com/office/drawing/2014/main" id="{4E74803B-93DC-4686-805A-F41CC06B1C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89" name="Text Box 15">
          <a:extLst>
            <a:ext uri="{FF2B5EF4-FFF2-40B4-BE49-F238E27FC236}">
              <a16:creationId xmlns:a16="http://schemas.microsoft.com/office/drawing/2014/main" id="{86F6129F-648C-43C8-B772-481D40A49E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90" name="Text Box 15">
          <a:extLst>
            <a:ext uri="{FF2B5EF4-FFF2-40B4-BE49-F238E27FC236}">
              <a16:creationId xmlns:a16="http://schemas.microsoft.com/office/drawing/2014/main" id="{5982A27E-ADF9-4E58-BFEB-7B9EA18A54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91" name="Text Box 15">
          <a:extLst>
            <a:ext uri="{FF2B5EF4-FFF2-40B4-BE49-F238E27FC236}">
              <a16:creationId xmlns:a16="http://schemas.microsoft.com/office/drawing/2014/main" id="{675EBF64-D166-4B32-A586-7E137B54CC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92" name="Text Box 15">
          <a:extLst>
            <a:ext uri="{FF2B5EF4-FFF2-40B4-BE49-F238E27FC236}">
              <a16:creationId xmlns:a16="http://schemas.microsoft.com/office/drawing/2014/main" id="{9EB5D6A7-02E6-4839-BC92-F6DDE824D9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93" name="Text Box 15">
          <a:extLst>
            <a:ext uri="{FF2B5EF4-FFF2-40B4-BE49-F238E27FC236}">
              <a16:creationId xmlns:a16="http://schemas.microsoft.com/office/drawing/2014/main" id="{74C84B87-0FC6-43AB-AF6B-A4CE7E1868B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94" name="Text Box 15">
          <a:extLst>
            <a:ext uri="{FF2B5EF4-FFF2-40B4-BE49-F238E27FC236}">
              <a16:creationId xmlns:a16="http://schemas.microsoft.com/office/drawing/2014/main" id="{7B7A9539-DA99-4711-A211-8BD142FBAD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95" name="Text Box 15">
          <a:extLst>
            <a:ext uri="{FF2B5EF4-FFF2-40B4-BE49-F238E27FC236}">
              <a16:creationId xmlns:a16="http://schemas.microsoft.com/office/drawing/2014/main" id="{CE5079B5-9EE6-4AEF-84D7-E3DE42D563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96" name="Text Box 15">
          <a:extLst>
            <a:ext uri="{FF2B5EF4-FFF2-40B4-BE49-F238E27FC236}">
              <a16:creationId xmlns:a16="http://schemas.microsoft.com/office/drawing/2014/main" id="{C0C76DB2-B677-4F95-8214-1C37ADF7D4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97" name="Text Box 15">
          <a:extLst>
            <a:ext uri="{FF2B5EF4-FFF2-40B4-BE49-F238E27FC236}">
              <a16:creationId xmlns:a16="http://schemas.microsoft.com/office/drawing/2014/main" id="{6407B5D7-F04C-4C88-9766-E36F4293EA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98" name="Text Box 15">
          <a:extLst>
            <a:ext uri="{FF2B5EF4-FFF2-40B4-BE49-F238E27FC236}">
              <a16:creationId xmlns:a16="http://schemas.microsoft.com/office/drawing/2014/main" id="{5F45832E-FD99-416C-921C-A62930D665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99" name="Text Box 15">
          <a:extLst>
            <a:ext uri="{FF2B5EF4-FFF2-40B4-BE49-F238E27FC236}">
              <a16:creationId xmlns:a16="http://schemas.microsoft.com/office/drawing/2014/main" id="{F6908577-7948-462A-A312-FFF05F7F6B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0" name="Text Box 15">
          <a:extLst>
            <a:ext uri="{FF2B5EF4-FFF2-40B4-BE49-F238E27FC236}">
              <a16:creationId xmlns:a16="http://schemas.microsoft.com/office/drawing/2014/main" id="{707F91DA-9A37-47DA-B6C6-4E2297711A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1" name="Text Box 15">
          <a:extLst>
            <a:ext uri="{FF2B5EF4-FFF2-40B4-BE49-F238E27FC236}">
              <a16:creationId xmlns:a16="http://schemas.microsoft.com/office/drawing/2014/main" id="{D205AAB5-6015-4ADD-874A-75C3B3F84F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2" name="Text Box 15">
          <a:extLst>
            <a:ext uri="{FF2B5EF4-FFF2-40B4-BE49-F238E27FC236}">
              <a16:creationId xmlns:a16="http://schemas.microsoft.com/office/drawing/2014/main" id="{89B87C9C-89EA-4B4C-A614-3E390A3F30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3" name="Text Box 15">
          <a:extLst>
            <a:ext uri="{FF2B5EF4-FFF2-40B4-BE49-F238E27FC236}">
              <a16:creationId xmlns:a16="http://schemas.microsoft.com/office/drawing/2014/main" id="{41DBF50E-D4BD-48AA-8B06-620D07B7AD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4" name="Text Box 15">
          <a:extLst>
            <a:ext uri="{FF2B5EF4-FFF2-40B4-BE49-F238E27FC236}">
              <a16:creationId xmlns:a16="http://schemas.microsoft.com/office/drawing/2014/main" id="{E2A5AE40-247A-4F2F-9EC0-F210ACF27D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5" name="Text Box 15">
          <a:extLst>
            <a:ext uri="{FF2B5EF4-FFF2-40B4-BE49-F238E27FC236}">
              <a16:creationId xmlns:a16="http://schemas.microsoft.com/office/drawing/2014/main" id="{576FDFCD-0470-41E1-AB4C-A82F20259A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6" name="Text Box 15">
          <a:extLst>
            <a:ext uri="{FF2B5EF4-FFF2-40B4-BE49-F238E27FC236}">
              <a16:creationId xmlns:a16="http://schemas.microsoft.com/office/drawing/2014/main" id="{69A70C77-EC78-4AB3-82D9-406F5EFE4D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7" name="Text Box 15">
          <a:extLst>
            <a:ext uri="{FF2B5EF4-FFF2-40B4-BE49-F238E27FC236}">
              <a16:creationId xmlns:a16="http://schemas.microsoft.com/office/drawing/2014/main" id="{94690630-A4CB-410B-B67C-480D93A7E6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8" name="Text Box 15">
          <a:extLst>
            <a:ext uri="{FF2B5EF4-FFF2-40B4-BE49-F238E27FC236}">
              <a16:creationId xmlns:a16="http://schemas.microsoft.com/office/drawing/2014/main" id="{B91B8131-C8FC-46BF-9835-BBB809BB43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9" name="Text Box 15">
          <a:extLst>
            <a:ext uri="{FF2B5EF4-FFF2-40B4-BE49-F238E27FC236}">
              <a16:creationId xmlns:a16="http://schemas.microsoft.com/office/drawing/2014/main" id="{95852906-146B-46E8-8859-B0A6100F5A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10" name="Text Box 15">
          <a:extLst>
            <a:ext uri="{FF2B5EF4-FFF2-40B4-BE49-F238E27FC236}">
              <a16:creationId xmlns:a16="http://schemas.microsoft.com/office/drawing/2014/main" id="{9F193207-420D-4C5B-92CE-DBBD4590B7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11" name="Text Box 15">
          <a:extLst>
            <a:ext uri="{FF2B5EF4-FFF2-40B4-BE49-F238E27FC236}">
              <a16:creationId xmlns:a16="http://schemas.microsoft.com/office/drawing/2014/main" id="{CF7F737D-98C6-49AF-A918-134417B755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12" name="Text Box 15">
          <a:extLst>
            <a:ext uri="{FF2B5EF4-FFF2-40B4-BE49-F238E27FC236}">
              <a16:creationId xmlns:a16="http://schemas.microsoft.com/office/drawing/2014/main" id="{DDB60009-E53F-403D-91B7-31BDA17E8B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13" name="Text Box 15">
          <a:extLst>
            <a:ext uri="{FF2B5EF4-FFF2-40B4-BE49-F238E27FC236}">
              <a16:creationId xmlns:a16="http://schemas.microsoft.com/office/drawing/2014/main" id="{407B22DA-AE8F-4E0C-98F3-8C510E9D0C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14" name="Text Box 15">
          <a:extLst>
            <a:ext uri="{FF2B5EF4-FFF2-40B4-BE49-F238E27FC236}">
              <a16:creationId xmlns:a16="http://schemas.microsoft.com/office/drawing/2014/main" id="{938D04F2-66D5-479E-A355-715948732F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15" name="Text Box 15">
          <a:extLst>
            <a:ext uri="{FF2B5EF4-FFF2-40B4-BE49-F238E27FC236}">
              <a16:creationId xmlns:a16="http://schemas.microsoft.com/office/drawing/2014/main" id="{71522F8F-3B53-4EB5-A69E-68F5F2E7C7F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16" name="Text Box 15">
          <a:extLst>
            <a:ext uri="{FF2B5EF4-FFF2-40B4-BE49-F238E27FC236}">
              <a16:creationId xmlns:a16="http://schemas.microsoft.com/office/drawing/2014/main" id="{F1BDA348-A32A-40D3-A85F-E459A2AA160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17" name="Text Box 15">
          <a:extLst>
            <a:ext uri="{FF2B5EF4-FFF2-40B4-BE49-F238E27FC236}">
              <a16:creationId xmlns:a16="http://schemas.microsoft.com/office/drawing/2014/main" id="{26D2C1F9-3A25-4388-8A5E-19F2BB7934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18" name="Text Box 15">
          <a:extLst>
            <a:ext uri="{FF2B5EF4-FFF2-40B4-BE49-F238E27FC236}">
              <a16:creationId xmlns:a16="http://schemas.microsoft.com/office/drawing/2014/main" id="{575AB557-2D65-4432-8614-E9DADE1B50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19" name="Text Box 15">
          <a:extLst>
            <a:ext uri="{FF2B5EF4-FFF2-40B4-BE49-F238E27FC236}">
              <a16:creationId xmlns:a16="http://schemas.microsoft.com/office/drawing/2014/main" id="{DF35A0EE-C788-47A7-8402-470FDD4000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20" name="Text Box 15">
          <a:extLst>
            <a:ext uri="{FF2B5EF4-FFF2-40B4-BE49-F238E27FC236}">
              <a16:creationId xmlns:a16="http://schemas.microsoft.com/office/drawing/2014/main" id="{6E513AD3-862C-4FA7-A912-C7A01C56BB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21" name="Text Box 15">
          <a:extLst>
            <a:ext uri="{FF2B5EF4-FFF2-40B4-BE49-F238E27FC236}">
              <a16:creationId xmlns:a16="http://schemas.microsoft.com/office/drawing/2014/main" id="{0DACA393-0356-4ACC-B5D0-5891EF0F3B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22" name="Text Box 15">
          <a:extLst>
            <a:ext uri="{FF2B5EF4-FFF2-40B4-BE49-F238E27FC236}">
              <a16:creationId xmlns:a16="http://schemas.microsoft.com/office/drawing/2014/main" id="{321988CC-2D39-4392-8538-95EC2B306D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23" name="Text Box 15">
          <a:extLst>
            <a:ext uri="{FF2B5EF4-FFF2-40B4-BE49-F238E27FC236}">
              <a16:creationId xmlns:a16="http://schemas.microsoft.com/office/drawing/2014/main" id="{1D8D566C-2B6D-4541-B112-4F1E7FA8CD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24" name="Text Box 15">
          <a:extLst>
            <a:ext uri="{FF2B5EF4-FFF2-40B4-BE49-F238E27FC236}">
              <a16:creationId xmlns:a16="http://schemas.microsoft.com/office/drawing/2014/main" id="{098E3C3A-69C2-4E7A-B0B3-CC0128E16F9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25" name="Text Box 15">
          <a:extLst>
            <a:ext uri="{FF2B5EF4-FFF2-40B4-BE49-F238E27FC236}">
              <a16:creationId xmlns:a16="http://schemas.microsoft.com/office/drawing/2014/main" id="{696FA788-50B8-4092-AF98-D341B2B84C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26" name="Text Box 15">
          <a:extLst>
            <a:ext uri="{FF2B5EF4-FFF2-40B4-BE49-F238E27FC236}">
              <a16:creationId xmlns:a16="http://schemas.microsoft.com/office/drawing/2014/main" id="{7EA74FC3-1285-4403-9ADF-E4CF2907C4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27" name="Text Box 15">
          <a:extLst>
            <a:ext uri="{FF2B5EF4-FFF2-40B4-BE49-F238E27FC236}">
              <a16:creationId xmlns:a16="http://schemas.microsoft.com/office/drawing/2014/main" id="{7364316B-CB0D-4D53-87FA-7CE5C48133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28" name="Text Box 15">
          <a:extLst>
            <a:ext uri="{FF2B5EF4-FFF2-40B4-BE49-F238E27FC236}">
              <a16:creationId xmlns:a16="http://schemas.microsoft.com/office/drawing/2014/main" id="{A47CEDDC-3660-4954-9E4E-3445355240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29" name="Text Box 15">
          <a:extLst>
            <a:ext uri="{FF2B5EF4-FFF2-40B4-BE49-F238E27FC236}">
              <a16:creationId xmlns:a16="http://schemas.microsoft.com/office/drawing/2014/main" id="{A7D101EE-ECF8-4D33-96EA-F0AD10F686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0" name="Text Box 15">
          <a:extLst>
            <a:ext uri="{FF2B5EF4-FFF2-40B4-BE49-F238E27FC236}">
              <a16:creationId xmlns:a16="http://schemas.microsoft.com/office/drawing/2014/main" id="{AB997C27-4FB2-4586-9D29-68767233618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1" name="Text Box 15">
          <a:extLst>
            <a:ext uri="{FF2B5EF4-FFF2-40B4-BE49-F238E27FC236}">
              <a16:creationId xmlns:a16="http://schemas.microsoft.com/office/drawing/2014/main" id="{3C70893B-BE35-460B-A41A-197414EED4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2" name="Text Box 15">
          <a:extLst>
            <a:ext uri="{FF2B5EF4-FFF2-40B4-BE49-F238E27FC236}">
              <a16:creationId xmlns:a16="http://schemas.microsoft.com/office/drawing/2014/main" id="{8053ABA2-5B40-41DB-B241-47B88A2B08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3" name="Text Box 15">
          <a:extLst>
            <a:ext uri="{FF2B5EF4-FFF2-40B4-BE49-F238E27FC236}">
              <a16:creationId xmlns:a16="http://schemas.microsoft.com/office/drawing/2014/main" id="{3489D499-EC40-4C18-8E5A-5AA70FCD4E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4" name="Text Box 15">
          <a:extLst>
            <a:ext uri="{FF2B5EF4-FFF2-40B4-BE49-F238E27FC236}">
              <a16:creationId xmlns:a16="http://schemas.microsoft.com/office/drawing/2014/main" id="{D5DE6848-4542-44E5-983C-BA9F06A399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5" name="Text Box 15">
          <a:extLst>
            <a:ext uri="{FF2B5EF4-FFF2-40B4-BE49-F238E27FC236}">
              <a16:creationId xmlns:a16="http://schemas.microsoft.com/office/drawing/2014/main" id="{F1091F84-719B-41B8-8BD8-73D5C93594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6" name="Text Box 15">
          <a:extLst>
            <a:ext uri="{FF2B5EF4-FFF2-40B4-BE49-F238E27FC236}">
              <a16:creationId xmlns:a16="http://schemas.microsoft.com/office/drawing/2014/main" id="{992C2449-76B8-4A7A-A59E-4D93205B41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7" name="Text Box 15">
          <a:extLst>
            <a:ext uri="{FF2B5EF4-FFF2-40B4-BE49-F238E27FC236}">
              <a16:creationId xmlns:a16="http://schemas.microsoft.com/office/drawing/2014/main" id="{706ED537-1D5B-48F5-A335-090393609E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8" name="Text Box 15">
          <a:extLst>
            <a:ext uri="{FF2B5EF4-FFF2-40B4-BE49-F238E27FC236}">
              <a16:creationId xmlns:a16="http://schemas.microsoft.com/office/drawing/2014/main" id="{18A82395-2649-4D28-A0DF-630C918A95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9" name="Text Box 15">
          <a:extLst>
            <a:ext uri="{FF2B5EF4-FFF2-40B4-BE49-F238E27FC236}">
              <a16:creationId xmlns:a16="http://schemas.microsoft.com/office/drawing/2014/main" id="{D33F1E35-B4DF-4A49-A36E-DD96E2BFA6F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40" name="Text Box 15">
          <a:extLst>
            <a:ext uri="{FF2B5EF4-FFF2-40B4-BE49-F238E27FC236}">
              <a16:creationId xmlns:a16="http://schemas.microsoft.com/office/drawing/2014/main" id="{DFC97C0D-0F02-48BC-AED3-E87764C6B6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41" name="Text Box 15">
          <a:extLst>
            <a:ext uri="{FF2B5EF4-FFF2-40B4-BE49-F238E27FC236}">
              <a16:creationId xmlns:a16="http://schemas.microsoft.com/office/drawing/2014/main" id="{6A7F1798-D64C-4D2B-AD2F-CD1F141429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42" name="Text Box 15">
          <a:extLst>
            <a:ext uri="{FF2B5EF4-FFF2-40B4-BE49-F238E27FC236}">
              <a16:creationId xmlns:a16="http://schemas.microsoft.com/office/drawing/2014/main" id="{2E90C9FD-08C1-4D39-B3A0-56DC161632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43" name="Text Box 15">
          <a:extLst>
            <a:ext uri="{FF2B5EF4-FFF2-40B4-BE49-F238E27FC236}">
              <a16:creationId xmlns:a16="http://schemas.microsoft.com/office/drawing/2014/main" id="{7BC067EB-4A2D-4158-8659-62FB2B8975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44" name="Text Box 15">
          <a:extLst>
            <a:ext uri="{FF2B5EF4-FFF2-40B4-BE49-F238E27FC236}">
              <a16:creationId xmlns:a16="http://schemas.microsoft.com/office/drawing/2014/main" id="{3A83BE60-D930-4432-AA04-F2F9B44ECF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45" name="Text Box 15">
          <a:extLst>
            <a:ext uri="{FF2B5EF4-FFF2-40B4-BE49-F238E27FC236}">
              <a16:creationId xmlns:a16="http://schemas.microsoft.com/office/drawing/2014/main" id="{A825F5DA-AA59-481A-8773-383406EED79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46" name="Text Box 15">
          <a:extLst>
            <a:ext uri="{FF2B5EF4-FFF2-40B4-BE49-F238E27FC236}">
              <a16:creationId xmlns:a16="http://schemas.microsoft.com/office/drawing/2014/main" id="{1C1566EF-A4AA-4F29-8906-2CD4B260F5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47" name="Text Box 15">
          <a:extLst>
            <a:ext uri="{FF2B5EF4-FFF2-40B4-BE49-F238E27FC236}">
              <a16:creationId xmlns:a16="http://schemas.microsoft.com/office/drawing/2014/main" id="{1F028FB6-CE0C-4080-BA67-3C76EC0FD1A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48" name="Text Box 15">
          <a:extLst>
            <a:ext uri="{FF2B5EF4-FFF2-40B4-BE49-F238E27FC236}">
              <a16:creationId xmlns:a16="http://schemas.microsoft.com/office/drawing/2014/main" id="{CE2EAD54-A95D-464A-888A-80453E211D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49" name="Text Box 15">
          <a:extLst>
            <a:ext uri="{FF2B5EF4-FFF2-40B4-BE49-F238E27FC236}">
              <a16:creationId xmlns:a16="http://schemas.microsoft.com/office/drawing/2014/main" id="{78357C82-D0C7-4B22-AA76-EBEC9A4236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0" name="Text Box 15">
          <a:extLst>
            <a:ext uri="{FF2B5EF4-FFF2-40B4-BE49-F238E27FC236}">
              <a16:creationId xmlns:a16="http://schemas.microsoft.com/office/drawing/2014/main" id="{65DEA41D-BC9E-4BDC-BF8C-533D4D867B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1" name="Text Box 15">
          <a:extLst>
            <a:ext uri="{FF2B5EF4-FFF2-40B4-BE49-F238E27FC236}">
              <a16:creationId xmlns:a16="http://schemas.microsoft.com/office/drawing/2014/main" id="{DB2816E7-86C6-4AA0-B949-269F4EBD77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2" name="Text Box 15">
          <a:extLst>
            <a:ext uri="{FF2B5EF4-FFF2-40B4-BE49-F238E27FC236}">
              <a16:creationId xmlns:a16="http://schemas.microsoft.com/office/drawing/2014/main" id="{8A871F9D-1414-4B75-92F0-0462875A62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3" name="Text Box 15">
          <a:extLst>
            <a:ext uri="{FF2B5EF4-FFF2-40B4-BE49-F238E27FC236}">
              <a16:creationId xmlns:a16="http://schemas.microsoft.com/office/drawing/2014/main" id="{D814B9B9-FDF0-4094-AEB2-7C3F4B981F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4" name="Text Box 15">
          <a:extLst>
            <a:ext uri="{FF2B5EF4-FFF2-40B4-BE49-F238E27FC236}">
              <a16:creationId xmlns:a16="http://schemas.microsoft.com/office/drawing/2014/main" id="{4E7F2740-6A53-4603-9E3D-409C428826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55" name="Text Box 15">
          <a:extLst>
            <a:ext uri="{FF2B5EF4-FFF2-40B4-BE49-F238E27FC236}">
              <a16:creationId xmlns:a16="http://schemas.microsoft.com/office/drawing/2014/main" id="{4854FBFC-280F-487B-B31A-4E4B963A48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56" name="Text Box 15">
          <a:extLst>
            <a:ext uri="{FF2B5EF4-FFF2-40B4-BE49-F238E27FC236}">
              <a16:creationId xmlns:a16="http://schemas.microsoft.com/office/drawing/2014/main" id="{30D14FCF-53B1-4B78-9342-49CF127B2D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57" name="Text Box 15">
          <a:extLst>
            <a:ext uri="{FF2B5EF4-FFF2-40B4-BE49-F238E27FC236}">
              <a16:creationId xmlns:a16="http://schemas.microsoft.com/office/drawing/2014/main" id="{9B3DEF37-ADBE-4458-ABAF-74E7716E317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8" name="Text Box 15">
          <a:extLst>
            <a:ext uri="{FF2B5EF4-FFF2-40B4-BE49-F238E27FC236}">
              <a16:creationId xmlns:a16="http://schemas.microsoft.com/office/drawing/2014/main" id="{42E76821-2A4F-412E-9EB6-1924CCFD77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9" name="Text Box 15">
          <a:extLst>
            <a:ext uri="{FF2B5EF4-FFF2-40B4-BE49-F238E27FC236}">
              <a16:creationId xmlns:a16="http://schemas.microsoft.com/office/drawing/2014/main" id="{083A2730-15BB-4BC4-8D90-A0769DFD08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0" name="Text Box 15">
          <a:extLst>
            <a:ext uri="{FF2B5EF4-FFF2-40B4-BE49-F238E27FC236}">
              <a16:creationId xmlns:a16="http://schemas.microsoft.com/office/drawing/2014/main" id="{8D07EE79-8253-4800-A209-182CAAA3C0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1" name="Text Box 15">
          <a:extLst>
            <a:ext uri="{FF2B5EF4-FFF2-40B4-BE49-F238E27FC236}">
              <a16:creationId xmlns:a16="http://schemas.microsoft.com/office/drawing/2014/main" id="{09811A61-8EAB-4448-AF78-62E49A2256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2" name="Text Box 15">
          <a:extLst>
            <a:ext uri="{FF2B5EF4-FFF2-40B4-BE49-F238E27FC236}">
              <a16:creationId xmlns:a16="http://schemas.microsoft.com/office/drawing/2014/main" id="{2C28A9B3-38E1-4B3C-A2B9-F7DFE99CDF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3" name="Text Box 15">
          <a:extLst>
            <a:ext uri="{FF2B5EF4-FFF2-40B4-BE49-F238E27FC236}">
              <a16:creationId xmlns:a16="http://schemas.microsoft.com/office/drawing/2014/main" id="{0DEF6367-FD8F-41F1-BC50-D5F23BB35C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4" name="Text Box 15">
          <a:extLst>
            <a:ext uri="{FF2B5EF4-FFF2-40B4-BE49-F238E27FC236}">
              <a16:creationId xmlns:a16="http://schemas.microsoft.com/office/drawing/2014/main" id="{F91ED945-4BF1-4299-85D2-055BB4D961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5" name="Text Box 15">
          <a:extLst>
            <a:ext uri="{FF2B5EF4-FFF2-40B4-BE49-F238E27FC236}">
              <a16:creationId xmlns:a16="http://schemas.microsoft.com/office/drawing/2014/main" id="{B063CD23-3382-4CEE-93C8-5E591EB7D5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6" name="Text Box 15">
          <a:extLst>
            <a:ext uri="{FF2B5EF4-FFF2-40B4-BE49-F238E27FC236}">
              <a16:creationId xmlns:a16="http://schemas.microsoft.com/office/drawing/2014/main" id="{F8A24E7D-26F9-4BE7-BF75-474A82452B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7" name="Text Box 15">
          <a:extLst>
            <a:ext uri="{FF2B5EF4-FFF2-40B4-BE49-F238E27FC236}">
              <a16:creationId xmlns:a16="http://schemas.microsoft.com/office/drawing/2014/main" id="{3D119B26-C8DE-426A-8B7A-2FAB98095D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68" name="Text Box 15">
          <a:extLst>
            <a:ext uri="{FF2B5EF4-FFF2-40B4-BE49-F238E27FC236}">
              <a16:creationId xmlns:a16="http://schemas.microsoft.com/office/drawing/2014/main" id="{58700013-9516-4ADE-9419-EE9D53CBFA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69" name="Text Box 15">
          <a:extLst>
            <a:ext uri="{FF2B5EF4-FFF2-40B4-BE49-F238E27FC236}">
              <a16:creationId xmlns:a16="http://schemas.microsoft.com/office/drawing/2014/main" id="{9DB19DD6-0211-45FD-8003-12AA5648888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70" name="Text Box 15">
          <a:extLst>
            <a:ext uri="{FF2B5EF4-FFF2-40B4-BE49-F238E27FC236}">
              <a16:creationId xmlns:a16="http://schemas.microsoft.com/office/drawing/2014/main" id="{34D68C7F-0CB1-4613-8A5D-9C3F617E7C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71" name="Text Box 15">
          <a:extLst>
            <a:ext uri="{FF2B5EF4-FFF2-40B4-BE49-F238E27FC236}">
              <a16:creationId xmlns:a16="http://schemas.microsoft.com/office/drawing/2014/main" id="{C9D9625D-4AED-4AA7-911F-4AFFBF756F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72" name="Text Box 15">
          <a:extLst>
            <a:ext uri="{FF2B5EF4-FFF2-40B4-BE49-F238E27FC236}">
              <a16:creationId xmlns:a16="http://schemas.microsoft.com/office/drawing/2014/main" id="{0EE641CA-3C75-4035-A931-3C06B1D01B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3" name="Text Box 15">
          <a:extLst>
            <a:ext uri="{FF2B5EF4-FFF2-40B4-BE49-F238E27FC236}">
              <a16:creationId xmlns:a16="http://schemas.microsoft.com/office/drawing/2014/main" id="{C0437ED0-FBD1-4557-B8F6-91A0C680DF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4" name="Text Box 15">
          <a:extLst>
            <a:ext uri="{FF2B5EF4-FFF2-40B4-BE49-F238E27FC236}">
              <a16:creationId xmlns:a16="http://schemas.microsoft.com/office/drawing/2014/main" id="{A023BDFA-7BE6-4373-93E1-29D6BC5121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5" name="Text Box 15">
          <a:extLst>
            <a:ext uri="{FF2B5EF4-FFF2-40B4-BE49-F238E27FC236}">
              <a16:creationId xmlns:a16="http://schemas.microsoft.com/office/drawing/2014/main" id="{10A522C8-6EDA-42F9-B4E3-B9DE29B6EB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6" name="Text Box 15">
          <a:extLst>
            <a:ext uri="{FF2B5EF4-FFF2-40B4-BE49-F238E27FC236}">
              <a16:creationId xmlns:a16="http://schemas.microsoft.com/office/drawing/2014/main" id="{D6892917-2603-4557-92A2-14BEA11E50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7" name="Text Box 15">
          <a:extLst>
            <a:ext uri="{FF2B5EF4-FFF2-40B4-BE49-F238E27FC236}">
              <a16:creationId xmlns:a16="http://schemas.microsoft.com/office/drawing/2014/main" id="{25E64D4E-9F42-4A07-BFF3-377C675CD9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8" name="Text Box 15">
          <a:extLst>
            <a:ext uri="{FF2B5EF4-FFF2-40B4-BE49-F238E27FC236}">
              <a16:creationId xmlns:a16="http://schemas.microsoft.com/office/drawing/2014/main" id="{A9711A2B-FD7F-478A-A3C9-706634B67F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9" name="Text Box 15">
          <a:extLst>
            <a:ext uri="{FF2B5EF4-FFF2-40B4-BE49-F238E27FC236}">
              <a16:creationId xmlns:a16="http://schemas.microsoft.com/office/drawing/2014/main" id="{5ED1E528-77AD-461D-8E74-F497119B22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80" name="Text Box 15">
          <a:extLst>
            <a:ext uri="{FF2B5EF4-FFF2-40B4-BE49-F238E27FC236}">
              <a16:creationId xmlns:a16="http://schemas.microsoft.com/office/drawing/2014/main" id="{63383848-B5C5-440B-A21D-D9C3514EF0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81" name="Text Box 15">
          <a:extLst>
            <a:ext uri="{FF2B5EF4-FFF2-40B4-BE49-F238E27FC236}">
              <a16:creationId xmlns:a16="http://schemas.microsoft.com/office/drawing/2014/main" id="{DC96E01B-38E3-465A-B822-E0FC5AD8E6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82" name="Text Box 15">
          <a:extLst>
            <a:ext uri="{FF2B5EF4-FFF2-40B4-BE49-F238E27FC236}">
              <a16:creationId xmlns:a16="http://schemas.microsoft.com/office/drawing/2014/main" id="{04E01F7A-A07A-4B2C-BAC4-EEE8F4CA2B3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83" name="Text Box 15">
          <a:extLst>
            <a:ext uri="{FF2B5EF4-FFF2-40B4-BE49-F238E27FC236}">
              <a16:creationId xmlns:a16="http://schemas.microsoft.com/office/drawing/2014/main" id="{1A329DC1-AE92-4C9C-87C3-EED222E764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84" name="Text Box 15">
          <a:extLst>
            <a:ext uri="{FF2B5EF4-FFF2-40B4-BE49-F238E27FC236}">
              <a16:creationId xmlns:a16="http://schemas.microsoft.com/office/drawing/2014/main" id="{078217A3-E59B-4CDA-9AF2-21F9E39789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85" name="Text Box 15">
          <a:extLst>
            <a:ext uri="{FF2B5EF4-FFF2-40B4-BE49-F238E27FC236}">
              <a16:creationId xmlns:a16="http://schemas.microsoft.com/office/drawing/2014/main" id="{C6477D08-CA61-4906-AC16-736A0AD74E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86" name="Text Box 15">
          <a:extLst>
            <a:ext uri="{FF2B5EF4-FFF2-40B4-BE49-F238E27FC236}">
              <a16:creationId xmlns:a16="http://schemas.microsoft.com/office/drawing/2014/main" id="{C74E4589-442A-4EAD-B6AE-42D23E4168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87" name="Text Box 15">
          <a:extLst>
            <a:ext uri="{FF2B5EF4-FFF2-40B4-BE49-F238E27FC236}">
              <a16:creationId xmlns:a16="http://schemas.microsoft.com/office/drawing/2014/main" id="{F9288461-8690-47BC-A236-069498FD1C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88" name="Text Box 15">
          <a:extLst>
            <a:ext uri="{FF2B5EF4-FFF2-40B4-BE49-F238E27FC236}">
              <a16:creationId xmlns:a16="http://schemas.microsoft.com/office/drawing/2014/main" id="{84542DE2-9B01-4636-AAC9-33AB6A8995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89" name="Text Box 15">
          <a:extLst>
            <a:ext uri="{FF2B5EF4-FFF2-40B4-BE49-F238E27FC236}">
              <a16:creationId xmlns:a16="http://schemas.microsoft.com/office/drawing/2014/main" id="{5A787D9F-9685-43C7-948D-B2870C2BAF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0" name="Text Box 15">
          <a:extLst>
            <a:ext uri="{FF2B5EF4-FFF2-40B4-BE49-F238E27FC236}">
              <a16:creationId xmlns:a16="http://schemas.microsoft.com/office/drawing/2014/main" id="{3529417A-9CE6-453F-AC71-DDFCE88823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1" name="Text Box 15">
          <a:extLst>
            <a:ext uri="{FF2B5EF4-FFF2-40B4-BE49-F238E27FC236}">
              <a16:creationId xmlns:a16="http://schemas.microsoft.com/office/drawing/2014/main" id="{3DAF5B56-EB9D-4C53-97F1-B4C70F7BC4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2" name="Text Box 15">
          <a:extLst>
            <a:ext uri="{FF2B5EF4-FFF2-40B4-BE49-F238E27FC236}">
              <a16:creationId xmlns:a16="http://schemas.microsoft.com/office/drawing/2014/main" id="{FA134C1E-2174-444D-96AC-457ED2DD09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3" name="Text Box 15">
          <a:extLst>
            <a:ext uri="{FF2B5EF4-FFF2-40B4-BE49-F238E27FC236}">
              <a16:creationId xmlns:a16="http://schemas.microsoft.com/office/drawing/2014/main" id="{E5FC70BC-5336-4361-8375-55847297AA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4" name="Text Box 15">
          <a:extLst>
            <a:ext uri="{FF2B5EF4-FFF2-40B4-BE49-F238E27FC236}">
              <a16:creationId xmlns:a16="http://schemas.microsoft.com/office/drawing/2014/main" id="{CF4D7FE6-5BB7-44FE-98AB-04F202ACF6B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5" name="Text Box 15">
          <a:extLst>
            <a:ext uri="{FF2B5EF4-FFF2-40B4-BE49-F238E27FC236}">
              <a16:creationId xmlns:a16="http://schemas.microsoft.com/office/drawing/2014/main" id="{D9D6BDBC-C9A7-41C3-A945-58580C1CAA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6" name="Text Box 15">
          <a:extLst>
            <a:ext uri="{FF2B5EF4-FFF2-40B4-BE49-F238E27FC236}">
              <a16:creationId xmlns:a16="http://schemas.microsoft.com/office/drawing/2014/main" id="{65368C6A-4DE8-4A7E-B32D-DABA42ABC7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7" name="Text Box 15">
          <a:extLst>
            <a:ext uri="{FF2B5EF4-FFF2-40B4-BE49-F238E27FC236}">
              <a16:creationId xmlns:a16="http://schemas.microsoft.com/office/drawing/2014/main" id="{3ED7EC1C-5F7B-4E7E-93FE-6C1496324E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98" name="Text Box 15">
          <a:extLst>
            <a:ext uri="{FF2B5EF4-FFF2-40B4-BE49-F238E27FC236}">
              <a16:creationId xmlns:a16="http://schemas.microsoft.com/office/drawing/2014/main" id="{291AFF55-3226-4277-85A2-B3AA448F41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99" name="Text Box 15">
          <a:extLst>
            <a:ext uri="{FF2B5EF4-FFF2-40B4-BE49-F238E27FC236}">
              <a16:creationId xmlns:a16="http://schemas.microsoft.com/office/drawing/2014/main" id="{C5169ABB-9863-4109-B05B-A16972AC77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00" name="Text Box 15">
          <a:extLst>
            <a:ext uri="{FF2B5EF4-FFF2-40B4-BE49-F238E27FC236}">
              <a16:creationId xmlns:a16="http://schemas.microsoft.com/office/drawing/2014/main" id="{ED48C698-9EE8-4806-ABD8-149AD069D4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01" name="Text Box 15">
          <a:extLst>
            <a:ext uri="{FF2B5EF4-FFF2-40B4-BE49-F238E27FC236}">
              <a16:creationId xmlns:a16="http://schemas.microsoft.com/office/drawing/2014/main" id="{A813327D-2D43-400A-B53F-3EBEA45324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02" name="Text Box 15">
          <a:extLst>
            <a:ext uri="{FF2B5EF4-FFF2-40B4-BE49-F238E27FC236}">
              <a16:creationId xmlns:a16="http://schemas.microsoft.com/office/drawing/2014/main" id="{4A33877C-6259-4BF7-8E65-0B683490C6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3" name="Text Box 15">
          <a:extLst>
            <a:ext uri="{FF2B5EF4-FFF2-40B4-BE49-F238E27FC236}">
              <a16:creationId xmlns:a16="http://schemas.microsoft.com/office/drawing/2014/main" id="{9E135147-51A8-4E20-B7E6-14A12587D3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4" name="Text Box 15">
          <a:extLst>
            <a:ext uri="{FF2B5EF4-FFF2-40B4-BE49-F238E27FC236}">
              <a16:creationId xmlns:a16="http://schemas.microsoft.com/office/drawing/2014/main" id="{D0725533-B158-4769-8462-4E9721BB6AE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5" name="Text Box 15">
          <a:extLst>
            <a:ext uri="{FF2B5EF4-FFF2-40B4-BE49-F238E27FC236}">
              <a16:creationId xmlns:a16="http://schemas.microsoft.com/office/drawing/2014/main" id="{32497BD8-94D6-4BDA-B62A-8655E57F819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6" name="Text Box 15">
          <a:extLst>
            <a:ext uri="{FF2B5EF4-FFF2-40B4-BE49-F238E27FC236}">
              <a16:creationId xmlns:a16="http://schemas.microsoft.com/office/drawing/2014/main" id="{D1C16A4D-DD94-43FB-B2A6-CD1F731605F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7" name="Text Box 15">
          <a:extLst>
            <a:ext uri="{FF2B5EF4-FFF2-40B4-BE49-F238E27FC236}">
              <a16:creationId xmlns:a16="http://schemas.microsoft.com/office/drawing/2014/main" id="{6C0EECFD-BD13-4749-8835-BFC3968E0F0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8" name="Text Box 15">
          <a:extLst>
            <a:ext uri="{FF2B5EF4-FFF2-40B4-BE49-F238E27FC236}">
              <a16:creationId xmlns:a16="http://schemas.microsoft.com/office/drawing/2014/main" id="{ECC181AF-B27A-4385-8A02-2158625D0B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9" name="Text Box 15">
          <a:extLst>
            <a:ext uri="{FF2B5EF4-FFF2-40B4-BE49-F238E27FC236}">
              <a16:creationId xmlns:a16="http://schemas.microsoft.com/office/drawing/2014/main" id="{3ADBB154-E62E-458D-A811-803702A2BC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10" name="Text Box 15">
          <a:extLst>
            <a:ext uri="{FF2B5EF4-FFF2-40B4-BE49-F238E27FC236}">
              <a16:creationId xmlns:a16="http://schemas.microsoft.com/office/drawing/2014/main" id="{1B162856-3875-45EA-B047-132D6D205B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11" name="Text Box 15">
          <a:extLst>
            <a:ext uri="{FF2B5EF4-FFF2-40B4-BE49-F238E27FC236}">
              <a16:creationId xmlns:a16="http://schemas.microsoft.com/office/drawing/2014/main" id="{BACB6CA5-F1ED-493C-9BFD-3E40BBBC3AE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12" name="Text Box 15">
          <a:extLst>
            <a:ext uri="{FF2B5EF4-FFF2-40B4-BE49-F238E27FC236}">
              <a16:creationId xmlns:a16="http://schemas.microsoft.com/office/drawing/2014/main" id="{55C047BD-CB38-4DD7-9F59-0676108CF8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13" name="Text Box 15">
          <a:extLst>
            <a:ext uri="{FF2B5EF4-FFF2-40B4-BE49-F238E27FC236}">
              <a16:creationId xmlns:a16="http://schemas.microsoft.com/office/drawing/2014/main" id="{56EC6DF9-F911-4000-B0E2-C0E3A8BBA1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14" name="Text Box 15">
          <a:extLst>
            <a:ext uri="{FF2B5EF4-FFF2-40B4-BE49-F238E27FC236}">
              <a16:creationId xmlns:a16="http://schemas.microsoft.com/office/drawing/2014/main" id="{23A73749-4F7F-411B-B369-0A3A8F7F25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15" name="Text Box 15">
          <a:extLst>
            <a:ext uri="{FF2B5EF4-FFF2-40B4-BE49-F238E27FC236}">
              <a16:creationId xmlns:a16="http://schemas.microsoft.com/office/drawing/2014/main" id="{4150D8FB-DE43-4877-B6C0-10B6165A3A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16" name="Text Box 15">
          <a:extLst>
            <a:ext uri="{FF2B5EF4-FFF2-40B4-BE49-F238E27FC236}">
              <a16:creationId xmlns:a16="http://schemas.microsoft.com/office/drawing/2014/main" id="{AF7C2253-6CD1-4078-8C91-CBDE321493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17" name="Text Box 15">
          <a:extLst>
            <a:ext uri="{FF2B5EF4-FFF2-40B4-BE49-F238E27FC236}">
              <a16:creationId xmlns:a16="http://schemas.microsoft.com/office/drawing/2014/main" id="{D124A0EE-4474-4F3C-ACCD-C1818C986A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18" name="Text Box 15">
          <a:extLst>
            <a:ext uri="{FF2B5EF4-FFF2-40B4-BE49-F238E27FC236}">
              <a16:creationId xmlns:a16="http://schemas.microsoft.com/office/drawing/2014/main" id="{31C5A868-B67D-49DB-B3BB-FE4F149288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19" name="Text Box 15">
          <a:extLst>
            <a:ext uri="{FF2B5EF4-FFF2-40B4-BE49-F238E27FC236}">
              <a16:creationId xmlns:a16="http://schemas.microsoft.com/office/drawing/2014/main" id="{898F1BA1-2408-48C0-BABA-04B932D454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0" name="Text Box 15">
          <a:extLst>
            <a:ext uri="{FF2B5EF4-FFF2-40B4-BE49-F238E27FC236}">
              <a16:creationId xmlns:a16="http://schemas.microsoft.com/office/drawing/2014/main" id="{F9D886B7-2659-474F-854C-BD40850733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1" name="Text Box 15">
          <a:extLst>
            <a:ext uri="{FF2B5EF4-FFF2-40B4-BE49-F238E27FC236}">
              <a16:creationId xmlns:a16="http://schemas.microsoft.com/office/drawing/2014/main" id="{C2C30ED3-F6B3-4852-9715-E356FC6742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2" name="Text Box 15">
          <a:extLst>
            <a:ext uri="{FF2B5EF4-FFF2-40B4-BE49-F238E27FC236}">
              <a16:creationId xmlns:a16="http://schemas.microsoft.com/office/drawing/2014/main" id="{3A41FD30-8672-41CA-A804-76DF7997AB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3" name="Text Box 15">
          <a:extLst>
            <a:ext uri="{FF2B5EF4-FFF2-40B4-BE49-F238E27FC236}">
              <a16:creationId xmlns:a16="http://schemas.microsoft.com/office/drawing/2014/main" id="{A7EC46F0-426F-4F8F-97BC-296CC77F11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4" name="Text Box 15">
          <a:extLst>
            <a:ext uri="{FF2B5EF4-FFF2-40B4-BE49-F238E27FC236}">
              <a16:creationId xmlns:a16="http://schemas.microsoft.com/office/drawing/2014/main" id="{EE2276F2-E93C-4DB0-BCDC-FEA855CBE5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5" name="Text Box 15">
          <a:extLst>
            <a:ext uri="{FF2B5EF4-FFF2-40B4-BE49-F238E27FC236}">
              <a16:creationId xmlns:a16="http://schemas.microsoft.com/office/drawing/2014/main" id="{9CCBCE98-B57E-43D2-ABBF-101F53F7A9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6" name="Text Box 15">
          <a:extLst>
            <a:ext uri="{FF2B5EF4-FFF2-40B4-BE49-F238E27FC236}">
              <a16:creationId xmlns:a16="http://schemas.microsoft.com/office/drawing/2014/main" id="{281D4B32-3472-4A80-A707-6D457F295B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7" name="Text Box 15">
          <a:extLst>
            <a:ext uri="{FF2B5EF4-FFF2-40B4-BE49-F238E27FC236}">
              <a16:creationId xmlns:a16="http://schemas.microsoft.com/office/drawing/2014/main" id="{567961DA-5553-413F-A20B-10189D81D3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28" name="Text Box 15">
          <a:extLst>
            <a:ext uri="{FF2B5EF4-FFF2-40B4-BE49-F238E27FC236}">
              <a16:creationId xmlns:a16="http://schemas.microsoft.com/office/drawing/2014/main" id="{FB189B28-027E-44E3-8A3F-E93FA08E16E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29" name="Text Box 15">
          <a:extLst>
            <a:ext uri="{FF2B5EF4-FFF2-40B4-BE49-F238E27FC236}">
              <a16:creationId xmlns:a16="http://schemas.microsoft.com/office/drawing/2014/main" id="{43D3B769-B672-49AA-A33F-1CB07E2A10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30" name="Text Box 15">
          <a:extLst>
            <a:ext uri="{FF2B5EF4-FFF2-40B4-BE49-F238E27FC236}">
              <a16:creationId xmlns:a16="http://schemas.microsoft.com/office/drawing/2014/main" id="{B9A0E57E-977B-4935-B322-8F07984CE3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31" name="Text Box 15">
          <a:extLst>
            <a:ext uri="{FF2B5EF4-FFF2-40B4-BE49-F238E27FC236}">
              <a16:creationId xmlns:a16="http://schemas.microsoft.com/office/drawing/2014/main" id="{D75CF5F6-3E3F-4FF3-AFAA-08C2FF2BD9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32" name="Text Box 15">
          <a:extLst>
            <a:ext uri="{FF2B5EF4-FFF2-40B4-BE49-F238E27FC236}">
              <a16:creationId xmlns:a16="http://schemas.microsoft.com/office/drawing/2014/main" id="{8358AEEF-5A21-4646-BA3D-A3D9330DAA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3" name="Text Box 15">
          <a:extLst>
            <a:ext uri="{FF2B5EF4-FFF2-40B4-BE49-F238E27FC236}">
              <a16:creationId xmlns:a16="http://schemas.microsoft.com/office/drawing/2014/main" id="{E5A90C6C-16FB-468D-B0B4-108AE8E8A7B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4" name="Text Box 15">
          <a:extLst>
            <a:ext uri="{FF2B5EF4-FFF2-40B4-BE49-F238E27FC236}">
              <a16:creationId xmlns:a16="http://schemas.microsoft.com/office/drawing/2014/main" id="{75164B5F-5BAF-43CF-8E6B-6932F907BE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5" name="Text Box 15">
          <a:extLst>
            <a:ext uri="{FF2B5EF4-FFF2-40B4-BE49-F238E27FC236}">
              <a16:creationId xmlns:a16="http://schemas.microsoft.com/office/drawing/2014/main" id="{765D7751-80AD-4FD8-81FC-62138546B9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6" name="Text Box 15">
          <a:extLst>
            <a:ext uri="{FF2B5EF4-FFF2-40B4-BE49-F238E27FC236}">
              <a16:creationId xmlns:a16="http://schemas.microsoft.com/office/drawing/2014/main" id="{7E2060B1-2918-401F-9C7F-2DF7C6B179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7" name="Text Box 15">
          <a:extLst>
            <a:ext uri="{FF2B5EF4-FFF2-40B4-BE49-F238E27FC236}">
              <a16:creationId xmlns:a16="http://schemas.microsoft.com/office/drawing/2014/main" id="{52C94CC5-FD0B-4AA4-B5E5-7B2A183129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8" name="Text Box 15">
          <a:extLst>
            <a:ext uri="{FF2B5EF4-FFF2-40B4-BE49-F238E27FC236}">
              <a16:creationId xmlns:a16="http://schemas.microsoft.com/office/drawing/2014/main" id="{549059C8-A1FC-4F81-81E1-B6A98FF79F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39" name="Text Box 15">
          <a:extLst>
            <a:ext uri="{FF2B5EF4-FFF2-40B4-BE49-F238E27FC236}">
              <a16:creationId xmlns:a16="http://schemas.microsoft.com/office/drawing/2014/main" id="{6CFC3EA4-B33A-4393-996D-5A5D5B682F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40" name="Text Box 15">
          <a:extLst>
            <a:ext uri="{FF2B5EF4-FFF2-40B4-BE49-F238E27FC236}">
              <a16:creationId xmlns:a16="http://schemas.microsoft.com/office/drawing/2014/main" id="{9E850F9C-14E3-469F-A913-9F3130EDA1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41" name="Text Box 15">
          <a:extLst>
            <a:ext uri="{FF2B5EF4-FFF2-40B4-BE49-F238E27FC236}">
              <a16:creationId xmlns:a16="http://schemas.microsoft.com/office/drawing/2014/main" id="{F83ABB45-8805-444A-A9C2-006C5A4A2A6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42" name="Text Box 15">
          <a:extLst>
            <a:ext uri="{FF2B5EF4-FFF2-40B4-BE49-F238E27FC236}">
              <a16:creationId xmlns:a16="http://schemas.microsoft.com/office/drawing/2014/main" id="{2484CCC2-8022-488E-BDFD-F1E34DBA53A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3" name="Text Box 15">
          <a:extLst>
            <a:ext uri="{FF2B5EF4-FFF2-40B4-BE49-F238E27FC236}">
              <a16:creationId xmlns:a16="http://schemas.microsoft.com/office/drawing/2014/main" id="{FA98BE4A-B8E8-48BC-8BF7-7DB0518051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4" name="Text Box 15">
          <a:extLst>
            <a:ext uri="{FF2B5EF4-FFF2-40B4-BE49-F238E27FC236}">
              <a16:creationId xmlns:a16="http://schemas.microsoft.com/office/drawing/2014/main" id="{F05E57CF-5CA8-4B49-9F86-B377002483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5" name="Text Box 15">
          <a:extLst>
            <a:ext uri="{FF2B5EF4-FFF2-40B4-BE49-F238E27FC236}">
              <a16:creationId xmlns:a16="http://schemas.microsoft.com/office/drawing/2014/main" id="{A5A3EAA6-1A23-43F9-87D8-D96089CBEB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6" name="Text Box 15">
          <a:extLst>
            <a:ext uri="{FF2B5EF4-FFF2-40B4-BE49-F238E27FC236}">
              <a16:creationId xmlns:a16="http://schemas.microsoft.com/office/drawing/2014/main" id="{7A9B5E83-C7DA-4781-A646-4F32E48178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7" name="Text Box 15">
          <a:extLst>
            <a:ext uri="{FF2B5EF4-FFF2-40B4-BE49-F238E27FC236}">
              <a16:creationId xmlns:a16="http://schemas.microsoft.com/office/drawing/2014/main" id="{1C96D5A3-89F3-4B47-905A-15CB7EFE3E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8" name="Text Box 15">
          <a:extLst>
            <a:ext uri="{FF2B5EF4-FFF2-40B4-BE49-F238E27FC236}">
              <a16:creationId xmlns:a16="http://schemas.microsoft.com/office/drawing/2014/main" id="{8D914A76-BFE3-45C7-BEC1-5E2706DF96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64000"/>
    <xdr:sp macro="" textlink="">
      <xdr:nvSpPr>
        <xdr:cNvPr id="4849" name="Text Box 15">
          <a:extLst>
            <a:ext uri="{FF2B5EF4-FFF2-40B4-BE49-F238E27FC236}">
              <a16:creationId xmlns:a16="http://schemas.microsoft.com/office/drawing/2014/main" id="{3825DCA5-B06B-4DDA-8C93-897574DCA7C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64000"/>
    <xdr:sp macro="" textlink="">
      <xdr:nvSpPr>
        <xdr:cNvPr id="4850" name="Text Box 15">
          <a:extLst>
            <a:ext uri="{FF2B5EF4-FFF2-40B4-BE49-F238E27FC236}">
              <a16:creationId xmlns:a16="http://schemas.microsoft.com/office/drawing/2014/main" id="{9072F72D-05E2-4464-B3B2-2216A2F816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64000"/>
    <xdr:sp macro="" textlink="">
      <xdr:nvSpPr>
        <xdr:cNvPr id="4851" name="Text Box 15">
          <a:extLst>
            <a:ext uri="{FF2B5EF4-FFF2-40B4-BE49-F238E27FC236}">
              <a16:creationId xmlns:a16="http://schemas.microsoft.com/office/drawing/2014/main" id="{8522E89B-3853-4A90-A51B-C26F6C2E5C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64000"/>
    <xdr:sp macro="" textlink="">
      <xdr:nvSpPr>
        <xdr:cNvPr id="4852" name="Text Box 15">
          <a:extLst>
            <a:ext uri="{FF2B5EF4-FFF2-40B4-BE49-F238E27FC236}">
              <a16:creationId xmlns:a16="http://schemas.microsoft.com/office/drawing/2014/main" id="{EB83B469-A8D6-4A21-90F0-3327C3B0BF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64000"/>
    <xdr:sp macro="" textlink="">
      <xdr:nvSpPr>
        <xdr:cNvPr id="4853" name="Text Box 15">
          <a:extLst>
            <a:ext uri="{FF2B5EF4-FFF2-40B4-BE49-F238E27FC236}">
              <a16:creationId xmlns:a16="http://schemas.microsoft.com/office/drawing/2014/main" id="{34B73275-D954-46CD-B91E-68D1BC387CA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4" name="Text Box 15">
          <a:extLst>
            <a:ext uri="{FF2B5EF4-FFF2-40B4-BE49-F238E27FC236}">
              <a16:creationId xmlns:a16="http://schemas.microsoft.com/office/drawing/2014/main" id="{8A6F52D2-5D4C-4F7F-AE69-7AB9AEDC9DB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5" name="Text Box 15">
          <a:extLst>
            <a:ext uri="{FF2B5EF4-FFF2-40B4-BE49-F238E27FC236}">
              <a16:creationId xmlns:a16="http://schemas.microsoft.com/office/drawing/2014/main" id="{9F47D288-B4BD-4223-AEFC-ECC7124493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6" name="Text Box 15">
          <a:extLst>
            <a:ext uri="{FF2B5EF4-FFF2-40B4-BE49-F238E27FC236}">
              <a16:creationId xmlns:a16="http://schemas.microsoft.com/office/drawing/2014/main" id="{AFD929F4-697C-4CD4-90CB-8CD2DE6C3A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7" name="Text Box 15">
          <a:extLst>
            <a:ext uri="{FF2B5EF4-FFF2-40B4-BE49-F238E27FC236}">
              <a16:creationId xmlns:a16="http://schemas.microsoft.com/office/drawing/2014/main" id="{D1749833-FCF9-46F2-A862-AA11EA2D01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8" name="Text Box 15">
          <a:extLst>
            <a:ext uri="{FF2B5EF4-FFF2-40B4-BE49-F238E27FC236}">
              <a16:creationId xmlns:a16="http://schemas.microsoft.com/office/drawing/2014/main" id="{D3EFEA05-E878-4E93-9E67-F7DFD542E7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9" name="Text Box 15">
          <a:extLst>
            <a:ext uri="{FF2B5EF4-FFF2-40B4-BE49-F238E27FC236}">
              <a16:creationId xmlns:a16="http://schemas.microsoft.com/office/drawing/2014/main" id="{F7A2CF3D-D29E-49A9-AE0C-A0B6B65FFC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60" name="Text Box 15">
          <a:extLst>
            <a:ext uri="{FF2B5EF4-FFF2-40B4-BE49-F238E27FC236}">
              <a16:creationId xmlns:a16="http://schemas.microsoft.com/office/drawing/2014/main" id="{5EC6C27D-56CA-4E08-BAF4-F8B7B51E21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61" name="Text Box 15">
          <a:extLst>
            <a:ext uri="{FF2B5EF4-FFF2-40B4-BE49-F238E27FC236}">
              <a16:creationId xmlns:a16="http://schemas.microsoft.com/office/drawing/2014/main" id="{819FE880-E5E8-464A-8C47-B383BE069B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62" name="Text Box 15">
          <a:extLst>
            <a:ext uri="{FF2B5EF4-FFF2-40B4-BE49-F238E27FC236}">
              <a16:creationId xmlns:a16="http://schemas.microsoft.com/office/drawing/2014/main" id="{4EA879D0-187B-4D1B-8F70-5853DBF22E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63" name="Text Box 15">
          <a:extLst>
            <a:ext uri="{FF2B5EF4-FFF2-40B4-BE49-F238E27FC236}">
              <a16:creationId xmlns:a16="http://schemas.microsoft.com/office/drawing/2014/main" id="{E4A34564-3818-4F9E-B284-1D682F980D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64" name="Text Box 15">
          <a:extLst>
            <a:ext uri="{FF2B5EF4-FFF2-40B4-BE49-F238E27FC236}">
              <a16:creationId xmlns:a16="http://schemas.microsoft.com/office/drawing/2014/main" id="{09C26BCC-ADFC-47E0-85DC-BB066EB7A6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65" name="Text Box 15">
          <a:extLst>
            <a:ext uri="{FF2B5EF4-FFF2-40B4-BE49-F238E27FC236}">
              <a16:creationId xmlns:a16="http://schemas.microsoft.com/office/drawing/2014/main" id="{348EA317-AABA-4E3A-8828-EC8409D0CA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66" name="Text Box 15">
          <a:extLst>
            <a:ext uri="{FF2B5EF4-FFF2-40B4-BE49-F238E27FC236}">
              <a16:creationId xmlns:a16="http://schemas.microsoft.com/office/drawing/2014/main" id="{C0FB4B8B-F009-4811-BC86-78FA1993FD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67" name="Text Box 15">
          <a:extLst>
            <a:ext uri="{FF2B5EF4-FFF2-40B4-BE49-F238E27FC236}">
              <a16:creationId xmlns:a16="http://schemas.microsoft.com/office/drawing/2014/main" id="{72B2C4BA-7F68-4152-9AD7-8365FED4FB8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68" name="Text Box 15">
          <a:extLst>
            <a:ext uri="{FF2B5EF4-FFF2-40B4-BE49-F238E27FC236}">
              <a16:creationId xmlns:a16="http://schemas.microsoft.com/office/drawing/2014/main" id="{7463449B-C1DA-416C-8696-8E71EE19CC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69" name="Text Box 15">
          <a:extLst>
            <a:ext uri="{FF2B5EF4-FFF2-40B4-BE49-F238E27FC236}">
              <a16:creationId xmlns:a16="http://schemas.microsoft.com/office/drawing/2014/main" id="{33EAC8B4-671E-48AA-BCEA-AD438939AC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0" name="Text Box 15">
          <a:extLst>
            <a:ext uri="{FF2B5EF4-FFF2-40B4-BE49-F238E27FC236}">
              <a16:creationId xmlns:a16="http://schemas.microsoft.com/office/drawing/2014/main" id="{C838932C-1F66-4C12-986A-6868C16186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1" name="Text Box 15">
          <a:extLst>
            <a:ext uri="{FF2B5EF4-FFF2-40B4-BE49-F238E27FC236}">
              <a16:creationId xmlns:a16="http://schemas.microsoft.com/office/drawing/2014/main" id="{4DDC82F7-6842-4534-9BFF-F1C91926CB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2" name="Text Box 15">
          <a:extLst>
            <a:ext uri="{FF2B5EF4-FFF2-40B4-BE49-F238E27FC236}">
              <a16:creationId xmlns:a16="http://schemas.microsoft.com/office/drawing/2014/main" id="{8C4A49AA-D191-4095-BCF0-206AE7B836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3" name="Text Box 15">
          <a:extLst>
            <a:ext uri="{FF2B5EF4-FFF2-40B4-BE49-F238E27FC236}">
              <a16:creationId xmlns:a16="http://schemas.microsoft.com/office/drawing/2014/main" id="{1F08539F-EC65-4469-BE5E-5780EF3DBA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4" name="Text Box 15">
          <a:extLst>
            <a:ext uri="{FF2B5EF4-FFF2-40B4-BE49-F238E27FC236}">
              <a16:creationId xmlns:a16="http://schemas.microsoft.com/office/drawing/2014/main" id="{1A72FBD7-4735-4594-A964-6B6C4B5FC7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5" name="Text Box 15">
          <a:extLst>
            <a:ext uri="{FF2B5EF4-FFF2-40B4-BE49-F238E27FC236}">
              <a16:creationId xmlns:a16="http://schemas.microsoft.com/office/drawing/2014/main" id="{C90CDEDB-2C3F-4E65-9E27-008DA70491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6" name="Text Box 15">
          <a:extLst>
            <a:ext uri="{FF2B5EF4-FFF2-40B4-BE49-F238E27FC236}">
              <a16:creationId xmlns:a16="http://schemas.microsoft.com/office/drawing/2014/main" id="{01CFB8A4-F9CE-4C86-BC9A-DDC985E704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7" name="Text Box 15">
          <a:extLst>
            <a:ext uri="{FF2B5EF4-FFF2-40B4-BE49-F238E27FC236}">
              <a16:creationId xmlns:a16="http://schemas.microsoft.com/office/drawing/2014/main" id="{B8FA8A8B-43D6-4AC2-B3FA-F6FFF29831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8" name="Text Box 15">
          <a:extLst>
            <a:ext uri="{FF2B5EF4-FFF2-40B4-BE49-F238E27FC236}">
              <a16:creationId xmlns:a16="http://schemas.microsoft.com/office/drawing/2014/main" id="{3548FF38-7449-4B15-904C-A4D79D1039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79" name="Text Box 15">
          <a:extLst>
            <a:ext uri="{FF2B5EF4-FFF2-40B4-BE49-F238E27FC236}">
              <a16:creationId xmlns:a16="http://schemas.microsoft.com/office/drawing/2014/main" id="{ABA2E5F2-1958-4852-98C5-57F613DB57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80" name="Text Box 15">
          <a:extLst>
            <a:ext uri="{FF2B5EF4-FFF2-40B4-BE49-F238E27FC236}">
              <a16:creationId xmlns:a16="http://schemas.microsoft.com/office/drawing/2014/main" id="{B1CF0E00-D747-447A-92C9-E8F16681D7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81" name="Text Box 15">
          <a:extLst>
            <a:ext uri="{FF2B5EF4-FFF2-40B4-BE49-F238E27FC236}">
              <a16:creationId xmlns:a16="http://schemas.microsoft.com/office/drawing/2014/main" id="{A8F28DFD-A214-489C-8C9F-5561F64FEB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82" name="Text Box 15">
          <a:extLst>
            <a:ext uri="{FF2B5EF4-FFF2-40B4-BE49-F238E27FC236}">
              <a16:creationId xmlns:a16="http://schemas.microsoft.com/office/drawing/2014/main" id="{4034213D-7E8F-4F2E-BEE1-406BE8A972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83" name="Text Box 15">
          <a:extLst>
            <a:ext uri="{FF2B5EF4-FFF2-40B4-BE49-F238E27FC236}">
              <a16:creationId xmlns:a16="http://schemas.microsoft.com/office/drawing/2014/main" id="{AA9A1C45-104E-42D9-8C81-0EBC0E5F3A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4" name="Text Box 15">
          <a:extLst>
            <a:ext uri="{FF2B5EF4-FFF2-40B4-BE49-F238E27FC236}">
              <a16:creationId xmlns:a16="http://schemas.microsoft.com/office/drawing/2014/main" id="{3C41F588-6BE7-4EA6-8CD9-3DB595A2DDB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5" name="Text Box 15">
          <a:extLst>
            <a:ext uri="{FF2B5EF4-FFF2-40B4-BE49-F238E27FC236}">
              <a16:creationId xmlns:a16="http://schemas.microsoft.com/office/drawing/2014/main" id="{81013516-632B-44B6-ADCC-875DD00392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6" name="Text Box 15">
          <a:extLst>
            <a:ext uri="{FF2B5EF4-FFF2-40B4-BE49-F238E27FC236}">
              <a16:creationId xmlns:a16="http://schemas.microsoft.com/office/drawing/2014/main" id="{FCD3DCA3-F5DB-4C1B-9654-E5C95446673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7" name="Text Box 15">
          <a:extLst>
            <a:ext uri="{FF2B5EF4-FFF2-40B4-BE49-F238E27FC236}">
              <a16:creationId xmlns:a16="http://schemas.microsoft.com/office/drawing/2014/main" id="{33F45629-50F0-4855-BA2B-5EFB135E33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8" name="Text Box 15">
          <a:extLst>
            <a:ext uri="{FF2B5EF4-FFF2-40B4-BE49-F238E27FC236}">
              <a16:creationId xmlns:a16="http://schemas.microsoft.com/office/drawing/2014/main" id="{0FA0A02B-7CEA-4755-938A-A85B93C91E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9" name="Text Box 15">
          <a:extLst>
            <a:ext uri="{FF2B5EF4-FFF2-40B4-BE49-F238E27FC236}">
              <a16:creationId xmlns:a16="http://schemas.microsoft.com/office/drawing/2014/main" id="{07638EA0-7751-4EFB-B2E5-86749C9F17A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90" name="Text Box 15">
          <a:extLst>
            <a:ext uri="{FF2B5EF4-FFF2-40B4-BE49-F238E27FC236}">
              <a16:creationId xmlns:a16="http://schemas.microsoft.com/office/drawing/2014/main" id="{98073761-1D44-4E0F-8845-13095EC0E1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91" name="Text Box 15">
          <a:extLst>
            <a:ext uri="{FF2B5EF4-FFF2-40B4-BE49-F238E27FC236}">
              <a16:creationId xmlns:a16="http://schemas.microsoft.com/office/drawing/2014/main" id="{7F0AAAA5-3206-4B41-B6C8-BBE54C1DC2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92" name="Text Box 15">
          <a:extLst>
            <a:ext uri="{FF2B5EF4-FFF2-40B4-BE49-F238E27FC236}">
              <a16:creationId xmlns:a16="http://schemas.microsoft.com/office/drawing/2014/main" id="{FD6EDE08-2963-4926-B962-3F53450676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93" name="Text Box 15">
          <a:extLst>
            <a:ext uri="{FF2B5EF4-FFF2-40B4-BE49-F238E27FC236}">
              <a16:creationId xmlns:a16="http://schemas.microsoft.com/office/drawing/2014/main" id="{C54C2065-9184-47A5-A226-ACC39C95CD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94" name="Text Box 15">
          <a:extLst>
            <a:ext uri="{FF2B5EF4-FFF2-40B4-BE49-F238E27FC236}">
              <a16:creationId xmlns:a16="http://schemas.microsoft.com/office/drawing/2014/main" id="{104ACE45-0AD1-44B2-99B5-21C0F889AC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95" name="Text Box 15">
          <a:extLst>
            <a:ext uri="{FF2B5EF4-FFF2-40B4-BE49-F238E27FC236}">
              <a16:creationId xmlns:a16="http://schemas.microsoft.com/office/drawing/2014/main" id="{8625EADD-4F37-4106-8CC8-251287A001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96" name="Text Box 15">
          <a:extLst>
            <a:ext uri="{FF2B5EF4-FFF2-40B4-BE49-F238E27FC236}">
              <a16:creationId xmlns:a16="http://schemas.microsoft.com/office/drawing/2014/main" id="{F5B9B7F9-00C4-40A9-8927-7E8372CF2F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97" name="Text Box 15">
          <a:extLst>
            <a:ext uri="{FF2B5EF4-FFF2-40B4-BE49-F238E27FC236}">
              <a16:creationId xmlns:a16="http://schemas.microsoft.com/office/drawing/2014/main" id="{93368B47-9952-4620-9880-D27CFA654D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98" name="Text Box 15">
          <a:extLst>
            <a:ext uri="{FF2B5EF4-FFF2-40B4-BE49-F238E27FC236}">
              <a16:creationId xmlns:a16="http://schemas.microsoft.com/office/drawing/2014/main" id="{3B16C68F-B15A-49E2-97DB-FE70C48224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99" name="Text Box 15">
          <a:extLst>
            <a:ext uri="{FF2B5EF4-FFF2-40B4-BE49-F238E27FC236}">
              <a16:creationId xmlns:a16="http://schemas.microsoft.com/office/drawing/2014/main" id="{17B15B76-5EB3-4705-8F8F-1BD3130D15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0" name="Text Box 15">
          <a:extLst>
            <a:ext uri="{FF2B5EF4-FFF2-40B4-BE49-F238E27FC236}">
              <a16:creationId xmlns:a16="http://schemas.microsoft.com/office/drawing/2014/main" id="{52DA7240-58C0-404E-987E-9F57966D4C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1" name="Text Box 15">
          <a:extLst>
            <a:ext uri="{FF2B5EF4-FFF2-40B4-BE49-F238E27FC236}">
              <a16:creationId xmlns:a16="http://schemas.microsoft.com/office/drawing/2014/main" id="{839F53F0-6F20-481E-963E-2890AD5BC4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2" name="Text Box 15">
          <a:extLst>
            <a:ext uri="{FF2B5EF4-FFF2-40B4-BE49-F238E27FC236}">
              <a16:creationId xmlns:a16="http://schemas.microsoft.com/office/drawing/2014/main" id="{F06BF04D-816D-40DB-91AE-D8DCE8CA58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3" name="Text Box 15">
          <a:extLst>
            <a:ext uri="{FF2B5EF4-FFF2-40B4-BE49-F238E27FC236}">
              <a16:creationId xmlns:a16="http://schemas.microsoft.com/office/drawing/2014/main" id="{48B98969-A759-4DFA-A009-2C6EA97256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4" name="Text Box 15">
          <a:extLst>
            <a:ext uri="{FF2B5EF4-FFF2-40B4-BE49-F238E27FC236}">
              <a16:creationId xmlns:a16="http://schemas.microsoft.com/office/drawing/2014/main" id="{E3967516-135A-4662-9DA9-1822B680C6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5" name="Text Box 15">
          <a:extLst>
            <a:ext uri="{FF2B5EF4-FFF2-40B4-BE49-F238E27FC236}">
              <a16:creationId xmlns:a16="http://schemas.microsoft.com/office/drawing/2014/main" id="{04EA70A9-6741-4A1A-89ED-4CB81E0C6B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6" name="Text Box 15">
          <a:extLst>
            <a:ext uri="{FF2B5EF4-FFF2-40B4-BE49-F238E27FC236}">
              <a16:creationId xmlns:a16="http://schemas.microsoft.com/office/drawing/2014/main" id="{4BE9FCFF-FA79-4448-8D6A-92E6DA4511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7" name="Text Box 15">
          <a:extLst>
            <a:ext uri="{FF2B5EF4-FFF2-40B4-BE49-F238E27FC236}">
              <a16:creationId xmlns:a16="http://schemas.microsoft.com/office/drawing/2014/main" id="{040634D0-E747-4D42-BF63-AA02BDE012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8" name="Text Box 15">
          <a:extLst>
            <a:ext uri="{FF2B5EF4-FFF2-40B4-BE49-F238E27FC236}">
              <a16:creationId xmlns:a16="http://schemas.microsoft.com/office/drawing/2014/main" id="{34EAB658-1D85-4FF7-A6B6-C4AA457081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909" name="Text Box 15">
          <a:extLst>
            <a:ext uri="{FF2B5EF4-FFF2-40B4-BE49-F238E27FC236}">
              <a16:creationId xmlns:a16="http://schemas.microsoft.com/office/drawing/2014/main" id="{84B4C1A3-4B76-4116-A049-58F2B5C5ED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910" name="Text Box 15">
          <a:extLst>
            <a:ext uri="{FF2B5EF4-FFF2-40B4-BE49-F238E27FC236}">
              <a16:creationId xmlns:a16="http://schemas.microsoft.com/office/drawing/2014/main" id="{EEBEF16C-681E-41BA-86C5-D9103BA582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911" name="Text Box 15">
          <a:extLst>
            <a:ext uri="{FF2B5EF4-FFF2-40B4-BE49-F238E27FC236}">
              <a16:creationId xmlns:a16="http://schemas.microsoft.com/office/drawing/2014/main" id="{A1CFBBCE-966C-46DF-8733-B274393B65E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912" name="Text Box 15">
          <a:extLst>
            <a:ext uri="{FF2B5EF4-FFF2-40B4-BE49-F238E27FC236}">
              <a16:creationId xmlns:a16="http://schemas.microsoft.com/office/drawing/2014/main" id="{B69EAD5E-6DE4-4870-8C35-B3BF1CE5ED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913" name="Text Box 15">
          <a:extLst>
            <a:ext uri="{FF2B5EF4-FFF2-40B4-BE49-F238E27FC236}">
              <a16:creationId xmlns:a16="http://schemas.microsoft.com/office/drawing/2014/main" id="{8E6117F7-0C5D-4BD2-AAD1-9403A1F1FB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4" name="Text Box 15">
          <a:extLst>
            <a:ext uri="{FF2B5EF4-FFF2-40B4-BE49-F238E27FC236}">
              <a16:creationId xmlns:a16="http://schemas.microsoft.com/office/drawing/2014/main" id="{18099EDC-AC12-4199-A9B5-0E4DD92069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5" name="Text Box 15">
          <a:extLst>
            <a:ext uri="{FF2B5EF4-FFF2-40B4-BE49-F238E27FC236}">
              <a16:creationId xmlns:a16="http://schemas.microsoft.com/office/drawing/2014/main" id="{35771A87-938F-4373-89B2-9C71E6CE9D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6" name="Text Box 15">
          <a:extLst>
            <a:ext uri="{FF2B5EF4-FFF2-40B4-BE49-F238E27FC236}">
              <a16:creationId xmlns:a16="http://schemas.microsoft.com/office/drawing/2014/main" id="{265E53AA-EDA0-45E3-A73A-3724B0D83A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7" name="Text Box 15">
          <a:extLst>
            <a:ext uri="{FF2B5EF4-FFF2-40B4-BE49-F238E27FC236}">
              <a16:creationId xmlns:a16="http://schemas.microsoft.com/office/drawing/2014/main" id="{B0BE0F09-44BD-4C19-A607-333C794CAD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8" name="Text Box 15">
          <a:extLst>
            <a:ext uri="{FF2B5EF4-FFF2-40B4-BE49-F238E27FC236}">
              <a16:creationId xmlns:a16="http://schemas.microsoft.com/office/drawing/2014/main" id="{9B1F7CE8-6FC8-42F6-A446-307B6482AB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9" name="Text Box 15">
          <a:extLst>
            <a:ext uri="{FF2B5EF4-FFF2-40B4-BE49-F238E27FC236}">
              <a16:creationId xmlns:a16="http://schemas.microsoft.com/office/drawing/2014/main" id="{9CCA3D4E-CCC4-4EAD-B16D-E407CAF4716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20" name="Text Box 15">
          <a:extLst>
            <a:ext uri="{FF2B5EF4-FFF2-40B4-BE49-F238E27FC236}">
              <a16:creationId xmlns:a16="http://schemas.microsoft.com/office/drawing/2014/main" id="{7D7B1C31-EB5B-4F00-8463-0ECF0DF04D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21" name="Text Box 15">
          <a:extLst>
            <a:ext uri="{FF2B5EF4-FFF2-40B4-BE49-F238E27FC236}">
              <a16:creationId xmlns:a16="http://schemas.microsoft.com/office/drawing/2014/main" id="{5F785DC6-F4EE-4703-9853-A05493AAA1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22" name="Text Box 15">
          <a:extLst>
            <a:ext uri="{FF2B5EF4-FFF2-40B4-BE49-F238E27FC236}">
              <a16:creationId xmlns:a16="http://schemas.microsoft.com/office/drawing/2014/main" id="{58CA88D9-D5F2-4E3D-881B-DFC8A0E661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23" name="Text Box 15">
          <a:extLst>
            <a:ext uri="{FF2B5EF4-FFF2-40B4-BE49-F238E27FC236}">
              <a16:creationId xmlns:a16="http://schemas.microsoft.com/office/drawing/2014/main" id="{06349887-0874-4212-889C-277E8CA6509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24" name="Text Box 15">
          <a:extLst>
            <a:ext uri="{FF2B5EF4-FFF2-40B4-BE49-F238E27FC236}">
              <a16:creationId xmlns:a16="http://schemas.microsoft.com/office/drawing/2014/main" id="{BB083E3A-BEE4-4C96-9586-B4125828E6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25" name="Text Box 15">
          <a:extLst>
            <a:ext uri="{FF2B5EF4-FFF2-40B4-BE49-F238E27FC236}">
              <a16:creationId xmlns:a16="http://schemas.microsoft.com/office/drawing/2014/main" id="{6F7A4C25-96C4-4B82-8565-400027A8558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26" name="Text Box 15">
          <a:extLst>
            <a:ext uri="{FF2B5EF4-FFF2-40B4-BE49-F238E27FC236}">
              <a16:creationId xmlns:a16="http://schemas.microsoft.com/office/drawing/2014/main" id="{16AC911B-CA72-4AC3-9D62-D19F2D8C09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27" name="Text Box 15">
          <a:extLst>
            <a:ext uri="{FF2B5EF4-FFF2-40B4-BE49-F238E27FC236}">
              <a16:creationId xmlns:a16="http://schemas.microsoft.com/office/drawing/2014/main" id="{DEF09314-6A5E-4CAE-9537-B2467CEEE5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28" name="Text Box 15">
          <a:extLst>
            <a:ext uri="{FF2B5EF4-FFF2-40B4-BE49-F238E27FC236}">
              <a16:creationId xmlns:a16="http://schemas.microsoft.com/office/drawing/2014/main" id="{D9D5966A-F78A-4D2D-AB55-E3CCC48C0B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29" name="Text Box 15">
          <a:extLst>
            <a:ext uri="{FF2B5EF4-FFF2-40B4-BE49-F238E27FC236}">
              <a16:creationId xmlns:a16="http://schemas.microsoft.com/office/drawing/2014/main" id="{F46659D1-FA89-4B53-9FF9-AD9C2DC04D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0" name="Text Box 15">
          <a:extLst>
            <a:ext uri="{FF2B5EF4-FFF2-40B4-BE49-F238E27FC236}">
              <a16:creationId xmlns:a16="http://schemas.microsoft.com/office/drawing/2014/main" id="{23904B3D-1030-4E84-A133-0CA5DF3D9DA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1" name="Text Box 15">
          <a:extLst>
            <a:ext uri="{FF2B5EF4-FFF2-40B4-BE49-F238E27FC236}">
              <a16:creationId xmlns:a16="http://schemas.microsoft.com/office/drawing/2014/main" id="{23FFDA58-8459-4536-B0C1-7E9BCE8682F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2" name="Text Box 15">
          <a:extLst>
            <a:ext uri="{FF2B5EF4-FFF2-40B4-BE49-F238E27FC236}">
              <a16:creationId xmlns:a16="http://schemas.microsoft.com/office/drawing/2014/main" id="{82F60B27-1E63-4BEE-9C53-DA11EF58DC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3" name="Text Box 15">
          <a:extLst>
            <a:ext uri="{FF2B5EF4-FFF2-40B4-BE49-F238E27FC236}">
              <a16:creationId xmlns:a16="http://schemas.microsoft.com/office/drawing/2014/main" id="{E6013992-78E4-437C-ACE2-CB7760D02F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4" name="Text Box 15">
          <a:extLst>
            <a:ext uri="{FF2B5EF4-FFF2-40B4-BE49-F238E27FC236}">
              <a16:creationId xmlns:a16="http://schemas.microsoft.com/office/drawing/2014/main" id="{8CC9F9A5-8A3F-4263-A278-29657A0B8D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5" name="Text Box 15">
          <a:extLst>
            <a:ext uri="{FF2B5EF4-FFF2-40B4-BE49-F238E27FC236}">
              <a16:creationId xmlns:a16="http://schemas.microsoft.com/office/drawing/2014/main" id="{6DDDF0B3-5430-40FE-9128-F074D172E8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6" name="Text Box 15">
          <a:extLst>
            <a:ext uri="{FF2B5EF4-FFF2-40B4-BE49-F238E27FC236}">
              <a16:creationId xmlns:a16="http://schemas.microsoft.com/office/drawing/2014/main" id="{3FC416CD-3C62-49E6-911D-228B7CE2B7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37" name="Text Box 15">
          <a:extLst>
            <a:ext uri="{FF2B5EF4-FFF2-40B4-BE49-F238E27FC236}">
              <a16:creationId xmlns:a16="http://schemas.microsoft.com/office/drawing/2014/main" id="{2D8D0C8B-5755-48DA-BB43-0ADED208D15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38" name="Text Box 15">
          <a:extLst>
            <a:ext uri="{FF2B5EF4-FFF2-40B4-BE49-F238E27FC236}">
              <a16:creationId xmlns:a16="http://schemas.microsoft.com/office/drawing/2014/main" id="{449B3568-5FD5-4D07-A875-CB95142D3B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39" name="Text Box 15">
          <a:extLst>
            <a:ext uri="{FF2B5EF4-FFF2-40B4-BE49-F238E27FC236}">
              <a16:creationId xmlns:a16="http://schemas.microsoft.com/office/drawing/2014/main" id="{F3EFED76-6746-4E92-9F79-83AA8C5274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40" name="Text Box 15">
          <a:extLst>
            <a:ext uri="{FF2B5EF4-FFF2-40B4-BE49-F238E27FC236}">
              <a16:creationId xmlns:a16="http://schemas.microsoft.com/office/drawing/2014/main" id="{5AE8593D-0ACC-4417-90A6-7F217C50E8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41" name="Text Box 15">
          <a:extLst>
            <a:ext uri="{FF2B5EF4-FFF2-40B4-BE49-F238E27FC236}">
              <a16:creationId xmlns:a16="http://schemas.microsoft.com/office/drawing/2014/main" id="{4A5DDDA5-ED22-46C1-BF06-512722509B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2" name="Text Box 15">
          <a:extLst>
            <a:ext uri="{FF2B5EF4-FFF2-40B4-BE49-F238E27FC236}">
              <a16:creationId xmlns:a16="http://schemas.microsoft.com/office/drawing/2014/main" id="{70BF2259-E808-45CC-94AC-8EDE4B607A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3" name="Text Box 15">
          <a:extLst>
            <a:ext uri="{FF2B5EF4-FFF2-40B4-BE49-F238E27FC236}">
              <a16:creationId xmlns:a16="http://schemas.microsoft.com/office/drawing/2014/main" id="{3546C5ED-D8AD-46EA-ABAF-833A0FE887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4" name="Text Box 15">
          <a:extLst>
            <a:ext uri="{FF2B5EF4-FFF2-40B4-BE49-F238E27FC236}">
              <a16:creationId xmlns:a16="http://schemas.microsoft.com/office/drawing/2014/main" id="{7096F183-25B2-48B6-84E3-854DD194487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5" name="Text Box 15">
          <a:extLst>
            <a:ext uri="{FF2B5EF4-FFF2-40B4-BE49-F238E27FC236}">
              <a16:creationId xmlns:a16="http://schemas.microsoft.com/office/drawing/2014/main" id="{94889B73-AF9C-4299-8F2C-664B563B4D7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6" name="Text Box 15">
          <a:extLst>
            <a:ext uri="{FF2B5EF4-FFF2-40B4-BE49-F238E27FC236}">
              <a16:creationId xmlns:a16="http://schemas.microsoft.com/office/drawing/2014/main" id="{794686F0-0831-43B5-A07E-5CDAFD5634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7" name="Text Box 15">
          <a:extLst>
            <a:ext uri="{FF2B5EF4-FFF2-40B4-BE49-F238E27FC236}">
              <a16:creationId xmlns:a16="http://schemas.microsoft.com/office/drawing/2014/main" id="{52345A7F-33B7-4476-A7C7-80FF0348FFE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8" name="Text Box 15">
          <a:extLst>
            <a:ext uri="{FF2B5EF4-FFF2-40B4-BE49-F238E27FC236}">
              <a16:creationId xmlns:a16="http://schemas.microsoft.com/office/drawing/2014/main" id="{4C465AE2-B1DD-4A25-AE25-0E893979D0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9" name="Text Box 15">
          <a:extLst>
            <a:ext uri="{FF2B5EF4-FFF2-40B4-BE49-F238E27FC236}">
              <a16:creationId xmlns:a16="http://schemas.microsoft.com/office/drawing/2014/main" id="{C3F5B8EF-E4D4-479F-9205-A9548F113A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50" name="Text Box 15">
          <a:extLst>
            <a:ext uri="{FF2B5EF4-FFF2-40B4-BE49-F238E27FC236}">
              <a16:creationId xmlns:a16="http://schemas.microsoft.com/office/drawing/2014/main" id="{03E2FC4F-2E6E-4953-A0CD-9925A24764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51" name="Text Box 15">
          <a:extLst>
            <a:ext uri="{FF2B5EF4-FFF2-40B4-BE49-F238E27FC236}">
              <a16:creationId xmlns:a16="http://schemas.microsoft.com/office/drawing/2014/main" id="{F2CAF0DB-ED34-440C-B160-4A3C9DEEE30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52" name="Text Box 15">
          <a:extLst>
            <a:ext uri="{FF2B5EF4-FFF2-40B4-BE49-F238E27FC236}">
              <a16:creationId xmlns:a16="http://schemas.microsoft.com/office/drawing/2014/main" id="{FC56D6BE-6BD2-4113-9AD5-A4BD86EC17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53" name="Text Box 15">
          <a:extLst>
            <a:ext uri="{FF2B5EF4-FFF2-40B4-BE49-F238E27FC236}">
              <a16:creationId xmlns:a16="http://schemas.microsoft.com/office/drawing/2014/main" id="{F700F170-CF6E-4982-9D91-4279540D9D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54" name="Text Box 15">
          <a:extLst>
            <a:ext uri="{FF2B5EF4-FFF2-40B4-BE49-F238E27FC236}">
              <a16:creationId xmlns:a16="http://schemas.microsoft.com/office/drawing/2014/main" id="{114721EB-92BB-461B-8BC0-5A53BEE6BC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55" name="Text Box 15">
          <a:extLst>
            <a:ext uri="{FF2B5EF4-FFF2-40B4-BE49-F238E27FC236}">
              <a16:creationId xmlns:a16="http://schemas.microsoft.com/office/drawing/2014/main" id="{7C37F422-B661-422C-98F2-6762489938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56" name="Text Box 15">
          <a:extLst>
            <a:ext uri="{FF2B5EF4-FFF2-40B4-BE49-F238E27FC236}">
              <a16:creationId xmlns:a16="http://schemas.microsoft.com/office/drawing/2014/main" id="{F7D93275-8C97-4369-A651-6801B16174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57" name="Text Box 15">
          <a:extLst>
            <a:ext uri="{FF2B5EF4-FFF2-40B4-BE49-F238E27FC236}">
              <a16:creationId xmlns:a16="http://schemas.microsoft.com/office/drawing/2014/main" id="{FE319DB6-3D01-4E4C-974D-DC2C1B1220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58" name="Text Box 15">
          <a:extLst>
            <a:ext uri="{FF2B5EF4-FFF2-40B4-BE49-F238E27FC236}">
              <a16:creationId xmlns:a16="http://schemas.microsoft.com/office/drawing/2014/main" id="{37BE6382-1137-49BA-8FF5-142A8C9E6D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59" name="Text Box 15">
          <a:extLst>
            <a:ext uri="{FF2B5EF4-FFF2-40B4-BE49-F238E27FC236}">
              <a16:creationId xmlns:a16="http://schemas.microsoft.com/office/drawing/2014/main" id="{AFE6AABE-6F97-4832-9EBE-4A11ED1E6B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0" name="Text Box 15">
          <a:extLst>
            <a:ext uri="{FF2B5EF4-FFF2-40B4-BE49-F238E27FC236}">
              <a16:creationId xmlns:a16="http://schemas.microsoft.com/office/drawing/2014/main" id="{B9E7EF8E-1463-4295-8ED8-452C6EADB4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1" name="Text Box 15">
          <a:extLst>
            <a:ext uri="{FF2B5EF4-FFF2-40B4-BE49-F238E27FC236}">
              <a16:creationId xmlns:a16="http://schemas.microsoft.com/office/drawing/2014/main" id="{BDDA4269-FEEF-486B-A203-7A02390519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2" name="Text Box 15">
          <a:extLst>
            <a:ext uri="{FF2B5EF4-FFF2-40B4-BE49-F238E27FC236}">
              <a16:creationId xmlns:a16="http://schemas.microsoft.com/office/drawing/2014/main" id="{3A8D9A75-55C8-41A5-AD14-FC3AF8885A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3" name="Text Box 15">
          <a:extLst>
            <a:ext uri="{FF2B5EF4-FFF2-40B4-BE49-F238E27FC236}">
              <a16:creationId xmlns:a16="http://schemas.microsoft.com/office/drawing/2014/main" id="{935A5A81-F67A-4D76-9F40-034D97BB89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4" name="Text Box 15">
          <a:extLst>
            <a:ext uri="{FF2B5EF4-FFF2-40B4-BE49-F238E27FC236}">
              <a16:creationId xmlns:a16="http://schemas.microsoft.com/office/drawing/2014/main" id="{04B02E97-19A0-4B29-A669-A304D69E7E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5" name="Text Box 15">
          <a:extLst>
            <a:ext uri="{FF2B5EF4-FFF2-40B4-BE49-F238E27FC236}">
              <a16:creationId xmlns:a16="http://schemas.microsoft.com/office/drawing/2014/main" id="{C61F9EC3-CC51-4205-8111-08351E0BA0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6" name="Text Box 15">
          <a:extLst>
            <a:ext uri="{FF2B5EF4-FFF2-40B4-BE49-F238E27FC236}">
              <a16:creationId xmlns:a16="http://schemas.microsoft.com/office/drawing/2014/main" id="{9F85B925-238C-4D54-9F05-DF732E557E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67" name="Text Box 15">
          <a:extLst>
            <a:ext uri="{FF2B5EF4-FFF2-40B4-BE49-F238E27FC236}">
              <a16:creationId xmlns:a16="http://schemas.microsoft.com/office/drawing/2014/main" id="{52B17376-BC2B-4ED6-9C49-B69960F23F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68" name="Text Box 15">
          <a:extLst>
            <a:ext uri="{FF2B5EF4-FFF2-40B4-BE49-F238E27FC236}">
              <a16:creationId xmlns:a16="http://schemas.microsoft.com/office/drawing/2014/main" id="{8CC4A1F7-6D26-4091-B00A-76A0676FBB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69" name="Text Box 15">
          <a:extLst>
            <a:ext uri="{FF2B5EF4-FFF2-40B4-BE49-F238E27FC236}">
              <a16:creationId xmlns:a16="http://schemas.microsoft.com/office/drawing/2014/main" id="{0724639D-86B2-4DB8-AD28-753DB17DAD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70" name="Text Box 15">
          <a:extLst>
            <a:ext uri="{FF2B5EF4-FFF2-40B4-BE49-F238E27FC236}">
              <a16:creationId xmlns:a16="http://schemas.microsoft.com/office/drawing/2014/main" id="{3773026C-8EAB-429B-9BBD-9DFDB559D9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71" name="Text Box 15">
          <a:extLst>
            <a:ext uri="{FF2B5EF4-FFF2-40B4-BE49-F238E27FC236}">
              <a16:creationId xmlns:a16="http://schemas.microsoft.com/office/drawing/2014/main" id="{026576B2-AD30-44A7-9F4E-DC809468E7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2" name="Text Box 15">
          <a:extLst>
            <a:ext uri="{FF2B5EF4-FFF2-40B4-BE49-F238E27FC236}">
              <a16:creationId xmlns:a16="http://schemas.microsoft.com/office/drawing/2014/main" id="{35DEC865-2A51-46BF-9747-4E4F11202E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3" name="Text Box 15">
          <a:extLst>
            <a:ext uri="{FF2B5EF4-FFF2-40B4-BE49-F238E27FC236}">
              <a16:creationId xmlns:a16="http://schemas.microsoft.com/office/drawing/2014/main" id="{758C33BC-9595-4C59-BEE5-ADB34AD8F0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4" name="Text Box 15">
          <a:extLst>
            <a:ext uri="{FF2B5EF4-FFF2-40B4-BE49-F238E27FC236}">
              <a16:creationId xmlns:a16="http://schemas.microsoft.com/office/drawing/2014/main" id="{A961B70E-C29A-4010-A422-756F80700A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5" name="Text Box 15">
          <a:extLst>
            <a:ext uri="{FF2B5EF4-FFF2-40B4-BE49-F238E27FC236}">
              <a16:creationId xmlns:a16="http://schemas.microsoft.com/office/drawing/2014/main" id="{9726DE17-4F83-440C-B2AD-4BC5C9186E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6" name="Text Box 15">
          <a:extLst>
            <a:ext uri="{FF2B5EF4-FFF2-40B4-BE49-F238E27FC236}">
              <a16:creationId xmlns:a16="http://schemas.microsoft.com/office/drawing/2014/main" id="{E4E612A1-8B78-44A2-ADCA-5AE2D83BAC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7" name="Text Box 15">
          <a:extLst>
            <a:ext uri="{FF2B5EF4-FFF2-40B4-BE49-F238E27FC236}">
              <a16:creationId xmlns:a16="http://schemas.microsoft.com/office/drawing/2014/main" id="{A1BB6E30-9E68-42ED-8C5A-7A0A4D4908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8" name="Text Box 15">
          <a:extLst>
            <a:ext uri="{FF2B5EF4-FFF2-40B4-BE49-F238E27FC236}">
              <a16:creationId xmlns:a16="http://schemas.microsoft.com/office/drawing/2014/main" id="{D9BF921C-79FD-4D8D-A392-F76FD7BB17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9" name="Text Box 15">
          <a:extLst>
            <a:ext uri="{FF2B5EF4-FFF2-40B4-BE49-F238E27FC236}">
              <a16:creationId xmlns:a16="http://schemas.microsoft.com/office/drawing/2014/main" id="{3CC3C1F7-8F7F-4501-A6E4-60ECAC4D3F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80" name="Text Box 15">
          <a:extLst>
            <a:ext uri="{FF2B5EF4-FFF2-40B4-BE49-F238E27FC236}">
              <a16:creationId xmlns:a16="http://schemas.microsoft.com/office/drawing/2014/main" id="{A084E9B6-6928-4DA0-A843-821577CAB2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81" name="Text Box 15">
          <a:extLst>
            <a:ext uri="{FF2B5EF4-FFF2-40B4-BE49-F238E27FC236}">
              <a16:creationId xmlns:a16="http://schemas.microsoft.com/office/drawing/2014/main" id="{1490EFC6-00A6-46E3-B72F-E3F98786D3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82" name="Text Box 15">
          <a:extLst>
            <a:ext uri="{FF2B5EF4-FFF2-40B4-BE49-F238E27FC236}">
              <a16:creationId xmlns:a16="http://schemas.microsoft.com/office/drawing/2014/main" id="{2A4D051C-7012-43F2-9ED0-4CE7199170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83" name="Text Box 15">
          <a:extLst>
            <a:ext uri="{FF2B5EF4-FFF2-40B4-BE49-F238E27FC236}">
              <a16:creationId xmlns:a16="http://schemas.microsoft.com/office/drawing/2014/main" id="{240C13F4-8F40-4869-96B0-77E0F7AFCB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84" name="Text Box 15">
          <a:extLst>
            <a:ext uri="{FF2B5EF4-FFF2-40B4-BE49-F238E27FC236}">
              <a16:creationId xmlns:a16="http://schemas.microsoft.com/office/drawing/2014/main" id="{D5ADD449-3638-497C-AA6F-8131902485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85" name="Text Box 15">
          <a:extLst>
            <a:ext uri="{FF2B5EF4-FFF2-40B4-BE49-F238E27FC236}">
              <a16:creationId xmlns:a16="http://schemas.microsoft.com/office/drawing/2014/main" id="{284EDAD6-2EE4-489D-881D-CD6B4DD07A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86" name="Text Box 15">
          <a:extLst>
            <a:ext uri="{FF2B5EF4-FFF2-40B4-BE49-F238E27FC236}">
              <a16:creationId xmlns:a16="http://schemas.microsoft.com/office/drawing/2014/main" id="{53A09B83-7698-4DB8-88C6-95733E9EE4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87" name="Text Box 15">
          <a:extLst>
            <a:ext uri="{FF2B5EF4-FFF2-40B4-BE49-F238E27FC236}">
              <a16:creationId xmlns:a16="http://schemas.microsoft.com/office/drawing/2014/main" id="{8A92A4D7-4B0E-467E-94B4-187352EE01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88" name="Text Box 15">
          <a:extLst>
            <a:ext uri="{FF2B5EF4-FFF2-40B4-BE49-F238E27FC236}">
              <a16:creationId xmlns:a16="http://schemas.microsoft.com/office/drawing/2014/main" id="{713DA755-5678-41B9-AC2A-1A36571BC9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89" name="Text Box 15">
          <a:extLst>
            <a:ext uri="{FF2B5EF4-FFF2-40B4-BE49-F238E27FC236}">
              <a16:creationId xmlns:a16="http://schemas.microsoft.com/office/drawing/2014/main" id="{1C21ADD4-59A6-4DF0-AA83-EE4FA77411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0" name="Text Box 15">
          <a:extLst>
            <a:ext uri="{FF2B5EF4-FFF2-40B4-BE49-F238E27FC236}">
              <a16:creationId xmlns:a16="http://schemas.microsoft.com/office/drawing/2014/main" id="{B0A2F025-33B1-4B12-8E65-7150F6DB1C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1" name="Text Box 15">
          <a:extLst>
            <a:ext uri="{FF2B5EF4-FFF2-40B4-BE49-F238E27FC236}">
              <a16:creationId xmlns:a16="http://schemas.microsoft.com/office/drawing/2014/main" id="{8124BCFB-B38D-4CCF-A681-92962896A5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2" name="Text Box 15">
          <a:extLst>
            <a:ext uri="{FF2B5EF4-FFF2-40B4-BE49-F238E27FC236}">
              <a16:creationId xmlns:a16="http://schemas.microsoft.com/office/drawing/2014/main" id="{5F7B5DF3-7FAF-4FDE-B5FB-23A3225304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3" name="Text Box 15">
          <a:extLst>
            <a:ext uri="{FF2B5EF4-FFF2-40B4-BE49-F238E27FC236}">
              <a16:creationId xmlns:a16="http://schemas.microsoft.com/office/drawing/2014/main" id="{28E18DC1-ABE2-4A6B-8DBB-A5685840D6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4" name="Text Box 15">
          <a:extLst>
            <a:ext uri="{FF2B5EF4-FFF2-40B4-BE49-F238E27FC236}">
              <a16:creationId xmlns:a16="http://schemas.microsoft.com/office/drawing/2014/main" id="{F98678D0-1C99-40D7-B4EE-9624568552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5" name="Text Box 15">
          <a:extLst>
            <a:ext uri="{FF2B5EF4-FFF2-40B4-BE49-F238E27FC236}">
              <a16:creationId xmlns:a16="http://schemas.microsoft.com/office/drawing/2014/main" id="{79A21359-41A9-4955-A990-4D0EDE9830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6" name="Text Box 15">
          <a:extLst>
            <a:ext uri="{FF2B5EF4-FFF2-40B4-BE49-F238E27FC236}">
              <a16:creationId xmlns:a16="http://schemas.microsoft.com/office/drawing/2014/main" id="{1D8D027F-AFFF-4A3C-8B34-8CB81BDA8B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97" name="Text Box 15">
          <a:extLst>
            <a:ext uri="{FF2B5EF4-FFF2-40B4-BE49-F238E27FC236}">
              <a16:creationId xmlns:a16="http://schemas.microsoft.com/office/drawing/2014/main" id="{A7AD8641-77DC-47E3-8CC2-1F44018278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98" name="Text Box 15">
          <a:extLst>
            <a:ext uri="{FF2B5EF4-FFF2-40B4-BE49-F238E27FC236}">
              <a16:creationId xmlns:a16="http://schemas.microsoft.com/office/drawing/2014/main" id="{F29E52D8-8C6E-4C05-A891-ACB25A2E81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99" name="Text Box 15">
          <a:extLst>
            <a:ext uri="{FF2B5EF4-FFF2-40B4-BE49-F238E27FC236}">
              <a16:creationId xmlns:a16="http://schemas.microsoft.com/office/drawing/2014/main" id="{5829D5B8-6227-4A9A-A9FB-8B13239D7C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5000" name="Text Box 15">
          <a:extLst>
            <a:ext uri="{FF2B5EF4-FFF2-40B4-BE49-F238E27FC236}">
              <a16:creationId xmlns:a16="http://schemas.microsoft.com/office/drawing/2014/main" id="{9FB380D2-5044-4681-B4D2-26CA2D29C2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5001" name="Text Box 15">
          <a:extLst>
            <a:ext uri="{FF2B5EF4-FFF2-40B4-BE49-F238E27FC236}">
              <a16:creationId xmlns:a16="http://schemas.microsoft.com/office/drawing/2014/main" id="{7CA7CFCF-22B6-469F-8010-BEC0265584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2" name="Text Box 15">
          <a:extLst>
            <a:ext uri="{FF2B5EF4-FFF2-40B4-BE49-F238E27FC236}">
              <a16:creationId xmlns:a16="http://schemas.microsoft.com/office/drawing/2014/main" id="{36487C13-44B4-486E-BA9F-AEFE2155F3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3" name="Text Box 15">
          <a:extLst>
            <a:ext uri="{FF2B5EF4-FFF2-40B4-BE49-F238E27FC236}">
              <a16:creationId xmlns:a16="http://schemas.microsoft.com/office/drawing/2014/main" id="{674F14D2-E987-478D-B7AA-1770A13BF9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4" name="Text Box 15">
          <a:extLst>
            <a:ext uri="{FF2B5EF4-FFF2-40B4-BE49-F238E27FC236}">
              <a16:creationId xmlns:a16="http://schemas.microsoft.com/office/drawing/2014/main" id="{D3C88C77-18F6-4CC4-BCCD-CC4ACC2882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5" name="Text Box 15">
          <a:extLst>
            <a:ext uri="{FF2B5EF4-FFF2-40B4-BE49-F238E27FC236}">
              <a16:creationId xmlns:a16="http://schemas.microsoft.com/office/drawing/2014/main" id="{19A7353F-AF49-4B61-A84E-BDDC43F3C0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6" name="Text Box 15">
          <a:extLst>
            <a:ext uri="{FF2B5EF4-FFF2-40B4-BE49-F238E27FC236}">
              <a16:creationId xmlns:a16="http://schemas.microsoft.com/office/drawing/2014/main" id="{CFD38580-6382-451D-B891-0B105345CB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7" name="Text Box 15">
          <a:extLst>
            <a:ext uri="{FF2B5EF4-FFF2-40B4-BE49-F238E27FC236}">
              <a16:creationId xmlns:a16="http://schemas.microsoft.com/office/drawing/2014/main" id="{5CECBF65-8ED2-481B-9753-367330C314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8" name="Text Box 15">
          <a:extLst>
            <a:ext uri="{FF2B5EF4-FFF2-40B4-BE49-F238E27FC236}">
              <a16:creationId xmlns:a16="http://schemas.microsoft.com/office/drawing/2014/main" id="{15ACA9F2-DE25-4634-873D-7A229C5906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9" name="Text Box 15">
          <a:extLst>
            <a:ext uri="{FF2B5EF4-FFF2-40B4-BE49-F238E27FC236}">
              <a16:creationId xmlns:a16="http://schemas.microsoft.com/office/drawing/2014/main" id="{2AA2C500-B341-4866-B2E1-CC85D5A661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10" name="Text Box 15">
          <a:extLst>
            <a:ext uri="{FF2B5EF4-FFF2-40B4-BE49-F238E27FC236}">
              <a16:creationId xmlns:a16="http://schemas.microsoft.com/office/drawing/2014/main" id="{EAF5F512-1D66-4D8D-8B72-8BAE3A0714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11" name="Text Box 15">
          <a:extLst>
            <a:ext uri="{FF2B5EF4-FFF2-40B4-BE49-F238E27FC236}">
              <a16:creationId xmlns:a16="http://schemas.microsoft.com/office/drawing/2014/main" id="{39EF27A6-C0B6-4C74-9BB1-8C4C0DF31B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12" name="Text Box 15">
          <a:extLst>
            <a:ext uri="{FF2B5EF4-FFF2-40B4-BE49-F238E27FC236}">
              <a16:creationId xmlns:a16="http://schemas.microsoft.com/office/drawing/2014/main" id="{3FF944A5-535F-4F2A-84BC-B059041573F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13" name="Text Box 15">
          <a:extLst>
            <a:ext uri="{FF2B5EF4-FFF2-40B4-BE49-F238E27FC236}">
              <a16:creationId xmlns:a16="http://schemas.microsoft.com/office/drawing/2014/main" id="{BB834DB8-4180-4AA7-88D7-3ABB595B2E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14" name="Text Box 15">
          <a:extLst>
            <a:ext uri="{FF2B5EF4-FFF2-40B4-BE49-F238E27FC236}">
              <a16:creationId xmlns:a16="http://schemas.microsoft.com/office/drawing/2014/main" id="{A04B8F80-D477-41BF-A35C-3394DF4F1F9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15" name="Text Box 15">
          <a:extLst>
            <a:ext uri="{FF2B5EF4-FFF2-40B4-BE49-F238E27FC236}">
              <a16:creationId xmlns:a16="http://schemas.microsoft.com/office/drawing/2014/main" id="{D2108776-9F12-4D28-AA0A-4A020AD7B3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16" name="Text Box 15">
          <a:extLst>
            <a:ext uri="{FF2B5EF4-FFF2-40B4-BE49-F238E27FC236}">
              <a16:creationId xmlns:a16="http://schemas.microsoft.com/office/drawing/2014/main" id="{6DE5049A-6A13-4649-BDE3-768E3A5423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17" name="Text Box 15">
          <a:extLst>
            <a:ext uri="{FF2B5EF4-FFF2-40B4-BE49-F238E27FC236}">
              <a16:creationId xmlns:a16="http://schemas.microsoft.com/office/drawing/2014/main" id="{9CA0BDA9-1CA5-4E2F-91B2-C9B3BB6D16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18" name="Text Box 15">
          <a:extLst>
            <a:ext uri="{FF2B5EF4-FFF2-40B4-BE49-F238E27FC236}">
              <a16:creationId xmlns:a16="http://schemas.microsoft.com/office/drawing/2014/main" id="{7243B333-4E61-431B-994D-2B056566C8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19" name="Text Box 15">
          <a:extLst>
            <a:ext uri="{FF2B5EF4-FFF2-40B4-BE49-F238E27FC236}">
              <a16:creationId xmlns:a16="http://schemas.microsoft.com/office/drawing/2014/main" id="{89F4F12B-62AC-4A1F-AD32-42C9D8B5EC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20" name="Text Box 15">
          <a:extLst>
            <a:ext uri="{FF2B5EF4-FFF2-40B4-BE49-F238E27FC236}">
              <a16:creationId xmlns:a16="http://schemas.microsoft.com/office/drawing/2014/main" id="{036115CF-965E-4B4F-8134-BAAE93BEDA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21" name="Text Box 15">
          <a:extLst>
            <a:ext uri="{FF2B5EF4-FFF2-40B4-BE49-F238E27FC236}">
              <a16:creationId xmlns:a16="http://schemas.microsoft.com/office/drawing/2014/main" id="{D2DFEA55-2950-4BF4-93F2-96B8E7CB27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22" name="Text Box 15">
          <a:extLst>
            <a:ext uri="{FF2B5EF4-FFF2-40B4-BE49-F238E27FC236}">
              <a16:creationId xmlns:a16="http://schemas.microsoft.com/office/drawing/2014/main" id="{3F01F779-19AC-45B2-81E8-46CF4D7F3F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23" name="Text Box 15">
          <a:extLst>
            <a:ext uri="{FF2B5EF4-FFF2-40B4-BE49-F238E27FC236}">
              <a16:creationId xmlns:a16="http://schemas.microsoft.com/office/drawing/2014/main" id="{6AF4FACE-1CDB-4A42-8805-C3058561F3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24" name="Text Box 15">
          <a:extLst>
            <a:ext uri="{FF2B5EF4-FFF2-40B4-BE49-F238E27FC236}">
              <a16:creationId xmlns:a16="http://schemas.microsoft.com/office/drawing/2014/main" id="{46E5DAA1-C16A-4235-960F-559A1673F65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25" name="Text Box 15">
          <a:extLst>
            <a:ext uri="{FF2B5EF4-FFF2-40B4-BE49-F238E27FC236}">
              <a16:creationId xmlns:a16="http://schemas.microsoft.com/office/drawing/2014/main" id="{CDF7D085-7BF1-41B3-A06F-7ED7794E8F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26" name="Text Box 15">
          <a:extLst>
            <a:ext uri="{FF2B5EF4-FFF2-40B4-BE49-F238E27FC236}">
              <a16:creationId xmlns:a16="http://schemas.microsoft.com/office/drawing/2014/main" id="{B4841CE4-EC9E-489C-A471-5A0A92A5D8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27" name="Text Box 15">
          <a:extLst>
            <a:ext uri="{FF2B5EF4-FFF2-40B4-BE49-F238E27FC236}">
              <a16:creationId xmlns:a16="http://schemas.microsoft.com/office/drawing/2014/main" id="{3AFC2386-E051-48C9-B16E-E2C0810D505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28" name="Text Box 15">
          <a:extLst>
            <a:ext uri="{FF2B5EF4-FFF2-40B4-BE49-F238E27FC236}">
              <a16:creationId xmlns:a16="http://schemas.microsoft.com/office/drawing/2014/main" id="{39357301-E3AD-4B17-B0A1-A5A18434AFB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29" name="Text Box 15">
          <a:extLst>
            <a:ext uri="{FF2B5EF4-FFF2-40B4-BE49-F238E27FC236}">
              <a16:creationId xmlns:a16="http://schemas.microsoft.com/office/drawing/2014/main" id="{767E04D9-68F3-48D3-9EF2-B25F6953DD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0" name="Text Box 15">
          <a:extLst>
            <a:ext uri="{FF2B5EF4-FFF2-40B4-BE49-F238E27FC236}">
              <a16:creationId xmlns:a16="http://schemas.microsoft.com/office/drawing/2014/main" id="{C5D0424F-EA83-4F8B-ACDA-B5C3585142B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1" name="Text Box 15">
          <a:extLst>
            <a:ext uri="{FF2B5EF4-FFF2-40B4-BE49-F238E27FC236}">
              <a16:creationId xmlns:a16="http://schemas.microsoft.com/office/drawing/2014/main" id="{5BAD7ADA-CEBE-4673-84C7-8667CE876F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2" name="Text Box 15">
          <a:extLst>
            <a:ext uri="{FF2B5EF4-FFF2-40B4-BE49-F238E27FC236}">
              <a16:creationId xmlns:a16="http://schemas.microsoft.com/office/drawing/2014/main" id="{481EFE88-BB5E-4D49-B48B-24CDC1F8A6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3" name="Text Box 15">
          <a:extLst>
            <a:ext uri="{FF2B5EF4-FFF2-40B4-BE49-F238E27FC236}">
              <a16:creationId xmlns:a16="http://schemas.microsoft.com/office/drawing/2014/main" id="{1D973223-3010-4306-9CCC-AF62F841F7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4" name="Text Box 15">
          <a:extLst>
            <a:ext uri="{FF2B5EF4-FFF2-40B4-BE49-F238E27FC236}">
              <a16:creationId xmlns:a16="http://schemas.microsoft.com/office/drawing/2014/main" id="{6E5FD92C-BFCD-4ECC-90E9-9B55C62BF8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5" name="Text Box 15">
          <a:extLst>
            <a:ext uri="{FF2B5EF4-FFF2-40B4-BE49-F238E27FC236}">
              <a16:creationId xmlns:a16="http://schemas.microsoft.com/office/drawing/2014/main" id="{79CB6CE0-89C4-4EF7-8270-044D11CE866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6" name="Text Box 15">
          <a:extLst>
            <a:ext uri="{FF2B5EF4-FFF2-40B4-BE49-F238E27FC236}">
              <a16:creationId xmlns:a16="http://schemas.microsoft.com/office/drawing/2014/main" id="{6ADD7472-1FAE-4689-AD47-DCA9428CA6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7" name="Text Box 15">
          <a:extLst>
            <a:ext uri="{FF2B5EF4-FFF2-40B4-BE49-F238E27FC236}">
              <a16:creationId xmlns:a16="http://schemas.microsoft.com/office/drawing/2014/main" id="{B9449254-8FFE-427F-8B26-E3C33A1D79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8" name="Text Box 15">
          <a:extLst>
            <a:ext uri="{FF2B5EF4-FFF2-40B4-BE49-F238E27FC236}">
              <a16:creationId xmlns:a16="http://schemas.microsoft.com/office/drawing/2014/main" id="{67C16DBF-CB25-4A93-9186-10CDFD733E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9" name="Text Box 15">
          <a:extLst>
            <a:ext uri="{FF2B5EF4-FFF2-40B4-BE49-F238E27FC236}">
              <a16:creationId xmlns:a16="http://schemas.microsoft.com/office/drawing/2014/main" id="{A4253B2C-F3AE-4E5F-ADE3-F09C95BBE5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40" name="Text Box 15">
          <a:extLst>
            <a:ext uri="{FF2B5EF4-FFF2-40B4-BE49-F238E27FC236}">
              <a16:creationId xmlns:a16="http://schemas.microsoft.com/office/drawing/2014/main" id="{784ABA2E-39AE-453D-8016-653302AD75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41" name="Text Box 15">
          <a:extLst>
            <a:ext uri="{FF2B5EF4-FFF2-40B4-BE49-F238E27FC236}">
              <a16:creationId xmlns:a16="http://schemas.microsoft.com/office/drawing/2014/main" id="{30D1030C-3770-4FDB-9526-4EA3CC5D4D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42" name="Text Box 15">
          <a:extLst>
            <a:ext uri="{FF2B5EF4-FFF2-40B4-BE49-F238E27FC236}">
              <a16:creationId xmlns:a16="http://schemas.microsoft.com/office/drawing/2014/main" id="{FC230864-789A-4AC7-9447-16E99DE75A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43" name="Text Box 15">
          <a:extLst>
            <a:ext uri="{FF2B5EF4-FFF2-40B4-BE49-F238E27FC236}">
              <a16:creationId xmlns:a16="http://schemas.microsoft.com/office/drawing/2014/main" id="{597EFE54-4556-438B-9C53-79A1A09687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44" name="Text Box 15">
          <a:extLst>
            <a:ext uri="{FF2B5EF4-FFF2-40B4-BE49-F238E27FC236}">
              <a16:creationId xmlns:a16="http://schemas.microsoft.com/office/drawing/2014/main" id="{12F96448-C086-465A-A7E1-33D0CC4876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45" name="Text Box 15">
          <a:extLst>
            <a:ext uri="{FF2B5EF4-FFF2-40B4-BE49-F238E27FC236}">
              <a16:creationId xmlns:a16="http://schemas.microsoft.com/office/drawing/2014/main" id="{BFECD3EA-4FB5-4418-8023-4A4493DBAF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46" name="Text Box 15">
          <a:extLst>
            <a:ext uri="{FF2B5EF4-FFF2-40B4-BE49-F238E27FC236}">
              <a16:creationId xmlns:a16="http://schemas.microsoft.com/office/drawing/2014/main" id="{F0016D31-039F-497F-9E93-0B248FB94E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47" name="Text Box 15">
          <a:extLst>
            <a:ext uri="{FF2B5EF4-FFF2-40B4-BE49-F238E27FC236}">
              <a16:creationId xmlns:a16="http://schemas.microsoft.com/office/drawing/2014/main" id="{59730CFF-2429-4C8A-AA76-ADB6B0BF42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48" name="Text Box 15">
          <a:extLst>
            <a:ext uri="{FF2B5EF4-FFF2-40B4-BE49-F238E27FC236}">
              <a16:creationId xmlns:a16="http://schemas.microsoft.com/office/drawing/2014/main" id="{6C8BF583-41ED-4E12-B785-1DEE038DD4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49" name="Text Box 15">
          <a:extLst>
            <a:ext uri="{FF2B5EF4-FFF2-40B4-BE49-F238E27FC236}">
              <a16:creationId xmlns:a16="http://schemas.microsoft.com/office/drawing/2014/main" id="{B5C314A2-9A87-496A-BF66-A51E9C26C9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50" name="Text Box 15">
          <a:extLst>
            <a:ext uri="{FF2B5EF4-FFF2-40B4-BE49-F238E27FC236}">
              <a16:creationId xmlns:a16="http://schemas.microsoft.com/office/drawing/2014/main" id="{023320A2-C0DE-4283-9FEC-975CEA8400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51" name="Text Box 15">
          <a:extLst>
            <a:ext uri="{FF2B5EF4-FFF2-40B4-BE49-F238E27FC236}">
              <a16:creationId xmlns:a16="http://schemas.microsoft.com/office/drawing/2014/main" id="{9595B9F6-C2E7-460A-BA1C-22823E8831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52" name="Text Box 15">
          <a:extLst>
            <a:ext uri="{FF2B5EF4-FFF2-40B4-BE49-F238E27FC236}">
              <a16:creationId xmlns:a16="http://schemas.microsoft.com/office/drawing/2014/main" id="{38F0AF60-0B9F-47A4-9E2B-52CFE2011C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551747"/>
    <xdr:sp macro="" textlink="">
      <xdr:nvSpPr>
        <xdr:cNvPr id="5053" name="Text Box 15">
          <a:extLst>
            <a:ext uri="{FF2B5EF4-FFF2-40B4-BE49-F238E27FC236}">
              <a16:creationId xmlns:a16="http://schemas.microsoft.com/office/drawing/2014/main" id="{B799BA7A-CC38-46D8-8451-C65F3E0713D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54" name="Text Box 15">
          <a:extLst>
            <a:ext uri="{FF2B5EF4-FFF2-40B4-BE49-F238E27FC236}">
              <a16:creationId xmlns:a16="http://schemas.microsoft.com/office/drawing/2014/main" id="{21555905-3C56-4B3D-A5CB-0FFEBA3CAB7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55" name="Text Box 15">
          <a:extLst>
            <a:ext uri="{FF2B5EF4-FFF2-40B4-BE49-F238E27FC236}">
              <a16:creationId xmlns:a16="http://schemas.microsoft.com/office/drawing/2014/main" id="{C8324F90-ECE3-4217-B3A3-6A800DCC94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56" name="Text Box 15">
          <a:extLst>
            <a:ext uri="{FF2B5EF4-FFF2-40B4-BE49-F238E27FC236}">
              <a16:creationId xmlns:a16="http://schemas.microsoft.com/office/drawing/2014/main" id="{9DE7F017-8988-4D77-AA79-93BDA5ED13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57" name="Text Box 15">
          <a:extLst>
            <a:ext uri="{FF2B5EF4-FFF2-40B4-BE49-F238E27FC236}">
              <a16:creationId xmlns:a16="http://schemas.microsoft.com/office/drawing/2014/main" id="{D37398EA-1384-459D-B988-3E808BCDBA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58" name="Text Box 15">
          <a:extLst>
            <a:ext uri="{FF2B5EF4-FFF2-40B4-BE49-F238E27FC236}">
              <a16:creationId xmlns:a16="http://schemas.microsoft.com/office/drawing/2014/main" id="{B447D5DC-CDAB-454D-B75B-50115A0A8C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59" name="Text Box 15">
          <a:extLst>
            <a:ext uri="{FF2B5EF4-FFF2-40B4-BE49-F238E27FC236}">
              <a16:creationId xmlns:a16="http://schemas.microsoft.com/office/drawing/2014/main" id="{2240FE7B-01AC-418E-931E-300B09134F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551747"/>
    <xdr:sp macro="" textlink="">
      <xdr:nvSpPr>
        <xdr:cNvPr id="5060" name="Text Box 15">
          <a:extLst>
            <a:ext uri="{FF2B5EF4-FFF2-40B4-BE49-F238E27FC236}">
              <a16:creationId xmlns:a16="http://schemas.microsoft.com/office/drawing/2014/main" id="{CC954DDC-6FA8-4BA0-9631-6DABD0DBD20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1" name="Text Box 15">
          <a:extLst>
            <a:ext uri="{FF2B5EF4-FFF2-40B4-BE49-F238E27FC236}">
              <a16:creationId xmlns:a16="http://schemas.microsoft.com/office/drawing/2014/main" id="{9A7E1FBD-C97A-4E2B-BE8F-70165A0D63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2" name="Text Box 15">
          <a:extLst>
            <a:ext uri="{FF2B5EF4-FFF2-40B4-BE49-F238E27FC236}">
              <a16:creationId xmlns:a16="http://schemas.microsoft.com/office/drawing/2014/main" id="{E6D4FD29-F4E1-44F4-AFE3-1457AB1517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3" name="Text Box 15">
          <a:extLst>
            <a:ext uri="{FF2B5EF4-FFF2-40B4-BE49-F238E27FC236}">
              <a16:creationId xmlns:a16="http://schemas.microsoft.com/office/drawing/2014/main" id="{6390EFEC-5849-445A-9C44-4CB4BA2895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4" name="Text Box 15">
          <a:extLst>
            <a:ext uri="{FF2B5EF4-FFF2-40B4-BE49-F238E27FC236}">
              <a16:creationId xmlns:a16="http://schemas.microsoft.com/office/drawing/2014/main" id="{3606DDD6-C31D-4B68-AD5C-2D80D6264C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5" name="Text Box 15">
          <a:extLst>
            <a:ext uri="{FF2B5EF4-FFF2-40B4-BE49-F238E27FC236}">
              <a16:creationId xmlns:a16="http://schemas.microsoft.com/office/drawing/2014/main" id="{409ABC99-5990-4958-BBE9-DA500D6F4E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66" name="Text Box 15">
          <a:extLst>
            <a:ext uri="{FF2B5EF4-FFF2-40B4-BE49-F238E27FC236}">
              <a16:creationId xmlns:a16="http://schemas.microsoft.com/office/drawing/2014/main" id="{5B9A28B2-42FE-44DB-89EE-13E9A4DBF75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7" name="Text Box 15">
          <a:extLst>
            <a:ext uri="{FF2B5EF4-FFF2-40B4-BE49-F238E27FC236}">
              <a16:creationId xmlns:a16="http://schemas.microsoft.com/office/drawing/2014/main" id="{F092EC22-BC37-4178-BC9B-16284221371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68" name="Text Box 15">
          <a:extLst>
            <a:ext uri="{FF2B5EF4-FFF2-40B4-BE49-F238E27FC236}">
              <a16:creationId xmlns:a16="http://schemas.microsoft.com/office/drawing/2014/main" id="{B04AC4F5-FC41-4F31-804D-4A4723CF5C8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69" name="Text Box 15">
          <a:extLst>
            <a:ext uri="{FF2B5EF4-FFF2-40B4-BE49-F238E27FC236}">
              <a16:creationId xmlns:a16="http://schemas.microsoft.com/office/drawing/2014/main" id="{79E300D0-7EC6-45A6-9EA8-26143B16B0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70" name="Text Box 15">
          <a:extLst>
            <a:ext uri="{FF2B5EF4-FFF2-40B4-BE49-F238E27FC236}">
              <a16:creationId xmlns:a16="http://schemas.microsoft.com/office/drawing/2014/main" id="{A975A0B9-F20F-4CCA-8802-67FC2BC17CE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71" name="Text Box 15">
          <a:extLst>
            <a:ext uri="{FF2B5EF4-FFF2-40B4-BE49-F238E27FC236}">
              <a16:creationId xmlns:a16="http://schemas.microsoft.com/office/drawing/2014/main" id="{1256E155-3ED9-46F9-8F86-42947572EE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72" name="Text Box 15">
          <a:extLst>
            <a:ext uri="{FF2B5EF4-FFF2-40B4-BE49-F238E27FC236}">
              <a16:creationId xmlns:a16="http://schemas.microsoft.com/office/drawing/2014/main" id="{8073BAA8-2A4F-4DE0-9FCC-AC8E0E5E50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73" name="Text Box 15">
          <a:extLst>
            <a:ext uri="{FF2B5EF4-FFF2-40B4-BE49-F238E27FC236}">
              <a16:creationId xmlns:a16="http://schemas.microsoft.com/office/drawing/2014/main" id="{7A552926-4DA6-4DB7-98C3-EA1575269A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74" name="Text Box 15">
          <a:extLst>
            <a:ext uri="{FF2B5EF4-FFF2-40B4-BE49-F238E27FC236}">
              <a16:creationId xmlns:a16="http://schemas.microsoft.com/office/drawing/2014/main" id="{E49AFD67-CAB9-4EAC-A0E3-7D0A7CA836C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75" name="Text Box 15">
          <a:extLst>
            <a:ext uri="{FF2B5EF4-FFF2-40B4-BE49-F238E27FC236}">
              <a16:creationId xmlns:a16="http://schemas.microsoft.com/office/drawing/2014/main" id="{B80F277F-BA8E-49B1-B15E-5BA8C5D5AB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76" name="Text Box 15">
          <a:extLst>
            <a:ext uri="{FF2B5EF4-FFF2-40B4-BE49-F238E27FC236}">
              <a16:creationId xmlns:a16="http://schemas.microsoft.com/office/drawing/2014/main" id="{1B46BAAE-EB9B-437C-9668-533D9FF274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77" name="Text Box 15">
          <a:extLst>
            <a:ext uri="{FF2B5EF4-FFF2-40B4-BE49-F238E27FC236}">
              <a16:creationId xmlns:a16="http://schemas.microsoft.com/office/drawing/2014/main" id="{83A56A68-41C5-4FC6-BCB2-FCEBF7D864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78" name="Text Box 15">
          <a:extLst>
            <a:ext uri="{FF2B5EF4-FFF2-40B4-BE49-F238E27FC236}">
              <a16:creationId xmlns:a16="http://schemas.microsoft.com/office/drawing/2014/main" id="{54C55D8F-8072-42BD-A15A-4CF780472F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79" name="Text Box 15">
          <a:extLst>
            <a:ext uri="{FF2B5EF4-FFF2-40B4-BE49-F238E27FC236}">
              <a16:creationId xmlns:a16="http://schemas.microsoft.com/office/drawing/2014/main" id="{432449F0-323B-4792-93CE-FF6E14BE44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80" name="Text Box 15">
          <a:extLst>
            <a:ext uri="{FF2B5EF4-FFF2-40B4-BE49-F238E27FC236}">
              <a16:creationId xmlns:a16="http://schemas.microsoft.com/office/drawing/2014/main" id="{22FBFA0A-0C85-49F3-AC00-3B3B7E72490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81" name="Text Box 15">
          <a:extLst>
            <a:ext uri="{FF2B5EF4-FFF2-40B4-BE49-F238E27FC236}">
              <a16:creationId xmlns:a16="http://schemas.microsoft.com/office/drawing/2014/main" id="{2C8E45DD-AE21-4D41-973B-B47A1648FA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82" name="Text Box 15">
          <a:extLst>
            <a:ext uri="{FF2B5EF4-FFF2-40B4-BE49-F238E27FC236}">
              <a16:creationId xmlns:a16="http://schemas.microsoft.com/office/drawing/2014/main" id="{41E03820-C44D-4D10-91B6-97FF65FFD0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83" name="Text Box 15">
          <a:extLst>
            <a:ext uri="{FF2B5EF4-FFF2-40B4-BE49-F238E27FC236}">
              <a16:creationId xmlns:a16="http://schemas.microsoft.com/office/drawing/2014/main" id="{425A3677-3B31-43D5-8A73-1C8AB74AAF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84" name="Text Box 15">
          <a:extLst>
            <a:ext uri="{FF2B5EF4-FFF2-40B4-BE49-F238E27FC236}">
              <a16:creationId xmlns:a16="http://schemas.microsoft.com/office/drawing/2014/main" id="{B2C2E005-A86F-46EC-A866-EE4379E422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85" name="Text Box 15">
          <a:extLst>
            <a:ext uri="{FF2B5EF4-FFF2-40B4-BE49-F238E27FC236}">
              <a16:creationId xmlns:a16="http://schemas.microsoft.com/office/drawing/2014/main" id="{A46FD1AE-0C62-40F2-B2A4-C409BA55C1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86" name="Text Box 15">
          <a:extLst>
            <a:ext uri="{FF2B5EF4-FFF2-40B4-BE49-F238E27FC236}">
              <a16:creationId xmlns:a16="http://schemas.microsoft.com/office/drawing/2014/main" id="{DCA93CDC-8C3B-476B-A073-F98CFD6FEE7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87" name="Text Box 15">
          <a:extLst>
            <a:ext uri="{FF2B5EF4-FFF2-40B4-BE49-F238E27FC236}">
              <a16:creationId xmlns:a16="http://schemas.microsoft.com/office/drawing/2014/main" id="{47CC6DE4-9B1D-4634-8354-29122B744A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88" name="Text Box 15">
          <a:extLst>
            <a:ext uri="{FF2B5EF4-FFF2-40B4-BE49-F238E27FC236}">
              <a16:creationId xmlns:a16="http://schemas.microsoft.com/office/drawing/2014/main" id="{944B86A0-FBDB-4526-AD74-BE7C1729D2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89" name="Text Box 15">
          <a:extLst>
            <a:ext uri="{FF2B5EF4-FFF2-40B4-BE49-F238E27FC236}">
              <a16:creationId xmlns:a16="http://schemas.microsoft.com/office/drawing/2014/main" id="{C1716B48-D402-483E-8FD8-77B833976D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0" name="Text Box 15">
          <a:extLst>
            <a:ext uri="{FF2B5EF4-FFF2-40B4-BE49-F238E27FC236}">
              <a16:creationId xmlns:a16="http://schemas.microsoft.com/office/drawing/2014/main" id="{F3D8C622-4EC4-45AE-9D75-71551947BB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1" name="Text Box 15">
          <a:extLst>
            <a:ext uri="{FF2B5EF4-FFF2-40B4-BE49-F238E27FC236}">
              <a16:creationId xmlns:a16="http://schemas.microsoft.com/office/drawing/2014/main" id="{2E093C10-9F2A-4EC7-88FC-E77ED94345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2" name="Text Box 15">
          <a:extLst>
            <a:ext uri="{FF2B5EF4-FFF2-40B4-BE49-F238E27FC236}">
              <a16:creationId xmlns:a16="http://schemas.microsoft.com/office/drawing/2014/main" id="{C2CFD9F8-3043-42F4-B6FC-310BD44C93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3" name="Text Box 15">
          <a:extLst>
            <a:ext uri="{FF2B5EF4-FFF2-40B4-BE49-F238E27FC236}">
              <a16:creationId xmlns:a16="http://schemas.microsoft.com/office/drawing/2014/main" id="{0A89A9A9-DCCD-4BFD-A411-7AA7188116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4" name="Text Box 15">
          <a:extLst>
            <a:ext uri="{FF2B5EF4-FFF2-40B4-BE49-F238E27FC236}">
              <a16:creationId xmlns:a16="http://schemas.microsoft.com/office/drawing/2014/main" id="{3A981AAB-B0A2-4810-81CC-E71434888F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5" name="Text Box 15">
          <a:extLst>
            <a:ext uri="{FF2B5EF4-FFF2-40B4-BE49-F238E27FC236}">
              <a16:creationId xmlns:a16="http://schemas.microsoft.com/office/drawing/2014/main" id="{532EE1A1-0D88-4085-AC65-D0A783C5AF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6" name="Text Box 15">
          <a:extLst>
            <a:ext uri="{FF2B5EF4-FFF2-40B4-BE49-F238E27FC236}">
              <a16:creationId xmlns:a16="http://schemas.microsoft.com/office/drawing/2014/main" id="{CDD9FD70-E2F4-4A95-BFCD-5557213807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097" name="Text Box 15">
          <a:extLst>
            <a:ext uri="{FF2B5EF4-FFF2-40B4-BE49-F238E27FC236}">
              <a16:creationId xmlns:a16="http://schemas.microsoft.com/office/drawing/2014/main" id="{B32E56DB-2820-49C2-A8E4-F44E9CDDB0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098" name="Text Box 15">
          <a:extLst>
            <a:ext uri="{FF2B5EF4-FFF2-40B4-BE49-F238E27FC236}">
              <a16:creationId xmlns:a16="http://schemas.microsoft.com/office/drawing/2014/main" id="{D588112F-174B-4C47-8004-8077990402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099" name="Text Box 15">
          <a:extLst>
            <a:ext uri="{FF2B5EF4-FFF2-40B4-BE49-F238E27FC236}">
              <a16:creationId xmlns:a16="http://schemas.microsoft.com/office/drawing/2014/main" id="{66AAE5F6-8CCE-47FF-BFB7-AE1281B51E1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0" name="Text Box 15">
          <a:extLst>
            <a:ext uri="{FF2B5EF4-FFF2-40B4-BE49-F238E27FC236}">
              <a16:creationId xmlns:a16="http://schemas.microsoft.com/office/drawing/2014/main" id="{DC2ED69D-91A3-4AFD-B7CF-B9AE4695B6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1" name="Text Box 15">
          <a:extLst>
            <a:ext uri="{FF2B5EF4-FFF2-40B4-BE49-F238E27FC236}">
              <a16:creationId xmlns:a16="http://schemas.microsoft.com/office/drawing/2014/main" id="{2F729B45-FED3-4C78-BAC9-312BE6FF7F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2" name="Text Box 15">
          <a:extLst>
            <a:ext uri="{FF2B5EF4-FFF2-40B4-BE49-F238E27FC236}">
              <a16:creationId xmlns:a16="http://schemas.microsoft.com/office/drawing/2014/main" id="{10531FC6-1E14-4017-999E-13F834883D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3" name="Text Box 15">
          <a:extLst>
            <a:ext uri="{FF2B5EF4-FFF2-40B4-BE49-F238E27FC236}">
              <a16:creationId xmlns:a16="http://schemas.microsoft.com/office/drawing/2014/main" id="{9873AC7D-09C6-4F60-96F0-35CE202B29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4" name="Text Box 15">
          <a:extLst>
            <a:ext uri="{FF2B5EF4-FFF2-40B4-BE49-F238E27FC236}">
              <a16:creationId xmlns:a16="http://schemas.microsoft.com/office/drawing/2014/main" id="{C8382228-3499-4013-8FB4-F357103677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5" name="Text Box 15">
          <a:extLst>
            <a:ext uri="{FF2B5EF4-FFF2-40B4-BE49-F238E27FC236}">
              <a16:creationId xmlns:a16="http://schemas.microsoft.com/office/drawing/2014/main" id="{F0610FA8-F210-4E21-BD10-82DDF70FEE3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6" name="Text Box 15">
          <a:extLst>
            <a:ext uri="{FF2B5EF4-FFF2-40B4-BE49-F238E27FC236}">
              <a16:creationId xmlns:a16="http://schemas.microsoft.com/office/drawing/2014/main" id="{6FD0329B-B160-4B14-800F-24A21B0E2B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7" name="Text Box 15">
          <a:extLst>
            <a:ext uri="{FF2B5EF4-FFF2-40B4-BE49-F238E27FC236}">
              <a16:creationId xmlns:a16="http://schemas.microsoft.com/office/drawing/2014/main" id="{76E56AAE-C6B4-4F6C-BEE0-855092C07C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8" name="Text Box 15">
          <a:extLst>
            <a:ext uri="{FF2B5EF4-FFF2-40B4-BE49-F238E27FC236}">
              <a16:creationId xmlns:a16="http://schemas.microsoft.com/office/drawing/2014/main" id="{76574649-B598-4D41-B91B-A3878F2C81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9" name="Text Box 15">
          <a:extLst>
            <a:ext uri="{FF2B5EF4-FFF2-40B4-BE49-F238E27FC236}">
              <a16:creationId xmlns:a16="http://schemas.microsoft.com/office/drawing/2014/main" id="{FBEF6FF7-05FF-4266-81E2-51AE7AA827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10" name="Text Box 15">
          <a:extLst>
            <a:ext uri="{FF2B5EF4-FFF2-40B4-BE49-F238E27FC236}">
              <a16:creationId xmlns:a16="http://schemas.microsoft.com/office/drawing/2014/main" id="{4921487D-DCF3-4730-BE0E-5E5BA13AAE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11" name="Text Box 15">
          <a:extLst>
            <a:ext uri="{FF2B5EF4-FFF2-40B4-BE49-F238E27FC236}">
              <a16:creationId xmlns:a16="http://schemas.microsoft.com/office/drawing/2014/main" id="{A94215B1-2A7A-418D-AFE5-1967188D38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12" name="Text Box 15">
          <a:extLst>
            <a:ext uri="{FF2B5EF4-FFF2-40B4-BE49-F238E27FC236}">
              <a16:creationId xmlns:a16="http://schemas.microsoft.com/office/drawing/2014/main" id="{3BF18B9E-7EB1-4738-8F91-37B3448590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13" name="Text Box 15">
          <a:extLst>
            <a:ext uri="{FF2B5EF4-FFF2-40B4-BE49-F238E27FC236}">
              <a16:creationId xmlns:a16="http://schemas.microsoft.com/office/drawing/2014/main" id="{75BEAD97-4868-48A3-8F60-DFCF47B117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14" name="Text Box 15">
          <a:extLst>
            <a:ext uri="{FF2B5EF4-FFF2-40B4-BE49-F238E27FC236}">
              <a16:creationId xmlns:a16="http://schemas.microsoft.com/office/drawing/2014/main" id="{88ADBA53-4696-42CC-AC78-DD0DAC4ACC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15" name="Text Box 15">
          <a:extLst>
            <a:ext uri="{FF2B5EF4-FFF2-40B4-BE49-F238E27FC236}">
              <a16:creationId xmlns:a16="http://schemas.microsoft.com/office/drawing/2014/main" id="{9D891AB4-FDB1-4B9A-BBFD-416E06A9658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16" name="Text Box 15">
          <a:extLst>
            <a:ext uri="{FF2B5EF4-FFF2-40B4-BE49-F238E27FC236}">
              <a16:creationId xmlns:a16="http://schemas.microsoft.com/office/drawing/2014/main" id="{61865151-5228-4669-84CF-492FA86A8D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17" name="Text Box 15">
          <a:extLst>
            <a:ext uri="{FF2B5EF4-FFF2-40B4-BE49-F238E27FC236}">
              <a16:creationId xmlns:a16="http://schemas.microsoft.com/office/drawing/2014/main" id="{AA007C39-2F64-43CD-808E-02113AAC29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18" name="Text Box 15">
          <a:extLst>
            <a:ext uri="{FF2B5EF4-FFF2-40B4-BE49-F238E27FC236}">
              <a16:creationId xmlns:a16="http://schemas.microsoft.com/office/drawing/2014/main" id="{C54B9B2E-C7BF-428B-89D7-A48B90C385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19" name="Text Box 15">
          <a:extLst>
            <a:ext uri="{FF2B5EF4-FFF2-40B4-BE49-F238E27FC236}">
              <a16:creationId xmlns:a16="http://schemas.microsoft.com/office/drawing/2014/main" id="{333BAD32-D0F1-4F97-B1F2-7E8A8BC5FA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20" name="Text Box 15">
          <a:extLst>
            <a:ext uri="{FF2B5EF4-FFF2-40B4-BE49-F238E27FC236}">
              <a16:creationId xmlns:a16="http://schemas.microsoft.com/office/drawing/2014/main" id="{0DA3AEA0-7785-43D7-BC93-F666A4257D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21" name="Text Box 15">
          <a:extLst>
            <a:ext uri="{FF2B5EF4-FFF2-40B4-BE49-F238E27FC236}">
              <a16:creationId xmlns:a16="http://schemas.microsoft.com/office/drawing/2014/main" id="{42DD6CBF-9A43-4599-B9DE-17FC766DE0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22" name="Text Box 15">
          <a:extLst>
            <a:ext uri="{FF2B5EF4-FFF2-40B4-BE49-F238E27FC236}">
              <a16:creationId xmlns:a16="http://schemas.microsoft.com/office/drawing/2014/main" id="{DA3ADF9A-7584-4C3C-A805-A5D9349A08A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23" name="Text Box 15">
          <a:extLst>
            <a:ext uri="{FF2B5EF4-FFF2-40B4-BE49-F238E27FC236}">
              <a16:creationId xmlns:a16="http://schemas.microsoft.com/office/drawing/2014/main" id="{291AF1DD-6FAE-46AD-A62A-C547665138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24" name="Text Box 15">
          <a:extLst>
            <a:ext uri="{FF2B5EF4-FFF2-40B4-BE49-F238E27FC236}">
              <a16:creationId xmlns:a16="http://schemas.microsoft.com/office/drawing/2014/main" id="{81D41D7C-2773-422E-A15B-6D1C77CC6BE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25" name="Text Box 15">
          <a:extLst>
            <a:ext uri="{FF2B5EF4-FFF2-40B4-BE49-F238E27FC236}">
              <a16:creationId xmlns:a16="http://schemas.microsoft.com/office/drawing/2014/main" id="{DD4DE9EC-1DA4-46A3-B10C-92021B698A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26" name="Text Box 15">
          <a:extLst>
            <a:ext uri="{FF2B5EF4-FFF2-40B4-BE49-F238E27FC236}">
              <a16:creationId xmlns:a16="http://schemas.microsoft.com/office/drawing/2014/main" id="{9BA0886C-0050-40A1-BF26-A682352802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27" name="Text Box 15">
          <a:extLst>
            <a:ext uri="{FF2B5EF4-FFF2-40B4-BE49-F238E27FC236}">
              <a16:creationId xmlns:a16="http://schemas.microsoft.com/office/drawing/2014/main" id="{7C8E7C99-3955-4AC3-A824-F2CCB7249A1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28" name="Text Box 15">
          <a:extLst>
            <a:ext uri="{FF2B5EF4-FFF2-40B4-BE49-F238E27FC236}">
              <a16:creationId xmlns:a16="http://schemas.microsoft.com/office/drawing/2014/main" id="{53B60731-473C-4576-B581-1BBAA23827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29" name="Text Box 15">
          <a:extLst>
            <a:ext uri="{FF2B5EF4-FFF2-40B4-BE49-F238E27FC236}">
              <a16:creationId xmlns:a16="http://schemas.microsoft.com/office/drawing/2014/main" id="{CCA58871-1669-41CF-8BED-9A364EA2AF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0" name="Text Box 15">
          <a:extLst>
            <a:ext uri="{FF2B5EF4-FFF2-40B4-BE49-F238E27FC236}">
              <a16:creationId xmlns:a16="http://schemas.microsoft.com/office/drawing/2014/main" id="{69308A3C-F233-40F1-8448-34B551AD75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1" name="Text Box 15">
          <a:extLst>
            <a:ext uri="{FF2B5EF4-FFF2-40B4-BE49-F238E27FC236}">
              <a16:creationId xmlns:a16="http://schemas.microsoft.com/office/drawing/2014/main" id="{719B020B-F9F1-42E0-8BDE-B66E98E5BC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2" name="Text Box 15">
          <a:extLst>
            <a:ext uri="{FF2B5EF4-FFF2-40B4-BE49-F238E27FC236}">
              <a16:creationId xmlns:a16="http://schemas.microsoft.com/office/drawing/2014/main" id="{9D62C8FA-7508-4CF4-9B02-4A1CD944F5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3" name="Text Box 15">
          <a:extLst>
            <a:ext uri="{FF2B5EF4-FFF2-40B4-BE49-F238E27FC236}">
              <a16:creationId xmlns:a16="http://schemas.microsoft.com/office/drawing/2014/main" id="{C847D931-AED8-4317-9606-6CCD51A1E9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4" name="Text Box 15">
          <a:extLst>
            <a:ext uri="{FF2B5EF4-FFF2-40B4-BE49-F238E27FC236}">
              <a16:creationId xmlns:a16="http://schemas.microsoft.com/office/drawing/2014/main" id="{92D5D3DD-913D-4EC1-96B3-1A001611A5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5" name="Text Box 15">
          <a:extLst>
            <a:ext uri="{FF2B5EF4-FFF2-40B4-BE49-F238E27FC236}">
              <a16:creationId xmlns:a16="http://schemas.microsoft.com/office/drawing/2014/main" id="{6EF2A177-E272-4E9D-A9EA-92CDEDB46C9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6" name="Text Box 15">
          <a:extLst>
            <a:ext uri="{FF2B5EF4-FFF2-40B4-BE49-F238E27FC236}">
              <a16:creationId xmlns:a16="http://schemas.microsoft.com/office/drawing/2014/main" id="{83321C56-6CA5-4444-9B5F-1AE9F138283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7" name="Text Box 15">
          <a:extLst>
            <a:ext uri="{FF2B5EF4-FFF2-40B4-BE49-F238E27FC236}">
              <a16:creationId xmlns:a16="http://schemas.microsoft.com/office/drawing/2014/main" id="{F780C8AF-F4A8-4EE5-9C7C-9801260814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8" name="Text Box 15">
          <a:extLst>
            <a:ext uri="{FF2B5EF4-FFF2-40B4-BE49-F238E27FC236}">
              <a16:creationId xmlns:a16="http://schemas.microsoft.com/office/drawing/2014/main" id="{13066B61-77D0-42F8-814F-009B0D630E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9" name="Text Box 15">
          <a:extLst>
            <a:ext uri="{FF2B5EF4-FFF2-40B4-BE49-F238E27FC236}">
              <a16:creationId xmlns:a16="http://schemas.microsoft.com/office/drawing/2014/main" id="{E29D9F1B-2239-4298-A54A-B2AB0E0356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40" name="Text Box 15">
          <a:extLst>
            <a:ext uri="{FF2B5EF4-FFF2-40B4-BE49-F238E27FC236}">
              <a16:creationId xmlns:a16="http://schemas.microsoft.com/office/drawing/2014/main" id="{2508888D-659F-4AFE-81AA-CDB8E090DC6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41" name="Text Box 15">
          <a:extLst>
            <a:ext uri="{FF2B5EF4-FFF2-40B4-BE49-F238E27FC236}">
              <a16:creationId xmlns:a16="http://schemas.microsoft.com/office/drawing/2014/main" id="{1B23D164-672E-44F2-9467-172AF869D7D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42" name="Text Box 15">
          <a:extLst>
            <a:ext uri="{FF2B5EF4-FFF2-40B4-BE49-F238E27FC236}">
              <a16:creationId xmlns:a16="http://schemas.microsoft.com/office/drawing/2014/main" id="{85F90562-99D3-43C4-9846-9E7566F54F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43" name="Text Box 15">
          <a:extLst>
            <a:ext uri="{FF2B5EF4-FFF2-40B4-BE49-F238E27FC236}">
              <a16:creationId xmlns:a16="http://schemas.microsoft.com/office/drawing/2014/main" id="{6ACAE145-2591-4209-A473-8E5268153D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44" name="Text Box 15">
          <a:extLst>
            <a:ext uri="{FF2B5EF4-FFF2-40B4-BE49-F238E27FC236}">
              <a16:creationId xmlns:a16="http://schemas.microsoft.com/office/drawing/2014/main" id="{8C370EF3-B0F6-4037-9958-C4CF97E18B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45" name="Text Box 15">
          <a:extLst>
            <a:ext uri="{FF2B5EF4-FFF2-40B4-BE49-F238E27FC236}">
              <a16:creationId xmlns:a16="http://schemas.microsoft.com/office/drawing/2014/main" id="{05DA6F82-CBEA-48F0-A187-952EBF8D1F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46" name="Text Box 15">
          <a:extLst>
            <a:ext uri="{FF2B5EF4-FFF2-40B4-BE49-F238E27FC236}">
              <a16:creationId xmlns:a16="http://schemas.microsoft.com/office/drawing/2014/main" id="{E983FD2A-D5A1-4C2C-99F4-E8D30B38A2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47" name="Text Box 15">
          <a:extLst>
            <a:ext uri="{FF2B5EF4-FFF2-40B4-BE49-F238E27FC236}">
              <a16:creationId xmlns:a16="http://schemas.microsoft.com/office/drawing/2014/main" id="{2C7C7F84-7414-4F51-A7E8-4AC6910336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48" name="Text Box 15">
          <a:extLst>
            <a:ext uri="{FF2B5EF4-FFF2-40B4-BE49-F238E27FC236}">
              <a16:creationId xmlns:a16="http://schemas.microsoft.com/office/drawing/2014/main" id="{F38EC0E6-C7AB-4F60-9C06-EBEF284BBB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49" name="Text Box 15">
          <a:extLst>
            <a:ext uri="{FF2B5EF4-FFF2-40B4-BE49-F238E27FC236}">
              <a16:creationId xmlns:a16="http://schemas.microsoft.com/office/drawing/2014/main" id="{6C87E802-2883-42E0-B855-4E430B60B50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50" name="Text Box 15">
          <a:extLst>
            <a:ext uri="{FF2B5EF4-FFF2-40B4-BE49-F238E27FC236}">
              <a16:creationId xmlns:a16="http://schemas.microsoft.com/office/drawing/2014/main" id="{26034592-955A-4FBA-AC05-889611D578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51" name="Text Box 15">
          <a:extLst>
            <a:ext uri="{FF2B5EF4-FFF2-40B4-BE49-F238E27FC236}">
              <a16:creationId xmlns:a16="http://schemas.microsoft.com/office/drawing/2014/main" id="{9D9FFDC5-201D-41CA-A78A-ACF4357F8F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52" name="Text Box 15">
          <a:extLst>
            <a:ext uri="{FF2B5EF4-FFF2-40B4-BE49-F238E27FC236}">
              <a16:creationId xmlns:a16="http://schemas.microsoft.com/office/drawing/2014/main" id="{C06039AC-A8F9-4B7F-B7A7-793FF4FD5A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53" name="Text Box 15">
          <a:extLst>
            <a:ext uri="{FF2B5EF4-FFF2-40B4-BE49-F238E27FC236}">
              <a16:creationId xmlns:a16="http://schemas.microsoft.com/office/drawing/2014/main" id="{FF8F9EA3-F266-433D-B7B4-F69FFA25B5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54" name="Text Box 15">
          <a:extLst>
            <a:ext uri="{FF2B5EF4-FFF2-40B4-BE49-F238E27FC236}">
              <a16:creationId xmlns:a16="http://schemas.microsoft.com/office/drawing/2014/main" id="{FCE3F464-4957-4901-B011-03B1CB79B1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55" name="Text Box 15">
          <a:extLst>
            <a:ext uri="{FF2B5EF4-FFF2-40B4-BE49-F238E27FC236}">
              <a16:creationId xmlns:a16="http://schemas.microsoft.com/office/drawing/2014/main" id="{2FEA58A0-10B2-4E66-BACF-84926D8D28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56" name="Text Box 15">
          <a:extLst>
            <a:ext uri="{FF2B5EF4-FFF2-40B4-BE49-F238E27FC236}">
              <a16:creationId xmlns:a16="http://schemas.microsoft.com/office/drawing/2014/main" id="{9B846B79-0C7B-409A-AC70-BCC1B9F217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57" name="Text Box 15">
          <a:extLst>
            <a:ext uri="{FF2B5EF4-FFF2-40B4-BE49-F238E27FC236}">
              <a16:creationId xmlns:a16="http://schemas.microsoft.com/office/drawing/2014/main" id="{D91CCD93-6C19-4F77-9F98-B548AA1DA1B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58" name="Text Box 15">
          <a:extLst>
            <a:ext uri="{FF2B5EF4-FFF2-40B4-BE49-F238E27FC236}">
              <a16:creationId xmlns:a16="http://schemas.microsoft.com/office/drawing/2014/main" id="{01241C39-C387-4900-BBC2-81716D1354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59" name="Text Box 15">
          <a:extLst>
            <a:ext uri="{FF2B5EF4-FFF2-40B4-BE49-F238E27FC236}">
              <a16:creationId xmlns:a16="http://schemas.microsoft.com/office/drawing/2014/main" id="{CE15A088-9C4F-47C1-89F2-BC576C9158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0" name="Text Box 15">
          <a:extLst>
            <a:ext uri="{FF2B5EF4-FFF2-40B4-BE49-F238E27FC236}">
              <a16:creationId xmlns:a16="http://schemas.microsoft.com/office/drawing/2014/main" id="{1DAFABB5-8252-4511-9E34-3295A8B276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1" name="Text Box 15">
          <a:extLst>
            <a:ext uri="{FF2B5EF4-FFF2-40B4-BE49-F238E27FC236}">
              <a16:creationId xmlns:a16="http://schemas.microsoft.com/office/drawing/2014/main" id="{9DD0C57D-CFAF-4A2D-8345-10D5C80CD1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2" name="Text Box 15">
          <a:extLst>
            <a:ext uri="{FF2B5EF4-FFF2-40B4-BE49-F238E27FC236}">
              <a16:creationId xmlns:a16="http://schemas.microsoft.com/office/drawing/2014/main" id="{20D33F54-4E33-4F37-967A-2B67ACB2E0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3" name="Text Box 15">
          <a:extLst>
            <a:ext uri="{FF2B5EF4-FFF2-40B4-BE49-F238E27FC236}">
              <a16:creationId xmlns:a16="http://schemas.microsoft.com/office/drawing/2014/main" id="{15DF5CC3-051B-48AB-9C83-23325A6474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4" name="Text Box 15">
          <a:extLst>
            <a:ext uri="{FF2B5EF4-FFF2-40B4-BE49-F238E27FC236}">
              <a16:creationId xmlns:a16="http://schemas.microsoft.com/office/drawing/2014/main" id="{14E5DEB2-7F1F-4E0B-B49D-4D12AA1EAD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5" name="Text Box 15">
          <a:extLst>
            <a:ext uri="{FF2B5EF4-FFF2-40B4-BE49-F238E27FC236}">
              <a16:creationId xmlns:a16="http://schemas.microsoft.com/office/drawing/2014/main" id="{45D7C596-BFC1-4E41-9635-A0EA858A1C0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6" name="Text Box 15">
          <a:extLst>
            <a:ext uri="{FF2B5EF4-FFF2-40B4-BE49-F238E27FC236}">
              <a16:creationId xmlns:a16="http://schemas.microsoft.com/office/drawing/2014/main" id="{53FCA50C-52F0-496A-92DF-9523A69E08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7" name="Text Box 15">
          <a:extLst>
            <a:ext uri="{FF2B5EF4-FFF2-40B4-BE49-F238E27FC236}">
              <a16:creationId xmlns:a16="http://schemas.microsoft.com/office/drawing/2014/main" id="{DE29C7AA-F5AD-40FE-8016-071A8F0650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8" name="Text Box 15">
          <a:extLst>
            <a:ext uri="{FF2B5EF4-FFF2-40B4-BE49-F238E27FC236}">
              <a16:creationId xmlns:a16="http://schemas.microsoft.com/office/drawing/2014/main" id="{ED1BAE04-D38C-474B-8ABE-DEE74E431E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9" name="Text Box 15">
          <a:extLst>
            <a:ext uri="{FF2B5EF4-FFF2-40B4-BE49-F238E27FC236}">
              <a16:creationId xmlns:a16="http://schemas.microsoft.com/office/drawing/2014/main" id="{AF8829DA-1BBB-421B-BD69-6C3CDCF49A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70" name="Text Box 15">
          <a:extLst>
            <a:ext uri="{FF2B5EF4-FFF2-40B4-BE49-F238E27FC236}">
              <a16:creationId xmlns:a16="http://schemas.microsoft.com/office/drawing/2014/main" id="{CAC28240-6129-4C68-988C-756E7A33AE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71" name="Text Box 15">
          <a:extLst>
            <a:ext uri="{FF2B5EF4-FFF2-40B4-BE49-F238E27FC236}">
              <a16:creationId xmlns:a16="http://schemas.microsoft.com/office/drawing/2014/main" id="{15D78255-5151-4135-A2C1-3102CCB4AD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72" name="Text Box 15">
          <a:extLst>
            <a:ext uri="{FF2B5EF4-FFF2-40B4-BE49-F238E27FC236}">
              <a16:creationId xmlns:a16="http://schemas.microsoft.com/office/drawing/2014/main" id="{F1D35C76-7F99-42F1-B3F0-9628B483F7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73" name="Text Box 15">
          <a:extLst>
            <a:ext uri="{FF2B5EF4-FFF2-40B4-BE49-F238E27FC236}">
              <a16:creationId xmlns:a16="http://schemas.microsoft.com/office/drawing/2014/main" id="{18F74FBF-24C9-4C66-99F0-ABD9234761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74" name="Text Box 15">
          <a:extLst>
            <a:ext uri="{FF2B5EF4-FFF2-40B4-BE49-F238E27FC236}">
              <a16:creationId xmlns:a16="http://schemas.microsoft.com/office/drawing/2014/main" id="{8D9DE739-8DE6-41B9-83B8-3F6C9F5405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75" name="Text Box 15">
          <a:extLst>
            <a:ext uri="{FF2B5EF4-FFF2-40B4-BE49-F238E27FC236}">
              <a16:creationId xmlns:a16="http://schemas.microsoft.com/office/drawing/2014/main" id="{4AE4A8A1-A008-43BC-9FE2-E55CC1C485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76" name="Text Box 15">
          <a:extLst>
            <a:ext uri="{FF2B5EF4-FFF2-40B4-BE49-F238E27FC236}">
              <a16:creationId xmlns:a16="http://schemas.microsoft.com/office/drawing/2014/main" id="{6238B7EE-D0D8-4896-B996-60933CCE56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77" name="Text Box 15">
          <a:extLst>
            <a:ext uri="{FF2B5EF4-FFF2-40B4-BE49-F238E27FC236}">
              <a16:creationId xmlns:a16="http://schemas.microsoft.com/office/drawing/2014/main" id="{89B49299-8364-4F49-B0C4-B141C1B032F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78" name="Text Box 15">
          <a:extLst>
            <a:ext uri="{FF2B5EF4-FFF2-40B4-BE49-F238E27FC236}">
              <a16:creationId xmlns:a16="http://schemas.microsoft.com/office/drawing/2014/main" id="{361BD781-20AA-4E6F-A579-394C838662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79" name="Text Box 15">
          <a:extLst>
            <a:ext uri="{FF2B5EF4-FFF2-40B4-BE49-F238E27FC236}">
              <a16:creationId xmlns:a16="http://schemas.microsoft.com/office/drawing/2014/main" id="{A8FFB140-9FD2-460C-A218-398B5BD54F0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80" name="Text Box 15">
          <a:extLst>
            <a:ext uri="{FF2B5EF4-FFF2-40B4-BE49-F238E27FC236}">
              <a16:creationId xmlns:a16="http://schemas.microsoft.com/office/drawing/2014/main" id="{FAB2F536-5ECC-49A8-93E1-C5598D79A6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81" name="Text Box 15">
          <a:extLst>
            <a:ext uri="{FF2B5EF4-FFF2-40B4-BE49-F238E27FC236}">
              <a16:creationId xmlns:a16="http://schemas.microsoft.com/office/drawing/2014/main" id="{6A97976F-48F0-4D46-8275-A033188DC8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82" name="Text Box 15">
          <a:extLst>
            <a:ext uri="{FF2B5EF4-FFF2-40B4-BE49-F238E27FC236}">
              <a16:creationId xmlns:a16="http://schemas.microsoft.com/office/drawing/2014/main" id="{274089EE-CBEC-403F-A4D3-BE4B33C07A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83" name="Text Box 15">
          <a:extLst>
            <a:ext uri="{FF2B5EF4-FFF2-40B4-BE49-F238E27FC236}">
              <a16:creationId xmlns:a16="http://schemas.microsoft.com/office/drawing/2014/main" id="{87B117FD-6806-4419-9F2E-99DA16AE96E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84" name="Text Box 15">
          <a:extLst>
            <a:ext uri="{FF2B5EF4-FFF2-40B4-BE49-F238E27FC236}">
              <a16:creationId xmlns:a16="http://schemas.microsoft.com/office/drawing/2014/main" id="{A026B0F1-A527-4130-883F-44B2AE10F8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185" name="Text Box 15">
          <a:extLst>
            <a:ext uri="{FF2B5EF4-FFF2-40B4-BE49-F238E27FC236}">
              <a16:creationId xmlns:a16="http://schemas.microsoft.com/office/drawing/2014/main" id="{31298B55-D563-4C90-B9C6-3D9389EB25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186" name="Text Box 15">
          <a:extLst>
            <a:ext uri="{FF2B5EF4-FFF2-40B4-BE49-F238E27FC236}">
              <a16:creationId xmlns:a16="http://schemas.microsoft.com/office/drawing/2014/main" id="{197A8C8D-B4E9-4D26-9B26-5C557C61A1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187" name="Text Box 15">
          <a:extLst>
            <a:ext uri="{FF2B5EF4-FFF2-40B4-BE49-F238E27FC236}">
              <a16:creationId xmlns:a16="http://schemas.microsoft.com/office/drawing/2014/main" id="{B0981A8E-2645-499B-91BB-E145F29EC0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88" name="Text Box 15">
          <a:extLst>
            <a:ext uri="{FF2B5EF4-FFF2-40B4-BE49-F238E27FC236}">
              <a16:creationId xmlns:a16="http://schemas.microsoft.com/office/drawing/2014/main" id="{2545B976-96E0-47F3-BE1B-2789F3A58B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89" name="Text Box 15">
          <a:extLst>
            <a:ext uri="{FF2B5EF4-FFF2-40B4-BE49-F238E27FC236}">
              <a16:creationId xmlns:a16="http://schemas.microsoft.com/office/drawing/2014/main" id="{901FC6B1-8EC2-4F7C-860D-FC64D4AE10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0" name="Text Box 15">
          <a:extLst>
            <a:ext uri="{FF2B5EF4-FFF2-40B4-BE49-F238E27FC236}">
              <a16:creationId xmlns:a16="http://schemas.microsoft.com/office/drawing/2014/main" id="{0D98C3F6-5F11-4CF8-8EF4-F00F96FFE1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1" name="Text Box 15">
          <a:extLst>
            <a:ext uri="{FF2B5EF4-FFF2-40B4-BE49-F238E27FC236}">
              <a16:creationId xmlns:a16="http://schemas.microsoft.com/office/drawing/2014/main" id="{715F3D0B-9833-44E5-A81F-265A5FC3ED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2" name="Text Box 15">
          <a:extLst>
            <a:ext uri="{FF2B5EF4-FFF2-40B4-BE49-F238E27FC236}">
              <a16:creationId xmlns:a16="http://schemas.microsoft.com/office/drawing/2014/main" id="{15B9F3D7-8299-4EB7-A6F4-5CD44C650D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3" name="Text Box 15">
          <a:extLst>
            <a:ext uri="{FF2B5EF4-FFF2-40B4-BE49-F238E27FC236}">
              <a16:creationId xmlns:a16="http://schemas.microsoft.com/office/drawing/2014/main" id="{5ED5ABA8-31A1-4FBF-B859-365DC84F03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4" name="Text Box 15">
          <a:extLst>
            <a:ext uri="{FF2B5EF4-FFF2-40B4-BE49-F238E27FC236}">
              <a16:creationId xmlns:a16="http://schemas.microsoft.com/office/drawing/2014/main" id="{66D9E43C-5426-43EF-B7D7-2D8762905A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5" name="Text Box 15">
          <a:extLst>
            <a:ext uri="{FF2B5EF4-FFF2-40B4-BE49-F238E27FC236}">
              <a16:creationId xmlns:a16="http://schemas.microsoft.com/office/drawing/2014/main" id="{4C09E03B-813D-4581-82E9-B967F51451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6" name="Text Box 15">
          <a:extLst>
            <a:ext uri="{FF2B5EF4-FFF2-40B4-BE49-F238E27FC236}">
              <a16:creationId xmlns:a16="http://schemas.microsoft.com/office/drawing/2014/main" id="{D75034DC-2B49-4A8F-B781-9A459B0C7A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7" name="Text Box 15">
          <a:extLst>
            <a:ext uri="{FF2B5EF4-FFF2-40B4-BE49-F238E27FC236}">
              <a16:creationId xmlns:a16="http://schemas.microsoft.com/office/drawing/2014/main" id="{1272717A-1CC1-40CD-9DF9-4E6E3CF199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198" name="Text Box 15">
          <a:extLst>
            <a:ext uri="{FF2B5EF4-FFF2-40B4-BE49-F238E27FC236}">
              <a16:creationId xmlns:a16="http://schemas.microsoft.com/office/drawing/2014/main" id="{26D1C245-7D13-4912-9B81-35E75A06F1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199" name="Text Box 15">
          <a:extLst>
            <a:ext uri="{FF2B5EF4-FFF2-40B4-BE49-F238E27FC236}">
              <a16:creationId xmlns:a16="http://schemas.microsoft.com/office/drawing/2014/main" id="{64998844-5AC0-4D0C-B2B5-FC9D660231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00" name="Text Box 15">
          <a:extLst>
            <a:ext uri="{FF2B5EF4-FFF2-40B4-BE49-F238E27FC236}">
              <a16:creationId xmlns:a16="http://schemas.microsoft.com/office/drawing/2014/main" id="{7294D199-12F0-469F-B1F7-DB36D3DFA9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01" name="Text Box 15">
          <a:extLst>
            <a:ext uri="{FF2B5EF4-FFF2-40B4-BE49-F238E27FC236}">
              <a16:creationId xmlns:a16="http://schemas.microsoft.com/office/drawing/2014/main" id="{A5900CA8-6FE7-46CE-A4CE-EA5A5B2AB1C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02" name="Text Box 15">
          <a:extLst>
            <a:ext uri="{FF2B5EF4-FFF2-40B4-BE49-F238E27FC236}">
              <a16:creationId xmlns:a16="http://schemas.microsoft.com/office/drawing/2014/main" id="{EA2AC16E-F855-4237-A757-733DB95526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3" name="Text Box 15">
          <a:extLst>
            <a:ext uri="{FF2B5EF4-FFF2-40B4-BE49-F238E27FC236}">
              <a16:creationId xmlns:a16="http://schemas.microsoft.com/office/drawing/2014/main" id="{D20F7F47-48CC-4C23-9E65-907F81802E0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4" name="Text Box 15">
          <a:extLst>
            <a:ext uri="{FF2B5EF4-FFF2-40B4-BE49-F238E27FC236}">
              <a16:creationId xmlns:a16="http://schemas.microsoft.com/office/drawing/2014/main" id="{CFBECC93-3406-4D96-A112-E2BE212DDA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5" name="Text Box 15">
          <a:extLst>
            <a:ext uri="{FF2B5EF4-FFF2-40B4-BE49-F238E27FC236}">
              <a16:creationId xmlns:a16="http://schemas.microsoft.com/office/drawing/2014/main" id="{EBADCC05-F98F-4824-8D0B-B5FDC9E484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6" name="Text Box 15">
          <a:extLst>
            <a:ext uri="{FF2B5EF4-FFF2-40B4-BE49-F238E27FC236}">
              <a16:creationId xmlns:a16="http://schemas.microsoft.com/office/drawing/2014/main" id="{376D2ED5-CF64-4BB8-AF06-0C75B3140A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7" name="Text Box 15">
          <a:extLst>
            <a:ext uri="{FF2B5EF4-FFF2-40B4-BE49-F238E27FC236}">
              <a16:creationId xmlns:a16="http://schemas.microsoft.com/office/drawing/2014/main" id="{93B8CF15-3427-4105-8282-DCEF8755E2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8" name="Text Box 15">
          <a:extLst>
            <a:ext uri="{FF2B5EF4-FFF2-40B4-BE49-F238E27FC236}">
              <a16:creationId xmlns:a16="http://schemas.microsoft.com/office/drawing/2014/main" id="{FA6393C4-C9E9-4F1B-88D6-8E372732EA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9" name="Text Box 15">
          <a:extLst>
            <a:ext uri="{FF2B5EF4-FFF2-40B4-BE49-F238E27FC236}">
              <a16:creationId xmlns:a16="http://schemas.microsoft.com/office/drawing/2014/main" id="{74BE1D19-4262-4087-AEE6-D30813744CE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10" name="Text Box 15">
          <a:extLst>
            <a:ext uri="{FF2B5EF4-FFF2-40B4-BE49-F238E27FC236}">
              <a16:creationId xmlns:a16="http://schemas.microsoft.com/office/drawing/2014/main" id="{3D29A4DB-15D7-4F99-A950-A189B03785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11" name="Text Box 15">
          <a:extLst>
            <a:ext uri="{FF2B5EF4-FFF2-40B4-BE49-F238E27FC236}">
              <a16:creationId xmlns:a16="http://schemas.microsoft.com/office/drawing/2014/main" id="{680D7B7D-3EC7-43DC-BCE5-3FC8EF7129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12" name="Text Box 15">
          <a:extLst>
            <a:ext uri="{FF2B5EF4-FFF2-40B4-BE49-F238E27FC236}">
              <a16:creationId xmlns:a16="http://schemas.microsoft.com/office/drawing/2014/main" id="{CE14F978-B061-4997-B9AD-1DEC0811B2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13" name="Text Box 15">
          <a:extLst>
            <a:ext uri="{FF2B5EF4-FFF2-40B4-BE49-F238E27FC236}">
              <a16:creationId xmlns:a16="http://schemas.microsoft.com/office/drawing/2014/main" id="{93842073-EB8E-45E0-9A7E-C36D48FF7A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14" name="Text Box 15">
          <a:extLst>
            <a:ext uri="{FF2B5EF4-FFF2-40B4-BE49-F238E27FC236}">
              <a16:creationId xmlns:a16="http://schemas.microsoft.com/office/drawing/2014/main" id="{57B7B798-4518-4B1F-9576-477E1B6F51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15" name="Text Box 15">
          <a:extLst>
            <a:ext uri="{FF2B5EF4-FFF2-40B4-BE49-F238E27FC236}">
              <a16:creationId xmlns:a16="http://schemas.microsoft.com/office/drawing/2014/main" id="{2369ED21-B91B-4312-99A7-FD44ADA7E5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16" name="Text Box 15">
          <a:extLst>
            <a:ext uri="{FF2B5EF4-FFF2-40B4-BE49-F238E27FC236}">
              <a16:creationId xmlns:a16="http://schemas.microsoft.com/office/drawing/2014/main" id="{08100214-AC6C-4E70-8014-1DD0968E566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17" name="Text Box 15">
          <a:extLst>
            <a:ext uri="{FF2B5EF4-FFF2-40B4-BE49-F238E27FC236}">
              <a16:creationId xmlns:a16="http://schemas.microsoft.com/office/drawing/2014/main" id="{5977FF2A-C5F9-4E0B-8D3F-A91D3E59F76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18" name="Text Box 15">
          <a:extLst>
            <a:ext uri="{FF2B5EF4-FFF2-40B4-BE49-F238E27FC236}">
              <a16:creationId xmlns:a16="http://schemas.microsoft.com/office/drawing/2014/main" id="{EA183CF1-34B1-472E-8DC3-FA95371D4A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19" name="Text Box 15">
          <a:extLst>
            <a:ext uri="{FF2B5EF4-FFF2-40B4-BE49-F238E27FC236}">
              <a16:creationId xmlns:a16="http://schemas.microsoft.com/office/drawing/2014/main" id="{A66EE670-BBE6-45B8-A352-464E414CB8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0" name="Text Box 15">
          <a:extLst>
            <a:ext uri="{FF2B5EF4-FFF2-40B4-BE49-F238E27FC236}">
              <a16:creationId xmlns:a16="http://schemas.microsoft.com/office/drawing/2014/main" id="{51ABE0AE-AB41-42A8-8441-15757ED5CE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1" name="Text Box 15">
          <a:extLst>
            <a:ext uri="{FF2B5EF4-FFF2-40B4-BE49-F238E27FC236}">
              <a16:creationId xmlns:a16="http://schemas.microsoft.com/office/drawing/2014/main" id="{0F3A591E-8451-4369-A471-C798BC2717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2" name="Text Box 15">
          <a:extLst>
            <a:ext uri="{FF2B5EF4-FFF2-40B4-BE49-F238E27FC236}">
              <a16:creationId xmlns:a16="http://schemas.microsoft.com/office/drawing/2014/main" id="{4E722488-9C13-4E24-83F8-97D730948C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3" name="Text Box 15">
          <a:extLst>
            <a:ext uri="{FF2B5EF4-FFF2-40B4-BE49-F238E27FC236}">
              <a16:creationId xmlns:a16="http://schemas.microsoft.com/office/drawing/2014/main" id="{617C59D4-329B-4068-92E0-609B747463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4" name="Text Box 15">
          <a:extLst>
            <a:ext uri="{FF2B5EF4-FFF2-40B4-BE49-F238E27FC236}">
              <a16:creationId xmlns:a16="http://schemas.microsoft.com/office/drawing/2014/main" id="{47C48441-C61C-458E-9D65-12E01DC0D4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5" name="Text Box 15">
          <a:extLst>
            <a:ext uri="{FF2B5EF4-FFF2-40B4-BE49-F238E27FC236}">
              <a16:creationId xmlns:a16="http://schemas.microsoft.com/office/drawing/2014/main" id="{142D4C77-C2C5-4C98-8F28-4ADE8D9249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6" name="Text Box 15">
          <a:extLst>
            <a:ext uri="{FF2B5EF4-FFF2-40B4-BE49-F238E27FC236}">
              <a16:creationId xmlns:a16="http://schemas.microsoft.com/office/drawing/2014/main" id="{DF519578-42B5-4E35-A034-0325B9E700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7" name="Text Box 15">
          <a:extLst>
            <a:ext uri="{FF2B5EF4-FFF2-40B4-BE49-F238E27FC236}">
              <a16:creationId xmlns:a16="http://schemas.microsoft.com/office/drawing/2014/main" id="{978F0003-8D6E-4858-A119-CCCE75EBBF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28" name="Text Box 15">
          <a:extLst>
            <a:ext uri="{FF2B5EF4-FFF2-40B4-BE49-F238E27FC236}">
              <a16:creationId xmlns:a16="http://schemas.microsoft.com/office/drawing/2014/main" id="{EA0D7F27-4827-4317-B525-BCB6F39078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29" name="Text Box 15">
          <a:extLst>
            <a:ext uri="{FF2B5EF4-FFF2-40B4-BE49-F238E27FC236}">
              <a16:creationId xmlns:a16="http://schemas.microsoft.com/office/drawing/2014/main" id="{21586917-8B03-43C6-AF54-5629D878A4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30" name="Text Box 15">
          <a:extLst>
            <a:ext uri="{FF2B5EF4-FFF2-40B4-BE49-F238E27FC236}">
              <a16:creationId xmlns:a16="http://schemas.microsoft.com/office/drawing/2014/main" id="{82D6C5A1-E7DF-4F1D-9EA4-8326C999DC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31" name="Text Box 15">
          <a:extLst>
            <a:ext uri="{FF2B5EF4-FFF2-40B4-BE49-F238E27FC236}">
              <a16:creationId xmlns:a16="http://schemas.microsoft.com/office/drawing/2014/main" id="{FE649814-3533-4758-ADA9-7441D0FB2D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32" name="Text Box 15">
          <a:extLst>
            <a:ext uri="{FF2B5EF4-FFF2-40B4-BE49-F238E27FC236}">
              <a16:creationId xmlns:a16="http://schemas.microsoft.com/office/drawing/2014/main" id="{80CD3824-15E5-444A-9B25-4FD26331DF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3" name="Text Box 15">
          <a:extLst>
            <a:ext uri="{FF2B5EF4-FFF2-40B4-BE49-F238E27FC236}">
              <a16:creationId xmlns:a16="http://schemas.microsoft.com/office/drawing/2014/main" id="{442B7A02-1250-40C9-A0B4-A2F051AE8D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4" name="Text Box 15">
          <a:extLst>
            <a:ext uri="{FF2B5EF4-FFF2-40B4-BE49-F238E27FC236}">
              <a16:creationId xmlns:a16="http://schemas.microsoft.com/office/drawing/2014/main" id="{F6AF871D-3720-4155-AAF6-31664341CA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5" name="Text Box 15">
          <a:extLst>
            <a:ext uri="{FF2B5EF4-FFF2-40B4-BE49-F238E27FC236}">
              <a16:creationId xmlns:a16="http://schemas.microsoft.com/office/drawing/2014/main" id="{C5CA0018-2840-4DCE-B06E-EFBB307D6C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6" name="Text Box 15">
          <a:extLst>
            <a:ext uri="{FF2B5EF4-FFF2-40B4-BE49-F238E27FC236}">
              <a16:creationId xmlns:a16="http://schemas.microsoft.com/office/drawing/2014/main" id="{5BDA6939-8236-4276-8771-B1F1056C5B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7" name="Text Box 15">
          <a:extLst>
            <a:ext uri="{FF2B5EF4-FFF2-40B4-BE49-F238E27FC236}">
              <a16:creationId xmlns:a16="http://schemas.microsoft.com/office/drawing/2014/main" id="{E5E19FFB-A1C5-4A31-B6F6-33C58B64EB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8" name="Text Box 15">
          <a:extLst>
            <a:ext uri="{FF2B5EF4-FFF2-40B4-BE49-F238E27FC236}">
              <a16:creationId xmlns:a16="http://schemas.microsoft.com/office/drawing/2014/main" id="{9BF9966A-F0C4-493B-B4B0-79CE354253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9" name="Text Box 15">
          <a:extLst>
            <a:ext uri="{FF2B5EF4-FFF2-40B4-BE49-F238E27FC236}">
              <a16:creationId xmlns:a16="http://schemas.microsoft.com/office/drawing/2014/main" id="{7CB32FA7-6AF0-4599-A652-C4DAC99C12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40" name="Text Box 15">
          <a:extLst>
            <a:ext uri="{FF2B5EF4-FFF2-40B4-BE49-F238E27FC236}">
              <a16:creationId xmlns:a16="http://schemas.microsoft.com/office/drawing/2014/main" id="{611CED07-6BAD-4E9A-8BB8-6797E6BB13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41" name="Text Box 15">
          <a:extLst>
            <a:ext uri="{FF2B5EF4-FFF2-40B4-BE49-F238E27FC236}">
              <a16:creationId xmlns:a16="http://schemas.microsoft.com/office/drawing/2014/main" id="{7DFD56DE-A443-41B0-8BC9-D9B3581D6B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42" name="Text Box 15">
          <a:extLst>
            <a:ext uri="{FF2B5EF4-FFF2-40B4-BE49-F238E27FC236}">
              <a16:creationId xmlns:a16="http://schemas.microsoft.com/office/drawing/2014/main" id="{9476D398-DB3A-43F3-BFB3-83D823B0C3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43" name="Text Box 15">
          <a:extLst>
            <a:ext uri="{FF2B5EF4-FFF2-40B4-BE49-F238E27FC236}">
              <a16:creationId xmlns:a16="http://schemas.microsoft.com/office/drawing/2014/main" id="{E414FAD1-6356-4C32-B1B0-539A6E7A78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44" name="Text Box 15">
          <a:extLst>
            <a:ext uri="{FF2B5EF4-FFF2-40B4-BE49-F238E27FC236}">
              <a16:creationId xmlns:a16="http://schemas.microsoft.com/office/drawing/2014/main" id="{8DF34454-27E5-4D46-90F7-3A34D1BC9B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45" name="Text Box 15">
          <a:extLst>
            <a:ext uri="{FF2B5EF4-FFF2-40B4-BE49-F238E27FC236}">
              <a16:creationId xmlns:a16="http://schemas.microsoft.com/office/drawing/2014/main" id="{CEC72A70-E3F0-4BB7-9FCF-05B83F20BA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46" name="Text Box 15">
          <a:extLst>
            <a:ext uri="{FF2B5EF4-FFF2-40B4-BE49-F238E27FC236}">
              <a16:creationId xmlns:a16="http://schemas.microsoft.com/office/drawing/2014/main" id="{63B8DF3A-9CC0-4BC5-85F3-C77A8A2E4A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47" name="Text Box 15">
          <a:extLst>
            <a:ext uri="{FF2B5EF4-FFF2-40B4-BE49-F238E27FC236}">
              <a16:creationId xmlns:a16="http://schemas.microsoft.com/office/drawing/2014/main" id="{9D71A634-19CA-40CB-8579-9D5046C8B3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48" name="Text Box 15">
          <a:extLst>
            <a:ext uri="{FF2B5EF4-FFF2-40B4-BE49-F238E27FC236}">
              <a16:creationId xmlns:a16="http://schemas.microsoft.com/office/drawing/2014/main" id="{A12B637A-0AFE-49DF-BC97-9CA7C9C5C3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49" name="Text Box 15">
          <a:extLst>
            <a:ext uri="{FF2B5EF4-FFF2-40B4-BE49-F238E27FC236}">
              <a16:creationId xmlns:a16="http://schemas.microsoft.com/office/drawing/2014/main" id="{B40EDD0B-7BA0-4523-9279-7AC4D45CCD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0" name="Text Box 15">
          <a:extLst>
            <a:ext uri="{FF2B5EF4-FFF2-40B4-BE49-F238E27FC236}">
              <a16:creationId xmlns:a16="http://schemas.microsoft.com/office/drawing/2014/main" id="{CB6807EB-410F-4EDF-9B57-57320FBE9F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1" name="Text Box 15">
          <a:extLst>
            <a:ext uri="{FF2B5EF4-FFF2-40B4-BE49-F238E27FC236}">
              <a16:creationId xmlns:a16="http://schemas.microsoft.com/office/drawing/2014/main" id="{E44A324A-B95B-485B-A369-2564761507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2" name="Text Box 15">
          <a:extLst>
            <a:ext uri="{FF2B5EF4-FFF2-40B4-BE49-F238E27FC236}">
              <a16:creationId xmlns:a16="http://schemas.microsoft.com/office/drawing/2014/main" id="{395D0A52-AE63-45D6-8981-9BF7B55760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3" name="Text Box 15">
          <a:extLst>
            <a:ext uri="{FF2B5EF4-FFF2-40B4-BE49-F238E27FC236}">
              <a16:creationId xmlns:a16="http://schemas.microsoft.com/office/drawing/2014/main" id="{A7F7A373-DB22-45A8-9A03-C55C3B14E6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4" name="Text Box 15">
          <a:extLst>
            <a:ext uri="{FF2B5EF4-FFF2-40B4-BE49-F238E27FC236}">
              <a16:creationId xmlns:a16="http://schemas.microsoft.com/office/drawing/2014/main" id="{C261745F-76C4-4E63-A7E8-B6AD48F99D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5" name="Text Box 15">
          <a:extLst>
            <a:ext uri="{FF2B5EF4-FFF2-40B4-BE49-F238E27FC236}">
              <a16:creationId xmlns:a16="http://schemas.microsoft.com/office/drawing/2014/main" id="{BF95F4AF-2CF9-44B5-A3B0-CBD218B9F47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6" name="Text Box 15">
          <a:extLst>
            <a:ext uri="{FF2B5EF4-FFF2-40B4-BE49-F238E27FC236}">
              <a16:creationId xmlns:a16="http://schemas.microsoft.com/office/drawing/2014/main" id="{038A9154-8313-4DD3-8DCE-F13AB1D953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7" name="Text Box 15">
          <a:extLst>
            <a:ext uri="{FF2B5EF4-FFF2-40B4-BE49-F238E27FC236}">
              <a16:creationId xmlns:a16="http://schemas.microsoft.com/office/drawing/2014/main" id="{533FEC37-89EB-497A-9233-3156FEF43A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58" name="Text Box 15">
          <a:extLst>
            <a:ext uri="{FF2B5EF4-FFF2-40B4-BE49-F238E27FC236}">
              <a16:creationId xmlns:a16="http://schemas.microsoft.com/office/drawing/2014/main" id="{699B0E4F-1FAE-41F8-A3F2-1855FBC8EB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59" name="Text Box 15">
          <a:extLst>
            <a:ext uri="{FF2B5EF4-FFF2-40B4-BE49-F238E27FC236}">
              <a16:creationId xmlns:a16="http://schemas.microsoft.com/office/drawing/2014/main" id="{D63D154F-B9B9-4846-B2E2-9D05FE9AD9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60" name="Text Box 15">
          <a:extLst>
            <a:ext uri="{FF2B5EF4-FFF2-40B4-BE49-F238E27FC236}">
              <a16:creationId xmlns:a16="http://schemas.microsoft.com/office/drawing/2014/main" id="{CD8F3A72-4CB5-4EC0-958F-C2C3587A66F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61" name="Text Box 15">
          <a:extLst>
            <a:ext uri="{FF2B5EF4-FFF2-40B4-BE49-F238E27FC236}">
              <a16:creationId xmlns:a16="http://schemas.microsoft.com/office/drawing/2014/main" id="{4448824C-8062-4423-B7AA-B64ECE44AD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62" name="Text Box 15">
          <a:extLst>
            <a:ext uri="{FF2B5EF4-FFF2-40B4-BE49-F238E27FC236}">
              <a16:creationId xmlns:a16="http://schemas.microsoft.com/office/drawing/2014/main" id="{0CA04F87-7438-4ED8-89B3-32971D4DFB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3" name="Text Box 15">
          <a:extLst>
            <a:ext uri="{FF2B5EF4-FFF2-40B4-BE49-F238E27FC236}">
              <a16:creationId xmlns:a16="http://schemas.microsoft.com/office/drawing/2014/main" id="{518B5748-C826-40D6-9BA4-7949B5ED66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4" name="Text Box 15">
          <a:extLst>
            <a:ext uri="{FF2B5EF4-FFF2-40B4-BE49-F238E27FC236}">
              <a16:creationId xmlns:a16="http://schemas.microsoft.com/office/drawing/2014/main" id="{E043C444-B7F7-46FA-9F58-B529E07F54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5" name="Text Box 15">
          <a:extLst>
            <a:ext uri="{FF2B5EF4-FFF2-40B4-BE49-F238E27FC236}">
              <a16:creationId xmlns:a16="http://schemas.microsoft.com/office/drawing/2014/main" id="{2D1402D4-24B0-4736-97FB-75FA2DD8081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6" name="Text Box 15">
          <a:extLst>
            <a:ext uri="{FF2B5EF4-FFF2-40B4-BE49-F238E27FC236}">
              <a16:creationId xmlns:a16="http://schemas.microsoft.com/office/drawing/2014/main" id="{7D49E19B-B48E-4E3A-961A-734BCEA591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7" name="Text Box 15">
          <a:extLst>
            <a:ext uri="{FF2B5EF4-FFF2-40B4-BE49-F238E27FC236}">
              <a16:creationId xmlns:a16="http://schemas.microsoft.com/office/drawing/2014/main" id="{BDEB2C00-3DA2-4CB9-A323-D241FF9214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8" name="Text Box 15">
          <a:extLst>
            <a:ext uri="{FF2B5EF4-FFF2-40B4-BE49-F238E27FC236}">
              <a16:creationId xmlns:a16="http://schemas.microsoft.com/office/drawing/2014/main" id="{1D9B446F-A12A-40E5-BED8-3CE849C409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9" name="Text Box 15">
          <a:extLst>
            <a:ext uri="{FF2B5EF4-FFF2-40B4-BE49-F238E27FC236}">
              <a16:creationId xmlns:a16="http://schemas.microsoft.com/office/drawing/2014/main" id="{48BAE364-C303-4316-AB2C-1F661963F7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0" name="Text Box 15">
          <a:extLst>
            <a:ext uri="{FF2B5EF4-FFF2-40B4-BE49-F238E27FC236}">
              <a16:creationId xmlns:a16="http://schemas.microsoft.com/office/drawing/2014/main" id="{A905B1E5-1F4B-4EA6-8C0B-96636EFC50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1" name="Text Box 15">
          <a:extLst>
            <a:ext uri="{FF2B5EF4-FFF2-40B4-BE49-F238E27FC236}">
              <a16:creationId xmlns:a16="http://schemas.microsoft.com/office/drawing/2014/main" id="{FA16EA0A-4AA1-4FB0-A020-B57116DCC5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2" name="Text Box 15">
          <a:extLst>
            <a:ext uri="{FF2B5EF4-FFF2-40B4-BE49-F238E27FC236}">
              <a16:creationId xmlns:a16="http://schemas.microsoft.com/office/drawing/2014/main" id="{E118C938-4A47-4381-8A1C-2D13BB7A4D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73" name="Text Box 15">
          <a:extLst>
            <a:ext uri="{FF2B5EF4-FFF2-40B4-BE49-F238E27FC236}">
              <a16:creationId xmlns:a16="http://schemas.microsoft.com/office/drawing/2014/main" id="{202245D3-2D7D-454A-AC4D-DADAF705DE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74" name="Text Box 15">
          <a:extLst>
            <a:ext uri="{FF2B5EF4-FFF2-40B4-BE49-F238E27FC236}">
              <a16:creationId xmlns:a16="http://schemas.microsoft.com/office/drawing/2014/main" id="{FAD15178-AD29-433D-A2BE-7CE7C91AFE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75" name="Text Box 15">
          <a:extLst>
            <a:ext uri="{FF2B5EF4-FFF2-40B4-BE49-F238E27FC236}">
              <a16:creationId xmlns:a16="http://schemas.microsoft.com/office/drawing/2014/main" id="{04D40F09-6DA9-4BE7-99FF-D0DE221A2D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6" name="Text Box 15">
          <a:extLst>
            <a:ext uri="{FF2B5EF4-FFF2-40B4-BE49-F238E27FC236}">
              <a16:creationId xmlns:a16="http://schemas.microsoft.com/office/drawing/2014/main" id="{2289DAC9-D81B-4E74-B87E-F0D89A5AE8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7" name="Text Box 15">
          <a:extLst>
            <a:ext uri="{FF2B5EF4-FFF2-40B4-BE49-F238E27FC236}">
              <a16:creationId xmlns:a16="http://schemas.microsoft.com/office/drawing/2014/main" id="{04D3731A-8915-44DF-A07C-5D1DF681A9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8" name="Text Box 15">
          <a:extLst>
            <a:ext uri="{FF2B5EF4-FFF2-40B4-BE49-F238E27FC236}">
              <a16:creationId xmlns:a16="http://schemas.microsoft.com/office/drawing/2014/main" id="{541CC236-AA54-4711-89D1-1CDAA8E0288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9" name="Text Box 15">
          <a:extLst>
            <a:ext uri="{FF2B5EF4-FFF2-40B4-BE49-F238E27FC236}">
              <a16:creationId xmlns:a16="http://schemas.microsoft.com/office/drawing/2014/main" id="{F836C296-52AE-4044-B061-A0C05FBC42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0" name="Text Box 15">
          <a:extLst>
            <a:ext uri="{FF2B5EF4-FFF2-40B4-BE49-F238E27FC236}">
              <a16:creationId xmlns:a16="http://schemas.microsoft.com/office/drawing/2014/main" id="{AE0B593D-CBAD-409C-A22B-B0ADA1730D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1" name="Text Box 15">
          <a:extLst>
            <a:ext uri="{FF2B5EF4-FFF2-40B4-BE49-F238E27FC236}">
              <a16:creationId xmlns:a16="http://schemas.microsoft.com/office/drawing/2014/main" id="{A8FE2888-5A89-4B7B-A55F-3B8BDDDC8D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2" name="Text Box 15">
          <a:extLst>
            <a:ext uri="{FF2B5EF4-FFF2-40B4-BE49-F238E27FC236}">
              <a16:creationId xmlns:a16="http://schemas.microsoft.com/office/drawing/2014/main" id="{7FF3E191-9E71-4CCE-A605-2CA8944C7F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3" name="Text Box 15">
          <a:extLst>
            <a:ext uri="{FF2B5EF4-FFF2-40B4-BE49-F238E27FC236}">
              <a16:creationId xmlns:a16="http://schemas.microsoft.com/office/drawing/2014/main" id="{DFD33F86-4D95-4D8E-9085-C651586A44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4" name="Text Box 15">
          <a:extLst>
            <a:ext uri="{FF2B5EF4-FFF2-40B4-BE49-F238E27FC236}">
              <a16:creationId xmlns:a16="http://schemas.microsoft.com/office/drawing/2014/main" id="{9F171467-2756-4D25-80B2-987714113A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5" name="Text Box 15">
          <a:extLst>
            <a:ext uri="{FF2B5EF4-FFF2-40B4-BE49-F238E27FC236}">
              <a16:creationId xmlns:a16="http://schemas.microsoft.com/office/drawing/2014/main" id="{F4425F2C-C5CF-47D5-BEAD-5F61DE8902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86" name="Text Box 15">
          <a:extLst>
            <a:ext uri="{FF2B5EF4-FFF2-40B4-BE49-F238E27FC236}">
              <a16:creationId xmlns:a16="http://schemas.microsoft.com/office/drawing/2014/main" id="{D90B288B-FB9A-4BD7-86A8-96B9A0D2FE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87" name="Text Box 15">
          <a:extLst>
            <a:ext uri="{FF2B5EF4-FFF2-40B4-BE49-F238E27FC236}">
              <a16:creationId xmlns:a16="http://schemas.microsoft.com/office/drawing/2014/main" id="{371D61A0-24A8-4C9C-8382-B76FDFDC88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88" name="Text Box 15">
          <a:extLst>
            <a:ext uri="{FF2B5EF4-FFF2-40B4-BE49-F238E27FC236}">
              <a16:creationId xmlns:a16="http://schemas.microsoft.com/office/drawing/2014/main" id="{B54B2E57-BC74-48CE-891B-213FB7E20D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89" name="Text Box 15">
          <a:extLst>
            <a:ext uri="{FF2B5EF4-FFF2-40B4-BE49-F238E27FC236}">
              <a16:creationId xmlns:a16="http://schemas.microsoft.com/office/drawing/2014/main" id="{AAFD3BE0-5707-4577-A795-BE93FA6FF1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90" name="Text Box 15">
          <a:extLst>
            <a:ext uri="{FF2B5EF4-FFF2-40B4-BE49-F238E27FC236}">
              <a16:creationId xmlns:a16="http://schemas.microsoft.com/office/drawing/2014/main" id="{DCE6BAE8-A5F1-441F-8FC4-781CDF91CD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1" name="Text Box 15">
          <a:extLst>
            <a:ext uri="{FF2B5EF4-FFF2-40B4-BE49-F238E27FC236}">
              <a16:creationId xmlns:a16="http://schemas.microsoft.com/office/drawing/2014/main" id="{D2D862AE-605B-4B32-B1CA-DBA8E6EC97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2" name="Text Box 15">
          <a:extLst>
            <a:ext uri="{FF2B5EF4-FFF2-40B4-BE49-F238E27FC236}">
              <a16:creationId xmlns:a16="http://schemas.microsoft.com/office/drawing/2014/main" id="{08D9DADD-D79B-411D-9B09-0940CB9954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3" name="Text Box 15">
          <a:extLst>
            <a:ext uri="{FF2B5EF4-FFF2-40B4-BE49-F238E27FC236}">
              <a16:creationId xmlns:a16="http://schemas.microsoft.com/office/drawing/2014/main" id="{EC838D0C-3908-439F-B3E0-B7C3A83E08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4" name="Text Box 15">
          <a:extLst>
            <a:ext uri="{FF2B5EF4-FFF2-40B4-BE49-F238E27FC236}">
              <a16:creationId xmlns:a16="http://schemas.microsoft.com/office/drawing/2014/main" id="{A12F12B0-6252-4A5C-B74E-94C72F0F49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5" name="Text Box 15">
          <a:extLst>
            <a:ext uri="{FF2B5EF4-FFF2-40B4-BE49-F238E27FC236}">
              <a16:creationId xmlns:a16="http://schemas.microsoft.com/office/drawing/2014/main" id="{37971182-C8BC-403C-BBE3-49CAB02EE9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6" name="Text Box 15">
          <a:extLst>
            <a:ext uri="{FF2B5EF4-FFF2-40B4-BE49-F238E27FC236}">
              <a16:creationId xmlns:a16="http://schemas.microsoft.com/office/drawing/2014/main" id="{DFF3A4B4-9B22-4A07-AD1E-CC6BADFBE1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7" name="Text Box 15">
          <a:extLst>
            <a:ext uri="{FF2B5EF4-FFF2-40B4-BE49-F238E27FC236}">
              <a16:creationId xmlns:a16="http://schemas.microsoft.com/office/drawing/2014/main" id="{73AC92DC-06D1-4B9B-99E0-86773A846B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8" name="Text Box 15">
          <a:extLst>
            <a:ext uri="{FF2B5EF4-FFF2-40B4-BE49-F238E27FC236}">
              <a16:creationId xmlns:a16="http://schemas.microsoft.com/office/drawing/2014/main" id="{DE3FBB7E-101F-4D10-B95E-0966DF885A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9" name="Text Box 15">
          <a:extLst>
            <a:ext uri="{FF2B5EF4-FFF2-40B4-BE49-F238E27FC236}">
              <a16:creationId xmlns:a16="http://schemas.microsoft.com/office/drawing/2014/main" id="{8D2FECCC-7071-488E-983F-091ABB8781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00" name="Text Box 15">
          <a:extLst>
            <a:ext uri="{FF2B5EF4-FFF2-40B4-BE49-F238E27FC236}">
              <a16:creationId xmlns:a16="http://schemas.microsoft.com/office/drawing/2014/main" id="{1626CCAD-5DC8-4C45-B951-7487D416057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01" name="Text Box 15">
          <a:extLst>
            <a:ext uri="{FF2B5EF4-FFF2-40B4-BE49-F238E27FC236}">
              <a16:creationId xmlns:a16="http://schemas.microsoft.com/office/drawing/2014/main" id="{F6F586A4-824C-444C-AD0A-864C777A59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02" name="Text Box 15">
          <a:extLst>
            <a:ext uri="{FF2B5EF4-FFF2-40B4-BE49-F238E27FC236}">
              <a16:creationId xmlns:a16="http://schemas.microsoft.com/office/drawing/2014/main" id="{C7E07C15-6D2E-4BA3-B4B9-45583F2948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03" name="Text Box 15">
          <a:extLst>
            <a:ext uri="{FF2B5EF4-FFF2-40B4-BE49-F238E27FC236}">
              <a16:creationId xmlns:a16="http://schemas.microsoft.com/office/drawing/2014/main" id="{20C5E7BA-E7CB-4B2C-8A89-9E5D75A279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04" name="Text Box 15">
          <a:extLst>
            <a:ext uri="{FF2B5EF4-FFF2-40B4-BE49-F238E27FC236}">
              <a16:creationId xmlns:a16="http://schemas.microsoft.com/office/drawing/2014/main" id="{E547F077-70BF-4259-BA59-5059D4B0A4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05" name="Text Box 15">
          <a:extLst>
            <a:ext uri="{FF2B5EF4-FFF2-40B4-BE49-F238E27FC236}">
              <a16:creationId xmlns:a16="http://schemas.microsoft.com/office/drawing/2014/main" id="{7205F45F-919E-4E1C-A9E1-4CBB2DBA7E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06" name="Text Box 15">
          <a:extLst>
            <a:ext uri="{FF2B5EF4-FFF2-40B4-BE49-F238E27FC236}">
              <a16:creationId xmlns:a16="http://schemas.microsoft.com/office/drawing/2014/main" id="{48694A82-BF54-436B-B3D8-AB27FB58BE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07" name="Text Box 15">
          <a:extLst>
            <a:ext uri="{FF2B5EF4-FFF2-40B4-BE49-F238E27FC236}">
              <a16:creationId xmlns:a16="http://schemas.microsoft.com/office/drawing/2014/main" id="{0E820CBB-0AFD-482E-8D2E-BB32C4E274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08" name="Text Box 15">
          <a:extLst>
            <a:ext uri="{FF2B5EF4-FFF2-40B4-BE49-F238E27FC236}">
              <a16:creationId xmlns:a16="http://schemas.microsoft.com/office/drawing/2014/main" id="{46C35D21-2D30-4380-9472-F7B234E277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09" name="Text Box 15">
          <a:extLst>
            <a:ext uri="{FF2B5EF4-FFF2-40B4-BE49-F238E27FC236}">
              <a16:creationId xmlns:a16="http://schemas.microsoft.com/office/drawing/2014/main" id="{244F7192-8DB8-4ABD-82A1-7F5057CB7A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0" name="Text Box 15">
          <a:extLst>
            <a:ext uri="{FF2B5EF4-FFF2-40B4-BE49-F238E27FC236}">
              <a16:creationId xmlns:a16="http://schemas.microsoft.com/office/drawing/2014/main" id="{C2C73A4A-9CA1-4F55-82AF-906AFF0A993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1" name="Text Box 15">
          <a:extLst>
            <a:ext uri="{FF2B5EF4-FFF2-40B4-BE49-F238E27FC236}">
              <a16:creationId xmlns:a16="http://schemas.microsoft.com/office/drawing/2014/main" id="{10EBB85E-D641-466B-A63A-DBC996DAA0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2" name="Text Box 15">
          <a:extLst>
            <a:ext uri="{FF2B5EF4-FFF2-40B4-BE49-F238E27FC236}">
              <a16:creationId xmlns:a16="http://schemas.microsoft.com/office/drawing/2014/main" id="{5A5BF46B-F387-4D55-A61A-662FC8B3C5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3" name="Text Box 15">
          <a:extLst>
            <a:ext uri="{FF2B5EF4-FFF2-40B4-BE49-F238E27FC236}">
              <a16:creationId xmlns:a16="http://schemas.microsoft.com/office/drawing/2014/main" id="{B82E0501-CADA-42B3-86D9-3D92B92585F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4" name="Text Box 15">
          <a:extLst>
            <a:ext uri="{FF2B5EF4-FFF2-40B4-BE49-F238E27FC236}">
              <a16:creationId xmlns:a16="http://schemas.microsoft.com/office/drawing/2014/main" id="{1A3F8CE8-77FC-4AC4-BBEB-5FB157262E0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5" name="Text Box 15">
          <a:extLst>
            <a:ext uri="{FF2B5EF4-FFF2-40B4-BE49-F238E27FC236}">
              <a16:creationId xmlns:a16="http://schemas.microsoft.com/office/drawing/2014/main" id="{805314F4-947A-4B89-84BB-6C8FA20F7F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16" name="Text Box 15">
          <a:extLst>
            <a:ext uri="{FF2B5EF4-FFF2-40B4-BE49-F238E27FC236}">
              <a16:creationId xmlns:a16="http://schemas.microsoft.com/office/drawing/2014/main" id="{17ECD8E2-E0AB-4CCE-A6A6-DAA80CA8A58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17" name="Text Box 15">
          <a:extLst>
            <a:ext uri="{FF2B5EF4-FFF2-40B4-BE49-F238E27FC236}">
              <a16:creationId xmlns:a16="http://schemas.microsoft.com/office/drawing/2014/main" id="{F4548481-FFBC-4D20-AA08-ECB6DECD4F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18" name="Text Box 15">
          <a:extLst>
            <a:ext uri="{FF2B5EF4-FFF2-40B4-BE49-F238E27FC236}">
              <a16:creationId xmlns:a16="http://schemas.microsoft.com/office/drawing/2014/main" id="{FA90EDA8-D8BD-4B0F-BBA7-0A40ACD3BC1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19" name="Text Box 15">
          <a:extLst>
            <a:ext uri="{FF2B5EF4-FFF2-40B4-BE49-F238E27FC236}">
              <a16:creationId xmlns:a16="http://schemas.microsoft.com/office/drawing/2014/main" id="{A5951DF4-BE2A-417E-B2F0-70A69C8B4C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20" name="Text Box 15">
          <a:extLst>
            <a:ext uri="{FF2B5EF4-FFF2-40B4-BE49-F238E27FC236}">
              <a16:creationId xmlns:a16="http://schemas.microsoft.com/office/drawing/2014/main" id="{C9C081D6-9241-4029-82D9-032D92398A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1" name="Text Box 15">
          <a:extLst>
            <a:ext uri="{FF2B5EF4-FFF2-40B4-BE49-F238E27FC236}">
              <a16:creationId xmlns:a16="http://schemas.microsoft.com/office/drawing/2014/main" id="{6D06E2DD-0EBE-49CA-AC4D-55CC9A3A09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2" name="Text Box 15">
          <a:extLst>
            <a:ext uri="{FF2B5EF4-FFF2-40B4-BE49-F238E27FC236}">
              <a16:creationId xmlns:a16="http://schemas.microsoft.com/office/drawing/2014/main" id="{E6DE38B9-F81B-4F10-AF6B-D3CE630B0F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3" name="Text Box 15">
          <a:extLst>
            <a:ext uri="{FF2B5EF4-FFF2-40B4-BE49-F238E27FC236}">
              <a16:creationId xmlns:a16="http://schemas.microsoft.com/office/drawing/2014/main" id="{E4C2CA31-1505-4F94-BA6A-BFA4221D70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4" name="Text Box 15">
          <a:extLst>
            <a:ext uri="{FF2B5EF4-FFF2-40B4-BE49-F238E27FC236}">
              <a16:creationId xmlns:a16="http://schemas.microsoft.com/office/drawing/2014/main" id="{D98DB2EB-6D8D-4EE9-A301-0517F83D0D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5" name="Text Box 15">
          <a:extLst>
            <a:ext uri="{FF2B5EF4-FFF2-40B4-BE49-F238E27FC236}">
              <a16:creationId xmlns:a16="http://schemas.microsoft.com/office/drawing/2014/main" id="{33337BBA-32B0-4B6B-93AA-BAE996D0C4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6" name="Text Box 15">
          <a:extLst>
            <a:ext uri="{FF2B5EF4-FFF2-40B4-BE49-F238E27FC236}">
              <a16:creationId xmlns:a16="http://schemas.microsoft.com/office/drawing/2014/main" id="{4D56E62B-2916-454B-8EE0-706AE0AD6D6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7" name="Text Box 15">
          <a:extLst>
            <a:ext uri="{FF2B5EF4-FFF2-40B4-BE49-F238E27FC236}">
              <a16:creationId xmlns:a16="http://schemas.microsoft.com/office/drawing/2014/main" id="{6EADDCEA-6A2A-437D-BD8E-DE023A68D2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8" name="Text Box 15">
          <a:extLst>
            <a:ext uri="{FF2B5EF4-FFF2-40B4-BE49-F238E27FC236}">
              <a16:creationId xmlns:a16="http://schemas.microsoft.com/office/drawing/2014/main" id="{8351A486-CDD5-4D9F-BEE9-7F37A9E48A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9" name="Text Box 15">
          <a:extLst>
            <a:ext uri="{FF2B5EF4-FFF2-40B4-BE49-F238E27FC236}">
              <a16:creationId xmlns:a16="http://schemas.microsoft.com/office/drawing/2014/main" id="{7C885631-761C-47E0-A8E4-199B16B95D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30" name="Text Box 15">
          <a:extLst>
            <a:ext uri="{FF2B5EF4-FFF2-40B4-BE49-F238E27FC236}">
              <a16:creationId xmlns:a16="http://schemas.microsoft.com/office/drawing/2014/main" id="{A5604C53-4782-4951-96AA-9FD5BC0FA3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31" name="Text Box 15">
          <a:extLst>
            <a:ext uri="{FF2B5EF4-FFF2-40B4-BE49-F238E27FC236}">
              <a16:creationId xmlns:a16="http://schemas.microsoft.com/office/drawing/2014/main" id="{08A6CCA2-08E9-4DEA-8A94-A7A8770338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32" name="Text Box 15">
          <a:extLst>
            <a:ext uri="{FF2B5EF4-FFF2-40B4-BE49-F238E27FC236}">
              <a16:creationId xmlns:a16="http://schemas.microsoft.com/office/drawing/2014/main" id="{6616D470-9EAA-4E7D-A07F-C5D3317A69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33" name="Text Box 15">
          <a:extLst>
            <a:ext uri="{FF2B5EF4-FFF2-40B4-BE49-F238E27FC236}">
              <a16:creationId xmlns:a16="http://schemas.microsoft.com/office/drawing/2014/main" id="{CA2C65C8-F013-4BD0-8004-04E836221B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34" name="Text Box 15">
          <a:extLst>
            <a:ext uri="{FF2B5EF4-FFF2-40B4-BE49-F238E27FC236}">
              <a16:creationId xmlns:a16="http://schemas.microsoft.com/office/drawing/2014/main" id="{1EA13F1C-82F8-4FE5-AE8C-6BF5272E6A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35" name="Text Box 15">
          <a:extLst>
            <a:ext uri="{FF2B5EF4-FFF2-40B4-BE49-F238E27FC236}">
              <a16:creationId xmlns:a16="http://schemas.microsoft.com/office/drawing/2014/main" id="{850D74D8-73AD-4836-9C15-A2708DCD57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36" name="Text Box 15">
          <a:extLst>
            <a:ext uri="{FF2B5EF4-FFF2-40B4-BE49-F238E27FC236}">
              <a16:creationId xmlns:a16="http://schemas.microsoft.com/office/drawing/2014/main" id="{39D22420-E472-4220-9E11-DBB0AD48C9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37" name="Text Box 15">
          <a:extLst>
            <a:ext uri="{FF2B5EF4-FFF2-40B4-BE49-F238E27FC236}">
              <a16:creationId xmlns:a16="http://schemas.microsoft.com/office/drawing/2014/main" id="{8AF785A3-C628-4358-B051-7E80669496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38" name="Text Box 15">
          <a:extLst>
            <a:ext uri="{FF2B5EF4-FFF2-40B4-BE49-F238E27FC236}">
              <a16:creationId xmlns:a16="http://schemas.microsoft.com/office/drawing/2014/main" id="{A76B2821-D00F-4A44-90B7-273226993A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39" name="Text Box 15">
          <a:extLst>
            <a:ext uri="{FF2B5EF4-FFF2-40B4-BE49-F238E27FC236}">
              <a16:creationId xmlns:a16="http://schemas.microsoft.com/office/drawing/2014/main" id="{9EC1AD58-C9A9-490F-B380-EAABC9DDBC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0" name="Text Box 15">
          <a:extLst>
            <a:ext uri="{FF2B5EF4-FFF2-40B4-BE49-F238E27FC236}">
              <a16:creationId xmlns:a16="http://schemas.microsoft.com/office/drawing/2014/main" id="{157C788D-C2BB-44AD-841F-37E51D4F46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1" name="Text Box 15">
          <a:extLst>
            <a:ext uri="{FF2B5EF4-FFF2-40B4-BE49-F238E27FC236}">
              <a16:creationId xmlns:a16="http://schemas.microsoft.com/office/drawing/2014/main" id="{AA7206FE-D039-4FEF-B286-74ACF212F0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2" name="Text Box 15">
          <a:extLst>
            <a:ext uri="{FF2B5EF4-FFF2-40B4-BE49-F238E27FC236}">
              <a16:creationId xmlns:a16="http://schemas.microsoft.com/office/drawing/2014/main" id="{6EB6C976-4705-4092-83D6-35DA56285C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3" name="Text Box 15">
          <a:extLst>
            <a:ext uri="{FF2B5EF4-FFF2-40B4-BE49-F238E27FC236}">
              <a16:creationId xmlns:a16="http://schemas.microsoft.com/office/drawing/2014/main" id="{A7C9F944-BA37-427B-85B9-C8C53B304B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4" name="Text Box 15">
          <a:extLst>
            <a:ext uri="{FF2B5EF4-FFF2-40B4-BE49-F238E27FC236}">
              <a16:creationId xmlns:a16="http://schemas.microsoft.com/office/drawing/2014/main" id="{DEDF9D95-8032-4CF4-934D-1660DCA4D6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5" name="Text Box 15">
          <a:extLst>
            <a:ext uri="{FF2B5EF4-FFF2-40B4-BE49-F238E27FC236}">
              <a16:creationId xmlns:a16="http://schemas.microsoft.com/office/drawing/2014/main" id="{78A37724-608E-4C1A-9495-EC73173F78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46" name="Text Box 15">
          <a:extLst>
            <a:ext uri="{FF2B5EF4-FFF2-40B4-BE49-F238E27FC236}">
              <a16:creationId xmlns:a16="http://schemas.microsoft.com/office/drawing/2014/main" id="{FB63AAA6-8D29-4A31-80CA-CE7C8131C7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47" name="Text Box 15">
          <a:extLst>
            <a:ext uri="{FF2B5EF4-FFF2-40B4-BE49-F238E27FC236}">
              <a16:creationId xmlns:a16="http://schemas.microsoft.com/office/drawing/2014/main" id="{EE5EC4D8-873B-460E-A703-E0FE1C048E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48" name="Text Box 15">
          <a:extLst>
            <a:ext uri="{FF2B5EF4-FFF2-40B4-BE49-F238E27FC236}">
              <a16:creationId xmlns:a16="http://schemas.microsoft.com/office/drawing/2014/main" id="{1FC57EE0-76E7-43CA-9D12-A7CE55C3C2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49" name="Text Box 15">
          <a:extLst>
            <a:ext uri="{FF2B5EF4-FFF2-40B4-BE49-F238E27FC236}">
              <a16:creationId xmlns:a16="http://schemas.microsoft.com/office/drawing/2014/main" id="{60021F9E-665F-488B-AF0F-673A93FC76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50" name="Text Box 15">
          <a:extLst>
            <a:ext uri="{FF2B5EF4-FFF2-40B4-BE49-F238E27FC236}">
              <a16:creationId xmlns:a16="http://schemas.microsoft.com/office/drawing/2014/main" id="{2AFD656F-86B6-4B15-BEDA-046B12BF15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1" name="Text Box 15">
          <a:extLst>
            <a:ext uri="{FF2B5EF4-FFF2-40B4-BE49-F238E27FC236}">
              <a16:creationId xmlns:a16="http://schemas.microsoft.com/office/drawing/2014/main" id="{656F793C-D61E-4FCC-A0EE-5B3E129628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2" name="Text Box 15">
          <a:extLst>
            <a:ext uri="{FF2B5EF4-FFF2-40B4-BE49-F238E27FC236}">
              <a16:creationId xmlns:a16="http://schemas.microsoft.com/office/drawing/2014/main" id="{25905F49-A3A0-45B4-9942-21EDC58018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3" name="Text Box 15">
          <a:extLst>
            <a:ext uri="{FF2B5EF4-FFF2-40B4-BE49-F238E27FC236}">
              <a16:creationId xmlns:a16="http://schemas.microsoft.com/office/drawing/2014/main" id="{0B5E2AE7-819E-4296-B8C6-186105CD43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4" name="Text Box 15">
          <a:extLst>
            <a:ext uri="{FF2B5EF4-FFF2-40B4-BE49-F238E27FC236}">
              <a16:creationId xmlns:a16="http://schemas.microsoft.com/office/drawing/2014/main" id="{62BDF6D0-D90B-4B21-A3F7-C0FC296A81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5" name="Text Box 15">
          <a:extLst>
            <a:ext uri="{FF2B5EF4-FFF2-40B4-BE49-F238E27FC236}">
              <a16:creationId xmlns:a16="http://schemas.microsoft.com/office/drawing/2014/main" id="{3039CFBC-5656-4354-8EE9-BB099F5E5F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6" name="Text Box 15">
          <a:extLst>
            <a:ext uri="{FF2B5EF4-FFF2-40B4-BE49-F238E27FC236}">
              <a16:creationId xmlns:a16="http://schemas.microsoft.com/office/drawing/2014/main" id="{F000E999-DC07-4279-A112-0C70689E0C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7" name="Text Box 15">
          <a:extLst>
            <a:ext uri="{FF2B5EF4-FFF2-40B4-BE49-F238E27FC236}">
              <a16:creationId xmlns:a16="http://schemas.microsoft.com/office/drawing/2014/main" id="{050C2021-6D72-42FE-AA94-090744BEEE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8" name="Text Box 15">
          <a:extLst>
            <a:ext uri="{FF2B5EF4-FFF2-40B4-BE49-F238E27FC236}">
              <a16:creationId xmlns:a16="http://schemas.microsoft.com/office/drawing/2014/main" id="{C18355A8-8AD3-4090-AE8F-8075736AC0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9" name="Text Box 15">
          <a:extLst>
            <a:ext uri="{FF2B5EF4-FFF2-40B4-BE49-F238E27FC236}">
              <a16:creationId xmlns:a16="http://schemas.microsoft.com/office/drawing/2014/main" id="{CBC59578-FBDB-4DC6-AB77-E88BB115CF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0" name="Text Box 15">
          <a:extLst>
            <a:ext uri="{FF2B5EF4-FFF2-40B4-BE49-F238E27FC236}">
              <a16:creationId xmlns:a16="http://schemas.microsoft.com/office/drawing/2014/main" id="{FA4B7993-25BA-4502-A9AC-FE541D3D231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61" name="Text Box 15">
          <a:extLst>
            <a:ext uri="{FF2B5EF4-FFF2-40B4-BE49-F238E27FC236}">
              <a16:creationId xmlns:a16="http://schemas.microsoft.com/office/drawing/2014/main" id="{60AC97AF-6C00-4A34-AF24-59163831A5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62" name="Text Box 15">
          <a:extLst>
            <a:ext uri="{FF2B5EF4-FFF2-40B4-BE49-F238E27FC236}">
              <a16:creationId xmlns:a16="http://schemas.microsoft.com/office/drawing/2014/main" id="{4E039536-7CF7-4D68-98B0-DB4E464D030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63" name="Text Box 15">
          <a:extLst>
            <a:ext uri="{FF2B5EF4-FFF2-40B4-BE49-F238E27FC236}">
              <a16:creationId xmlns:a16="http://schemas.microsoft.com/office/drawing/2014/main" id="{EFF3D7CF-3EAE-41F9-9275-6924866643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4" name="Text Box 15">
          <a:extLst>
            <a:ext uri="{FF2B5EF4-FFF2-40B4-BE49-F238E27FC236}">
              <a16:creationId xmlns:a16="http://schemas.microsoft.com/office/drawing/2014/main" id="{B548FC08-3E16-40D5-905F-55AF4249F7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5" name="Text Box 15">
          <a:extLst>
            <a:ext uri="{FF2B5EF4-FFF2-40B4-BE49-F238E27FC236}">
              <a16:creationId xmlns:a16="http://schemas.microsoft.com/office/drawing/2014/main" id="{AB0D53F3-0250-4FF3-94F0-799C9F18BB9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6" name="Text Box 15">
          <a:extLst>
            <a:ext uri="{FF2B5EF4-FFF2-40B4-BE49-F238E27FC236}">
              <a16:creationId xmlns:a16="http://schemas.microsoft.com/office/drawing/2014/main" id="{E2634FC5-8A7F-4894-8DA8-9C88F868597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7" name="Text Box 15">
          <a:extLst>
            <a:ext uri="{FF2B5EF4-FFF2-40B4-BE49-F238E27FC236}">
              <a16:creationId xmlns:a16="http://schemas.microsoft.com/office/drawing/2014/main" id="{07DE400F-59AC-4174-AD91-DC703BDA2F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8" name="Text Box 15">
          <a:extLst>
            <a:ext uri="{FF2B5EF4-FFF2-40B4-BE49-F238E27FC236}">
              <a16:creationId xmlns:a16="http://schemas.microsoft.com/office/drawing/2014/main" id="{B58156AA-7ABD-4E11-98DE-D073A1E536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9" name="Text Box 15">
          <a:extLst>
            <a:ext uri="{FF2B5EF4-FFF2-40B4-BE49-F238E27FC236}">
              <a16:creationId xmlns:a16="http://schemas.microsoft.com/office/drawing/2014/main" id="{8A6F8676-8D2B-4E2C-9C22-44006E4D5A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70" name="Text Box 15">
          <a:extLst>
            <a:ext uri="{FF2B5EF4-FFF2-40B4-BE49-F238E27FC236}">
              <a16:creationId xmlns:a16="http://schemas.microsoft.com/office/drawing/2014/main" id="{85A46240-19CF-4422-88AD-27788CD9FD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71" name="Text Box 15">
          <a:extLst>
            <a:ext uri="{FF2B5EF4-FFF2-40B4-BE49-F238E27FC236}">
              <a16:creationId xmlns:a16="http://schemas.microsoft.com/office/drawing/2014/main" id="{13526DF8-6E0F-464A-930C-39D97328EE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72" name="Text Box 15">
          <a:extLst>
            <a:ext uri="{FF2B5EF4-FFF2-40B4-BE49-F238E27FC236}">
              <a16:creationId xmlns:a16="http://schemas.microsoft.com/office/drawing/2014/main" id="{CE12942B-48FC-4801-9D29-176D15F492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73" name="Text Box 15">
          <a:extLst>
            <a:ext uri="{FF2B5EF4-FFF2-40B4-BE49-F238E27FC236}">
              <a16:creationId xmlns:a16="http://schemas.microsoft.com/office/drawing/2014/main" id="{C0FBF2E8-D859-412D-95EE-687A95A2FEC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74" name="Text Box 15">
          <a:extLst>
            <a:ext uri="{FF2B5EF4-FFF2-40B4-BE49-F238E27FC236}">
              <a16:creationId xmlns:a16="http://schemas.microsoft.com/office/drawing/2014/main" id="{04D5A2B4-44D1-43C2-BB07-F7419D8FC0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75" name="Text Box 15">
          <a:extLst>
            <a:ext uri="{FF2B5EF4-FFF2-40B4-BE49-F238E27FC236}">
              <a16:creationId xmlns:a16="http://schemas.microsoft.com/office/drawing/2014/main" id="{40B7A6CA-3896-4E3B-9810-72FC93739C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76" name="Text Box 15">
          <a:extLst>
            <a:ext uri="{FF2B5EF4-FFF2-40B4-BE49-F238E27FC236}">
              <a16:creationId xmlns:a16="http://schemas.microsoft.com/office/drawing/2014/main" id="{1E4FA0EC-88BA-45E2-977C-B404E32369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77" name="Text Box 15">
          <a:extLst>
            <a:ext uri="{FF2B5EF4-FFF2-40B4-BE49-F238E27FC236}">
              <a16:creationId xmlns:a16="http://schemas.microsoft.com/office/drawing/2014/main" id="{30865723-4980-4D12-A631-1A90F53933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78" name="Text Box 15">
          <a:extLst>
            <a:ext uri="{FF2B5EF4-FFF2-40B4-BE49-F238E27FC236}">
              <a16:creationId xmlns:a16="http://schemas.microsoft.com/office/drawing/2014/main" id="{7AA592B5-2D03-4BDB-8439-154B792280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79" name="Text Box 15">
          <a:extLst>
            <a:ext uri="{FF2B5EF4-FFF2-40B4-BE49-F238E27FC236}">
              <a16:creationId xmlns:a16="http://schemas.microsoft.com/office/drawing/2014/main" id="{58824EF8-8E41-4A21-895B-0D81B1353F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0" name="Text Box 15">
          <a:extLst>
            <a:ext uri="{FF2B5EF4-FFF2-40B4-BE49-F238E27FC236}">
              <a16:creationId xmlns:a16="http://schemas.microsoft.com/office/drawing/2014/main" id="{C7DFC81A-EE6B-4B2C-9705-1F21658538A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1" name="Text Box 15">
          <a:extLst>
            <a:ext uri="{FF2B5EF4-FFF2-40B4-BE49-F238E27FC236}">
              <a16:creationId xmlns:a16="http://schemas.microsoft.com/office/drawing/2014/main" id="{51F58C14-5CC5-47AA-8DD7-24E09BB85E4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2" name="Text Box 15">
          <a:extLst>
            <a:ext uri="{FF2B5EF4-FFF2-40B4-BE49-F238E27FC236}">
              <a16:creationId xmlns:a16="http://schemas.microsoft.com/office/drawing/2014/main" id="{9CD4D937-0E74-4425-B326-6C52BAC903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3" name="Text Box 15">
          <a:extLst>
            <a:ext uri="{FF2B5EF4-FFF2-40B4-BE49-F238E27FC236}">
              <a16:creationId xmlns:a16="http://schemas.microsoft.com/office/drawing/2014/main" id="{F2284472-93A5-4059-B8F3-831DFFD722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4" name="Text Box 15">
          <a:extLst>
            <a:ext uri="{FF2B5EF4-FFF2-40B4-BE49-F238E27FC236}">
              <a16:creationId xmlns:a16="http://schemas.microsoft.com/office/drawing/2014/main" id="{A0B97C8D-9129-4FFC-B93C-F1D23CDC31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5" name="Text Box 15">
          <a:extLst>
            <a:ext uri="{FF2B5EF4-FFF2-40B4-BE49-F238E27FC236}">
              <a16:creationId xmlns:a16="http://schemas.microsoft.com/office/drawing/2014/main" id="{80530D94-1A6B-4E0A-82BB-432750C269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6" name="Text Box 15">
          <a:extLst>
            <a:ext uri="{FF2B5EF4-FFF2-40B4-BE49-F238E27FC236}">
              <a16:creationId xmlns:a16="http://schemas.microsoft.com/office/drawing/2014/main" id="{9A212F2E-99C4-4463-9D02-017B646D5D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7" name="Text Box 15">
          <a:extLst>
            <a:ext uri="{FF2B5EF4-FFF2-40B4-BE49-F238E27FC236}">
              <a16:creationId xmlns:a16="http://schemas.microsoft.com/office/drawing/2014/main" id="{A8F2B83D-5067-41CA-AC5E-3A3D66A5DC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8" name="Text Box 15">
          <a:extLst>
            <a:ext uri="{FF2B5EF4-FFF2-40B4-BE49-F238E27FC236}">
              <a16:creationId xmlns:a16="http://schemas.microsoft.com/office/drawing/2014/main" id="{37F33F99-EC28-4E54-B242-D11A307F39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89" name="Text Box 15">
          <a:extLst>
            <a:ext uri="{FF2B5EF4-FFF2-40B4-BE49-F238E27FC236}">
              <a16:creationId xmlns:a16="http://schemas.microsoft.com/office/drawing/2014/main" id="{770C4F90-9E66-45A3-8DF9-73F3821304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90" name="Text Box 15">
          <a:extLst>
            <a:ext uri="{FF2B5EF4-FFF2-40B4-BE49-F238E27FC236}">
              <a16:creationId xmlns:a16="http://schemas.microsoft.com/office/drawing/2014/main" id="{74662016-3585-411D-AE02-3CC93EF01D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91" name="Text Box 15">
          <a:extLst>
            <a:ext uri="{FF2B5EF4-FFF2-40B4-BE49-F238E27FC236}">
              <a16:creationId xmlns:a16="http://schemas.microsoft.com/office/drawing/2014/main" id="{AEDEEAC3-3024-467C-A67D-EDB94ECCC6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92" name="Text Box 15">
          <a:extLst>
            <a:ext uri="{FF2B5EF4-FFF2-40B4-BE49-F238E27FC236}">
              <a16:creationId xmlns:a16="http://schemas.microsoft.com/office/drawing/2014/main" id="{9AABC211-E8DD-4E43-A9E3-6051D3DB6D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93" name="Text Box 15">
          <a:extLst>
            <a:ext uri="{FF2B5EF4-FFF2-40B4-BE49-F238E27FC236}">
              <a16:creationId xmlns:a16="http://schemas.microsoft.com/office/drawing/2014/main" id="{693B7D77-1AFB-44B9-B51C-13DFAC10CC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4" name="Text Box 15">
          <a:extLst>
            <a:ext uri="{FF2B5EF4-FFF2-40B4-BE49-F238E27FC236}">
              <a16:creationId xmlns:a16="http://schemas.microsoft.com/office/drawing/2014/main" id="{0E72C1E6-42F8-4B9F-A7D7-34E2C400A7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5" name="Text Box 15">
          <a:extLst>
            <a:ext uri="{FF2B5EF4-FFF2-40B4-BE49-F238E27FC236}">
              <a16:creationId xmlns:a16="http://schemas.microsoft.com/office/drawing/2014/main" id="{132A3FFC-62B0-4C10-A079-978FE0C12D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6" name="Text Box 15">
          <a:extLst>
            <a:ext uri="{FF2B5EF4-FFF2-40B4-BE49-F238E27FC236}">
              <a16:creationId xmlns:a16="http://schemas.microsoft.com/office/drawing/2014/main" id="{DF500A5B-6696-4DE4-99F7-7DD198CE07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7" name="Text Box 15">
          <a:extLst>
            <a:ext uri="{FF2B5EF4-FFF2-40B4-BE49-F238E27FC236}">
              <a16:creationId xmlns:a16="http://schemas.microsoft.com/office/drawing/2014/main" id="{10E0A698-6CCB-4396-AF71-D9F60BAFF1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8" name="Text Box 15">
          <a:extLst>
            <a:ext uri="{FF2B5EF4-FFF2-40B4-BE49-F238E27FC236}">
              <a16:creationId xmlns:a16="http://schemas.microsoft.com/office/drawing/2014/main" id="{FF46FB80-C0D3-4922-9C6C-57E2C11C85F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9" name="Text Box 15">
          <a:extLst>
            <a:ext uri="{FF2B5EF4-FFF2-40B4-BE49-F238E27FC236}">
              <a16:creationId xmlns:a16="http://schemas.microsoft.com/office/drawing/2014/main" id="{CA15EDD2-F1BF-4E7D-937E-9FF8E7648E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00" name="Text Box 15">
          <a:extLst>
            <a:ext uri="{FF2B5EF4-FFF2-40B4-BE49-F238E27FC236}">
              <a16:creationId xmlns:a16="http://schemas.microsoft.com/office/drawing/2014/main" id="{A69F61CC-F53F-42CC-9D3F-0B1E29A6B2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01" name="Text Box 15">
          <a:extLst>
            <a:ext uri="{FF2B5EF4-FFF2-40B4-BE49-F238E27FC236}">
              <a16:creationId xmlns:a16="http://schemas.microsoft.com/office/drawing/2014/main" id="{2AF53FD3-9E52-410C-995F-741F9A0F5C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02" name="Text Box 15">
          <a:extLst>
            <a:ext uri="{FF2B5EF4-FFF2-40B4-BE49-F238E27FC236}">
              <a16:creationId xmlns:a16="http://schemas.microsoft.com/office/drawing/2014/main" id="{A3198E7D-2E70-4A65-9577-F01D96A0BE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03" name="Text Box 15">
          <a:extLst>
            <a:ext uri="{FF2B5EF4-FFF2-40B4-BE49-F238E27FC236}">
              <a16:creationId xmlns:a16="http://schemas.microsoft.com/office/drawing/2014/main" id="{8C254754-E6DF-477D-9E01-547FF7F0D4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04" name="Text Box 15">
          <a:extLst>
            <a:ext uri="{FF2B5EF4-FFF2-40B4-BE49-F238E27FC236}">
              <a16:creationId xmlns:a16="http://schemas.microsoft.com/office/drawing/2014/main" id="{DEBA6FB7-EF3A-44D6-9385-BD948AA76A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05" name="Text Box 15">
          <a:extLst>
            <a:ext uri="{FF2B5EF4-FFF2-40B4-BE49-F238E27FC236}">
              <a16:creationId xmlns:a16="http://schemas.microsoft.com/office/drawing/2014/main" id="{D05D74B1-05A3-42DE-AC51-CC868715A2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06" name="Text Box 15">
          <a:extLst>
            <a:ext uri="{FF2B5EF4-FFF2-40B4-BE49-F238E27FC236}">
              <a16:creationId xmlns:a16="http://schemas.microsoft.com/office/drawing/2014/main" id="{54940340-FDB7-4E0F-95FD-495A9C6771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07" name="Text Box 15">
          <a:extLst>
            <a:ext uri="{FF2B5EF4-FFF2-40B4-BE49-F238E27FC236}">
              <a16:creationId xmlns:a16="http://schemas.microsoft.com/office/drawing/2014/main" id="{3DF4AF99-A1A6-4923-9BEC-CF8FF1F007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08" name="Text Box 15">
          <a:extLst>
            <a:ext uri="{FF2B5EF4-FFF2-40B4-BE49-F238E27FC236}">
              <a16:creationId xmlns:a16="http://schemas.microsoft.com/office/drawing/2014/main" id="{7CD3F38C-FB4E-4C4D-BE34-BB1670332B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09" name="Text Box 15">
          <a:extLst>
            <a:ext uri="{FF2B5EF4-FFF2-40B4-BE49-F238E27FC236}">
              <a16:creationId xmlns:a16="http://schemas.microsoft.com/office/drawing/2014/main" id="{2CC438A1-D82B-43B7-8939-18ADDA0C5C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0" name="Text Box 15">
          <a:extLst>
            <a:ext uri="{FF2B5EF4-FFF2-40B4-BE49-F238E27FC236}">
              <a16:creationId xmlns:a16="http://schemas.microsoft.com/office/drawing/2014/main" id="{1AF60488-6696-4828-92F6-2869E919CE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1" name="Text Box 15">
          <a:extLst>
            <a:ext uri="{FF2B5EF4-FFF2-40B4-BE49-F238E27FC236}">
              <a16:creationId xmlns:a16="http://schemas.microsoft.com/office/drawing/2014/main" id="{A337C354-BFEF-437C-9267-B4AA533115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2" name="Text Box 15">
          <a:extLst>
            <a:ext uri="{FF2B5EF4-FFF2-40B4-BE49-F238E27FC236}">
              <a16:creationId xmlns:a16="http://schemas.microsoft.com/office/drawing/2014/main" id="{EEB4670B-B56D-4805-B8F7-811B76CEEA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3" name="Text Box 15">
          <a:extLst>
            <a:ext uri="{FF2B5EF4-FFF2-40B4-BE49-F238E27FC236}">
              <a16:creationId xmlns:a16="http://schemas.microsoft.com/office/drawing/2014/main" id="{925F5876-6B5A-4D1F-984F-D76837F628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4" name="Text Box 15">
          <a:extLst>
            <a:ext uri="{FF2B5EF4-FFF2-40B4-BE49-F238E27FC236}">
              <a16:creationId xmlns:a16="http://schemas.microsoft.com/office/drawing/2014/main" id="{6AB535B4-7C57-4008-AC74-E88B0DCA60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5" name="Text Box 15">
          <a:extLst>
            <a:ext uri="{FF2B5EF4-FFF2-40B4-BE49-F238E27FC236}">
              <a16:creationId xmlns:a16="http://schemas.microsoft.com/office/drawing/2014/main" id="{B3090EAE-80AE-48F7-A2DB-EF4369820D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6" name="Text Box 15">
          <a:extLst>
            <a:ext uri="{FF2B5EF4-FFF2-40B4-BE49-F238E27FC236}">
              <a16:creationId xmlns:a16="http://schemas.microsoft.com/office/drawing/2014/main" id="{B377E570-C3BF-46E7-9396-E643AA40F2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7" name="Text Box 15">
          <a:extLst>
            <a:ext uri="{FF2B5EF4-FFF2-40B4-BE49-F238E27FC236}">
              <a16:creationId xmlns:a16="http://schemas.microsoft.com/office/drawing/2014/main" id="{A4CE0F8A-A6E5-4E14-A0FB-62606A7E94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18" name="Text Box 15">
          <a:extLst>
            <a:ext uri="{FF2B5EF4-FFF2-40B4-BE49-F238E27FC236}">
              <a16:creationId xmlns:a16="http://schemas.microsoft.com/office/drawing/2014/main" id="{67201B1F-1E3F-4FBE-A2AD-E22E516B3A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19" name="Text Box 15">
          <a:extLst>
            <a:ext uri="{FF2B5EF4-FFF2-40B4-BE49-F238E27FC236}">
              <a16:creationId xmlns:a16="http://schemas.microsoft.com/office/drawing/2014/main" id="{C85895A1-2802-4FB1-87C4-FF82614CBB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28944"/>
    <xdr:sp macro="" textlink="">
      <xdr:nvSpPr>
        <xdr:cNvPr id="5420" name="Text Box 15">
          <a:extLst>
            <a:ext uri="{FF2B5EF4-FFF2-40B4-BE49-F238E27FC236}">
              <a16:creationId xmlns:a16="http://schemas.microsoft.com/office/drawing/2014/main" id="{7925489E-6C4A-4C7D-938A-260AD6FFBA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21" name="Text Box 15">
          <a:extLst>
            <a:ext uri="{FF2B5EF4-FFF2-40B4-BE49-F238E27FC236}">
              <a16:creationId xmlns:a16="http://schemas.microsoft.com/office/drawing/2014/main" id="{EF5BDE66-AE2B-4BDA-A00A-CD5BEF1396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22" name="Text Box 15">
          <a:extLst>
            <a:ext uri="{FF2B5EF4-FFF2-40B4-BE49-F238E27FC236}">
              <a16:creationId xmlns:a16="http://schemas.microsoft.com/office/drawing/2014/main" id="{130EFDD9-8D16-4C7C-AC92-0390A008A4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28944"/>
    <xdr:sp macro="" textlink="">
      <xdr:nvSpPr>
        <xdr:cNvPr id="5423" name="Text Box 15">
          <a:extLst>
            <a:ext uri="{FF2B5EF4-FFF2-40B4-BE49-F238E27FC236}">
              <a16:creationId xmlns:a16="http://schemas.microsoft.com/office/drawing/2014/main" id="{BE7CC1C5-C815-46A7-B0C5-BA133BD524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24" name="Text Box 15">
          <a:extLst>
            <a:ext uri="{FF2B5EF4-FFF2-40B4-BE49-F238E27FC236}">
              <a16:creationId xmlns:a16="http://schemas.microsoft.com/office/drawing/2014/main" id="{4BC1CE91-CA6D-4AC9-8FE8-0560349A8C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25" name="Text Box 15">
          <a:extLst>
            <a:ext uri="{FF2B5EF4-FFF2-40B4-BE49-F238E27FC236}">
              <a16:creationId xmlns:a16="http://schemas.microsoft.com/office/drawing/2014/main" id="{F6621E1B-9F36-4B6C-8E74-B1CA949B32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26" name="Text Box 15">
          <a:extLst>
            <a:ext uri="{FF2B5EF4-FFF2-40B4-BE49-F238E27FC236}">
              <a16:creationId xmlns:a16="http://schemas.microsoft.com/office/drawing/2014/main" id="{D637DFE4-E29D-4FD2-9BFE-F715985FF9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27" name="Text Box 15">
          <a:extLst>
            <a:ext uri="{FF2B5EF4-FFF2-40B4-BE49-F238E27FC236}">
              <a16:creationId xmlns:a16="http://schemas.microsoft.com/office/drawing/2014/main" id="{EF4B6682-2441-4F45-AA89-FB8ABEC649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28" name="Text Box 15">
          <a:extLst>
            <a:ext uri="{FF2B5EF4-FFF2-40B4-BE49-F238E27FC236}">
              <a16:creationId xmlns:a16="http://schemas.microsoft.com/office/drawing/2014/main" id="{AFB99E1E-A59B-440D-97B7-4D3ECE574E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29" name="Text Box 15">
          <a:extLst>
            <a:ext uri="{FF2B5EF4-FFF2-40B4-BE49-F238E27FC236}">
              <a16:creationId xmlns:a16="http://schemas.microsoft.com/office/drawing/2014/main" id="{D84796C9-7B10-439E-BBA2-A9E0C7C5B5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30" name="Text Box 15">
          <a:extLst>
            <a:ext uri="{FF2B5EF4-FFF2-40B4-BE49-F238E27FC236}">
              <a16:creationId xmlns:a16="http://schemas.microsoft.com/office/drawing/2014/main" id="{475C8081-992E-417E-811F-1E873D9C75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31" name="Text Box 15">
          <a:extLst>
            <a:ext uri="{FF2B5EF4-FFF2-40B4-BE49-F238E27FC236}">
              <a16:creationId xmlns:a16="http://schemas.microsoft.com/office/drawing/2014/main" id="{E0E4FF90-4B84-4696-B527-C8251666CC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32" name="Text Box 15">
          <a:extLst>
            <a:ext uri="{FF2B5EF4-FFF2-40B4-BE49-F238E27FC236}">
              <a16:creationId xmlns:a16="http://schemas.microsoft.com/office/drawing/2014/main" id="{46F58769-2A35-4206-8CCD-ADBB457139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33" name="Text Box 15">
          <a:extLst>
            <a:ext uri="{FF2B5EF4-FFF2-40B4-BE49-F238E27FC236}">
              <a16:creationId xmlns:a16="http://schemas.microsoft.com/office/drawing/2014/main" id="{8E9815FE-B561-449D-8F05-22619DB215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34" name="Text Box 15">
          <a:extLst>
            <a:ext uri="{FF2B5EF4-FFF2-40B4-BE49-F238E27FC236}">
              <a16:creationId xmlns:a16="http://schemas.microsoft.com/office/drawing/2014/main" id="{90939306-A405-4292-9FB6-E2554883A1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35" name="Text Box 15">
          <a:extLst>
            <a:ext uri="{FF2B5EF4-FFF2-40B4-BE49-F238E27FC236}">
              <a16:creationId xmlns:a16="http://schemas.microsoft.com/office/drawing/2014/main" id="{765C409F-0846-44FA-BD1C-349E5C49A5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28944"/>
    <xdr:sp macro="" textlink="">
      <xdr:nvSpPr>
        <xdr:cNvPr id="5436" name="Text Box 15">
          <a:extLst>
            <a:ext uri="{FF2B5EF4-FFF2-40B4-BE49-F238E27FC236}">
              <a16:creationId xmlns:a16="http://schemas.microsoft.com/office/drawing/2014/main" id="{44C6A3B9-FFBD-4177-A93E-21937CCD00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28944"/>
    <xdr:sp macro="" textlink="">
      <xdr:nvSpPr>
        <xdr:cNvPr id="5437" name="Text Box 15">
          <a:extLst>
            <a:ext uri="{FF2B5EF4-FFF2-40B4-BE49-F238E27FC236}">
              <a16:creationId xmlns:a16="http://schemas.microsoft.com/office/drawing/2014/main" id="{F7D5AA1D-8D28-4733-88C6-4E4B15C1F1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38" name="Text Box 15">
          <a:extLst>
            <a:ext uri="{FF2B5EF4-FFF2-40B4-BE49-F238E27FC236}">
              <a16:creationId xmlns:a16="http://schemas.microsoft.com/office/drawing/2014/main" id="{78949505-B716-4A0F-91E1-F129E7F6A5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39" name="Text Box 15">
          <a:extLst>
            <a:ext uri="{FF2B5EF4-FFF2-40B4-BE49-F238E27FC236}">
              <a16:creationId xmlns:a16="http://schemas.microsoft.com/office/drawing/2014/main" id="{4AC6EC45-28A7-4AD6-9E92-B0DFBDBFE6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0" name="Text Box 15">
          <a:extLst>
            <a:ext uri="{FF2B5EF4-FFF2-40B4-BE49-F238E27FC236}">
              <a16:creationId xmlns:a16="http://schemas.microsoft.com/office/drawing/2014/main" id="{C8493FAF-88ED-474E-B964-0D0E0FA4BF1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1" name="Text Box 15">
          <a:extLst>
            <a:ext uri="{FF2B5EF4-FFF2-40B4-BE49-F238E27FC236}">
              <a16:creationId xmlns:a16="http://schemas.microsoft.com/office/drawing/2014/main" id="{8181C04A-299A-4F17-A0C4-7018B52B59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2" name="Text Box 15">
          <a:extLst>
            <a:ext uri="{FF2B5EF4-FFF2-40B4-BE49-F238E27FC236}">
              <a16:creationId xmlns:a16="http://schemas.microsoft.com/office/drawing/2014/main" id="{3A05C60C-EDF5-4A16-826B-C048E00DBA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3" name="Text Box 15">
          <a:extLst>
            <a:ext uri="{FF2B5EF4-FFF2-40B4-BE49-F238E27FC236}">
              <a16:creationId xmlns:a16="http://schemas.microsoft.com/office/drawing/2014/main" id="{35F7F365-6761-4B7C-A775-3F3DAF6D44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4" name="Text Box 15">
          <a:extLst>
            <a:ext uri="{FF2B5EF4-FFF2-40B4-BE49-F238E27FC236}">
              <a16:creationId xmlns:a16="http://schemas.microsoft.com/office/drawing/2014/main" id="{41B88AF4-7BD5-4937-ACE3-A299BA5B7F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5" name="Text Box 15">
          <a:extLst>
            <a:ext uri="{FF2B5EF4-FFF2-40B4-BE49-F238E27FC236}">
              <a16:creationId xmlns:a16="http://schemas.microsoft.com/office/drawing/2014/main" id="{F5075B6F-DC72-4FF1-BDC1-89AD6FA2DA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6" name="Text Box 15">
          <a:extLst>
            <a:ext uri="{FF2B5EF4-FFF2-40B4-BE49-F238E27FC236}">
              <a16:creationId xmlns:a16="http://schemas.microsoft.com/office/drawing/2014/main" id="{74970239-F3FC-47FB-B3A2-87F494035A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7" name="Text Box 15">
          <a:extLst>
            <a:ext uri="{FF2B5EF4-FFF2-40B4-BE49-F238E27FC236}">
              <a16:creationId xmlns:a16="http://schemas.microsoft.com/office/drawing/2014/main" id="{082708E9-F68F-4353-998D-76B3AC2D9D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8" name="Text Box 15">
          <a:extLst>
            <a:ext uri="{FF2B5EF4-FFF2-40B4-BE49-F238E27FC236}">
              <a16:creationId xmlns:a16="http://schemas.microsoft.com/office/drawing/2014/main" id="{35A58108-5CDC-4740-A7DC-F53412EACD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9" name="Text Box 15">
          <a:extLst>
            <a:ext uri="{FF2B5EF4-FFF2-40B4-BE49-F238E27FC236}">
              <a16:creationId xmlns:a16="http://schemas.microsoft.com/office/drawing/2014/main" id="{1D860725-8BC4-49C7-8848-244A2FA1BA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0" name="Text Box 15">
          <a:extLst>
            <a:ext uri="{FF2B5EF4-FFF2-40B4-BE49-F238E27FC236}">
              <a16:creationId xmlns:a16="http://schemas.microsoft.com/office/drawing/2014/main" id="{DE96791E-B490-4113-91BB-9D82575A3E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1" name="Text Box 15">
          <a:extLst>
            <a:ext uri="{FF2B5EF4-FFF2-40B4-BE49-F238E27FC236}">
              <a16:creationId xmlns:a16="http://schemas.microsoft.com/office/drawing/2014/main" id="{754EAA4B-5464-40EF-8986-4834276DFED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2" name="Text Box 15">
          <a:extLst>
            <a:ext uri="{FF2B5EF4-FFF2-40B4-BE49-F238E27FC236}">
              <a16:creationId xmlns:a16="http://schemas.microsoft.com/office/drawing/2014/main" id="{1EDA7F6D-D6B3-4E79-8EAE-5620B6BC8B8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3" name="Text Box 15">
          <a:extLst>
            <a:ext uri="{FF2B5EF4-FFF2-40B4-BE49-F238E27FC236}">
              <a16:creationId xmlns:a16="http://schemas.microsoft.com/office/drawing/2014/main" id="{24592CDC-3D98-47B9-B533-C3FFBAD1A7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4" name="Text Box 15">
          <a:extLst>
            <a:ext uri="{FF2B5EF4-FFF2-40B4-BE49-F238E27FC236}">
              <a16:creationId xmlns:a16="http://schemas.microsoft.com/office/drawing/2014/main" id="{2A512CE2-F0D3-422C-BAED-ADED2507C25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5" name="Text Box 15">
          <a:extLst>
            <a:ext uri="{FF2B5EF4-FFF2-40B4-BE49-F238E27FC236}">
              <a16:creationId xmlns:a16="http://schemas.microsoft.com/office/drawing/2014/main" id="{9A81E4FC-F8F1-42B2-986A-F59DDCC4B4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6" name="Text Box 15">
          <a:extLst>
            <a:ext uri="{FF2B5EF4-FFF2-40B4-BE49-F238E27FC236}">
              <a16:creationId xmlns:a16="http://schemas.microsoft.com/office/drawing/2014/main" id="{9ED7B835-25F5-4F50-96BC-B51236D000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7" name="Text Box 15">
          <a:extLst>
            <a:ext uri="{FF2B5EF4-FFF2-40B4-BE49-F238E27FC236}">
              <a16:creationId xmlns:a16="http://schemas.microsoft.com/office/drawing/2014/main" id="{BE74D7B9-A1A0-42B2-A995-CAD7D3E8E4C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8" name="Text Box 15">
          <a:extLst>
            <a:ext uri="{FF2B5EF4-FFF2-40B4-BE49-F238E27FC236}">
              <a16:creationId xmlns:a16="http://schemas.microsoft.com/office/drawing/2014/main" id="{B3E9B213-80CA-4C76-8AF7-2A3C409C14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9" name="Text Box 15">
          <a:extLst>
            <a:ext uri="{FF2B5EF4-FFF2-40B4-BE49-F238E27FC236}">
              <a16:creationId xmlns:a16="http://schemas.microsoft.com/office/drawing/2014/main" id="{68E1D3A5-0297-4F2D-BF90-09C66B0566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0" name="Text Box 15">
          <a:extLst>
            <a:ext uri="{FF2B5EF4-FFF2-40B4-BE49-F238E27FC236}">
              <a16:creationId xmlns:a16="http://schemas.microsoft.com/office/drawing/2014/main" id="{A75D4BF1-59B1-4C21-898F-D7539C52D4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1" name="Text Box 15">
          <a:extLst>
            <a:ext uri="{FF2B5EF4-FFF2-40B4-BE49-F238E27FC236}">
              <a16:creationId xmlns:a16="http://schemas.microsoft.com/office/drawing/2014/main" id="{8BE3352F-60A7-46CE-8103-6989737C61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2" name="Text Box 15">
          <a:extLst>
            <a:ext uri="{FF2B5EF4-FFF2-40B4-BE49-F238E27FC236}">
              <a16:creationId xmlns:a16="http://schemas.microsoft.com/office/drawing/2014/main" id="{E2981165-BA94-4BE5-97B8-05129A6100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3" name="Text Box 15">
          <a:extLst>
            <a:ext uri="{FF2B5EF4-FFF2-40B4-BE49-F238E27FC236}">
              <a16:creationId xmlns:a16="http://schemas.microsoft.com/office/drawing/2014/main" id="{3A5CCDB5-5CC3-4065-B3ED-28311FB0FA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4" name="Text Box 15">
          <a:extLst>
            <a:ext uri="{FF2B5EF4-FFF2-40B4-BE49-F238E27FC236}">
              <a16:creationId xmlns:a16="http://schemas.microsoft.com/office/drawing/2014/main" id="{955A7032-8FAE-4ABE-ABD6-5FF52141DA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5" name="Text Box 15">
          <a:extLst>
            <a:ext uri="{FF2B5EF4-FFF2-40B4-BE49-F238E27FC236}">
              <a16:creationId xmlns:a16="http://schemas.microsoft.com/office/drawing/2014/main" id="{B72E1352-58C6-401D-85D9-F898B6D94F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6" name="Text Box 15">
          <a:extLst>
            <a:ext uri="{FF2B5EF4-FFF2-40B4-BE49-F238E27FC236}">
              <a16:creationId xmlns:a16="http://schemas.microsoft.com/office/drawing/2014/main" id="{283809C9-5A55-4E4E-A057-23EE6E06E0D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7" name="Text Box 15">
          <a:extLst>
            <a:ext uri="{FF2B5EF4-FFF2-40B4-BE49-F238E27FC236}">
              <a16:creationId xmlns:a16="http://schemas.microsoft.com/office/drawing/2014/main" id="{3E2C96E5-B39B-4BC7-BB7D-266FA0F08A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8" name="Text Box 15">
          <a:extLst>
            <a:ext uri="{FF2B5EF4-FFF2-40B4-BE49-F238E27FC236}">
              <a16:creationId xmlns:a16="http://schemas.microsoft.com/office/drawing/2014/main" id="{6B6908AD-69DF-4A1A-958B-334F331CAD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9" name="Text Box 15">
          <a:extLst>
            <a:ext uri="{FF2B5EF4-FFF2-40B4-BE49-F238E27FC236}">
              <a16:creationId xmlns:a16="http://schemas.microsoft.com/office/drawing/2014/main" id="{1F66FB24-448C-4AFA-B7B0-D29933D28A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0" name="Text Box 15">
          <a:extLst>
            <a:ext uri="{FF2B5EF4-FFF2-40B4-BE49-F238E27FC236}">
              <a16:creationId xmlns:a16="http://schemas.microsoft.com/office/drawing/2014/main" id="{A5661E40-D324-43F2-BC48-EA59DB3696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1" name="Text Box 15">
          <a:extLst>
            <a:ext uri="{FF2B5EF4-FFF2-40B4-BE49-F238E27FC236}">
              <a16:creationId xmlns:a16="http://schemas.microsoft.com/office/drawing/2014/main" id="{79685CCD-C346-499F-89B3-FF8F9B6BB2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2" name="Text Box 15">
          <a:extLst>
            <a:ext uri="{FF2B5EF4-FFF2-40B4-BE49-F238E27FC236}">
              <a16:creationId xmlns:a16="http://schemas.microsoft.com/office/drawing/2014/main" id="{177FA593-34EA-4B3D-A4DC-B3BACE2A68B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3" name="Text Box 15">
          <a:extLst>
            <a:ext uri="{FF2B5EF4-FFF2-40B4-BE49-F238E27FC236}">
              <a16:creationId xmlns:a16="http://schemas.microsoft.com/office/drawing/2014/main" id="{601AE768-4C5A-4330-80B4-2C2A27A1A4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4" name="Text Box 15">
          <a:extLst>
            <a:ext uri="{FF2B5EF4-FFF2-40B4-BE49-F238E27FC236}">
              <a16:creationId xmlns:a16="http://schemas.microsoft.com/office/drawing/2014/main" id="{3EEAE589-6895-4002-8A7E-DF5543EF2D8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5" name="Text Box 15">
          <a:extLst>
            <a:ext uri="{FF2B5EF4-FFF2-40B4-BE49-F238E27FC236}">
              <a16:creationId xmlns:a16="http://schemas.microsoft.com/office/drawing/2014/main" id="{7983C207-AC69-4FE0-98A3-5339771067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6" name="Text Box 15">
          <a:extLst>
            <a:ext uri="{FF2B5EF4-FFF2-40B4-BE49-F238E27FC236}">
              <a16:creationId xmlns:a16="http://schemas.microsoft.com/office/drawing/2014/main" id="{E960EAA8-8313-49B4-B219-E83F5B4F18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7" name="Text Box 15">
          <a:extLst>
            <a:ext uri="{FF2B5EF4-FFF2-40B4-BE49-F238E27FC236}">
              <a16:creationId xmlns:a16="http://schemas.microsoft.com/office/drawing/2014/main" id="{81DA4475-161A-4680-98B4-CDFC7F86E6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8" name="Text Box 15">
          <a:extLst>
            <a:ext uri="{FF2B5EF4-FFF2-40B4-BE49-F238E27FC236}">
              <a16:creationId xmlns:a16="http://schemas.microsoft.com/office/drawing/2014/main" id="{0FC07D6C-F80A-42BD-9C13-CE7D12EAC5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9" name="Text Box 15">
          <a:extLst>
            <a:ext uri="{FF2B5EF4-FFF2-40B4-BE49-F238E27FC236}">
              <a16:creationId xmlns:a16="http://schemas.microsoft.com/office/drawing/2014/main" id="{B0CF0F87-2FCF-4A4A-95AF-FF47A2C6C43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0" name="Text Box 15">
          <a:extLst>
            <a:ext uri="{FF2B5EF4-FFF2-40B4-BE49-F238E27FC236}">
              <a16:creationId xmlns:a16="http://schemas.microsoft.com/office/drawing/2014/main" id="{A14FE79A-B8BA-45CA-B128-42428B73BF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1" name="Text Box 15">
          <a:extLst>
            <a:ext uri="{FF2B5EF4-FFF2-40B4-BE49-F238E27FC236}">
              <a16:creationId xmlns:a16="http://schemas.microsoft.com/office/drawing/2014/main" id="{D0F2864F-EB25-4760-83E6-FE6C3FB2C1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2" name="Text Box 15">
          <a:extLst>
            <a:ext uri="{FF2B5EF4-FFF2-40B4-BE49-F238E27FC236}">
              <a16:creationId xmlns:a16="http://schemas.microsoft.com/office/drawing/2014/main" id="{0F687E13-D149-4705-8868-C3AD1879698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3" name="Text Box 15">
          <a:extLst>
            <a:ext uri="{FF2B5EF4-FFF2-40B4-BE49-F238E27FC236}">
              <a16:creationId xmlns:a16="http://schemas.microsoft.com/office/drawing/2014/main" id="{D14F7D43-83EE-4A32-885C-04DDC29AFC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4" name="Text Box 15">
          <a:extLst>
            <a:ext uri="{FF2B5EF4-FFF2-40B4-BE49-F238E27FC236}">
              <a16:creationId xmlns:a16="http://schemas.microsoft.com/office/drawing/2014/main" id="{EEC021A7-6ABB-4E8F-BEBC-E79E2CF743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5" name="Text Box 15">
          <a:extLst>
            <a:ext uri="{FF2B5EF4-FFF2-40B4-BE49-F238E27FC236}">
              <a16:creationId xmlns:a16="http://schemas.microsoft.com/office/drawing/2014/main" id="{0371A96A-D257-4D65-B7AD-BB6A4DBB0D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6" name="Text Box 15">
          <a:extLst>
            <a:ext uri="{FF2B5EF4-FFF2-40B4-BE49-F238E27FC236}">
              <a16:creationId xmlns:a16="http://schemas.microsoft.com/office/drawing/2014/main" id="{7EE33B5B-5926-4EE2-A186-84A33342D2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7" name="Text Box 15">
          <a:extLst>
            <a:ext uri="{FF2B5EF4-FFF2-40B4-BE49-F238E27FC236}">
              <a16:creationId xmlns:a16="http://schemas.microsoft.com/office/drawing/2014/main" id="{CB7CF8F8-58EE-40E0-A144-A092FEA014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8" name="Text Box 15">
          <a:extLst>
            <a:ext uri="{FF2B5EF4-FFF2-40B4-BE49-F238E27FC236}">
              <a16:creationId xmlns:a16="http://schemas.microsoft.com/office/drawing/2014/main" id="{1C9F3FE1-4AEF-43A3-A4E4-CFF654C618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9" name="Text Box 15">
          <a:extLst>
            <a:ext uri="{FF2B5EF4-FFF2-40B4-BE49-F238E27FC236}">
              <a16:creationId xmlns:a16="http://schemas.microsoft.com/office/drawing/2014/main" id="{17076357-F0A4-4E29-9428-BBD219045A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0" name="Text Box 15">
          <a:extLst>
            <a:ext uri="{FF2B5EF4-FFF2-40B4-BE49-F238E27FC236}">
              <a16:creationId xmlns:a16="http://schemas.microsoft.com/office/drawing/2014/main" id="{81120879-4211-4FC3-B380-22090EE234B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1" name="Text Box 15">
          <a:extLst>
            <a:ext uri="{FF2B5EF4-FFF2-40B4-BE49-F238E27FC236}">
              <a16:creationId xmlns:a16="http://schemas.microsoft.com/office/drawing/2014/main" id="{36AE9461-1593-4207-B6C9-4B6E6FDAF2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2" name="Text Box 15">
          <a:extLst>
            <a:ext uri="{FF2B5EF4-FFF2-40B4-BE49-F238E27FC236}">
              <a16:creationId xmlns:a16="http://schemas.microsoft.com/office/drawing/2014/main" id="{8C394ACE-7AF3-40BE-97E9-DD47703C46E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3" name="Text Box 15">
          <a:extLst>
            <a:ext uri="{FF2B5EF4-FFF2-40B4-BE49-F238E27FC236}">
              <a16:creationId xmlns:a16="http://schemas.microsoft.com/office/drawing/2014/main" id="{2785AB4D-11F7-4EDB-BD2D-FE162E30A3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4" name="Text Box 15">
          <a:extLst>
            <a:ext uri="{FF2B5EF4-FFF2-40B4-BE49-F238E27FC236}">
              <a16:creationId xmlns:a16="http://schemas.microsoft.com/office/drawing/2014/main" id="{57821143-05DF-479F-98A6-FE21C84E62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5" name="Text Box 15">
          <a:extLst>
            <a:ext uri="{FF2B5EF4-FFF2-40B4-BE49-F238E27FC236}">
              <a16:creationId xmlns:a16="http://schemas.microsoft.com/office/drawing/2014/main" id="{B69F18EC-DA0F-4AD2-8133-E8192F0448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6" name="Text Box 15">
          <a:extLst>
            <a:ext uri="{FF2B5EF4-FFF2-40B4-BE49-F238E27FC236}">
              <a16:creationId xmlns:a16="http://schemas.microsoft.com/office/drawing/2014/main" id="{FAA35F1E-809F-45DE-9407-D7A29B9F29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7" name="Text Box 15">
          <a:extLst>
            <a:ext uri="{FF2B5EF4-FFF2-40B4-BE49-F238E27FC236}">
              <a16:creationId xmlns:a16="http://schemas.microsoft.com/office/drawing/2014/main" id="{4B43FBA9-81A4-4245-80D2-19826EFCCE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8" name="Text Box 15">
          <a:extLst>
            <a:ext uri="{FF2B5EF4-FFF2-40B4-BE49-F238E27FC236}">
              <a16:creationId xmlns:a16="http://schemas.microsoft.com/office/drawing/2014/main" id="{7A227687-F74D-4154-93E2-1F4CBA1369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9" name="Text Box 15">
          <a:extLst>
            <a:ext uri="{FF2B5EF4-FFF2-40B4-BE49-F238E27FC236}">
              <a16:creationId xmlns:a16="http://schemas.microsoft.com/office/drawing/2014/main" id="{562AC856-AC66-4B71-8F0E-9AFF59B4D6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500" name="Text Box 15">
          <a:extLst>
            <a:ext uri="{FF2B5EF4-FFF2-40B4-BE49-F238E27FC236}">
              <a16:creationId xmlns:a16="http://schemas.microsoft.com/office/drawing/2014/main" id="{1FB71209-0EF2-4EF4-AE78-9F076560A60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501" name="Text Box 15">
          <a:extLst>
            <a:ext uri="{FF2B5EF4-FFF2-40B4-BE49-F238E27FC236}">
              <a16:creationId xmlns:a16="http://schemas.microsoft.com/office/drawing/2014/main" id="{DE80204F-48EC-45E8-BA85-B7E43957BC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502" name="Text Box 15">
          <a:extLst>
            <a:ext uri="{FF2B5EF4-FFF2-40B4-BE49-F238E27FC236}">
              <a16:creationId xmlns:a16="http://schemas.microsoft.com/office/drawing/2014/main" id="{CFD552D9-F4BC-4B3A-BCF8-A95E6BA6DE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503" name="Text Box 15">
          <a:extLst>
            <a:ext uri="{FF2B5EF4-FFF2-40B4-BE49-F238E27FC236}">
              <a16:creationId xmlns:a16="http://schemas.microsoft.com/office/drawing/2014/main" id="{D63CF7D8-E06B-4637-BCAA-AD0FAF37AB1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04" name="Text Box 15">
          <a:extLst>
            <a:ext uri="{FF2B5EF4-FFF2-40B4-BE49-F238E27FC236}">
              <a16:creationId xmlns:a16="http://schemas.microsoft.com/office/drawing/2014/main" id="{07C96D42-1351-4805-8F50-9BB6C096C3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05" name="Text Box 15">
          <a:extLst>
            <a:ext uri="{FF2B5EF4-FFF2-40B4-BE49-F238E27FC236}">
              <a16:creationId xmlns:a16="http://schemas.microsoft.com/office/drawing/2014/main" id="{74840FE9-E22B-4995-B8AD-2427DF46C4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06" name="Text Box 15">
          <a:extLst>
            <a:ext uri="{FF2B5EF4-FFF2-40B4-BE49-F238E27FC236}">
              <a16:creationId xmlns:a16="http://schemas.microsoft.com/office/drawing/2014/main" id="{669EE201-B526-4FEF-8BD6-3E42A79223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07" name="Text Box 15">
          <a:extLst>
            <a:ext uri="{FF2B5EF4-FFF2-40B4-BE49-F238E27FC236}">
              <a16:creationId xmlns:a16="http://schemas.microsoft.com/office/drawing/2014/main" id="{D86C31CC-5E8E-44E4-BE2F-2AD94E8078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08" name="Text Box 15">
          <a:extLst>
            <a:ext uri="{FF2B5EF4-FFF2-40B4-BE49-F238E27FC236}">
              <a16:creationId xmlns:a16="http://schemas.microsoft.com/office/drawing/2014/main" id="{042D48BF-4DED-4518-B3CA-4A72553270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09" name="Text Box 15">
          <a:extLst>
            <a:ext uri="{FF2B5EF4-FFF2-40B4-BE49-F238E27FC236}">
              <a16:creationId xmlns:a16="http://schemas.microsoft.com/office/drawing/2014/main" id="{58A18807-49CC-4DD7-8FA0-6D47FB7C7F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10" name="Text Box 15">
          <a:extLst>
            <a:ext uri="{FF2B5EF4-FFF2-40B4-BE49-F238E27FC236}">
              <a16:creationId xmlns:a16="http://schemas.microsoft.com/office/drawing/2014/main" id="{4E32A88C-2241-46B8-A33B-242F3E1982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79952"/>
    <xdr:sp macro="" textlink="">
      <xdr:nvSpPr>
        <xdr:cNvPr id="5511" name="Text Box 15">
          <a:extLst>
            <a:ext uri="{FF2B5EF4-FFF2-40B4-BE49-F238E27FC236}">
              <a16:creationId xmlns:a16="http://schemas.microsoft.com/office/drawing/2014/main" id="{4060BFFB-FA3B-4CD6-B1F7-46D9A35071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12" name="Text Box 15">
          <a:extLst>
            <a:ext uri="{FF2B5EF4-FFF2-40B4-BE49-F238E27FC236}">
              <a16:creationId xmlns:a16="http://schemas.microsoft.com/office/drawing/2014/main" id="{11256A98-6B53-4819-ABBA-616940B4B0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13" name="Text Box 15">
          <a:extLst>
            <a:ext uri="{FF2B5EF4-FFF2-40B4-BE49-F238E27FC236}">
              <a16:creationId xmlns:a16="http://schemas.microsoft.com/office/drawing/2014/main" id="{4F45A483-3DCA-4B94-BC54-70CE171698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14" name="Text Box 15">
          <a:extLst>
            <a:ext uri="{FF2B5EF4-FFF2-40B4-BE49-F238E27FC236}">
              <a16:creationId xmlns:a16="http://schemas.microsoft.com/office/drawing/2014/main" id="{2C080A58-89E8-438D-A82C-94F0630705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15" name="Text Box 15">
          <a:extLst>
            <a:ext uri="{FF2B5EF4-FFF2-40B4-BE49-F238E27FC236}">
              <a16:creationId xmlns:a16="http://schemas.microsoft.com/office/drawing/2014/main" id="{4DAB115A-69ED-41A1-BB3C-2FCFBA39E0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16" name="Text Box 15">
          <a:extLst>
            <a:ext uri="{FF2B5EF4-FFF2-40B4-BE49-F238E27FC236}">
              <a16:creationId xmlns:a16="http://schemas.microsoft.com/office/drawing/2014/main" id="{08D7053D-BE83-4302-B51E-41BA6CF2AE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17" name="Text Box 15">
          <a:extLst>
            <a:ext uri="{FF2B5EF4-FFF2-40B4-BE49-F238E27FC236}">
              <a16:creationId xmlns:a16="http://schemas.microsoft.com/office/drawing/2014/main" id="{B387518F-276F-4D5A-AD8F-E2CD8B4CFA9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18" name="Text Box 15">
          <a:extLst>
            <a:ext uri="{FF2B5EF4-FFF2-40B4-BE49-F238E27FC236}">
              <a16:creationId xmlns:a16="http://schemas.microsoft.com/office/drawing/2014/main" id="{E5D11404-E0DD-4818-99DC-9C0EB9BFE1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19" name="Text Box 15">
          <a:extLst>
            <a:ext uri="{FF2B5EF4-FFF2-40B4-BE49-F238E27FC236}">
              <a16:creationId xmlns:a16="http://schemas.microsoft.com/office/drawing/2014/main" id="{ED7F01AE-BA7B-42D6-8DCA-C717DF9DAD9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20" name="Text Box 15">
          <a:extLst>
            <a:ext uri="{FF2B5EF4-FFF2-40B4-BE49-F238E27FC236}">
              <a16:creationId xmlns:a16="http://schemas.microsoft.com/office/drawing/2014/main" id="{13085DB6-95A3-49CE-A2EE-531BE5257F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21" name="Text Box 15">
          <a:extLst>
            <a:ext uri="{FF2B5EF4-FFF2-40B4-BE49-F238E27FC236}">
              <a16:creationId xmlns:a16="http://schemas.microsoft.com/office/drawing/2014/main" id="{A785D3AE-2633-406B-8D24-E4A7CE28D8F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79952"/>
    <xdr:sp macro="" textlink="">
      <xdr:nvSpPr>
        <xdr:cNvPr id="5522" name="Text Box 15">
          <a:extLst>
            <a:ext uri="{FF2B5EF4-FFF2-40B4-BE49-F238E27FC236}">
              <a16:creationId xmlns:a16="http://schemas.microsoft.com/office/drawing/2014/main" id="{8CFFDA9D-92BA-4B93-B300-EEE68E35D9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3" name="Text Box 15">
          <a:extLst>
            <a:ext uri="{FF2B5EF4-FFF2-40B4-BE49-F238E27FC236}">
              <a16:creationId xmlns:a16="http://schemas.microsoft.com/office/drawing/2014/main" id="{9F8D0458-2B6B-43E1-8893-A2816D6B6B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24" name="Text Box 15">
          <a:extLst>
            <a:ext uri="{FF2B5EF4-FFF2-40B4-BE49-F238E27FC236}">
              <a16:creationId xmlns:a16="http://schemas.microsoft.com/office/drawing/2014/main" id="{207B5A85-45F5-4C06-BF23-539D7E8D806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5" name="Text Box 15">
          <a:extLst>
            <a:ext uri="{FF2B5EF4-FFF2-40B4-BE49-F238E27FC236}">
              <a16:creationId xmlns:a16="http://schemas.microsoft.com/office/drawing/2014/main" id="{8AB12C77-6C0A-4633-B43C-2E03328CF9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6" name="Text Box 15">
          <a:extLst>
            <a:ext uri="{FF2B5EF4-FFF2-40B4-BE49-F238E27FC236}">
              <a16:creationId xmlns:a16="http://schemas.microsoft.com/office/drawing/2014/main" id="{08C81126-9448-4316-8542-F6EF57AAA9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7" name="Text Box 15">
          <a:extLst>
            <a:ext uri="{FF2B5EF4-FFF2-40B4-BE49-F238E27FC236}">
              <a16:creationId xmlns:a16="http://schemas.microsoft.com/office/drawing/2014/main" id="{62F2A2FB-2ED0-4461-9EDD-E4FD0B7131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8" name="Text Box 15">
          <a:extLst>
            <a:ext uri="{FF2B5EF4-FFF2-40B4-BE49-F238E27FC236}">
              <a16:creationId xmlns:a16="http://schemas.microsoft.com/office/drawing/2014/main" id="{BD9956B5-3529-42A9-A2E0-8CDACABC0B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9" name="Text Box 15">
          <a:extLst>
            <a:ext uri="{FF2B5EF4-FFF2-40B4-BE49-F238E27FC236}">
              <a16:creationId xmlns:a16="http://schemas.microsoft.com/office/drawing/2014/main" id="{0F83CC4C-6D46-4B52-99AC-1130156AF1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30" name="Text Box 15">
          <a:extLst>
            <a:ext uri="{FF2B5EF4-FFF2-40B4-BE49-F238E27FC236}">
              <a16:creationId xmlns:a16="http://schemas.microsoft.com/office/drawing/2014/main" id="{445BF6E6-B1B1-4E04-B5C7-3C8B9C2C79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31" name="Text Box 15">
          <a:extLst>
            <a:ext uri="{FF2B5EF4-FFF2-40B4-BE49-F238E27FC236}">
              <a16:creationId xmlns:a16="http://schemas.microsoft.com/office/drawing/2014/main" id="{FB27D55D-4FD6-4EFC-93CB-2BEE87F06E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32" name="Text Box 15">
          <a:extLst>
            <a:ext uri="{FF2B5EF4-FFF2-40B4-BE49-F238E27FC236}">
              <a16:creationId xmlns:a16="http://schemas.microsoft.com/office/drawing/2014/main" id="{DC8233EC-AFAE-41C7-BBA4-D169F09ECF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33" name="Text Box 15">
          <a:extLst>
            <a:ext uri="{FF2B5EF4-FFF2-40B4-BE49-F238E27FC236}">
              <a16:creationId xmlns:a16="http://schemas.microsoft.com/office/drawing/2014/main" id="{4F79EC29-2656-4707-AF97-01AA8CED618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34" name="Text Box 15">
          <a:extLst>
            <a:ext uri="{FF2B5EF4-FFF2-40B4-BE49-F238E27FC236}">
              <a16:creationId xmlns:a16="http://schemas.microsoft.com/office/drawing/2014/main" id="{46625004-F1EA-41AD-A064-78C3DCBDE8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35" name="Text Box 15">
          <a:extLst>
            <a:ext uri="{FF2B5EF4-FFF2-40B4-BE49-F238E27FC236}">
              <a16:creationId xmlns:a16="http://schemas.microsoft.com/office/drawing/2014/main" id="{C148C999-E1E0-4A32-ABC9-4F303E09D32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36" name="Text Box 15">
          <a:extLst>
            <a:ext uri="{FF2B5EF4-FFF2-40B4-BE49-F238E27FC236}">
              <a16:creationId xmlns:a16="http://schemas.microsoft.com/office/drawing/2014/main" id="{9386CAAE-7ADD-4FF5-B4A7-451E1835F9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37" name="Text Box 15">
          <a:extLst>
            <a:ext uri="{FF2B5EF4-FFF2-40B4-BE49-F238E27FC236}">
              <a16:creationId xmlns:a16="http://schemas.microsoft.com/office/drawing/2014/main" id="{5CB5D3B1-5EB0-4C9B-A408-32258C1C0E9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38" name="Text Box 15">
          <a:extLst>
            <a:ext uri="{FF2B5EF4-FFF2-40B4-BE49-F238E27FC236}">
              <a16:creationId xmlns:a16="http://schemas.microsoft.com/office/drawing/2014/main" id="{AAAF19F2-7521-420A-B9C1-0A74C299A1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39" name="Text Box 15">
          <a:extLst>
            <a:ext uri="{FF2B5EF4-FFF2-40B4-BE49-F238E27FC236}">
              <a16:creationId xmlns:a16="http://schemas.microsoft.com/office/drawing/2014/main" id="{FD154D41-275D-445D-B4E1-8C76C92D12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40" name="Text Box 15">
          <a:extLst>
            <a:ext uri="{FF2B5EF4-FFF2-40B4-BE49-F238E27FC236}">
              <a16:creationId xmlns:a16="http://schemas.microsoft.com/office/drawing/2014/main" id="{94DE8E62-0996-4E42-8F30-AACC5A22C2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41" name="Text Box 15">
          <a:extLst>
            <a:ext uri="{FF2B5EF4-FFF2-40B4-BE49-F238E27FC236}">
              <a16:creationId xmlns:a16="http://schemas.microsoft.com/office/drawing/2014/main" id="{9D2E138E-51FC-463A-A35C-189EBE8E05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42" name="Text Box 15">
          <a:extLst>
            <a:ext uri="{FF2B5EF4-FFF2-40B4-BE49-F238E27FC236}">
              <a16:creationId xmlns:a16="http://schemas.microsoft.com/office/drawing/2014/main" id="{59CD5F7A-CCBF-48CD-A46A-D0523CEB52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43" name="Text Box 15">
          <a:extLst>
            <a:ext uri="{FF2B5EF4-FFF2-40B4-BE49-F238E27FC236}">
              <a16:creationId xmlns:a16="http://schemas.microsoft.com/office/drawing/2014/main" id="{E1471F98-D570-4678-BE32-72A0784D48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44" name="Text Box 15">
          <a:extLst>
            <a:ext uri="{FF2B5EF4-FFF2-40B4-BE49-F238E27FC236}">
              <a16:creationId xmlns:a16="http://schemas.microsoft.com/office/drawing/2014/main" id="{F9CF737E-BD74-4D20-893B-EACF906CF5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45" name="Text Box 15">
          <a:extLst>
            <a:ext uri="{FF2B5EF4-FFF2-40B4-BE49-F238E27FC236}">
              <a16:creationId xmlns:a16="http://schemas.microsoft.com/office/drawing/2014/main" id="{F594E8D8-26A4-448C-95BA-DECE13E6731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46" name="Text Box 15">
          <a:extLst>
            <a:ext uri="{FF2B5EF4-FFF2-40B4-BE49-F238E27FC236}">
              <a16:creationId xmlns:a16="http://schemas.microsoft.com/office/drawing/2014/main" id="{86325085-B567-49C0-B71C-5224F46E87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47" name="Text Box 15">
          <a:extLst>
            <a:ext uri="{FF2B5EF4-FFF2-40B4-BE49-F238E27FC236}">
              <a16:creationId xmlns:a16="http://schemas.microsoft.com/office/drawing/2014/main" id="{593E3847-73C1-415F-90BF-DD2526CAFF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48" name="Text Box 15">
          <a:extLst>
            <a:ext uri="{FF2B5EF4-FFF2-40B4-BE49-F238E27FC236}">
              <a16:creationId xmlns:a16="http://schemas.microsoft.com/office/drawing/2014/main" id="{E9960F11-38E7-4536-9B7D-E5060712CF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49" name="Text Box 15">
          <a:extLst>
            <a:ext uri="{FF2B5EF4-FFF2-40B4-BE49-F238E27FC236}">
              <a16:creationId xmlns:a16="http://schemas.microsoft.com/office/drawing/2014/main" id="{55D33FF6-57B5-404F-A650-EAC86559EF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50" name="Text Box 15">
          <a:extLst>
            <a:ext uri="{FF2B5EF4-FFF2-40B4-BE49-F238E27FC236}">
              <a16:creationId xmlns:a16="http://schemas.microsoft.com/office/drawing/2014/main" id="{BEF150C5-51D7-4916-A62E-500359A2DE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51" name="Text Box 15">
          <a:extLst>
            <a:ext uri="{FF2B5EF4-FFF2-40B4-BE49-F238E27FC236}">
              <a16:creationId xmlns:a16="http://schemas.microsoft.com/office/drawing/2014/main" id="{6D4F4356-9591-4E92-BEF7-893EB2F1DE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2" name="Text Box 15">
          <a:extLst>
            <a:ext uri="{FF2B5EF4-FFF2-40B4-BE49-F238E27FC236}">
              <a16:creationId xmlns:a16="http://schemas.microsoft.com/office/drawing/2014/main" id="{86BF50E1-5F85-4E4F-BD18-83783B1197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3" name="Text Box 15">
          <a:extLst>
            <a:ext uri="{FF2B5EF4-FFF2-40B4-BE49-F238E27FC236}">
              <a16:creationId xmlns:a16="http://schemas.microsoft.com/office/drawing/2014/main" id="{08BA999A-BB73-4B20-8E78-5B9D5669B5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4" name="Text Box 15">
          <a:extLst>
            <a:ext uri="{FF2B5EF4-FFF2-40B4-BE49-F238E27FC236}">
              <a16:creationId xmlns:a16="http://schemas.microsoft.com/office/drawing/2014/main" id="{F21D2572-89F6-4DFA-B7AE-BF731680A1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5" name="Text Box 15">
          <a:extLst>
            <a:ext uri="{FF2B5EF4-FFF2-40B4-BE49-F238E27FC236}">
              <a16:creationId xmlns:a16="http://schemas.microsoft.com/office/drawing/2014/main" id="{3FD5D216-9F97-4399-8A19-4C76BF1E39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6" name="Text Box 15">
          <a:extLst>
            <a:ext uri="{FF2B5EF4-FFF2-40B4-BE49-F238E27FC236}">
              <a16:creationId xmlns:a16="http://schemas.microsoft.com/office/drawing/2014/main" id="{F8C2D6A2-F04C-4391-AD1D-C268A6FD930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7" name="Text Box 15">
          <a:extLst>
            <a:ext uri="{FF2B5EF4-FFF2-40B4-BE49-F238E27FC236}">
              <a16:creationId xmlns:a16="http://schemas.microsoft.com/office/drawing/2014/main" id="{E81EA9A7-5AB0-49C9-9CA6-33BCE5B127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8" name="Text Box 15">
          <a:extLst>
            <a:ext uri="{FF2B5EF4-FFF2-40B4-BE49-F238E27FC236}">
              <a16:creationId xmlns:a16="http://schemas.microsoft.com/office/drawing/2014/main" id="{CAF1A5BE-2ABB-4923-A908-7C9B989FA7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9" name="Text Box 15">
          <a:extLst>
            <a:ext uri="{FF2B5EF4-FFF2-40B4-BE49-F238E27FC236}">
              <a16:creationId xmlns:a16="http://schemas.microsoft.com/office/drawing/2014/main" id="{489A02F8-842E-45AA-BA9C-0B923F57C9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60" name="Text Box 15">
          <a:extLst>
            <a:ext uri="{FF2B5EF4-FFF2-40B4-BE49-F238E27FC236}">
              <a16:creationId xmlns:a16="http://schemas.microsoft.com/office/drawing/2014/main" id="{68572B7E-35FD-4BDC-AE10-D745581429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61" name="Text Box 15">
          <a:extLst>
            <a:ext uri="{FF2B5EF4-FFF2-40B4-BE49-F238E27FC236}">
              <a16:creationId xmlns:a16="http://schemas.microsoft.com/office/drawing/2014/main" id="{C44E98CE-582E-413E-8395-9D597572F8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62" name="Text Box 15">
          <a:extLst>
            <a:ext uri="{FF2B5EF4-FFF2-40B4-BE49-F238E27FC236}">
              <a16:creationId xmlns:a16="http://schemas.microsoft.com/office/drawing/2014/main" id="{712D9EB4-AFE4-47A6-9A26-40D8727EC1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63" name="Text Box 15">
          <a:extLst>
            <a:ext uri="{FF2B5EF4-FFF2-40B4-BE49-F238E27FC236}">
              <a16:creationId xmlns:a16="http://schemas.microsoft.com/office/drawing/2014/main" id="{3D06BC45-7D65-4B20-9297-74C1164473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64" name="Text Box 15">
          <a:extLst>
            <a:ext uri="{FF2B5EF4-FFF2-40B4-BE49-F238E27FC236}">
              <a16:creationId xmlns:a16="http://schemas.microsoft.com/office/drawing/2014/main" id="{A312B185-6641-468F-BA71-7643D304F3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65" name="Text Box 15">
          <a:extLst>
            <a:ext uri="{FF2B5EF4-FFF2-40B4-BE49-F238E27FC236}">
              <a16:creationId xmlns:a16="http://schemas.microsoft.com/office/drawing/2014/main" id="{F3F5F773-9CAE-4D4B-AAB5-DD32360F7A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66" name="Text Box 15">
          <a:extLst>
            <a:ext uri="{FF2B5EF4-FFF2-40B4-BE49-F238E27FC236}">
              <a16:creationId xmlns:a16="http://schemas.microsoft.com/office/drawing/2014/main" id="{CE48D551-8C2D-4401-86E4-EDB448F905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67" name="Text Box 15">
          <a:extLst>
            <a:ext uri="{FF2B5EF4-FFF2-40B4-BE49-F238E27FC236}">
              <a16:creationId xmlns:a16="http://schemas.microsoft.com/office/drawing/2014/main" id="{E7B4D52C-C390-432B-A3E8-1447BF5355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68" name="Text Box 15">
          <a:extLst>
            <a:ext uri="{FF2B5EF4-FFF2-40B4-BE49-F238E27FC236}">
              <a16:creationId xmlns:a16="http://schemas.microsoft.com/office/drawing/2014/main" id="{185ACD69-30AF-4C57-9676-3B231112D7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69" name="Text Box 15">
          <a:extLst>
            <a:ext uri="{FF2B5EF4-FFF2-40B4-BE49-F238E27FC236}">
              <a16:creationId xmlns:a16="http://schemas.microsoft.com/office/drawing/2014/main" id="{7D51350E-E2ED-4473-B46E-DA233AC71C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0" name="Text Box 15">
          <a:extLst>
            <a:ext uri="{FF2B5EF4-FFF2-40B4-BE49-F238E27FC236}">
              <a16:creationId xmlns:a16="http://schemas.microsoft.com/office/drawing/2014/main" id="{6A3E68F5-231A-4BB3-88DA-11D23AEB83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1" name="Text Box 15">
          <a:extLst>
            <a:ext uri="{FF2B5EF4-FFF2-40B4-BE49-F238E27FC236}">
              <a16:creationId xmlns:a16="http://schemas.microsoft.com/office/drawing/2014/main" id="{7937176E-933A-479D-8072-CBCCD49BDE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2" name="Text Box 15">
          <a:extLst>
            <a:ext uri="{FF2B5EF4-FFF2-40B4-BE49-F238E27FC236}">
              <a16:creationId xmlns:a16="http://schemas.microsoft.com/office/drawing/2014/main" id="{917ABECD-F45B-4F35-9BAB-6138D3D0A7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3" name="Text Box 15">
          <a:extLst>
            <a:ext uri="{FF2B5EF4-FFF2-40B4-BE49-F238E27FC236}">
              <a16:creationId xmlns:a16="http://schemas.microsoft.com/office/drawing/2014/main" id="{60D5AABF-0978-42E6-8C11-0D4B3ABFDC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4" name="Text Box 15">
          <a:extLst>
            <a:ext uri="{FF2B5EF4-FFF2-40B4-BE49-F238E27FC236}">
              <a16:creationId xmlns:a16="http://schemas.microsoft.com/office/drawing/2014/main" id="{13E5F134-5631-4899-B5A8-79D4F6ED3F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5" name="Text Box 15">
          <a:extLst>
            <a:ext uri="{FF2B5EF4-FFF2-40B4-BE49-F238E27FC236}">
              <a16:creationId xmlns:a16="http://schemas.microsoft.com/office/drawing/2014/main" id="{907B4FB3-E580-4696-9D66-D64F70B6F7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6" name="Text Box 15">
          <a:extLst>
            <a:ext uri="{FF2B5EF4-FFF2-40B4-BE49-F238E27FC236}">
              <a16:creationId xmlns:a16="http://schemas.microsoft.com/office/drawing/2014/main" id="{BA8960D2-4273-4979-9C91-A2C926854D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77" name="Text Box 15">
          <a:extLst>
            <a:ext uri="{FF2B5EF4-FFF2-40B4-BE49-F238E27FC236}">
              <a16:creationId xmlns:a16="http://schemas.microsoft.com/office/drawing/2014/main" id="{AA9CE003-BBF5-4C30-B2D9-51850DE114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78" name="Text Box 15">
          <a:extLst>
            <a:ext uri="{FF2B5EF4-FFF2-40B4-BE49-F238E27FC236}">
              <a16:creationId xmlns:a16="http://schemas.microsoft.com/office/drawing/2014/main" id="{A3BB8A83-0BD3-47AB-9A5E-F4DBF4CB57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79" name="Text Box 15">
          <a:extLst>
            <a:ext uri="{FF2B5EF4-FFF2-40B4-BE49-F238E27FC236}">
              <a16:creationId xmlns:a16="http://schemas.microsoft.com/office/drawing/2014/main" id="{2883483E-9B66-4F68-B2C5-056138193B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80" name="Text Box 15">
          <a:extLst>
            <a:ext uri="{FF2B5EF4-FFF2-40B4-BE49-F238E27FC236}">
              <a16:creationId xmlns:a16="http://schemas.microsoft.com/office/drawing/2014/main" id="{24941A1D-B4A8-4307-BDE0-11E03E0EE61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81" name="Text Box 15">
          <a:extLst>
            <a:ext uri="{FF2B5EF4-FFF2-40B4-BE49-F238E27FC236}">
              <a16:creationId xmlns:a16="http://schemas.microsoft.com/office/drawing/2014/main" id="{6A1F8581-6F93-4560-84DA-F430CF5599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2" name="Text Box 15">
          <a:extLst>
            <a:ext uri="{FF2B5EF4-FFF2-40B4-BE49-F238E27FC236}">
              <a16:creationId xmlns:a16="http://schemas.microsoft.com/office/drawing/2014/main" id="{415A531B-232F-4B5D-8298-CD51646E6A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3" name="Text Box 15">
          <a:extLst>
            <a:ext uri="{FF2B5EF4-FFF2-40B4-BE49-F238E27FC236}">
              <a16:creationId xmlns:a16="http://schemas.microsoft.com/office/drawing/2014/main" id="{AAD482EF-1154-4F52-95B1-F09809C2D19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4" name="Text Box 15">
          <a:extLst>
            <a:ext uri="{FF2B5EF4-FFF2-40B4-BE49-F238E27FC236}">
              <a16:creationId xmlns:a16="http://schemas.microsoft.com/office/drawing/2014/main" id="{760DC9CA-1DBE-46B9-8711-11284129A1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5" name="Text Box 15">
          <a:extLst>
            <a:ext uri="{FF2B5EF4-FFF2-40B4-BE49-F238E27FC236}">
              <a16:creationId xmlns:a16="http://schemas.microsoft.com/office/drawing/2014/main" id="{E496CEF0-370A-4F36-9B85-70CB0562D6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6" name="Text Box 15">
          <a:extLst>
            <a:ext uri="{FF2B5EF4-FFF2-40B4-BE49-F238E27FC236}">
              <a16:creationId xmlns:a16="http://schemas.microsoft.com/office/drawing/2014/main" id="{F0A3C48C-F86D-49CF-89AD-88DAB62985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7" name="Text Box 15">
          <a:extLst>
            <a:ext uri="{FF2B5EF4-FFF2-40B4-BE49-F238E27FC236}">
              <a16:creationId xmlns:a16="http://schemas.microsoft.com/office/drawing/2014/main" id="{2C08088C-A6D8-4B5C-ABA9-D8317047A6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8" name="Text Box 15">
          <a:extLst>
            <a:ext uri="{FF2B5EF4-FFF2-40B4-BE49-F238E27FC236}">
              <a16:creationId xmlns:a16="http://schemas.microsoft.com/office/drawing/2014/main" id="{443D44A9-5991-4C2F-9A95-02FC4ED19A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9" name="Text Box 15">
          <a:extLst>
            <a:ext uri="{FF2B5EF4-FFF2-40B4-BE49-F238E27FC236}">
              <a16:creationId xmlns:a16="http://schemas.microsoft.com/office/drawing/2014/main" id="{BFAF2A25-7165-427D-844D-A21DDA94CDD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90" name="Text Box 15">
          <a:extLst>
            <a:ext uri="{FF2B5EF4-FFF2-40B4-BE49-F238E27FC236}">
              <a16:creationId xmlns:a16="http://schemas.microsoft.com/office/drawing/2014/main" id="{4969BF16-A554-456E-9FDD-80B2D0BDA6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91" name="Text Box 15">
          <a:extLst>
            <a:ext uri="{FF2B5EF4-FFF2-40B4-BE49-F238E27FC236}">
              <a16:creationId xmlns:a16="http://schemas.microsoft.com/office/drawing/2014/main" id="{608F8B7C-0872-4235-A749-166C18D8EF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2" name="Text Box 15">
          <a:extLst>
            <a:ext uri="{FF2B5EF4-FFF2-40B4-BE49-F238E27FC236}">
              <a16:creationId xmlns:a16="http://schemas.microsoft.com/office/drawing/2014/main" id="{1844921C-E521-400D-8A0A-4FF2802A76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3" name="Text Box 15">
          <a:extLst>
            <a:ext uri="{FF2B5EF4-FFF2-40B4-BE49-F238E27FC236}">
              <a16:creationId xmlns:a16="http://schemas.microsoft.com/office/drawing/2014/main" id="{748666D8-556D-4137-B03D-505FEB7098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4" name="Text Box 15">
          <a:extLst>
            <a:ext uri="{FF2B5EF4-FFF2-40B4-BE49-F238E27FC236}">
              <a16:creationId xmlns:a16="http://schemas.microsoft.com/office/drawing/2014/main" id="{D7D37C11-F49D-48C1-9786-3FDC1637E60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5" name="Text Box 15">
          <a:extLst>
            <a:ext uri="{FF2B5EF4-FFF2-40B4-BE49-F238E27FC236}">
              <a16:creationId xmlns:a16="http://schemas.microsoft.com/office/drawing/2014/main" id="{0B9E47C7-B27B-413E-8C01-9A373F815F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6" name="Text Box 15">
          <a:extLst>
            <a:ext uri="{FF2B5EF4-FFF2-40B4-BE49-F238E27FC236}">
              <a16:creationId xmlns:a16="http://schemas.microsoft.com/office/drawing/2014/main" id="{A5E6DB9F-1E2D-4BBA-9DC1-4F92996ED8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7" name="Text Box 15">
          <a:extLst>
            <a:ext uri="{FF2B5EF4-FFF2-40B4-BE49-F238E27FC236}">
              <a16:creationId xmlns:a16="http://schemas.microsoft.com/office/drawing/2014/main" id="{570E5741-0FD7-4B4C-9731-961D2916A5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8" name="Text Box 15">
          <a:extLst>
            <a:ext uri="{FF2B5EF4-FFF2-40B4-BE49-F238E27FC236}">
              <a16:creationId xmlns:a16="http://schemas.microsoft.com/office/drawing/2014/main" id="{1FD79E4C-8F20-493C-97B8-5BF0B86C07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9" name="Text Box 15">
          <a:extLst>
            <a:ext uri="{FF2B5EF4-FFF2-40B4-BE49-F238E27FC236}">
              <a16:creationId xmlns:a16="http://schemas.microsoft.com/office/drawing/2014/main" id="{4A193C91-307B-4B53-807F-5D7CF58C712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0" name="Text Box 15">
          <a:extLst>
            <a:ext uri="{FF2B5EF4-FFF2-40B4-BE49-F238E27FC236}">
              <a16:creationId xmlns:a16="http://schemas.microsoft.com/office/drawing/2014/main" id="{6F098A7B-E271-488C-9D21-64D809F912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1" name="Text Box 15">
          <a:extLst>
            <a:ext uri="{FF2B5EF4-FFF2-40B4-BE49-F238E27FC236}">
              <a16:creationId xmlns:a16="http://schemas.microsoft.com/office/drawing/2014/main" id="{A3FA0110-904B-4C61-B069-31953B1D948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2" name="Text Box 15">
          <a:extLst>
            <a:ext uri="{FF2B5EF4-FFF2-40B4-BE49-F238E27FC236}">
              <a16:creationId xmlns:a16="http://schemas.microsoft.com/office/drawing/2014/main" id="{64413F20-ED10-4AF5-A3B0-859F7CC683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3" name="Text Box 15">
          <a:extLst>
            <a:ext uri="{FF2B5EF4-FFF2-40B4-BE49-F238E27FC236}">
              <a16:creationId xmlns:a16="http://schemas.microsoft.com/office/drawing/2014/main" id="{BC6F9150-D2DC-4896-AA7A-67ACA4D099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4" name="Text Box 15">
          <a:extLst>
            <a:ext uri="{FF2B5EF4-FFF2-40B4-BE49-F238E27FC236}">
              <a16:creationId xmlns:a16="http://schemas.microsoft.com/office/drawing/2014/main" id="{0AF4F515-951A-4CC6-A7F5-DFC3057A81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5" name="Text Box 15">
          <a:extLst>
            <a:ext uri="{FF2B5EF4-FFF2-40B4-BE49-F238E27FC236}">
              <a16:creationId xmlns:a16="http://schemas.microsoft.com/office/drawing/2014/main" id="{58BFC7A2-10C2-4632-8288-36EBB41FDB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6" name="Text Box 15">
          <a:extLst>
            <a:ext uri="{FF2B5EF4-FFF2-40B4-BE49-F238E27FC236}">
              <a16:creationId xmlns:a16="http://schemas.microsoft.com/office/drawing/2014/main" id="{13ED2628-34D4-4FE3-B88E-43F796EB02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7" name="Text Box 15">
          <a:extLst>
            <a:ext uri="{FF2B5EF4-FFF2-40B4-BE49-F238E27FC236}">
              <a16:creationId xmlns:a16="http://schemas.microsoft.com/office/drawing/2014/main" id="{A1B48409-F08B-40C0-BAAA-D3EE6919AD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8" name="Text Box 15">
          <a:extLst>
            <a:ext uri="{FF2B5EF4-FFF2-40B4-BE49-F238E27FC236}">
              <a16:creationId xmlns:a16="http://schemas.microsoft.com/office/drawing/2014/main" id="{857D47AD-B435-4365-8F30-E019D36CA2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9" name="Text Box 15">
          <a:extLst>
            <a:ext uri="{FF2B5EF4-FFF2-40B4-BE49-F238E27FC236}">
              <a16:creationId xmlns:a16="http://schemas.microsoft.com/office/drawing/2014/main" id="{C307DEAC-D8C9-4045-9E9D-F780AEDCDC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0" name="Text Box 15">
          <a:extLst>
            <a:ext uri="{FF2B5EF4-FFF2-40B4-BE49-F238E27FC236}">
              <a16:creationId xmlns:a16="http://schemas.microsoft.com/office/drawing/2014/main" id="{FB84023C-BE2E-49E4-B34E-05795DFE727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1" name="Text Box 15">
          <a:extLst>
            <a:ext uri="{FF2B5EF4-FFF2-40B4-BE49-F238E27FC236}">
              <a16:creationId xmlns:a16="http://schemas.microsoft.com/office/drawing/2014/main" id="{D55973DB-2225-4353-9FC5-51559A6090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2" name="Text Box 15">
          <a:extLst>
            <a:ext uri="{FF2B5EF4-FFF2-40B4-BE49-F238E27FC236}">
              <a16:creationId xmlns:a16="http://schemas.microsoft.com/office/drawing/2014/main" id="{ABFD0F2C-D3C4-4D2A-96D3-A30C92EBE6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3" name="Text Box 15">
          <a:extLst>
            <a:ext uri="{FF2B5EF4-FFF2-40B4-BE49-F238E27FC236}">
              <a16:creationId xmlns:a16="http://schemas.microsoft.com/office/drawing/2014/main" id="{B6CC1E5F-7260-447D-B8E6-B716737CED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4" name="Text Box 15">
          <a:extLst>
            <a:ext uri="{FF2B5EF4-FFF2-40B4-BE49-F238E27FC236}">
              <a16:creationId xmlns:a16="http://schemas.microsoft.com/office/drawing/2014/main" id="{B1990FFB-BFA2-4054-B4ED-E17DCCC5CC3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5" name="Text Box 15">
          <a:extLst>
            <a:ext uri="{FF2B5EF4-FFF2-40B4-BE49-F238E27FC236}">
              <a16:creationId xmlns:a16="http://schemas.microsoft.com/office/drawing/2014/main" id="{D59C6E00-8B34-450E-A474-18811432ED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6" name="Text Box 15">
          <a:extLst>
            <a:ext uri="{FF2B5EF4-FFF2-40B4-BE49-F238E27FC236}">
              <a16:creationId xmlns:a16="http://schemas.microsoft.com/office/drawing/2014/main" id="{8888600C-9979-4440-8B17-92FC1E8B4A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7" name="Text Box 15">
          <a:extLst>
            <a:ext uri="{FF2B5EF4-FFF2-40B4-BE49-F238E27FC236}">
              <a16:creationId xmlns:a16="http://schemas.microsoft.com/office/drawing/2014/main" id="{5FD6288D-E2A1-447C-827E-0B7E7C54F2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8" name="Text Box 15">
          <a:extLst>
            <a:ext uri="{FF2B5EF4-FFF2-40B4-BE49-F238E27FC236}">
              <a16:creationId xmlns:a16="http://schemas.microsoft.com/office/drawing/2014/main" id="{CED7D848-3956-4C90-A58D-D06F9107F5C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9" name="Text Box 15">
          <a:extLst>
            <a:ext uri="{FF2B5EF4-FFF2-40B4-BE49-F238E27FC236}">
              <a16:creationId xmlns:a16="http://schemas.microsoft.com/office/drawing/2014/main" id="{9C5F415F-9CDF-4A32-88C7-C74298A529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0" name="Text Box 15">
          <a:extLst>
            <a:ext uri="{FF2B5EF4-FFF2-40B4-BE49-F238E27FC236}">
              <a16:creationId xmlns:a16="http://schemas.microsoft.com/office/drawing/2014/main" id="{DF0C1AF6-CBA6-4369-9A46-E294D69EF48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1" name="Text Box 15">
          <a:extLst>
            <a:ext uri="{FF2B5EF4-FFF2-40B4-BE49-F238E27FC236}">
              <a16:creationId xmlns:a16="http://schemas.microsoft.com/office/drawing/2014/main" id="{36172FDD-5B43-466E-9D0B-DF990AFE068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2" name="Text Box 15">
          <a:extLst>
            <a:ext uri="{FF2B5EF4-FFF2-40B4-BE49-F238E27FC236}">
              <a16:creationId xmlns:a16="http://schemas.microsoft.com/office/drawing/2014/main" id="{CB2F3055-825F-495F-A30E-B1F6A9C9C9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3" name="Text Box 15">
          <a:extLst>
            <a:ext uri="{FF2B5EF4-FFF2-40B4-BE49-F238E27FC236}">
              <a16:creationId xmlns:a16="http://schemas.microsoft.com/office/drawing/2014/main" id="{947C5ADA-E56F-472F-9F28-2EC2C3B135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4" name="Text Box 15">
          <a:extLst>
            <a:ext uri="{FF2B5EF4-FFF2-40B4-BE49-F238E27FC236}">
              <a16:creationId xmlns:a16="http://schemas.microsoft.com/office/drawing/2014/main" id="{682CC5A3-8F9C-4C9F-814F-0F604AC6697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5" name="Text Box 15">
          <a:extLst>
            <a:ext uri="{FF2B5EF4-FFF2-40B4-BE49-F238E27FC236}">
              <a16:creationId xmlns:a16="http://schemas.microsoft.com/office/drawing/2014/main" id="{38C8C049-AFD4-44A8-8E0A-6A9337D82F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6" name="Text Box 15">
          <a:extLst>
            <a:ext uri="{FF2B5EF4-FFF2-40B4-BE49-F238E27FC236}">
              <a16:creationId xmlns:a16="http://schemas.microsoft.com/office/drawing/2014/main" id="{5539F01E-459D-46A1-9575-2F46F03BF3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7" name="Text Box 15">
          <a:extLst>
            <a:ext uri="{FF2B5EF4-FFF2-40B4-BE49-F238E27FC236}">
              <a16:creationId xmlns:a16="http://schemas.microsoft.com/office/drawing/2014/main" id="{CD1C2BCA-4C88-4133-98EF-81777DAB9F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8" name="Text Box 15">
          <a:extLst>
            <a:ext uri="{FF2B5EF4-FFF2-40B4-BE49-F238E27FC236}">
              <a16:creationId xmlns:a16="http://schemas.microsoft.com/office/drawing/2014/main" id="{D02C4EF9-48ED-4E46-875C-3958A0D143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9" name="Text Box 15">
          <a:extLst>
            <a:ext uri="{FF2B5EF4-FFF2-40B4-BE49-F238E27FC236}">
              <a16:creationId xmlns:a16="http://schemas.microsoft.com/office/drawing/2014/main" id="{F26D6764-630B-4768-9DA1-4AB5E70EC35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0" name="Text Box 15">
          <a:extLst>
            <a:ext uri="{FF2B5EF4-FFF2-40B4-BE49-F238E27FC236}">
              <a16:creationId xmlns:a16="http://schemas.microsoft.com/office/drawing/2014/main" id="{1606E2D8-FDFA-4CA5-A890-E7D824E7CF3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1" name="Text Box 15">
          <a:extLst>
            <a:ext uri="{FF2B5EF4-FFF2-40B4-BE49-F238E27FC236}">
              <a16:creationId xmlns:a16="http://schemas.microsoft.com/office/drawing/2014/main" id="{E1D3CD95-8A4F-44D6-BE3C-9A74F879BE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2" name="Text Box 15">
          <a:extLst>
            <a:ext uri="{FF2B5EF4-FFF2-40B4-BE49-F238E27FC236}">
              <a16:creationId xmlns:a16="http://schemas.microsoft.com/office/drawing/2014/main" id="{24EB2C5A-24A2-40E3-888B-13D01324BF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3" name="Text Box 15">
          <a:extLst>
            <a:ext uri="{FF2B5EF4-FFF2-40B4-BE49-F238E27FC236}">
              <a16:creationId xmlns:a16="http://schemas.microsoft.com/office/drawing/2014/main" id="{50B84967-A684-4CFE-A082-62F496976C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4" name="Text Box 15">
          <a:extLst>
            <a:ext uri="{FF2B5EF4-FFF2-40B4-BE49-F238E27FC236}">
              <a16:creationId xmlns:a16="http://schemas.microsoft.com/office/drawing/2014/main" id="{20E8B8E0-1223-460A-B2D2-68D43D9AA3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5" name="Text Box 15">
          <a:extLst>
            <a:ext uri="{FF2B5EF4-FFF2-40B4-BE49-F238E27FC236}">
              <a16:creationId xmlns:a16="http://schemas.microsoft.com/office/drawing/2014/main" id="{C872F66E-2B02-4F29-AD13-3383CA97B6D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6" name="Text Box 15">
          <a:extLst>
            <a:ext uri="{FF2B5EF4-FFF2-40B4-BE49-F238E27FC236}">
              <a16:creationId xmlns:a16="http://schemas.microsoft.com/office/drawing/2014/main" id="{6F417FCF-D108-4686-BCF0-BEE5193AF56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7" name="Text Box 15">
          <a:extLst>
            <a:ext uri="{FF2B5EF4-FFF2-40B4-BE49-F238E27FC236}">
              <a16:creationId xmlns:a16="http://schemas.microsoft.com/office/drawing/2014/main" id="{3DCCCEFF-D1A0-405A-99E6-C4B6C33E0E5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8" name="Text Box 15">
          <a:extLst>
            <a:ext uri="{FF2B5EF4-FFF2-40B4-BE49-F238E27FC236}">
              <a16:creationId xmlns:a16="http://schemas.microsoft.com/office/drawing/2014/main" id="{105A7CBF-160D-4D8C-8268-CA9E439962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9" name="Text Box 15">
          <a:extLst>
            <a:ext uri="{FF2B5EF4-FFF2-40B4-BE49-F238E27FC236}">
              <a16:creationId xmlns:a16="http://schemas.microsoft.com/office/drawing/2014/main" id="{9B5DB259-287C-4453-A49F-BC6846C164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0" name="Text Box 15">
          <a:extLst>
            <a:ext uri="{FF2B5EF4-FFF2-40B4-BE49-F238E27FC236}">
              <a16:creationId xmlns:a16="http://schemas.microsoft.com/office/drawing/2014/main" id="{2E9B85B5-E963-44B6-9E41-5B20AEF548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1" name="Text Box 15">
          <a:extLst>
            <a:ext uri="{FF2B5EF4-FFF2-40B4-BE49-F238E27FC236}">
              <a16:creationId xmlns:a16="http://schemas.microsoft.com/office/drawing/2014/main" id="{0A259E08-4CD6-4C19-9B3E-6724A96ED5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2" name="Text Box 15">
          <a:extLst>
            <a:ext uri="{FF2B5EF4-FFF2-40B4-BE49-F238E27FC236}">
              <a16:creationId xmlns:a16="http://schemas.microsoft.com/office/drawing/2014/main" id="{151BD6A1-CF8D-4F8C-AEB9-122284087E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3" name="Text Box 15">
          <a:extLst>
            <a:ext uri="{FF2B5EF4-FFF2-40B4-BE49-F238E27FC236}">
              <a16:creationId xmlns:a16="http://schemas.microsoft.com/office/drawing/2014/main" id="{BF34A2D9-DDB9-40EE-B908-F0B5C25990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4" name="Text Box 15">
          <a:extLst>
            <a:ext uri="{FF2B5EF4-FFF2-40B4-BE49-F238E27FC236}">
              <a16:creationId xmlns:a16="http://schemas.microsoft.com/office/drawing/2014/main" id="{5CA9E963-4615-4FBA-9FA0-BA2A436207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5" name="Text Box 15">
          <a:extLst>
            <a:ext uri="{FF2B5EF4-FFF2-40B4-BE49-F238E27FC236}">
              <a16:creationId xmlns:a16="http://schemas.microsoft.com/office/drawing/2014/main" id="{F2F6567E-BF35-4486-9029-9C81F9D9563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6" name="Text Box 15">
          <a:extLst>
            <a:ext uri="{FF2B5EF4-FFF2-40B4-BE49-F238E27FC236}">
              <a16:creationId xmlns:a16="http://schemas.microsoft.com/office/drawing/2014/main" id="{179600F9-B43B-47B5-A63E-B61AF44E8E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7" name="Text Box 15">
          <a:extLst>
            <a:ext uri="{FF2B5EF4-FFF2-40B4-BE49-F238E27FC236}">
              <a16:creationId xmlns:a16="http://schemas.microsoft.com/office/drawing/2014/main" id="{B11CBDA8-DC59-4790-B44F-AADE57FA19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8" name="Text Box 15">
          <a:extLst>
            <a:ext uri="{FF2B5EF4-FFF2-40B4-BE49-F238E27FC236}">
              <a16:creationId xmlns:a16="http://schemas.microsoft.com/office/drawing/2014/main" id="{4A928A2F-0BA7-4297-8565-FBF4F371DF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9" name="Text Box 15">
          <a:extLst>
            <a:ext uri="{FF2B5EF4-FFF2-40B4-BE49-F238E27FC236}">
              <a16:creationId xmlns:a16="http://schemas.microsoft.com/office/drawing/2014/main" id="{D8F8B64E-C5A4-4890-BF38-D7418061F2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0" name="Text Box 15">
          <a:extLst>
            <a:ext uri="{FF2B5EF4-FFF2-40B4-BE49-F238E27FC236}">
              <a16:creationId xmlns:a16="http://schemas.microsoft.com/office/drawing/2014/main" id="{A8727204-574B-47BD-A939-FCA86F6B59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1" name="Text Box 15">
          <a:extLst>
            <a:ext uri="{FF2B5EF4-FFF2-40B4-BE49-F238E27FC236}">
              <a16:creationId xmlns:a16="http://schemas.microsoft.com/office/drawing/2014/main" id="{B065EA5B-0F42-4664-89B6-AC5DFA9FE1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2" name="Text Box 15">
          <a:extLst>
            <a:ext uri="{FF2B5EF4-FFF2-40B4-BE49-F238E27FC236}">
              <a16:creationId xmlns:a16="http://schemas.microsoft.com/office/drawing/2014/main" id="{3654AF86-4A58-4DF2-88AA-BD2746E19C9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3" name="Text Box 15">
          <a:extLst>
            <a:ext uri="{FF2B5EF4-FFF2-40B4-BE49-F238E27FC236}">
              <a16:creationId xmlns:a16="http://schemas.microsoft.com/office/drawing/2014/main" id="{407BC375-B2DF-4630-B2D4-863472BC78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4" name="Text Box 15">
          <a:extLst>
            <a:ext uri="{FF2B5EF4-FFF2-40B4-BE49-F238E27FC236}">
              <a16:creationId xmlns:a16="http://schemas.microsoft.com/office/drawing/2014/main" id="{3215ACE8-E791-41BD-A08F-A9FED6B614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5" name="Text Box 15">
          <a:extLst>
            <a:ext uri="{FF2B5EF4-FFF2-40B4-BE49-F238E27FC236}">
              <a16:creationId xmlns:a16="http://schemas.microsoft.com/office/drawing/2014/main" id="{BC09A883-D1F6-4F1B-AEE8-EB2228BFFF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6" name="Text Box 15">
          <a:extLst>
            <a:ext uri="{FF2B5EF4-FFF2-40B4-BE49-F238E27FC236}">
              <a16:creationId xmlns:a16="http://schemas.microsoft.com/office/drawing/2014/main" id="{30C14BA7-FF30-4020-8048-82C7DBEC43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7" name="Text Box 15">
          <a:extLst>
            <a:ext uri="{FF2B5EF4-FFF2-40B4-BE49-F238E27FC236}">
              <a16:creationId xmlns:a16="http://schemas.microsoft.com/office/drawing/2014/main" id="{BBC15417-F06A-44BF-9FFC-75C44DDA49B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8" name="Text Box 15">
          <a:extLst>
            <a:ext uri="{FF2B5EF4-FFF2-40B4-BE49-F238E27FC236}">
              <a16:creationId xmlns:a16="http://schemas.microsoft.com/office/drawing/2014/main" id="{CC1EB217-C130-43A6-B434-8B39D5C307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9" name="Text Box 15">
          <a:extLst>
            <a:ext uri="{FF2B5EF4-FFF2-40B4-BE49-F238E27FC236}">
              <a16:creationId xmlns:a16="http://schemas.microsoft.com/office/drawing/2014/main" id="{6E90D3BF-5DC0-4C22-A335-ADEB4BC02E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0" name="Text Box 15">
          <a:extLst>
            <a:ext uri="{FF2B5EF4-FFF2-40B4-BE49-F238E27FC236}">
              <a16:creationId xmlns:a16="http://schemas.microsoft.com/office/drawing/2014/main" id="{B50D7E71-41A6-460E-9425-F554A52AB1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1" name="Text Box 15">
          <a:extLst>
            <a:ext uri="{FF2B5EF4-FFF2-40B4-BE49-F238E27FC236}">
              <a16:creationId xmlns:a16="http://schemas.microsoft.com/office/drawing/2014/main" id="{02713E8F-005B-4655-ABC8-1E46C969DB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2" name="Text Box 15">
          <a:extLst>
            <a:ext uri="{FF2B5EF4-FFF2-40B4-BE49-F238E27FC236}">
              <a16:creationId xmlns:a16="http://schemas.microsoft.com/office/drawing/2014/main" id="{3492D7FE-70F4-4415-BC43-5DCFE9E158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3" name="Text Box 15">
          <a:extLst>
            <a:ext uri="{FF2B5EF4-FFF2-40B4-BE49-F238E27FC236}">
              <a16:creationId xmlns:a16="http://schemas.microsoft.com/office/drawing/2014/main" id="{D4A54F09-D8C8-4B9D-B04C-4FED44836E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4" name="Text Box 15">
          <a:extLst>
            <a:ext uri="{FF2B5EF4-FFF2-40B4-BE49-F238E27FC236}">
              <a16:creationId xmlns:a16="http://schemas.microsoft.com/office/drawing/2014/main" id="{F22AC287-B5CE-450B-B55D-64A0071887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5" name="Text Box 15">
          <a:extLst>
            <a:ext uri="{FF2B5EF4-FFF2-40B4-BE49-F238E27FC236}">
              <a16:creationId xmlns:a16="http://schemas.microsoft.com/office/drawing/2014/main" id="{3CFECEFC-EE83-45A3-9E1A-B78671578BC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6" name="Text Box 15">
          <a:extLst>
            <a:ext uri="{FF2B5EF4-FFF2-40B4-BE49-F238E27FC236}">
              <a16:creationId xmlns:a16="http://schemas.microsoft.com/office/drawing/2014/main" id="{B7057CC4-9F9B-4553-AE10-34716564E0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7" name="Text Box 15">
          <a:extLst>
            <a:ext uri="{FF2B5EF4-FFF2-40B4-BE49-F238E27FC236}">
              <a16:creationId xmlns:a16="http://schemas.microsoft.com/office/drawing/2014/main" id="{EC86DEB1-7708-4701-A9FA-F4CB83E700C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8" name="Text Box 15">
          <a:extLst>
            <a:ext uri="{FF2B5EF4-FFF2-40B4-BE49-F238E27FC236}">
              <a16:creationId xmlns:a16="http://schemas.microsoft.com/office/drawing/2014/main" id="{9304947F-9743-4429-AECC-A5EFDAFE413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9" name="Text Box 15">
          <a:extLst>
            <a:ext uri="{FF2B5EF4-FFF2-40B4-BE49-F238E27FC236}">
              <a16:creationId xmlns:a16="http://schemas.microsoft.com/office/drawing/2014/main" id="{7F6D4AFE-DAD7-4703-AC0E-724795AD0E0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0" name="Text Box 15">
          <a:extLst>
            <a:ext uri="{FF2B5EF4-FFF2-40B4-BE49-F238E27FC236}">
              <a16:creationId xmlns:a16="http://schemas.microsoft.com/office/drawing/2014/main" id="{492307C0-A996-40B6-B446-9AB7367DD9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1" name="Text Box 15">
          <a:extLst>
            <a:ext uri="{FF2B5EF4-FFF2-40B4-BE49-F238E27FC236}">
              <a16:creationId xmlns:a16="http://schemas.microsoft.com/office/drawing/2014/main" id="{0C5608CE-9A75-4CEF-BEBD-A0D4434900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2" name="Text Box 15">
          <a:extLst>
            <a:ext uri="{FF2B5EF4-FFF2-40B4-BE49-F238E27FC236}">
              <a16:creationId xmlns:a16="http://schemas.microsoft.com/office/drawing/2014/main" id="{BAC3BF05-3FE5-4994-9FEF-CDBEE841088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3" name="Text Box 15">
          <a:extLst>
            <a:ext uri="{FF2B5EF4-FFF2-40B4-BE49-F238E27FC236}">
              <a16:creationId xmlns:a16="http://schemas.microsoft.com/office/drawing/2014/main" id="{C07EDF63-F89B-4307-9EFF-BD8C24EC5D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4" name="Text Box 15">
          <a:extLst>
            <a:ext uri="{FF2B5EF4-FFF2-40B4-BE49-F238E27FC236}">
              <a16:creationId xmlns:a16="http://schemas.microsoft.com/office/drawing/2014/main" id="{B3E4D413-6CEF-4C70-BAEF-3D04BFFF8E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5" name="Text Box 15">
          <a:extLst>
            <a:ext uri="{FF2B5EF4-FFF2-40B4-BE49-F238E27FC236}">
              <a16:creationId xmlns:a16="http://schemas.microsoft.com/office/drawing/2014/main" id="{1FDC9F5D-5E4A-4579-95DD-6DD31DE3B6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6" name="Text Box 15">
          <a:extLst>
            <a:ext uri="{FF2B5EF4-FFF2-40B4-BE49-F238E27FC236}">
              <a16:creationId xmlns:a16="http://schemas.microsoft.com/office/drawing/2014/main" id="{224E026F-4E01-4DF8-AD38-E20233EAD21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7" name="Text Box 15">
          <a:extLst>
            <a:ext uri="{FF2B5EF4-FFF2-40B4-BE49-F238E27FC236}">
              <a16:creationId xmlns:a16="http://schemas.microsoft.com/office/drawing/2014/main" id="{D96CDA51-BD9F-4990-826A-169732BF33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8" name="Text Box 15">
          <a:extLst>
            <a:ext uri="{FF2B5EF4-FFF2-40B4-BE49-F238E27FC236}">
              <a16:creationId xmlns:a16="http://schemas.microsoft.com/office/drawing/2014/main" id="{5638DDA8-EDFC-4F2C-B03A-7071FB3E12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9" name="Text Box 15">
          <a:extLst>
            <a:ext uri="{FF2B5EF4-FFF2-40B4-BE49-F238E27FC236}">
              <a16:creationId xmlns:a16="http://schemas.microsoft.com/office/drawing/2014/main" id="{AE6353CE-5CCC-4B47-9529-58A7AE80B0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0" name="Text Box 15">
          <a:extLst>
            <a:ext uri="{FF2B5EF4-FFF2-40B4-BE49-F238E27FC236}">
              <a16:creationId xmlns:a16="http://schemas.microsoft.com/office/drawing/2014/main" id="{99AD8019-0072-4F83-B58C-817AEF6E4D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1" name="Text Box 15">
          <a:extLst>
            <a:ext uri="{FF2B5EF4-FFF2-40B4-BE49-F238E27FC236}">
              <a16:creationId xmlns:a16="http://schemas.microsoft.com/office/drawing/2014/main" id="{DDB0A729-56E7-4E58-B7F0-AEC964AADA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2" name="Text Box 15">
          <a:extLst>
            <a:ext uri="{FF2B5EF4-FFF2-40B4-BE49-F238E27FC236}">
              <a16:creationId xmlns:a16="http://schemas.microsoft.com/office/drawing/2014/main" id="{58DC4E01-3303-4F48-88C4-2434A7CE58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3" name="Text Box 15">
          <a:extLst>
            <a:ext uri="{FF2B5EF4-FFF2-40B4-BE49-F238E27FC236}">
              <a16:creationId xmlns:a16="http://schemas.microsoft.com/office/drawing/2014/main" id="{3845FC92-825F-45C0-91D6-11E6958F56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4" name="Text Box 15">
          <a:extLst>
            <a:ext uri="{FF2B5EF4-FFF2-40B4-BE49-F238E27FC236}">
              <a16:creationId xmlns:a16="http://schemas.microsoft.com/office/drawing/2014/main" id="{602F8A78-DFF9-418C-92AF-A20208A589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5" name="Text Box 15">
          <a:extLst>
            <a:ext uri="{FF2B5EF4-FFF2-40B4-BE49-F238E27FC236}">
              <a16:creationId xmlns:a16="http://schemas.microsoft.com/office/drawing/2014/main" id="{92E3EC36-A98F-4CB1-8EAA-0957FD3E35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6" name="Text Box 15">
          <a:extLst>
            <a:ext uri="{FF2B5EF4-FFF2-40B4-BE49-F238E27FC236}">
              <a16:creationId xmlns:a16="http://schemas.microsoft.com/office/drawing/2014/main" id="{76142532-110A-4CBB-8E54-0F69AEF6C2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7" name="Text Box 15">
          <a:extLst>
            <a:ext uri="{FF2B5EF4-FFF2-40B4-BE49-F238E27FC236}">
              <a16:creationId xmlns:a16="http://schemas.microsoft.com/office/drawing/2014/main" id="{6398F166-D8D2-4EBE-B8F7-ADCA657AF6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8" name="Text Box 15">
          <a:extLst>
            <a:ext uri="{FF2B5EF4-FFF2-40B4-BE49-F238E27FC236}">
              <a16:creationId xmlns:a16="http://schemas.microsoft.com/office/drawing/2014/main" id="{1D856770-B02E-4E27-85D3-2320DF8ACC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9" name="Text Box 15">
          <a:extLst>
            <a:ext uri="{FF2B5EF4-FFF2-40B4-BE49-F238E27FC236}">
              <a16:creationId xmlns:a16="http://schemas.microsoft.com/office/drawing/2014/main" id="{5E1C8C23-962E-4BB7-9691-940188AD36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0" name="Text Box 15">
          <a:extLst>
            <a:ext uri="{FF2B5EF4-FFF2-40B4-BE49-F238E27FC236}">
              <a16:creationId xmlns:a16="http://schemas.microsoft.com/office/drawing/2014/main" id="{ED96B28C-6E45-4E17-8D3F-FF31E76B87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1" name="Text Box 15">
          <a:extLst>
            <a:ext uri="{FF2B5EF4-FFF2-40B4-BE49-F238E27FC236}">
              <a16:creationId xmlns:a16="http://schemas.microsoft.com/office/drawing/2014/main" id="{2977D818-207F-4E82-A2A0-966CACF0B9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2" name="Text Box 15">
          <a:extLst>
            <a:ext uri="{FF2B5EF4-FFF2-40B4-BE49-F238E27FC236}">
              <a16:creationId xmlns:a16="http://schemas.microsoft.com/office/drawing/2014/main" id="{EC7DC01F-288A-413C-A481-836B93BD1C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3" name="Text Box 15">
          <a:extLst>
            <a:ext uri="{FF2B5EF4-FFF2-40B4-BE49-F238E27FC236}">
              <a16:creationId xmlns:a16="http://schemas.microsoft.com/office/drawing/2014/main" id="{FB29AE50-4E0B-4188-8285-C440F80C5B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4" name="Text Box 15">
          <a:extLst>
            <a:ext uri="{FF2B5EF4-FFF2-40B4-BE49-F238E27FC236}">
              <a16:creationId xmlns:a16="http://schemas.microsoft.com/office/drawing/2014/main" id="{B7CC5BA3-76EB-4D2C-B970-1CEC6A7CD6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5" name="Text Box 15">
          <a:extLst>
            <a:ext uri="{FF2B5EF4-FFF2-40B4-BE49-F238E27FC236}">
              <a16:creationId xmlns:a16="http://schemas.microsoft.com/office/drawing/2014/main" id="{21B11ED3-9AF4-4EDC-8877-20452583A4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6" name="Text Box 15">
          <a:extLst>
            <a:ext uri="{FF2B5EF4-FFF2-40B4-BE49-F238E27FC236}">
              <a16:creationId xmlns:a16="http://schemas.microsoft.com/office/drawing/2014/main" id="{35C30E4C-E7A1-4A8B-93DC-786A16E674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7" name="Text Box 15">
          <a:extLst>
            <a:ext uri="{FF2B5EF4-FFF2-40B4-BE49-F238E27FC236}">
              <a16:creationId xmlns:a16="http://schemas.microsoft.com/office/drawing/2014/main" id="{E70F9D2D-0162-43C8-B083-F2153E1264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8" name="Text Box 15">
          <a:extLst>
            <a:ext uri="{FF2B5EF4-FFF2-40B4-BE49-F238E27FC236}">
              <a16:creationId xmlns:a16="http://schemas.microsoft.com/office/drawing/2014/main" id="{34D9611C-4794-4B5F-832A-69D59C317D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9" name="Text Box 15">
          <a:extLst>
            <a:ext uri="{FF2B5EF4-FFF2-40B4-BE49-F238E27FC236}">
              <a16:creationId xmlns:a16="http://schemas.microsoft.com/office/drawing/2014/main" id="{5C609188-0CC5-419B-AA35-EF38A3EBBE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0" name="Text Box 15">
          <a:extLst>
            <a:ext uri="{FF2B5EF4-FFF2-40B4-BE49-F238E27FC236}">
              <a16:creationId xmlns:a16="http://schemas.microsoft.com/office/drawing/2014/main" id="{12656445-764F-4CA0-962F-49CB86EEC18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1" name="Text Box 15">
          <a:extLst>
            <a:ext uri="{FF2B5EF4-FFF2-40B4-BE49-F238E27FC236}">
              <a16:creationId xmlns:a16="http://schemas.microsoft.com/office/drawing/2014/main" id="{7D18DD63-FAC8-4B02-B85C-DF8F9467C22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2" name="Text Box 15">
          <a:extLst>
            <a:ext uri="{FF2B5EF4-FFF2-40B4-BE49-F238E27FC236}">
              <a16:creationId xmlns:a16="http://schemas.microsoft.com/office/drawing/2014/main" id="{7AC7D78A-4AA2-4530-8B9D-5C6C01D89B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3" name="Text Box 15">
          <a:extLst>
            <a:ext uri="{FF2B5EF4-FFF2-40B4-BE49-F238E27FC236}">
              <a16:creationId xmlns:a16="http://schemas.microsoft.com/office/drawing/2014/main" id="{6D696A36-1606-498D-A3AD-9F1A4067CC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4" name="Text Box 15">
          <a:extLst>
            <a:ext uri="{FF2B5EF4-FFF2-40B4-BE49-F238E27FC236}">
              <a16:creationId xmlns:a16="http://schemas.microsoft.com/office/drawing/2014/main" id="{1448E369-8BC8-4BCF-998F-F3DF665BB3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5" name="Text Box 15">
          <a:extLst>
            <a:ext uri="{FF2B5EF4-FFF2-40B4-BE49-F238E27FC236}">
              <a16:creationId xmlns:a16="http://schemas.microsoft.com/office/drawing/2014/main" id="{041EC0F3-F1D1-4AE0-9602-CE68945712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6" name="Text Box 15">
          <a:extLst>
            <a:ext uri="{FF2B5EF4-FFF2-40B4-BE49-F238E27FC236}">
              <a16:creationId xmlns:a16="http://schemas.microsoft.com/office/drawing/2014/main" id="{EAF8E875-02F6-4D3A-BF81-33C2BFFC71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7" name="Text Box 15">
          <a:extLst>
            <a:ext uri="{FF2B5EF4-FFF2-40B4-BE49-F238E27FC236}">
              <a16:creationId xmlns:a16="http://schemas.microsoft.com/office/drawing/2014/main" id="{79DAE95E-DED3-4022-9033-710FDACC4A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8" name="Text Box 15">
          <a:extLst>
            <a:ext uri="{FF2B5EF4-FFF2-40B4-BE49-F238E27FC236}">
              <a16:creationId xmlns:a16="http://schemas.microsoft.com/office/drawing/2014/main" id="{B8BAB03B-B0D0-4757-9671-64EB9C1DEF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9" name="Text Box 15">
          <a:extLst>
            <a:ext uri="{FF2B5EF4-FFF2-40B4-BE49-F238E27FC236}">
              <a16:creationId xmlns:a16="http://schemas.microsoft.com/office/drawing/2014/main" id="{32BD566E-4EDE-447B-980C-8B55FD38A6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0" name="Text Box 15">
          <a:extLst>
            <a:ext uri="{FF2B5EF4-FFF2-40B4-BE49-F238E27FC236}">
              <a16:creationId xmlns:a16="http://schemas.microsoft.com/office/drawing/2014/main" id="{2ABECCD1-9254-48F2-99AD-84170D9EC6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1" name="Text Box 15">
          <a:extLst>
            <a:ext uri="{FF2B5EF4-FFF2-40B4-BE49-F238E27FC236}">
              <a16:creationId xmlns:a16="http://schemas.microsoft.com/office/drawing/2014/main" id="{F46DC714-7E3D-4422-9697-67D0C30ED3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2" name="Text Box 15">
          <a:extLst>
            <a:ext uri="{FF2B5EF4-FFF2-40B4-BE49-F238E27FC236}">
              <a16:creationId xmlns:a16="http://schemas.microsoft.com/office/drawing/2014/main" id="{DD6E9A4C-54B8-4877-8F4B-1D43181DD6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3" name="Text Box 15">
          <a:extLst>
            <a:ext uri="{FF2B5EF4-FFF2-40B4-BE49-F238E27FC236}">
              <a16:creationId xmlns:a16="http://schemas.microsoft.com/office/drawing/2014/main" id="{261185A0-BF72-4F2B-B6F9-55A37AD46C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4" name="Text Box 15">
          <a:extLst>
            <a:ext uri="{FF2B5EF4-FFF2-40B4-BE49-F238E27FC236}">
              <a16:creationId xmlns:a16="http://schemas.microsoft.com/office/drawing/2014/main" id="{1D3469D4-C21A-473C-92CE-DF3209AE57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5" name="Text Box 15">
          <a:extLst>
            <a:ext uri="{FF2B5EF4-FFF2-40B4-BE49-F238E27FC236}">
              <a16:creationId xmlns:a16="http://schemas.microsoft.com/office/drawing/2014/main" id="{335D852B-FE4D-40F6-B60F-20EEBC668B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6" name="Text Box 15">
          <a:extLst>
            <a:ext uri="{FF2B5EF4-FFF2-40B4-BE49-F238E27FC236}">
              <a16:creationId xmlns:a16="http://schemas.microsoft.com/office/drawing/2014/main" id="{31629604-34DB-41C4-B7F4-D193B97B39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7" name="Text Box 15">
          <a:extLst>
            <a:ext uri="{FF2B5EF4-FFF2-40B4-BE49-F238E27FC236}">
              <a16:creationId xmlns:a16="http://schemas.microsoft.com/office/drawing/2014/main" id="{25F6E7D1-84BB-4516-9308-15399DCD82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8" name="Text Box 15">
          <a:extLst>
            <a:ext uri="{FF2B5EF4-FFF2-40B4-BE49-F238E27FC236}">
              <a16:creationId xmlns:a16="http://schemas.microsoft.com/office/drawing/2014/main" id="{11C490F5-3DD5-462A-81E1-D531934C67F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9" name="Text Box 15">
          <a:extLst>
            <a:ext uri="{FF2B5EF4-FFF2-40B4-BE49-F238E27FC236}">
              <a16:creationId xmlns:a16="http://schemas.microsoft.com/office/drawing/2014/main" id="{A0568154-2C9E-4C4A-8FB6-263F51739E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0" name="Text Box 15">
          <a:extLst>
            <a:ext uri="{FF2B5EF4-FFF2-40B4-BE49-F238E27FC236}">
              <a16:creationId xmlns:a16="http://schemas.microsoft.com/office/drawing/2014/main" id="{CB005C5D-D4D6-458C-BFCC-9087848A4F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1" name="Text Box 15">
          <a:extLst>
            <a:ext uri="{FF2B5EF4-FFF2-40B4-BE49-F238E27FC236}">
              <a16:creationId xmlns:a16="http://schemas.microsoft.com/office/drawing/2014/main" id="{B524ED8D-C219-4BE9-9D9B-F737C75E23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2" name="Text Box 15">
          <a:extLst>
            <a:ext uri="{FF2B5EF4-FFF2-40B4-BE49-F238E27FC236}">
              <a16:creationId xmlns:a16="http://schemas.microsoft.com/office/drawing/2014/main" id="{5B2470D2-0382-42E1-8222-78B113331B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3" name="Text Box 15">
          <a:extLst>
            <a:ext uri="{FF2B5EF4-FFF2-40B4-BE49-F238E27FC236}">
              <a16:creationId xmlns:a16="http://schemas.microsoft.com/office/drawing/2014/main" id="{DA1DC53B-445F-482C-AB56-1705C2D6CE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4" name="Text Box 15">
          <a:extLst>
            <a:ext uri="{FF2B5EF4-FFF2-40B4-BE49-F238E27FC236}">
              <a16:creationId xmlns:a16="http://schemas.microsoft.com/office/drawing/2014/main" id="{91EB0BD3-BBCD-4BB4-BDCB-E0C89E69A9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5" name="Text Box 15">
          <a:extLst>
            <a:ext uri="{FF2B5EF4-FFF2-40B4-BE49-F238E27FC236}">
              <a16:creationId xmlns:a16="http://schemas.microsoft.com/office/drawing/2014/main" id="{F6AA441B-DCF7-41BD-A2DA-364CD11438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6" name="Text Box 15">
          <a:extLst>
            <a:ext uri="{FF2B5EF4-FFF2-40B4-BE49-F238E27FC236}">
              <a16:creationId xmlns:a16="http://schemas.microsoft.com/office/drawing/2014/main" id="{A92FB42E-3F30-4276-869C-1339CD7E18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7" name="Text Box 15">
          <a:extLst>
            <a:ext uri="{FF2B5EF4-FFF2-40B4-BE49-F238E27FC236}">
              <a16:creationId xmlns:a16="http://schemas.microsoft.com/office/drawing/2014/main" id="{07A7AFE0-84A3-4928-91E7-DD46EB3873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8" name="Text Box 15">
          <a:extLst>
            <a:ext uri="{FF2B5EF4-FFF2-40B4-BE49-F238E27FC236}">
              <a16:creationId xmlns:a16="http://schemas.microsoft.com/office/drawing/2014/main" id="{9E07AFE6-1099-45DA-BB4E-24E6B10C50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9" name="Text Box 15">
          <a:extLst>
            <a:ext uri="{FF2B5EF4-FFF2-40B4-BE49-F238E27FC236}">
              <a16:creationId xmlns:a16="http://schemas.microsoft.com/office/drawing/2014/main" id="{67D36C7E-8F4E-4322-AD6A-70E922D14F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0" name="Text Box 15">
          <a:extLst>
            <a:ext uri="{FF2B5EF4-FFF2-40B4-BE49-F238E27FC236}">
              <a16:creationId xmlns:a16="http://schemas.microsoft.com/office/drawing/2014/main" id="{D49BD0BB-97F2-4521-A666-8AA8A12C861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1" name="Text Box 15">
          <a:extLst>
            <a:ext uri="{FF2B5EF4-FFF2-40B4-BE49-F238E27FC236}">
              <a16:creationId xmlns:a16="http://schemas.microsoft.com/office/drawing/2014/main" id="{46D85500-A2C4-4B06-99A8-BA8F659A9C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2" name="Text Box 15">
          <a:extLst>
            <a:ext uri="{FF2B5EF4-FFF2-40B4-BE49-F238E27FC236}">
              <a16:creationId xmlns:a16="http://schemas.microsoft.com/office/drawing/2014/main" id="{F1B2413F-02A2-4023-92F0-6D1D83C89A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3" name="Text Box 15">
          <a:extLst>
            <a:ext uri="{FF2B5EF4-FFF2-40B4-BE49-F238E27FC236}">
              <a16:creationId xmlns:a16="http://schemas.microsoft.com/office/drawing/2014/main" id="{332CC29A-073C-4E69-82D2-E0204FF376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4" name="Text Box 15">
          <a:extLst>
            <a:ext uri="{FF2B5EF4-FFF2-40B4-BE49-F238E27FC236}">
              <a16:creationId xmlns:a16="http://schemas.microsoft.com/office/drawing/2014/main" id="{04BA35DA-7C6C-4874-8FEC-69970D3FD0A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5" name="Text Box 15">
          <a:extLst>
            <a:ext uri="{FF2B5EF4-FFF2-40B4-BE49-F238E27FC236}">
              <a16:creationId xmlns:a16="http://schemas.microsoft.com/office/drawing/2014/main" id="{B1D22F69-9C4A-4057-B563-D8C6586D66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6" name="Text Box 15">
          <a:extLst>
            <a:ext uri="{FF2B5EF4-FFF2-40B4-BE49-F238E27FC236}">
              <a16:creationId xmlns:a16="http://schemas.microsoft.com/office/drawing/2014/main" id="{80EBE6A0-A772-41E6-ACE3-C34B5FA78FF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7" name="Text Box 15">
          <a:extLst>
            <a:ext uri="{FF2B5EF4-FFF2-40B4-BE49-F238E27FC236}">
              <a16:creationId xmlns:a16="http://schemas.microsoft.com/office/drawing/2014/main" id="{1F8B319A-351F-4C91-979A-CCF96EA3FA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8" name="Text Box 15">
          <a:extLst>
            <a:ext uri="{FF2B5EF4-FFF2-40B4-BE49-F238E27FC236}">
              <a16:creationId xmlns:a16="http://schemas.microsoft.com/office/drawing/2014/main" id="{6634123C-FEAB-4C4C-9092-88FE84B2D0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9" name="Text Box 15">
          <a:extLst>
            <a:ext uri="{FF2B5EF4-FFF2-40B4-BE49-F238E27FC236}">
              <a16:creationId xmlns:a16="http://schemas.microsoft.com/office/drawing/2014/main" id="{EEE0BBF5-A113-423E-A0D3-6671CEF79D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0" name="Text Box 15">
          <a:extLst>
            <a:ext uri="{FF2B5EF4-FFF2-40B4-BE49-F238E27FC236}">
              <a16:creationId xmlns:a16="http://schemas.microsoft.com/office/drawing/2014/main" id="{47750733-CAB1-4374-A76E-AA803A98D6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1" name="Text Box 15">
          <a:extLst>
            <a:ext uri="{FF2B5EF4-FFF2-40B4-BE49-F238E27FC236}">
              <a16:creationId xmlns:a16="http://schemas.microsoft.com/office/drawing/2014/main" id="{4FAF0E4E-AC13-4EF2-AF0F-A2A60A2894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2" name="Text Box 15">
          <a:extLst>
            <a:ext uri="{FF2B5EF4-FFF2-40B4-BE49-F238E27FC236}">
              <a16:creationId xmlns:a16="http://schemas.microsoft.com/office/drawing/2014/main" id="{66AFFF87-F275-4298-9EDC-98A8D40E19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3" name="Text Box 15">
          <a:extLst>
            <a:ext uri="{FF2B5EF4-FFF2-40B4-BE49-F238E27FC236}">
              <a16:creationId xmlns:a16="http://schemas.microsoft.com/office/drawing/2014/main" id="{DBD0D424-81FA-46CC-BAB2-7364CA1BB4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4" name="Text Box 15">
          <a:extLst>
            <a:ext uri="{FF2B5EF4-FFF2-40B4-BE49-F238E27FC236}">
              <a16:creationId xmlns:a16="http://schemas.microsoft.com/office/drawing/2014/main" id="{FD32E913-EE90-4FB9-B887-69D4424AA3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5" name="Text Box 15">
          <a:extLst>
            <a:ext uri="{FF2B5EF4-FFF2-40B4-BE49-F238E27FC236}">
              <a16:creationId xmlns:a16="http://schemas.microsoft.com/office/drawing/2014/main" id="{1F04BEA7-A24A-4AB4-919F-3352EF9348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6" name="Text Box 15">
          <a:extLst>
            <a:ext uri="{FF2B5EF4-FFF2-40B4-BE49-F238E27FC236}">
              <a16:creationId xmlns:a16="http://schemas.microsoft.com/office/drawing/2014/main" id="{31D9C696-A8AE-4AB5-A23D-FBB3322CE2B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7" name="Text Box 15">
          <a:extLst>
            <a:ext uri="{FF2B5EF4-FFF2-40B4-BE49-F238E27FC236}">
              <a16:creationId xmlns:a16="http://schemas.microsoft.com/office/drawing/2014/main" id="{E443D252-CEAA-4AD3-BA87-22B8A43670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8" name="Text Box 15">
          <a:extLst>
            <a:ext uri="{FF2B5EF4-FFF2-40B4-BE49-F238E27FC236}">
              <a16:creationId xmlns:a16="http://schemas.microsoft.com/office/drawing/2014/main" id="{05D56438-D161-4C75-9A7C-09C256436C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9" name="Text Box 15">
          <a:extLst>
            <a:ext uri="{FF2B5EF4-FFF2-40B4-BE49-F238E27FC236}">
              <a16:creationId xmlns:a16="http://schemas.microsoft.com/office/drawing/2014/main" id="{0080B665-31D1-4944-A096-F166B2567A8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0" name="Text Box 15">
          <a:extLst>
            <a:ext uri="{FF2B5EF4-FFF2-40B4-BE49-F238E27FC236}">
              <a16:creationId xmlns:a16="http://schemas.microsoft.com/office/drawing/2014/main" id="{DD3390F5-7175-4D91-9E03-AB38AB276B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1" name="Text Box 15">
          <a:extLst>
            <a:ext uri="{FF2B5EF4-FFF2-40B4-BE49-F238E27FC236}">
              <a16:creationId xmlns:a16="http://schemas.microsoft.com/office/drawing/2014/main" id="{A29C3134-C274-436A-80DB-F94221B2AC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2" name="Text Box 15">
          <a:extLst>
            <a:ext uri="{FF2B5EF4-FFF2-40B4-BE49-F238E27FC236}">
              <a16:creationId xmlns:a16="http://schemas.microsoft.com/office/drawing/2014/main" id="{FEEA2ED9-BAF9-4BAC-9388-C40D26F369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3" name="Text Box 15">
          <a:extLst>
            <a:ext uri="{FF2B5EF4-FFF2-40B4-BE49-F238E27FC236}">
              <a16:creationId xmlns:a16="http://schemas.microsoft.com/office/drawing/2014/main" id="{AD896B85-E64C-4DED-9C2D-DA4126C092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4" name="Text Box 15">
          <a:extLst>
            <a:ext uri="{FF2B5EF4-FFF2-40B4-BE49-F238E27FC236}">
              <a16:creationId xmlns:a16="http://schemas.microsoft.com/office/drawing/2014/main" id="{B9FFD24F-C6D4-42B0-B5E5-5F9224BD72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5" name="Text Box 15">
          <a:extLst>
            <a:ext uri="{FF2B5EF4-FFF2-40B4-BE49-F238E27FC236}">
              <a16:creationId xmlns:a16="http://schemas.microsoft.com/office/drawing/2014/main" id="{DB3DD082-9639-421D-B9D1-797251C0FD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6" name="Text Box 15">
          <a:extLst>
            <a:ext uri="{FF2B5EF4-FFF2-40B4-BE49-F238E27FC236}">
              <a16:creationId xmlns:a16="http://schemas.microsoft.com/office/drawing/2014/main" id="{DF657BD1-9011-4571-96FB-4D04240396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7" name="Text Box 15">
          <a:extLst>
            <a:ext uri="{FF2B5EF4-FFF2-40B4-BE49-F238E27FC236}">
              <a16:creationId xmlns:a16="http://schemas.microsoft.com/office/drawing/2014/main" id="{BC5AEB8B-6E67-4727-BD24-8D61CD6BC2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8" name="Text Box 15">
          <a:extLst>
            <a:ext uri="{FF2B5EF4-FFF2-40B4-BE49-F238E27FC236}">
              <a16:creationId xmlns:a16="http://schemas.microsoft.com/office/drawing/2014/main" id="{5D959DC5-1730-4B51-B61C-C2E8763005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9" name="Text Box 15">
          <a:extLst>
            <a:ext uri="{FF2B5EF4-FFF2-40B4-BE49-F238E27FC236}">
              <a16:creationId xmlns:a16="http://schemas.microsoft.com/office/drawing/2014/main" id="{1B466F1D-696C-4CA9-BF96-A0D9AC206E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0" name="Text Box 15">
          <a:extLst>
            <a:ext uri="{FF2B5EF4-FFF2-40B4-BE49-F238E27FC236}">
              <a16:creationId xmlns:a16="http://schemas.microsoft.com/office/drawing/2014/main" id="{44B86281-5E2B-4DE4-A413-D4DE60E45D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1" name="Text Box 15">
          <a:extLst>
            <a:ext uri="{FF2B5EF4-FFF2-40B4-BE49-F238E27FC236}">
              <a16:creationId xmlns:a16="http://schemas.microsoft.com/office/drawing/2014/main" id="{66E9B299-C600-436D-A25B-568D6C3A49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2" name="Text Box 15">
          <a:extLst>
            <a:ext uri="{FF2B5EF4-FFF2-40B4-BE49-F238E27FC236}">
              <a16:creationId xmlns:a16="http://schemas.microsoft.com/office/drawing/2014/main" id="{E75C92DF-2B58-4FB8-A532-393E72FFBA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3" name="Text Box 15">
          <a:extLst>
            <a:ext uri="{FF2B5EF4-FFF2-40B4-BE49-F238E27FC236}">
              <a16:creationId xmlns:a16="http://schemas.microsoft.com/office/drawing/2014/main" id="{D659EC74-3C3B-48ED-849C-12234E3982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4" name="Text Box 15">
          <a:extLst>
            <a:ext uri="{FF2B5EF4-FFF2-40B4-BE49-F238E27FC236}">
              <a16:creationId xmlns:a16="http://schemas.microsoft.com/office/drawing/2014/main" id="{9792078F-4402-494A-94ED-79D20F59E3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5" name="Text Box 15">
          <a:extLst>
            <a:ext uri="{FF2B5EF4-FFF2-40B4-BE49-F238E27FC236}">
              <a16:creationId xmlns:a16="http://schemas.microsoft.com/office/drawing/2014/main" id="{F329E721-0CD7-4566-94CB-19A840E9C0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6" name="Text Box 15">
          <a:extLst>
            <a:ext uri="{FF2B5EF4-FFF2-40B4-BE49-F238E27FC236}">
              <a16:creationId xmlns:a16="http://schemas.microsoft.com/office/drawing/2014/main" id="{60F63974-4F84-4ECE-8ACB-10CFD09E48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7" name="Text Box 15">
          <a:extLst>
            <a:ext uri="{FF2B5EF4-FFF2-40B4-BE49-F238E27FC236}">
              <a16:creationId xmlns:a16="http://schemas.microsoft.com/office/drawing/2014/main" id="{66CC5EA4-4D71-40E2-810E-C79787DAAA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8" name="Text Box 15">
          <a:extLst>
            <a:ext uri="{FF2B5EF4-FFF2-40B4-BE49-F238E27FC236}">
              <a16:creationId xmlns:a16="http://schemas.microsoft.com/office/drawing/2014/main" id="{C71F7A8C-C133-476B-A49F-395237609E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9" name="Text Box 15">
          <a:extLst>
            <a:ext uri="{FF2B5EF4-FFF2-40B4-BE49-F238E27FC236}">
              <a16:creationId xmlns:a16="http://schemas.microsoft.com/office/drawing/2014/main" id="{60971813-1BFA-436F-8F5D-10101ADB26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0" name="Text Box 15">
          <a:extLst>
            <a:ext uri="{FF2B5EF4-FFF2-40B4-BE49-F238E27FC236}">
              <a16:creationId xmlns:a16="http://schemas.microsoft.com/office/drawing/2014/main" id="{7AC2662F-B0B1-471D-990D-539B80F94B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1" name="Text Box 15">
          <a:extLst>
            <a:ext uri="{FF2B5EF4-FFF2-40B4-BE49-F238E27FC236}">
              <a16:creationId xmlns:a16="http://schemas.microsoft.com/office/drawing/2014/main" id="{F82C96C1-40C3-4656-A948-5027A9B9F6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2" name="Text Box 15">
          <a:extLst>
            <a:ext uri="{FF2B5EF4-FFF2-40B4-BE49-F238E27FC236}">
              <a16:creationId xmlns:a16="http://schemas.microsoft.com/office/drawing/2014/main" id="{A316B7A0-A6C6-4C3F-8E97-BBFAA57291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3" name="Text Box 15">
          <a:extLst>
            <a:ext uri="{FF2B5EF4-FFF2-40B4-BE49-F238E27FC236}">
              <a16:creationId xmlns:a16="http://schemas.microsoft.com/office/drawing/2014/main" id="{B4722B30-EF42-4065-B4CD-F86F60F39D6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4" name="Text Box 15">
          <a:extLst>
            <a:ext uri="{FF2B5EF4-FFF2-40B4-BE49-F238E27FC236}">
              <a16:creationId xmlns:a16="http://schemas.microsoft.com/office/drawing/2014/main" id="{58134EB5-B7BE-4478-9C17-B30EA7B656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5" name="Text Box 15">
          <a:extLst>
            <a:ext uri="{FF2B5EF4-FFF2-40B4-BE49-F238E27FC236}">
              <a16:creationId xmlns:a16="http://schemas.microsoft.com/office/drawing/2014/main" id="{8B194825-5D20-41BB-9C56-4F64784A94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6" name="Text Box 15">
          <a:extLst>
            <a:ext uri="{FF2B5EF4-FFF2-40B4-BE49-F238E27FC236}">
              <a16:creationId xmlns:a16="http://schemas.microsoft.com/office/drawing/2014/main" id="{761150E2-C95C-4291-AA16-97281FCE4FF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7" name="Text Box 15">
          <a:extLst>
            <a:ext uri="{FF2B5EF4-FFF2-40B4-BE49-F238E27FC236}">
              <a16:creationId xmlns:a16="http://schemas.microsoft.com/office/drawing/2014/main" id="{C8F7265A-D1F3-4CCF-8F4A-EB4512E959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8" name="Text Box 15">
          <a:extLst>
            <a:ext uri="{FF2B5EF4-FFF2-40B4-BE49-F238E27FC236}">
              <a16:creationId xmlns:a16="http://schemas.microsoft.com/office/drawing/2014/main" id="{E7F71B39-CDE9-497C-92E0-D82968B28F9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9" name="Text Box 15">
          <a:extLst>
            <a:ext uri="{FF2B5EF4-FFF2-40B4-BE49-F238E27FC236}">
              <a16:creationId xmlns:a16="http://schemas.microsoft.com/office/drawing/2014/main" id="{B3AEF0CC-F96A-4F7A-BF86-A6B715DADF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0" name="Text Box 15">
          <a:extLst>
            <a:ext uri="{FF2B5EF4-FFF2-40B4-BE49-F238E27FC236}">
              <a16:creationId xmlns:a16="http://schemas.microsoft.com/office/drawing/2014/main" id="{2BB5BFE7-D126-43D9-8937-3060D3F7BB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1" name="Text Box 15">
          <a:extLst>
            <a:ext uri="{FF2B5EF4-FFF2-40B4-BE49-F238E27FC236}">
              <a16:creationId xmlns:a16="http://schemas.microsoft.com/office/drawing/2014/main" id="{BB44CDBD-B680-47CF-B790-0409B878B08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2" name="Text Box 15">
          <a:extLst>
            <a:ext uri="{FF2B5EF4-FFF2-40B4-BE49-F238E27FC236}">
              <a16:creationId xmlns:a16="http://schemas.microsoft.com/office/drawing/2014/main" id="{320B3130-4775-4083-89D6-7D138E76DF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3" name="Text Box 15">
          <a:extLst>
            <a:ext uri="{FF2B5EF4-FFF2-40B4-BE49-F238E27FC236}">
              <a16:creationId xmlns:a16="http://schemas.microsoft.com/office/drawing/2014/main" id="{70C3CFE4-8250-4554-9671-58B227EF50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4" name="Text Box 15">
          <a:extLst>
            <a:ext uri="{FF2B5EF4-FFF2-40B4-BE49-F238E27FC236}">
              <a16:creationId xmlns:a16="http://schemas.microsoft.com/office/drawing/2014/main" id="{8C1F13D1-1FF2-4BC9-89E4-C20F7284AD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5" name="Text Box 15">
          <a:extLst>
            <a:ext uri="{FF2B5EF4-FFF2-40B4-BE49-F238E27FC236}">
              <a16:creationId xmlns:a16="http://schemas.microsoft.com/office/drawing/2014/main" id="{53D61744-B841-4B48-B9EC-C2EE71632E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6" name="Text Box 15">
          <a:extLst>
            <a:ext uri="{FF2B5EF4-FFF2-40B4-BE49-F238E27FC236}">
              <a16:creationId xmlns:a16="http://schemas.microsoft.com/office/drawing/2014/main" id="{CE5560C1-EDA4-43DC-9D79-01462E9D54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7" name="Text Box 15">
          <a:extLst>
            <a:ext uri="{FF2B5EF4-FFF2-40B4-BE49-F238E27FC236}">
              <a16:creationId xmlns:a16="http://schemas.microsoft.com/office/drawing/2014/main" id="{0EB4EBD9-866A-43EC-B060-120F916C5C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8" name="Text Box 15">
          <a:extLst>
            <a:ext uri="{FF2B5EF4-FFF2-40B4-BE49-F238E27FC236}">
              <a16:creationId xmlns:a16="http://schemas.microsoft.com/office/drawing/2014/main" id="{F1D6A4E3-05E1-4EBB-8C98-652C0B1621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9" name="Text Box 15">
          <a:extLst>
            <a:ext uri="{FF2B5EF4-FFF2-40B4-BE49-F238E27FC236}">
              <a16:creationId xmlns:a16="http://schemas.microsoft.com/office/drawing/2014/main" id="{5373A2E8-C3FE-4DD7-B659-12C1DCEE707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0" name="Text Box 15">
          <a:extLst>
            <a:ext uri="{FF2B5EF4-FFF2-40B4-BE49-F238E27FC236}">
              <a16:creationId xmlns:a16="http://schemas.microsoft.com/office/drawing/2014/main" id="{C46C2E4A-9E26-4419-A150-C1B84CBC31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1" name="Text Box 15">
          <a:extLst>
            <a:ext uri="{FF2B5EF4-FFF2-40B4-BE49-F238E27FC236}">
              <a16:creationId xmlns:a16="http://schemas.microsoft.com/office/drawing/2014/main" id="{154C8893-27E3-4EC8-8A88-5109C6423B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2" name="Text Box 15">
          <a:extLst>
            <a:ext uri="{FF2B5EF4-FFF2-40B4-BE49-F238E27FC236}">
              <a16:creationId xmlns:a16="http://schemas.microsoft.com/office/drawing/2014/main" id="{76C32107-E455-4AC3-BF37-3C02CF3857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3" name="Text Box 15">
          <a:extLst>
            <a:ext uri="{FF2B5EF4-FFF2-40B4-BE49-F238E27FC236}">
              <a16:creationId xmlns:a16="http://schemas.microsoft.com/office/drawing/2014/main" id="{83E3D701-085F-42C2-BCF2-EE3F9359BC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4" name="Text Box 15">
          <a:extLst>
            <a:ext uri="{FF2B5EF4-FFF2-40B4-BE49-F238E27FC236}">
              <a16:creationId xmlns:a16="http://schemas.microsoft.com/office/drawing/2014/main" id="{DF360C82-0EA3-4A59-93AF-1FBF905343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5" name="Text Box 15">
          <a:extLst>
            <a:ext uri="{FF2B5EF4-FFF2-40B4-BE49-F238E27FC236}">
              <a16:creationId xmlns:a16="http://schemas.microsoft.com/office/drawing/2014/main" id="{233E065C-5E95-4402-B4AE-A4F2789871A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6" name="Text Box 15">
          <a:extLst>
            <a:ext uri="{FF2B5EF4-FFF2-40B4-BE49-F238E27FC236}">
              <a16:creationId xmlns:a16="http://schemas.microsoft.com/office/drawing/2014/main" id="{4073602B-9C39-4DBA-B0DC-84BA05A296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7" name="Text Box 15">
          <a:extLst>
            <a:ext uri="{FF2B5EF4-FFF2-40B4-BE49-F238E27FC236}">
              <a16:creationId xmlns:a16="http://schemas.microsoft.com/office/drawing/2014/main" id="{394AD932-0661-4F2C-ACCA-33228DF637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8" name="Text Box 15">
          <a:extLst>
            <a:ext uri="{FF2B5EF4-FFF2-40B4-BE49-F238E27FC236}">
              <a16:creationId xmlns:a16="http://schemas.microsoft.com/office/drawing/2014/main" id="{73ED0DFE-A771-475C-8778-51C7E7EA06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9" name="Text Box 15">
          <a:extLst>
            <a:ext uri="{FF2B5EF4-FFF2-40B4-BE49-F238E27FC236}">
              <a16:creationId xmlns:a16="http://schemas.microsoft.com/office/drawing/2014/main" id="{97E9262A-E702-46F7-AA9F-0480B59A3C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800" name="Text Box 15">
          <a:extLst>
            <a:ext uri="{FF2B5EF4-FFF2-40B4-BE49-F238E27FC236}">
              <a16:creationId xmlns:a16="http://schemas.microsoft.com/office/drawing/2014/main" id="{84D1A0BD-AFE8-43F0-80FC-594BDB36E1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1" name="Text Box 15">
          <a:extLst>
            <a:ext uri="{FF2B5EF4-FFF2-40B4-BE49-F238E27FC236}">
              <a16:creationId xmlns:a16="http://schemas.microsoft.com/office/drawing/2014/main" id="{F3E45375-5B64-48B2-9D61-D441B6E001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2" name="Text Box 15">
          <a:extLst>
            <a:ext uri="{FF2B5EF4-FFF2-40B4-BE49-F238E27FC236}">
              <a16:creationId xmlns:a16="http://schemas.microsoft.com/office/drawing/2014/main" id="{8F6026AC-57B5-456F-9C05-06054A4C28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3" name="Text Box 15">
          <a:extLst>
            <a:ext uri="{FF2B5EF4-FFF2-40B4-BE49-F238E27FC236}">
              <a16:creationId xmlns:a16="http://schemas.microsoft.com/office/drawing/2014/main" id="{01E89B30-9FF1-4F93-96B3-FC8A485ED1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4" name="Text Box 15">
          <a:extLst>
            <a:ext uri="{FF2B5EF4-FFF2-40B4-BE49-F238E27FC236}">
              <a16:creationId xmlns:a16="http://schemas.microsoft.com/office/drawing/2014/main" id="{E23F6DF2-C718-43A5-B9D4-8B50CA7E74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5" name="Text Box 15">
          <a:extLst>
            <a:ext uri="{FF2B5EF4-FFF2-40B4-BE49-F238E27FC236}">
              <a16:creationId xmlns:a16="http://schemas.microsoft.com/office/drawing/2014/main" id="{37717087-CA4E-4488-BD00-B19B2D7FC1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6" name="Text Box 15">
          <a:extLst>
            <a:ext uri="{FF2B5EF4-FFF2-40B4-BE49-F238E27FC236}">
              <a16:creationId xmlns:a16="http://schemas.microsoft.com/office/drawing/2014/main" id="{750CD158-E431-4D5C-AEAE-14309C8BA0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7" name="Text Box 15">
          <a:extLst>
            <a:ext uri="{FF2B5EF4-FFF2-40B4-BE49-F238E27FC236}">
              <a16:creationId xmlns:a16="http://schemas.microsoft.com/office/drawing/2014/main" id="{7C8A5EB7-89F3-44C9-8DDD-62B00754A2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8" name="Text Box 15">
          <a:extLst>
            <a:ext uri="{FF2B5EF4-FFF2-40B4-BE49-F238E27FC236}">
              <a16:creationId xmlns:a16="http://schemas.microsoft.com/office/drawing/2014/main" id="{34C45DB6-52F8-4598-888D-C4984C26ED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9" name="Text Box 15">
          <a:extLst>
            <a:ext uri="{FF2B5EF4-FFF2-40B4-BE49-F238E27FC236}">
              <a16:creationId xmlns:a16="http://schemas.microsoft.com/office/drawing/2014/main" id="{C908906D-9CD3-41CC-B228-C99156C70C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0" name="Text Box 15">
          <a:extLst>
            <a:ext uri="{FF2B5EF4-FFF2-40B4-BE49-F238E27FC236}">
              <a16:creationId xmlns:a16="http://schemas.microsoft.com/office/drawing/2014/main" id="{EB1A5414-F485-4243-A3FD-C3DA7231D5F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1" name="Text Box 15">
          <a:extLst>
            <a:ext uri="{FF2B5EF4-FFF2-40B4-BE49-F238E27FC236}">
              <a16:creationId xmlns:a16="http://schemas.microsoft.com/office/drawing/2014/main" id="{A720AC86-18DB-4AB6-9D2D-24BB11794B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2" name="Text Box 15">
          <a:extLst>
            <a:ext uri="{FF2B5EF4-FFF2-40B4-BE49-F238E27FC236}">
              <a16:creationId xmlns:a16="http://schemas.microsoft.com/office/drawing/2014/main" id="{0B49FA46-10EC-4103-8044-EAC49957D1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3" name="Text Box 15">
          <a:extLst>
            <a:ext uri="{FF2B5EF4-FFF2-40B4-BE49-F238E27FC236}">
              <a16:creationId xmlns:a16="http://schemas.microsoft.com/office/drawing/2014/main" id="{E6533DD6-6204-4396-97FC-00B02F0FBC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4" name="Text Box 15">
          <a:extLst>
            <a:ext uri="{FF2B5EF4-FFF2-40B4-BE49-F238E27FC236}">
              <a16:creationId xmlns:a16="http://schemas.microsoft.com/office/drawing/2014/main" id="{702253E1-6799-4121-A536-D1C9E180E8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5" name="Text Box 15">
          <a:extLst>
            <a:ext uri="{FF2B5EF4-FFF2-40B4-BE49-F238E27FC236}">
              <a16:creationId xmlns:a16="http://schemas.microsoft.com/office/drawing/2014/main" id="{4F705B18-CCC7-4583-9AB0-8759F3A6C4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6" name="Text Box 15">
          <a:extLst>
            <a:ext uri="{FF2B5EF4-FFF2-40B4-BE49-F238E27FC236}">
              <a16:creationId xmlns:a16="http://schemas.microsoft.com/office/drawing/2014/main" id="{232B9306-273C-4BE5-B884-369300DB85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7" name="Text Box 15">
          <a:extLst>
            <a:ext uri="{FF2B5EF4-FFF2-40B4-BE49-F238E27FC236}">
              <a16:creationId xmlns:a16="http://schemas.microsoft.com/office/drawing/2014/main" id="{CA72EFA7-9E48-40E3-BCFE-582C4D6BFE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8" name="Text Box 15">
          <a:extLst>
            <a:ext uri="{FF2B5EF4-FFF2-40B4-BE49-F238E27FC236}">
              <a16:creationId xmlns:a16="http://schemas.microsoft.com/office/drawing/2014/main" id="{1387EE3C-C78A-4020-93E0-F24BACACB4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9" name="Text Box 15">
          <a:extLst>
            <a:ext uri="{FF2B5EF4-FFF2-40B4-BE49-F238E27FC236}">
              <a16:creationId xmlns:a16="http://schemas.microsoft.com/office/drawing/2014/main" id="{95029EB4-384B-4E88-A9E5-B62A7A090D5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0" name="Text Box 15">
          <a:extLst>
            <a:ext uri="{FF2B5EF4-FFF2-40B4-BE49-F238E27FC236}">
              <a16:creationId xmlns:a16="http://schemas.microsoft.com/office/drawing/2014/main" id="{C2CD309D-BEBB-4C81-A1D1-F7C6CD4D7C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1" name="Text Box 15">
          <a:extLst>
            <a:ext uri="{FF2B5EF4-FFF2-40B4-BE49-F238E27FC236}">
              <a16:creationId xmlns:a16="http://schemas.microsoft.com/office/drawing/2014/main" id="{3C9818EB-95ED-49C1-B50F-EF9D4ACCFF3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2" name="Text Box 15">
          <a:extLst>
            <a:ext uri="{FF2B5EF4-FFF2-40B4-BE49-F238E27FC236}">
              <a16:creationId xmlns:a16="http://schemas.microsoft.com/office/drawing/2014/main" id="{72A248A1-7EB4-400C-A5B7-D82F1AABA7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3" name="Text Box 15">
          <a:extLst>
            <a:ext uri="{FF2B5EF4-FFF2-40B4-BE49-F238E27FC236}">
              <a16:creationId xmlns:a16="http://schemas.microsoft.com/office/drawing/2014/main" id="{4875BA4C-AF13-4074-95F5-DFECF6C2F4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4" name="Text Box 15">
          <a:extLst>
            <a:ext uri="{FF2B5EF4-FFF2-40B4-BE49-F238E27FC236}">
              <a16:creationId xmlns:a16="http://schemas.microsoft.com/office/drawing/2014/main" id="{84AE8D34-39E9-4FB2-84B3-854727087F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5" name="Text Box 15">
          <a:extLst>
            <a:ext uri="{FF2B5EF4-FFF2-40B4-BE49-F238E27FC236}">
              <a16:creationId xmlns:a16="http://schemas.microsoft.com/office/drawing/2014/main" id="{430BCA86-D36B-48F5-87FC-CFFFDB1FE2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6" name="Text Box 15">
          <a:extLst>
            <a:ext uri="{FF2B5EF4-FFF2-40B4-BE49-F238E27FC236}">
              <a16:creationId xmlns:a16="http://schemas.microsoft.com/office/drawing/2014/main" id="{63912A7C-AB76-4929-89B5-92B21B8A25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7" name="Text Box 15">
          <a:extLst>
            <a:ext uri="{FF2B5EF4-FFF2-40B4-BE49-F238E27FC236}">
              <a16:creationId xmlns:a16="http://schemas.microsoft.com/office/drawing/2014/main" id="{00E8663E-F97E-4554-BD28-25CE94878B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28" name="Text Box 15">
          <a:extLst>
            <a:ext uri="{FF2B5EF4-FFF2-40B4-BE49-F238E27FC236}">
              <a16:creationId xmlns:a16="http://schemas.microsoft.com/office/drawing/2014/main" id="{63767078-C0AB-4C54-BF4A-0680A1CDFF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29" name="Text Box 15">
          <a:extLst>
            <a:ext uri="{FF2B5EF4-FFF2-40B4-BE49-F238E27FC236}">
              <a16:creationId xmlns:a16="http://schemas.microsoft.com/office/drawing/2014/main" id="{26E5C575-3A98-434E-B96E-66275858E3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30" name="Text Box 15">
          <a:extLst>
            <a:ext uri="{FF2B5EF4-FFF2-40B4-BE49-F238E27FC236}">
              <a16:creationId xmlns:a16="http://schemas.microsoft.com/office/drawing/2014/main" id="{5F5D19C8-F01A-4126-92B0-8FE8FA5691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1" name="Text Box 15">
          <a:extLst>
            <a:ext uri="{FF2B5EF4-FFF2-40B4-BE49-F238E27FC236}">
              <a16:creationId xmlns:a16="http://schemas.microsoft.com/office/drawing/2014/main" id="{8549A5A2-0686-4CD7-B2D7-8BC09AA9DA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2" name="Text Box 15">
          <a:extLst>
            <a:ext uri="{FF2B5EF4-FFF2-40B4-BE49-F238E27FC236}">
              <a16:creationId xmlns:a16="http://schemas.microsoft.com/office/drawing/2014/main" id="{AE040D3C-B356-4908-A816-3F9F5BC081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3" name="Text Box 15">
          <a:extLst>
            <a:ext uri="{FF2B5EF4-FFF2-40B4-BE49-F238E27FC236}">
              <a16:creationId xmlns:a16="http://schemas.microsoft.com/office/drawing/2014/main" id="{92122B02-0371-422B-8F23-2BABF18CCB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4" name="Text Box 15">
          <a:extLst>
            <a:ext uri="{FF2B5EF4-FFF2-40B4-BE49-F238E27FC236}">
              <a16:creationId xmlns:a16="http://schemas.microsoft.com/office/drawing/2014/main" id="{42E03710-2587-40B4-B367-3EE2717A08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5" name="Text Box 15">
          <a:extLst>
            <a:ext uri="{FF2B5EF4-FFF2-40B4-BE49-F238E27FC236}">
              <a16:creationId xmlns:a16="http://schemas.microsoft.com/office/drawing/2014/main" id="{AB8CF532-77FA-4873-A632-BE49474EED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6" name="Text Box 15">
          <a:extLst>
            <a:ext uri="{FF2B5EF4-FFF2-40B4-BE49-F238E27FC236}">
              <a16:creationId xmlns:a16="http://schemas.microsoft.com/office/drawing/2014/main" id="{5C31FF2F-7DAA-4A98-9265-5389394C1A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7" name="Text Box 15">
          <a:extLst>
            <a:ext uri="{FF2B5EF4-FFF2-40B4-BE49-F238E27FC236}">
              <a16:creationId xmlns:a16="http://schemas.microsoft.com/office/drawing/2014/main" id="{51074226-C46D-43D0-BBDD-478F2D6120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8" name="Text Box 15">
          <a:extLst>
            <a:ext uri="{FF2B5EF4-FFF2-40B4-BE49-F238E27FC236}">
              <a16:creationId xmlns:a16="http://schemas.microsoft.com/office/drawing/2014/main" id="{EA845645-287B-4B0C-BAEF-A82917EDF1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9" name="Text Box 15">
          <a:extLst>
            <a:ext uri="{FF2B5EF4-FFF2-40B4-BE49-F238E27FC236}">
              <a16:creationId xmlns:a16="http://schemas.microsoft.com/office/drawing/2014/main" id="{0C0474E4-4D99-4AC3-AC1B-46EE921906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40" name="Text Box 15">
          <a:extLst>
            <a:ext uri="{FF2B5EF4-FFF2-40B4-BE49-F238E27FC236}">
              <a16:creationId xmlns:a16="http://schemas.microsoft.com/office/drawing/2014/main" id="{D8655C55-91FB-4941-BD9B-20092CB726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41" name="Text Box 15">
          <a:extLst>
            <a:ext uri="{FF2B5EF4-FFF2-40B4-BE49-F238E27FC236}">
              <a16:creationId xmlns:a16="http://schemas.microsoft.com/office/drawing/2014/main" id="{A330C750-81EA-4977-B086-C2D65C6DAB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42" name="Text Box 15">
          <a:extLst>
            <a:ext uri="{FF2B5EF4-FFF2-40B4-BE49-F238E27FC236}">
              <a16:creationId xmlns:a16="http://schemas.microsoft.com/office/drawing/2014/main" id="{01C05AF5-2F4A-4EC3-A120-9E0457C1AF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43" name="Text Box 15">
          <a:extLst>
            <a:ext uri="{FF2B5EF4-FFF2-40B4-BE49-F238E27FC236}">
              <a16:creationId xmlns:a16="http://schemas.microsoft.com/office/drawing/2014/main" id="{A9254C09-DFAA-4812-8971-E6A97B2AED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44" name="Text Box 15">
          <a:extLst>
            <a:ext uri="{FF2B5EF4-FFF2-40B4-BE49-F238E27FC236}">
              <a16:creationId xmlns:a16="http://schemas.microsoft.com/office/drawing/2014/main" id="{82B3019C-24FD-4D35-8F54-D4ED074BE3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45" name="Text Box 15">
          <a:extLst>
            <a:ext uri="{FF2B5EF4-FFF2-40B4-BE49-F238E27FC236}">
              <a16:creationId xmlns:a16="http://schemas.microsoft.com/office/drawing/2014/main" id="{86EC6E79-DE67-46A1-BF00-EFF0A46EAD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46" name="Text Box 15">
          <a:extLst>
            <a:ext uri="{FF2B5EF4-FFF2-40B4-BE49-F238E27FC236}">
              <a16:creationId xmlns:a16="http://schemas.microsoft.com/office/drawing/2014/main" id="{EE11C0F3-D965-48B2-9480-50757DDA7D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47" name="Text Box 15">
          <a:extLst>
            <a:ext uri="{FF2B5EF4-FFF2-40B4-BE49-F238E27FC236}">
              <a16:creationId xmlns:a16="http://schemas.microsoft.com/office/drawing/2014/main" id="{D323ECB1-6C8E-4DCF-A6B6-111E3C9179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48" name="Text Box 15">
          <a:extLst>
            <a:ext uri="{FF2B5EF4-FFF2-40B4-BE49-F238E27FC236}">
              <a16:creationId xmlns:a16="http://schemas.microsoft.com/office/drawing/2014/main" id="{A93BF21C-3278-4606-A459-4C67E2D6A9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49" name="Text Box 15">
          <a:extLst>
            <a:ext uri="{FF2B5EF4-FFF2-40B4-BE49-F238E27FC236}">
              <a16:creationId xmlns:a16="http://schemas.microsoft.com/office/drawing/2014/main" id="{3236B36D-37FA-4273-BBE6-CEE6A1DEBB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0" name="Text Box 15">
          <a:extLst>
            <a:ext uri="{FF2B5EF4-FFF2-40B4-BE49-F238E27FC236}">
              <a16:creationId xmlns:a16="http://schemas.microsoft.com/office/drawing/2014/main" id="{7C2E132E-C26F-4D14-AE22-C52A21CEF3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1" name="Text Box 15">
          <a:extLst>
            <a:ext uri="{FF2B5EF4-FFF2-40B4-BE49-F238E27FC236}">
              <a16:creationId xmlns:a16="http://schemas.microsoft.com/office/drawing/2014/main" id="{F0403CE1-62AC-4D2A-BF61-5FC8A3A5BFD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2" name="Text Box 15">
          <a:extLst>
            <a:ext uri="{FF2B5EF4-FFF2-40B4-BE49-F238E27FC236}">
              <a16:creationId xmlns:a16="http://schemas.microsoft.com/office/drawing/2014/main" id="{0C7F74DB-19C8-4553-BEEF-324B9F33479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3" name="Text Box 15">
          <a:extLst>
            <a:ext uri="{FF2B5EF4-FFF2-40B4-BE49-F238E27FC236}">
              <a16:creationId xmlns:a16="http://schemas.microsoft.com/office/drawing/2014/main" id="{B91C8C3F-2ABE-4165-AC9E-04BC896CA2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4" name="Text Box 15">
          <a:extLst>
            <a:ext uri="{FF2B5EF4-FFF2-40B4-BE49-F238E27FC236}">
              <a16:creationId xmlns:a16="http://schemas.microsoft.com/office/drawing/2014/main" id="{4398D32D-C09B-4C16-897A-6BF8146B67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5" name="Text Box 15">
          <a:extLst>
            <a:ext uri="{FF2B5EF4-FFF2-40B4-BE49-F238E27FC236}">
              <a16:creationId xmlns:a16="http://schemas.microsoft.com/office/drawing/2014/main" id="{EF8D55D3-02C1-42EB-B20D-C8F811F0A4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56" name="Text Box 15">
          <a:extLst>
            <a:ext uri="{FF2B5EF4-FFF2-40B4-BE49-F238E27FC236}">
              <a16:creationId xmlns:a16="http://schemas.microsoft.com/office/drawing/2014/main" id="{D0B44938-0FF8-4C81-B950-C148B70DA6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57" name="Text Box 15">
          <a:extLst>
            <a:ext uri="{FF2B5EF4-FFF2-40B4-BE49-F238E27FC236}">
              <a16:creationId xmlns:a16="http://schemas.microsoft.com/office/drawing/2014/main" id="{458E55DC-0E31-4A9E-9C39-5BFEB42BAE5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58" name="Text Box 15">
          <a:extLst>
            <a:ext uri="{FF2B5EF4-FFF2-40B4-BE49-F238E27FC236}">
              <a16:creationId xmlns:a16="http://schemas.microsoft.com/office/drawing/2014/main" id="{36A2129C-EA38-42AE-9A91-6155EED963D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59" name="Text Box 15">
          <a:extLst>
            <a:ext uri="{FF2B5EF4-FFF2-40B4-BE49-F238E27FC236}">
              <a16:creationId xmlns:a16="http://schemas.microsoft.com/office/drawing/2014/main" id="{0036A0EF-EED9-4D5E-A20E-9841A3D0F8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60" name="Text Box 15">
          <a:extLst>
            <a:ext uri="{FF2B5EF4-FFF2-40B4-BE49-F238E27FC236}">
              <a16:creationId xmlns:a16="http://schemas.microsoft.com/office/drawing/2014/main" id="{7DDD8C79-B6A4-41D9-988C-572C26E8BB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1" name="Text Box 15">
          <a:extLst>
            <a:ext uri="{FF2B5EF4-FFF2-40B4-BE49-F238E27FC236}">
              <a16:creationId xmlns:a16="http://schemas.microsoft.com/office/drawing/2014/main" id="{ACD02A03-FA9D-4B0B-8DDD-A72581377A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2" name="Text Box 15">
          <a:extLst>
            <a:ext uri="{FF2B5EF4-FFF2-40B4-BE49-F238E27FC236}">
              <a16:creationId xmlns:a16="http://schemas.microsoft.com/office/drawing/2014/main" id="{EA70A3EC-FFD8-46AE-AABD-BA3C6A72E3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3" name="Text Box 15">
          <a:extLst>
            <a:ext uri="{FF2B5EF4-FFF2-40B4-BE49-F238E27FC236}">
              <a16:creationId xmlns:a16="http://schemas.microsoft.com/office/drawing/2014/main" id="{9ACD01D0-3D94-4EFD-8236-05AE18ADD1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4" name="Text Box 15">
          <a:extLst>
            <a:ext uri="{FF2B5EF4-FFF2-40B4-BE49-F238E27FC236}">
              <a16:creationId xmlns:a16="http://schemas.microsoft.com/office/drawing/2014/main" id="{4227A86C-0546-42A7-83BB-233B6A08A0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5" name="Text Box 15">
          <a:extLst>
            <a:ext uri="{FF2B5EF4-FFF2-40B4-BE49-F238E27FC236}">
              <a16:creationId xmlns:a16="http://schemas.microsoft.com/office/drawing/2014/main" id="{9E5E0A79-6162-4DC2-AB6C-5F391EE4EC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6" name="Text Box 15">
          <a:extLst>
            <a:ext uri="{FF2B5EF4-FFF2-40B4-BE49-F238E27FC236}">
              <a16:creationId xmlns:a16="http://schemas.microsoft.com/office/drawing/2014/main" id="{95A801C2-7663-43FA-992E-641DFEF5BB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7" name="Text Box 15">
          <a:extLst>
            <a:ext uri="{FF2B5EF4-FFF2-40B4-BE49-F238E27FC236}">
              <a16:creationId xmlns:a16="http://schemas.microsoft.com/office/drawing/2014/main" id="{4917139E-2162-42FF-85C1-DC385A3521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8" name="Text Box 15">
          <a:extLst>
            <a:ext uri="{FF2B5EF4-FFF2-40B4-BE49-F238E27FC236}">
              <a16:creationId xmlns:a16="http://schemas.microsoft.com/office/drawing/2014/main" id="{F7599432-A155-4BF6-8524-5263F4456E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9" name="Text Box 15">
          <a:extLst>
            <a:ext uri="{FF2B5EF4-FFF2-40B4-BE49-F238E27FC236}">
              <a16:creationId xmlns:a16="http://schemas.microsoft.com/office/drawing/2014/main" id="{7066E688-7656-4DE3-BF4C-3FD2AE393DF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70" name="Text Box 15">
          <a:extLst>
            <a:ext uri="{FF2B5EF4-FFF2-40B4-BE49-F238E27FC236}">
              <a16:creationId xmlns:a16="http://schemas.microsoft.com/office/drawing/2014/main" id="{35B1FB71-038B-4151-B2DD-C955055A29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71" name="Text Box 15">
          <a:extLst>
            <a:ext uri="{FF2B5EF4-FFF2-40B4-BE49-F238E27FC236}">
              <a16:creationId xmlns:a16="http://schemas.microsoft.com/office/drawing/2014/main" id="{A061D12E-309A-4005-9327-B23E740A54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72" name="Text Box 15">
          <a:extLst>
            <a:ext uri="{FF2B5EF4-FFF2-40B4-BE49-F238E27FC236}">
              <a16:creationId xmlns:a16="http://schemas.microsoft.com/office/drawing/2014/main" id="{B9C009E2-CA88-405D-BCE8-0FBBA9CC94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73" name="Text Box 15">
          <a:extLst>
            <a:ext uri="{FF2B5EF4-FFF2-40B4-BE49-F238E27FC236}">
              <a16:creationId xmlns:a16="http://schemas.microsoft.com/office/drawing/2014/main" id="{4647DBC3-1ED8-45B5-B0D1-305BE5062B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74" name="Text Box 15">
          <a:extLst>
            <a:ext uri="{FF2B5EF4-FFF2-40B4-BE49-F238E27FC236}">
              <a16:creationId xmlns:a16="http://schemas.microsoft.com/office/drawing/2014/main" id="{D5B0BC81-FFB2-42B2-AC73-A0BF121D56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75" name="Text Box 15">
          <a:extLst>
            <a:ext uri="{FF2B5EF4-FFF2-40B4-BE49-F238E27FC236}">
              <a16:creationId xmlns:a16="http://schemas.microsoft.com/office/drawing/2014/main" id="{2AC53C93-9DA6-4E07-8566-5C47F8D23F5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76" name="Text Box 15">
          <a:extLst>
            <a:ext uri="{FF2B5EF4-FFF2-40B4-BE49-F238E27FC236}">
              <a16:creationId xmlns:a16="http://schemas.microsoft.com/office/drawing/2014/main" id="{96FA19C5-B941-462C-B35E-F74338C527B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77" name="Text Box 15">
          <a:extLst>
            <a:ext uri="{FF2B5EF4-FFF2-40B4-BE49-F238E27FC236}">
              <a16:creationId xmlns:a16="http://schemas.microsoft.com/office/drawing/2014/main" id="{01A3A335-6BD9-48DE-8541-A9DB08B560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78" name="Text Box 15">
          <a:extLst>
            <a:ext uri="{FF2B5EF4-FFF2-40B4-BE49-F238E27FC236}">
              <a16:creationId xmlns:a16="http://schemas.microsoft.com/office/drawing/2014/main" id="{6D66AAFC-2642-441C-BE67-EFE25706C3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79" name="Text Box 15">
          <a:extLst>
            <a:ext uri="{FF2B5EF4-FFF2-40B4-BE49-F238E27FC236}">
              <a16:creationId xmlns:a16="http://schemas.microsoft.com/office/drawing/2014/main" id="{F680FF0C-B8E6-4773-8103-E39D23BEA0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0" name="Text Box 15">
          <a:extLst>
            <a:ext uri="{FF2B5EF4-FFF2-40B4-BE49-F238E27FC236}">
              <a16:creationId xmlns:a16="http://schemas.microsoft.com/office/drawing/2014/main" id="{F1A24432-0EC2-40C4-8133-513DC9C4AE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1" name="Text Box 15">
          <a:extLst>
            <a:ext uri="{FF2B5EF4-FFF2-40B4-BE49-F238E27FC236}">
              <a16:creationId xmlns:a16="http://schemas.microsoft.com/office/drawing/2014/main" id="{245C8B30-7381-4E7C-BCCF-A283298C4D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2" name="Text Box 15">
          <a:extLst>
            <a:ext uri="{FF2B5EF4-FFF2-40B4-BE49-F238E27FC236}">
              <a16:creationId xmlns:a16="http://schemas.microsoft.com/office/drawing/2014/main" id="{A97C04CC-9891-490C-9417-B4C86CFDDD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3" name="Text Box 15">
          <a:extLst>
            <a:ext uri="{FF2B5EF4-FFF2-40B4-BE49-F238E27FC236}">
              <a16:creationId xmlns:a16="http://schemas.microsoft.com/office/drawing/2014/main" id="{92D827D7-3CC6-4ABD-9E55-E44C774C7B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4" name="Text Box 15">
          <a:extLst>
            <a:ext uri="{FF2B5EF4-FFF2-40B4-BE49-F238E27FC236}">
              <a16:creationId xmlns:a16="http://schemas.microsoft.com/office/drawing/2014/main" id="{12128EBB-1E57-49D6-AB43-912B321923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5" name="Text Box 15">
          <a:extLst>
            <a:ext uri="{FF2B5EF4-FFF2-40B4-BE49-F238E27FC236}">
              <a16:creationId xmlns:a16="http://schemas.microsoft.com/office/drawing/2014/main" id="{1F399CBB-F5DC-4EA9-8FCE-880D352A49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86" name="Text Box 15">
          <a:extLst>
            <a:ext uri="{FF2B5EF4-FFF2-40B4-BE49-F238E27FC236}">
              <a16:creationId xmlns:a16="http://schemas.microsoft.com/office/drawing/2014/main" id="{E4B418DC-295C-4CD7-B7DA-8EA10C60C5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87" name="Text Box 15">
          <a:extLst>
            <a:ext uri="{FF2B5EF4-FFF2-40B4-BE49-F238E27FC236}">
              <a16:creationId xmlns:a16="http://schemas.microsoft.com/office/drawing/2014/main" id="{CE7E8C37-387A-4B5C-914C-C2E954A6E0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88" name="Text Box 15">
          <a:extLst>
            <a:ext uri="{FF2B5EF4-FFF2-40B4-BE49-F238E27FC236}">
              <a16:creationId xmlns:a16="http://schemas.microsoft.com/office/drawing/2014/main" id="{A05AD446-8750-47B5-9197-D9656853E9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89" name="Text Box 15">
          <a:extLst>
            <a:ext uri="{FF2B5EF4-FFF2-40B4-BE49-F238E27FC236}">
              <a16:creationId xmlns:a16="http://schemas.microsoft.com/office/drawing/2014/main" id="{C4F80B66-72D0-4017-832D-BFC91FDD0E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90" name="Text Box 15">
          <a:extLst>
            <a:ext uri="{FF2B5EF4-FFF2-40B4-BE49-F238E27FC236}">
              <a16:creationId xmlns:a16="http://schemas.microsoft.com/office/drawing/2014/main" id="{359ADCD7-6087-43E6-800E-6154305D80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1" name="Text Box 15">
          <a:extLst>
            <a:ext uri="{FF2B5EF4-FFF2-40B4-BE49-F238E27FC236}">
              <a16:creationId xmlns:a16="http://schemas.microsoft.com/office/drawing/2014/main" id="{2C4C22D8-D5F4-4183-9F37-02AAB028A2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2" name="Text Box 15">
          <a:extLst>
            <a:ext uri="{FF2B5EF4-FFF2-40B4-BE49-F238E27FC236}">
              <a16:creationId xmlns:a16="http://schemas.microsoft.com/office/drawing/2014/main" id="{3D448F90-296A-4607-B4B7-7EA3436A4E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3" name="Text Box 15">
          <a:extLst>
            <a:ext uri="{FF2B5EF4-FFF2-40B4-BE49-F238E27FC236}">
              <a16:creationId xmlns:a16="http://schemas.microsoft.com/office/drawing/2014/main" id="{06C088E2-B17D-4627-9806-51B8A8FF817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4" name="Text Box 15">
          <a:extLst>
            <a:ext uri="{FF2B5EF4-FFF2-40B4-BE49-F238E27FC236}">
              <a16:creationId xmlns:a16="http://schemas.microsoft.com/office/drawing/2014/main" id="{276FD238-A10B-4760-9D4F-A7A134B3DC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5" name="Text Box 15">
          <a:extLst>
            <a:ext uri="{FF2B5EF4-FFF2-40B4-BE49-F238E27FC236}">
              <a16:creationId xmlns:a16="http://schemas.microsoft.com/office/drawing/2014/main" id="{C06C6A6E-A56D-407B-AA5C-E40531EC87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6" name="Text Box 15">
          <a:extLst>
            <a:ext uri="{FF2B5EF4-FFF2-40B4-BE49-F238E27FC236}">
              <a16:creationId xmlns:a16="http://schemas.microsoft.com/office/drawing/2014/main" id="{79A10A5A-2B0C-4148-AF4B-C761FDEC73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7" name="Text Box 15">
          <a:extLst>
            <a:ext uri="{FF2B5EF4-FFF2-40B4-BE49-F238E27FC236}">
              <a16:creationId xmlns:a16="http://schemas.microsoft.com/office/drawing/2014/main" id="{DA86A3F4-BA27-4AC3-A05D-D63AF96435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8" name="Text Box 15">
          <a:extLst>
            <a:ext uri="{FF2B5EF4-FFF2-40B4-BE49-F238E27FC236}">
              <a16:creationId xmlns:a16="http://schemas.microsoft.com/office/drawing/2014/main" id="{47AF9B1B-B7C0-4B61-A004-4B5F2F501E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9" name="Text Box 15">
          <a:extLst>
            <a:ext uri="{FF2B5EF4-FFF2-40B4-BE49-F238E27FC236}">
              <a16:creationId xmlns:a16="http://schemas.microsoft.com/office/drawing/2014/main" id="{46CEE04F-888A-4160-9333-F814CCCD0D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00" name="Text Box 15">
          <a:extLst>
            <a:ext uri="{FF2B5EF4-FFF2-40B4-BE49-F238E27FC236}">
              <a16:creationId xmlns:a16="http://schemas.microsoft.com/office/drawing/2014/main" id="{C9358529-6FE9-455F-AB67-B2389FA1DF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901" name="Text Box 15">
          <a:extLst>
            <a:ext uri="{FF2B5EF4-FFF2-40B4-BE49-F238E27FC236}">
              <a16:creationId xmlns:a16="http://schemas.microsoft.com/office/drawing/2014/main" id="{5F54066D-47F8-4C0E-AEAF-33700922A3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902" name="Text Box 15">
          <a:extLst>
            <a:ext uri="{FF2B5EF4-FFF2-40B4-BE49-F238E27FC236}">
              <a16:creationId xmlns:a16="http://schemas.microsoft.com/office/drawing/2014/main" id="{7F33D81D-9BD2-4947-BFB8-C57D8F31EC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903" name="Text Box 15">
          <a:extLst>
            <a:ext uri="{FF2B5EF4-FFF2-40B4-BE49-F238E27FC236}">
              <a16:creationId xmlns:a16="http://schemas.microsoft.com/office/drawing/2014/main" id="{4EF4FDF9-8951-4566-8F79-B749B40987E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904" name="Text Box 15">
          <a:extLst>
            <a:ext uri="{FF2B5EF4-FFF2-40B4-BE49-F238E27FC236}">
              <a16:creationId xmlns:a16="http://schemas.microsoft.com/office/drawing/2014/main" id="{12CAFE66-F286-42AC-84DA-4D5FFDF01D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905" name="Text Box 15">
          <a:extLst>
            <a:ext uri="{FF2B5EF4-FFF2-40B4-BE49-F238E27FC236}">
              <a16:creationId xmlns:a16="http://schemas.microsoft.com/office/drawing/2014/main" id="{B3B004E1-4A40-492E-9289-416A0D2ACC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06" name="Text Box 15">
          <a:extLst>
            <a:ext uri="{FF2B5EF4-FFF2-40B4-BE49-F238E27FC236}">
              <a16:creationId xmlns:a16="http://schemas.microsoft.com/office/drawing/2014/main" id="{20260575-94D5-46F6-B25B-A613CF4AAB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07" name="Text Box 15">
          <a:extLst>
            <a:ext uri="{FF2B5EF4-FFF2-40B4-BE49-F238E27FC236}">
              <a16:creationId xmlns:a16="http://schemas.microsoft.com/office/drawing/2014/main" id="{CA2D54C2-D6A2-4171-9175-ACD0F23CEC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08" name="Text Box 15">
          <a:extLst>
            <a:ext uri="{FF2B5EF4-FFF2-40B4-BE49-F238E27FC236}">
              <a16:creationId xmlns:a16="http://schemas.microsoft.com/office/drawing/2014/main" id="{6D81BD5C-2DEC-4AED-A3E0-783441608B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09" name="Text Box 15">
          <a:extLst>
            <a:ext uri="{FF2B5EF4-FFF2-40B4-BE49-F238E27FC236}">
              <a16:creationId xmlns:a16="http://schemas.microsoft.com/office/drawing/2014/main" id="{D0B80CF9-3C9E-4AAF-821D-E8916CDDAF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0" name="Text Box 15">
          <a:extLst>
            <a:ext uri="{FF2B5EF4-FFF2-40B4-BE49-F238E27FC236}">
              <a16:creationId xmlns:a16="http://schemas.microsoft.com/office/drawing/2014/main" id="{364C47D2-F202-4CDB-AAD7-B13593CCAB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1" name="Text Box 15">
          <a:extLst>
            <a:ext uri="{FF2B5EF4-FFF2-40B4-BE49-F238E27FC236}">
              <a16:creationId xmlns:a16="http://schemas.microsoft.com/office/drawing/2014/main" id="{C50B34D0-5BB6-4746-B343-38F96DCF33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2" name="Text Box 15">
          <a:extLst>
            <a:ext uri="{FF2B5EF4-FFF2-40B4-BE49-F238E27FC236}">
              <a16:creationId xmlns:a16="http://schemas.microsoft.com/office/drawing/2014/main" id="{279BB461-4601-4F49-85E3-C98BD71913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3" name="Text Box 15">
          <a:extLst>
            <a:ext uri="{FF2B5EF4-FFF2-40B4-BE49-F238E27FC236}">
              <a16:creationId xmlns:a16="http://schemas.microsoft.com/office/drawing/2014/main" id="{619FCBB8-4D88-4827-99B4-594ACC1BBF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4" name="Text Box 15">
          <a:extLst>
            <a:ext uri="{FF2B5EF4-FFF2-40B4-BE49-F238E27FC236}">
              <a16:creationId xmlns:a16="http://schemas.microsoft.com/office/drawing/2014/main" id="{0E18B29B-BD80-4724-A0AF-FD5E2268A2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5" name="Text Box 15">
          <a:extLst>
            <a:ext uri="{FF2B5EF4-FFF2-40B4-BE49-F238E27FC236}">
              <a16:creationId xmlns:a16="http://schemas.microsoft.com/office/drawing/2014/main" id="{27B0B5E5-7D48-48C8-8691-70B79E09A4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16" name="Text Box 15">
          <a:extLst>
            <a:ext uri="{FF2B5EF4-FFF2-40B4-BE49-F238E27FC236}">
              <a16:creationId xmlns:a16="http://schemas.microsoft.com/office/drawing/2014/main" id="{9CCA4D35-3F2C-45FA-9A0A-67246B95AA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17" name="Text Box 15">
          <a:extLst>
            <a:ext uri="{FF2B5EF4-FFF2-40B4-BE49-F238E27FC236}">
              <a16:creationId xmlns:a16="http://schemas.microsoft.com/office/drawing/2014/main" id="{3AEF2C3A-163C-4A5C-B7C8-F09EF0C40A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18" name="Text Box 15">
          <a:extLst>
            <a:ext uri="{FF2B5EF4-FFF2-40B4-BE49-F238E27FC236}">
              <a16:creationId xmlns:a16="http://schemas.microsoft.com/office/drawing/2014/main" id="{33EB0261-A181-4505-A52D-C9DDA1EDD20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19" name="Text Box 15">
          <a:extLst>
            <a:ext uri="{FF2B5EF4-FFF2-40B4-BE49-F238E27FC236}">
              <a16:creationId xmlns:a16="http://schemas.microsoft.com/office/drawing/2014/main" id="{639DD359-66A3-47B5-A115-17EF1FA6A6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0" name="Text Box 15">
          <a:extLst>
            <a:ext uri="{FF2B5EF4-FFF2-40B4-BE49-F238E27FC236}">
              <a16:creationId xmlns:a16="http://schemas.microsoft.com/office/drawing/2014/main" id="{B8C0A393-CDB3-4E5A-BC59-8C1EBFD0F0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1" name="Text Box 15">
          <a:extLst>
            <a:ext uri="{FF2B5EF4-FFF2-40B4-BE49-F238E27FC236}">
              <a16:creationId xmlns:a16="http://schemas.microsoft.com/office/drawing/2014/main" id="{A09CB5B9-E37F-4F9D-B14F-F9A35A2EBB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2" name="Text Box 15">
          <a:extLst>
            <a:ext uri="{FF2B5EF4-FFF2-40B4-BE49-F238E27FC236}">
              <a16:creationId xmlns:a16="http://schemas.microsoft.com/office/drawing/2014/main" id="{B3E57034-0461-4A53-8A9A-FB88BFA993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3" name="Text Box 15">
          <a:extLst>
            <a:ext uri="{FF2B5EF4-FFF2-40B4-BE49-F238E27FC236}">
              <a16:creationId xmlns:a16="http://schemas.microsoft.com/office/drawing/2014/main" id="{9B8C2A97-AC0F-44DA-9196-CAD4F6CE860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4" name="Text Box 15">
          <a:extLst>
            <a:ext uri="{FF2B5EF4-FFF2-40B4-BE49-F238E27FC236}">
              <a16:creationId xmlns:a16="http://schemas.microsoft.com/office/drawing/2014/main" id="{0A0B00C7-6046-4809-A005-BADE992A85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5" name="Text Box 15">
          <a:extLst>
            <a:ext uri="{FF2B5EF4-FFF2-40B4-BE49-F238E27FC236}">
              <a16:creationId xmlns:a16="http://schemas.microsoft.com/office/drawing/2014/main" id="{43DBE489-4647-40D0-B936-2B0339AE31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6" name="Text Box 15">
          <a:extLst>
            <a:ext uri="{FF2B5EF4-FFF2-40B4-BE49-F238E27FC236}">
              <a16:creationId xmlns:a16="http://schemas.microsoft.com/office/drawing/2014/main" id="{D6281641-C8AB-4C23-88F5-E42A82F238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7" name="Text Box 15">
          <a:extLst>
            <a:ext uri="{FF2B5EF4-FFF2-40B4-BE49-F238E27FC236}">
              <a16:creationId xmlns:a16="http://schemas.microsoft.com/office/drawing/2014/main" id="{B56F72FF-2E7F-446C-AAD1-00B870873B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8" name="Text Box 15">
          <a:extLst>
            <a:ext uri="{FF2B5EF4-FFF2-40B4-BE49-F238E27FC236}">
              <a16:creationId xmlns:a16="http://schemas.microsoft.com/office/drawing/2014/main" id="{B639D195-3F30-4C25-81A1-078EE76065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9" name="Text Box 15">
          <a:extLst>
            <a:ext uri="{FF2B5EF4-FFF2-40B4-BE49-F238E27FC236}">
              <a16:creationId xmlns:a16="http://schemas.microsoft.com/office/drawing/2014/main" id="{E3CE858F-1BCE-4A99-BF28-295B704C764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0" name="Text Box 15">
          <a:extLst>
            <a:ext uri="{FF2B5EF4-FFF2-40B4-BE49-F238E27FC236}">
              <a16:creationId xmlns:a16="http://schemas.microsoft.com/office/drawing/2014/main" id="{98876650-D3E8-4F41-93EC-76E17E3AD6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1" name="Text Box 15">
          <a:extLst>
            <a:ext uri="{FF2B5EF4-FFF2-40B4-BE49-F238E27FC236}">
              <a16:creationId xmlns:a16="http://schemas.microsoft.com/office/drawing/2014/main" id="{5C22BBCD-70FB-491D-8F81-E3A8246BBA0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2" name="Text Box 15">
          <a:extLst>
            <a:ext uri="{FF2B5EF4-FFF2-40B4-BE49-F238E27FC236}">
              <a16:creationId xmlns:a16="http://schemas.microsoft.com/office/drawing/2014/main" id="{72A5B5BD-E381-4B12-9344-D9E0E93436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3" name="Text Box 15">
          <a:extLst>
            <a:ext uri="{FF2B5EF4-FFF2-40B4-BE49-F238E27FC236}">
              <a16:creationId xmlns:a16="http://schemas.microsoft.com/office/drawing/2014/main" id="{F49A1A33-D74E-4FAF-8C12-9D3A8665F2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4" name="Text Box 15">
          <a:extLst>
            <a:ext uri="{FF2B5EF4-FFF2-40B4-BE49-F238E27FC236}">
              <a16:creationId xmlns:a16="http://schemas.microsoft.com/office/drawing/2014/main" id="{B4D3006E-8C46-4CCF-940A-EFC89FE29E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5" name="Text Box 15">
          <a:extLst>
            <a:ext uri="{FF2B5EF4-FFF2-40B4-BE49-F238E27FC236}">
              <a16:creationId xmlns:a16="http://schemas.microsoft.com/office/drawing/2014/main" id="{612E6FAF-6F87-48E9-A11B-8F6339A6DA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6" name="Text Box 15">
          <a:extLst>
            <a:ext uri="{FF2B5EF4-FFF2-40B4-BE49-F238E27FC236}">
              <a16:creationId xmlns:a16="http://schemas.microsoft.com/office/drawing/2014/main" id="{E2E9CBFB-0253-4A8B-8746-2DE871ED2A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7" name="Text Box 15">
          <a:extLst>
            <a:ext uri="{FF2B5EF4-FFF2-40B4-BE49-F238E27FC236}">
              <a16:creationId xmlns:a16="http://schemas.microsoft.com/office/drawing/2014/main" id="{4A65777F-8E78-4C46-BC1C-08BFD88E17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8" name="Text Box 15">
          <a:extLst>
            <a:ext uri="{FF2B5EF4-FFF2-40B4-BE49-F238E27FC236}">
              <a16:creationId xmlns:a16="http://schemas.microsoft.com/office/drawing/2014/main" id="{2EC454A0-923C-455B-A50F-D104AAC5F8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9" name="Text Box 15">
          <a:extLst>
            <a:ext uri="{FF2B5EF4-FFF2-40B4-BE49-F238E27FC236}">
              <a16:creationId xmlns:a16="http://schemas.microsoft.com/office/drawing/2014/main" id="{906F446A-D8E5-4656-8128-9808DFBFA4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0" name="Text Box 15">
          <a:extLst>
            <a:ext uri="{FF2B5EF4-FFF2-40B4-BE49-F238E27FC236}">
              <a16:creationId xmlns:a16="http://schemas.microsoft.com/office/drawing/2014/main" id="{E9124D91-D825-4461-A3ED-C2483428BC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1" name="Text Box 15">
          <a:extLst>
            <a:ext uri="{FF2B5EF4-FFF2-40B4-BE49-F238E27FC236}">
              <a16:creationId xmlns:a16="http://schemas.microsoft.com/office/drawing/2014/main" id="{0A7C0D7B-ECC5-42B7-93FE-42CBCCC484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2" name="Text Box 15">
          <a:extLst>
            <a:ext uri="{FF2B5EF4-FFF2-40B4-BE49-F238E27FC236}">
              <a16:creationId xmlns:a16="http://schemas.microsoft.com/office/drawing/2014/main" id="{8F2B47C0-F518-4AEE-AA94-89CED59A38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3" name="Text Box 15">
          <a:extLst>
            <a:ext uri="{FF2B5EF4-FFF2-40B4-BE49-F238E27FC236}">
              <a16:creationId xmlns:a16="http://schemas.microsoft.com/office/drawing/2014/main" id="{BED8DB2C-00C8-4683-B115-825AFFCA62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4" name="Text Box 15">
          <a:extLst>
            <a:ext uri="{FF2B5EF4-FFF2-40B4-BE49-F238E27FC236}">
              <a16:creationId xmlns:a16="http://schemas.microsoft.com/office/drawing/2014/main" id="{3C46BF58-BFCF-4924-BB01-EE653876EF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5" name="Text Box 15">
          <a:extLst>
            <a:ext uri="{FF2B5EF4-FFF2-40B4-BE49-F238E27FC236}">
              <a16:creationId xmlns:a16="http://schemas.microsoft.com/office/drawing/2014/main" id="{BD21153A-4EF7-4771-9A47-F53020BD5C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6" name="Text Box 15">
          <a:extLst>
            <a:ext uri="{FF2B5EF4-FFF2-40B4-BE49-F238E27FC236}">
              <a16:creationId xmlns:a16="http://schemas.microsoft.com/office/drawing/2014/main" id="{E3077440-246B-441F-A3FE-D715BB978C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7" name="Text Box 15">
          <a:extLst>
            <a:ext uri="{FF2B5EF4-FFF2-40B4-BE49-F238E27FC236}">
              <a16:creationId xmlns:a16="http://schemas.microsoft.com/office/drawing/2014/main" id="{5EF6B58A-FD55-4DCF-89D6-25821F3D60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8" name="Text Box 15">
          <a:extLst>
            <a:ext uri="{FF2B5EF4-FFF2-40B4-BE49-F238E27FC236}">
              <a16:creationId xmlns:a16="http://schemas.microsoft.com/office/drawing/2014/main" id="{C2E20251-3D11-4DF2-BE3F-04FE6C0953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9" name="Text Box 15">
          <a:extLst>
            <a:ext uri="{FF2B5EF4-FFF2-40B4-BE49-F238E27FC236}">
              <a16:creationId xmlns:a16="http://schemas.microsoft.com/office/drawing/2014/main" id="{18F0889F-F2D4-4A5F-A9BC-1AF68368F34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0" name="Text Box 15">
          <a:extLst>
            <a:ext uri="{FF2B5EF4-FFF2-40B4-BE49-F238E27FC236}">
              <a16:creationId xmlns:a16="http://schemas.microsoft.com/office/drawing/2014/main" id="{6BC239F3-0A82-47F0-82B3-8579CDBF29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1" name="Text Box 15">
          <a:extLst>
            <a:ext uri="{FF2B5EF4-FFF2-40B4-BE49-F238E27FC236}">
              <a16:creationId xmlns:a16="http://schemas.microsoft.com/office/drawing/2014/main" id="{33FE48D7-D4D0-49B1-82ED-97EA7131F87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2" name="Text Box 15">
          <a:extLst>
            <a:ext uri="{FF2B5EF4-FFF2-40B4-BE49-F238E27FC236}">
              <a16:creationId xmlns:a16="http://schemas.microsoft.com/office/drawing/2014/main" id="{DB172944-DCAE-42E3-93E5-C0CA2D4D8B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3" name="Text Box 15">
          <a:extLst>
            <a:ext uri="{FF2B5EF4-FFF2-40B4-BE49-F238E27FC236}">
              <a16:creationId xmlns:a16="http://schemas.microsoft.com/office/drawing/2014/main" id="{BE6BF95B-E551-4A75-ABF9-727FB80A97B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4" name="Text Box 15">
          <a:extLst>
            <a:ext uri="{FF2B5EF4-FFF2-40B4-BE49-F238E27FC236}">
              <a16:creationId xmlns:a16="http://schemas.microsoft.com/office/drawing/2014/main" id="{2179E536-D563-4FFF-B124-580386FDDD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5" name="Text Box 15">
          <a:extLst>
            <a:ext uri="{FF2B5EF4-FFF2-40B4-BE49-F238E27FC236}">
              <a16:creationId xmlns:a16="http://schemas.microsoft.com/office/drawing/2014/main" id="{925347CB-FDE3-4CF3-B914-98B165EA21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6" name="Text Box 15">
          <a:extLst>
            <a:ext uri="{FF2B5EF4-FFF2-40B4-BE49-F238E27FC236}">
              <a16:creationId xmlns:a16="http://schemas.microsoft.com/office/drawing/2014/main" id="{923A5DE8-61B0-4FB9-961F-7062ACB3292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7" name="Text Box 15">
          <a:extLst>
            <a:ext uri="{FF2B5EF4-FFF2-40B4-BE49-F238E27FC236}">
              <a16:creationId xmlns:a16="http://schemas.microsoft.com/office/drawing/2014/main" id="{3A77702D-660C-44E3-8C04-EA478890A25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8" name="Text Box 15">
          <a:extLst>
            <a:ext uri="{FF2B5EF4-FFF2-40B4-BE49-F238E27FC236}">
              <a16:creationId xmlns:a16="http://schemas.microsoft.com/office/drawing/2014/main" id="{95C16A68-A860-481E-A82E-60173FA39A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9" name="Text Box 15">
          <a:extLst>
            <a:ext uri="{FF2B5EF4-FFF2-40B4-BE49-F238E27FC236}">
              <a16:creationId xmlns:a16="http://schemas.microsoft.com/office/drawing/2014/main" id="{464DE401-4CA2-4EC1-AD67-7F8B4F4F05B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0" name="Text Box 15">
          <a:extLst>
            <a:ext uri="{FF2B5EF4-FFF2-40B4-BE49-F238E27FC236}">
              <a16:creationId xmlns:a16="http://schemas.microsoft.com/office/drawing/2014/main" id="{E9CA2591-2D34-4C8D-92BB-1FBA605A96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1" name="Text Box 15">
          <a:extLst>
            <a:ext uri="{FF2B5EF4-FFF2-40B4-BE49-F238E27FC236}">
              <a16:creationId xmlns:a16="http://schemas.microsoft.com/office/drawing/2014/main" id="{A41C3553-C33C-4DE3-8901-E6F42156B4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2" name="Text Box 15">
          <a:extLst>
            <a:ext uri="{FF2B5EF4-FFF2-40B4-BE49-F238E27FC236}">
              <a16:creationId xmlns:a16="http://schemas.microsoft.com/office/drawing/2014/main" id="{A54BF57B-4C99-4FFE-831E-78B2FEE2F6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3" name="Text Box 15">
          <a:extLst>
            <a:ext uri="{FF2B5EF4-FFF2-40B4-BE49-F238E27FC236}">
              <a16:creationId xmlns:a16="http://schemas.microsoft.com/office/drawing/2014/main" id="{8EC375C4-C0EF-4D76-A0CD-4308E71170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4" name="Text Box 15">
          <a:extLst>
            <a:ext uri="{FF2B5EF4-FFF2-40B4-BE49-F238E27FC236}">
              <a16:creationId xmlns:a16="http://schemas.microsoft.com/office/drawing/2014/main" id="{4AFC9E40-2D56-49FC-B368-A60D1596AC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5" name="Text Box 15">
          <a:extLst>
            <a:ext uri="{FF2B5EF4-FFF2-40B4-BE49-F238E27FC236}">
              <a16:creationId xmlns:a16="http://schemas.microsoft.com/office/drawing/2014/main" id="{A47730BB-D604-4199-B49F-1AF24324B2A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6" name="Text Box 15">
          <a:extLst>
            <a:ext uri="{FF2B5EF4-FFF2-40B4-BE49-F238E27FC236}">
              <a16:creationId xmlns:a16="http://schemas.microsoft.com/office/drawing/2014/main" id="{2A62B0CE-96B0-4CEA-8F7A-F7CDEAA553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7" name="Text Box 15">
          <a:extLst>
            <a:ext uri="{FF2B5EF4-FFF2-40B4-BE49-F238E27FC236}">
              <a16:creationId xmlns:a16="http://schemas.microsoft.com/office/drawing/2014/main" id="{A70B70A4-98A4-43CF-9C84-7DEA0A85ACE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8" name="Text Box 15">
          <a:extLst>
            <a:ext uri="{FF2B5EF4-FFF2-40B4-BE49-F238E27FC236}">
              <a16:creationId xmlns:a16="http://schemas.microsoft.com/office/drawing/2014/main" id="{F5D3FCEB-0399-49CC-9C9F-E3F28909FD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9" name="Text Box 15">
          <a:extLst>
            <a:ext uri="{FF2B5EF4-FFF2-40B4-BE49-F238E27FC236}">
              <a16:creationId xmlns:a16="http://schemas.microsoft.com/office/drawing/2014/main" id="{3C657C19-F041-4138-A11E-901E4A6860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0" name="Text Box 15">
          <a:extLst>
            <a:ext uri="{FF2B5EF4-FFF2-40B4-BE49-F238E27FC236}">
              <a16:creationId xmlns:a16="http://schemas.microsoft.com/office/drawing/2014/main" id="{9616323A-BF05-410E-B388-CF86A0C49E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1" name="Text Box 15">
          <a:extLst>
            <a:ext uri="{FF2B5EF4-FFF2-40B4-BE49-F238E27FC236}">
              <a16:creationId xmlns:a16="http://schemas.microsoft.com/office/drawing/2014/main" id="{37997CE0-68FC-49AE-95B0-F813FDA1A4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2" name="Text Box 15">
          <a:extLst>
            <a:ext uri="{FF2B5EF4-FFF2-40B4-BE49-F238E27FC236}">
              <a16:creationId xmlns:a16="http://schemas.microsoft.com/office/drawing/2014/main" id="{83DCE6BA-A982-49C4-B0ED-1CEBD9D097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3" name="Text Box 15">
          <a:extLst>
            <a:ext uri="{FF2B5EF4-FFF2-40B4-BE49-F238E27FC236}">
              <a16:creationId xmlns:a16="http://schemas.microsoft.com/office/drawing/2014/main" id="{70A641E2-97AD-4C42-9B56-790EA22BC7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4" name="Text Box 15">
          <a:extLst>
            <a:ext uri="{FF2B5EF4-FFF2-40B4-BE49-F238E27FC236}">
              <a16:creationId xmlns:a16="http://schemas.microsoft.com/office/drawing/2014/main" id="{176CD82E-51E3-4978-B79B-ED296C8D99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5" name="Text Box 15">
          <a:extLst>
            <a:ext uri="{FF2B5EF4-FFF2-40B4-BE49-F238E27FC236}">
              <a16:creationId xmlns:a16="http://schemas.microsoft.com/office/drawing/2014/main" id="{FC55C6A5-156C-4869-ACAC-F1BD5B67EB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6" name="Text Box 15">
          <a:extLst>
            <a:ext uri="{FF2B5EF4-FFF2-40B4-BE49-F238E27FC236}">
              <a16:creationId xmlns:a16="http://schemas.microsoft.com/office/drawing/2014/main" id="{8324F031-F93E-4608-B781-EEA0A9CC62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7" name="Text Box 15">
          <a:extLst>
            <a:ext uri="{FF2B5EF4-FFF2-40B4-BE49-F238E27FC236}">
              <a16:creationId xmlns:a16="http://schemas.microsoft.com/office/drawing/2014/main" id="{D49B4A97-E1C9-4C09-AF68-A1FE680D42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8" name="Text Box 15">
          <a:extLst>
            <a:ext uri="{FF2B5EF4-FFF2-40B4-BE49-F238E27FC236}">
              <a16:creationId xmlns:a16="http://schemas.microsoft.com/office/drawing/2014/main" id="{4B50FB0B-05A0-4BB4-B34E-B94232025D0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9" name="Text Box 15">
          <a:extLst>
            <a:ext uri="{FF2B5EF4-FFF2-40B4-BE49-F238E27FC236}">
              <a16:creationId xmlns:a16="http://schemas.microsoft.com/office/drawing/2014/main" id="{7F6F76B8-AD3C-4E31-95F4-47426FDA2D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0" name="Text Box 15">
          <a:extLst>
            <a:ext uri="{FF2B5EF4-FFF2-40B4-BE49-F238E27FC236}">
              <a16:creationId xmlns:a16="http://schemas.microsoft.com/office/drawing/2014/main" id="{EC4872D3-D81A-4106-A16D-6665950C75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1" name="Text Box 15">
          <a:extLst>
            <a:ext uri="{FF2B5EF4-FFF2-40B4-BE49-F238E27FC236}">
              <a16:creationId xmlns:a16="http://schemas.microsoft.com/office/drawing/2014/main" id="{2AF335BC-85D2-494E-84BF-54403D1B44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2" name="Text Box 15">
          <a:extLst>
            <a:ext uri="{FF2B5EF4-FFF2-40B4-BE49-F238E27FC236}">
              <a16:creationId xmlns:a16="http://schemas.microsoft.com/office/drawing/2014/main" id="{51453356-31AC-4B85-B235-AC092F9AF6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3" name="Text Box 15">
          <a:extLst>
            <a:ext uri="{FF2B5EF4-FFF2-40B4-BE49-F238E27FC236}">
              <a16:creationId xmlns:a16="http://schemas.microsoft.com/office/drawing/2014/main" id="{8585E1BF-18CC-486A-95C5-40A21052DF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4" name="Text Box 15">
          <a:extLst>
            <a:ext uri="{FF2B5EF4-FFF2-40B4-BE49-F238E27FC236}">
              <a16:creationId xmlns:a16="http://schemas.microsoft.com/office/drawing/2014/main" id="{498F58DF-F3E7-490A-97FC-BF6AD75A8E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5" name="Text Box 15">
          <a:extLst>
            <a:ext uri="{FF2B5EF4-FFF2-40B4-BE49-F238E27FC236}">
              <a16:creationId xmlns:a16="http://schemas.microsoft.com/office/drawing/2014/main" id="{281BCA96-87FD-4D0D-949A-F0A971CC40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6" name="Text Box 15">
          <a:extLst>
            <a:ext uri="{FF2B5EF4-FFF2-40B4-BE49-F238E27FC236}">
              <a16:creationId xmlns:a16="http://schemas.microsoft.com/office/drawing/2014/main" id="{C94A50D8-B229-442D-8C4B-0796B8EEC1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7" name="Text Box 15">
          <a:extLst>
            <a:ext uri="{FF2B5EF4-FFF2-40B4-BE49-F238E27FC236}">
              <a16:creationId xmlns:a16="http://schemas.microsoft.com/office/drawing/2014/main" id="{B16148CB-639C-4FAA-8E72-AA3A16CE22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8" name="Text Box 15">
          <a:extLst>
            <a:ext uri="{FF2B5EF4-FFF2-40B4-BE49-F238E27FC236}">
              <a16:creationId xmlns:a16="http://schemas.microsoft.com/office/drawing/2014/main" id="{C1E483AD-AED8-4036-A304-250488F8FA9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9" name="Text Box 15">
          <a:extLst>
            <a:ext uri="{FF2B5EF4-FFF2-40B4-BE49-F238E27FC236}">
              <a16:creationId xmlns:a16="http://schemas.microsoft.com/office/drawing/2014/main" id="{8C4A6AA2-57CA-4E31-9566-0689B64BDD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0" name="Text Box 15">
          <a:extLst>
            <a:ext uri="{FF2B5EF4-FFF2-40B4-BE49-F238E27FC236}">
              <a16:creationId xmlns:a16="http://schemas.microsoft.com/office/drawing/2014/main" id="{84C94102-8EF2-40B5-8BC6-2EFA03194A5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1" name="Text Box 15">
          <a:extLst>
            <a:ext uri="{FF2B5EF4-FFF2-40B4-BE49-F238E27FC236}">
              <a16:creationId xmlns:a16="http://schemas.microsoft.com/office/drawing/2014/main" id="{4E4478C2-4D7C-4AF5-8C8F-9095A067EA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2" name="Text Box 15">
          <a:extLst>
            <a:ext uri="{FF2B5EF4-FFF2-40B4-BE49-F238E27FC236}">
              <a16:creationId xmlns:a16="http://schemas.microsoft.com/office/drawing/2014/main" id="{E212BFFD-D4AB-4E96-AFB6-98BCD8AF9D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3" name="Text Box 15">
          <a:extLst>
            <a:ext uri="{FF2B5EF4-FFF2-40B4-BE49-F238E27FC236}">
              <a16:creationId xmlns:a16="http://schemas.microsoft.com/office/drawing/2014/main" id="{59BEED8F-39C0-489E-B2D5-7964C07DEB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4" name="Text Box 15">
          <a:extLst>
            <a:ext uri="{FF2B5EF4-FFF2-40B4-BE49-F238E27FC236}">
              <a16:creationId xmlns:a16="http://schemas.microsoft.com/office/drawing/2014/main" id="{AFB601E2-775B-475B-B76E-58DBADFE6D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5" name="Text Box 15">
          <a:extLst>
            <a:ext uri="{FF2B5EF4-FFF2-40B4-BE49-F238E27FC236}">
              <a16:creationId xmlns:a16="http://schemas.microsoft.com/office/drawing/2014/main" id="{850C2B2A-4D5F-4CF1-96AA-7634913D46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6" name="Text Box 15">
          <a:extLst>
            <a:ext uri="{FF2B5EF4-FFF2-40B4-BE49-F238E27FC236}">
              <a16:creationId xmlns:a16="http://schemas.microsoft.com/office/drawing/2014/main" id="{44BEEBF0-B3B2-40BE-811A-F26B0C1B49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7" name="Text Box 15">
          <a:extLst>
            <a:ext uri="{FF2B5EF4-FFF2-40B4-BE49-F238E27FC236}">
              <a16:creationId xmlns:a16="http://schemas.microsoft.com/office/drawing/2014/main" id="{EBC9B71B-8CDC-4019-87FA-C2470C8403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8" name="Text Box 15">
          <a:extLst>
            <a:ext uri="{FF2B5EF4-FFF2-40B4-BE49-F238E27FC236}">
              <a16:creationId xmlns:a16="http://schemas.microsoft.com/office/drawing/2014/main" id="{7F7492D3-4E1B-4D20-983B-B9153F47870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9" name="Text Box 15">
          <a:extLst>
            <a:ext uri="{FF2B5EF4-FFF2-40B4-BE49-F238E27FC236}">
              <a16:creationId xmlns:a16="http://schemas.microsoft.com/office/drawing/2014/main" id="{42B39B25-5FF5-4E98-9210-8490D4CDFF1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0" name="Text Box 15">
          <a:extLst>
            <a:ext uri="{FF2B5EF4-FFF2-40B4-BE49-F238E27FC236}">
              <a16:creationId xmlns:a16="http://schemas.microsoft.com/office/drawing/2014/main" id="{65819F9C-8778-4089-9526-FF3530D266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1" name="Text Box 15">
          <a:extLst>
            <a:ext uri="{FF2B5EF4-FFF2-40B4-BE49-F238E27FC236}">
              <a16:creationId xmlns:a16="http://schemas.microsoft.com/office/drawing/2014/main" id="{0DABE3B2-9136-43A7-86B7-A9F86E196A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2" name="Text Box 15">
          <a:extLst>
            <a:ext uri="{FF2B5EF4-FFF2-40B4-BE49-F238E27FC236}">
              <a16:creationId xmlns:a16="http://schemas.microsoft.com/office/drawing/2014/main" id="{89220FB9-E673-4843-A125-57AFC76D1E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3" name="Text Box 15">
          <a:extLst>
            <a:ext uri="{FF2B5EF4-FFF2-40B4-BE49-F238E27FC236}">
              <a16:creationId xmlns:a16="http://schemas.microsoft.com/office/drawing/2014/main" id="{A501BCC2-9395-489F-B15F-6DB844F44B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4" name="Text Box 15">
          <a:extLst>
            <a:ext uri="{FF2B5EF4-FFF2-40B4-BE49-F238E27FC236}">
              <a16:creationId xmlns:a16="http://schemas.microsoft.com/office/drawing/2014/main" id="{EE5D2862-6CDA-41D2-BA66-A4E53F3192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5" name="Text Box 15">
          <a:extLst>
            <a:ext uri="{FF2B5EF4-FFF2-40B4-BE49-F238E27FC236}">
              <a16:creationId xmlns:a16="http://schemas.microsoft.com/office/drawing/2014/main" id="{8488146F-8771-42CA-915C-9DFDEB2AC1A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6" name="Text Box 15">
          <a:extLst>
            <a:ext uri="{FF2B5EF4-FFF2-40B4-BE49-F238E27FC236}">
              <a16:creationId xmlns:a16="http://schemas.microsoft.com/office/drawing/2014/main" id="{42174BE1-E5A0-4791-ADDE-7435A04D84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7" name="Text Box 15">
          <a:extLst>
            <a:ext uri="{FF2B5EF4-FFF2-40B4-BE49-F238E27FC236}">
              <a16:creationId xmlns:a16="http://schemas.microsoft.com/office/drawing/2014/main" id="{F717A7FF-CBDC-4FEE-A05B-373F531BCC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8" name="Text Box 15">
          <a:extLst>
            <a:ext uri="{FF2B5EF4-FFF2-40B4-BE49-F238E27FC236}">
              <a16:creationId xmlns:a16="http://schemas.microsoft.com/office/drawing/2014/main" id="{AFD654DE-BE37-4262-8289-A7BF0A254D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9" name="Text Box 15">
          <a:extLst>
            <a:ext uri="{FF2B5EF4-FFF2-40B4-BE49-F238E27FC236}">
              <a16:creationId xmlns:a16="http://schemas.microsoft.com/office/drawing/2014/main" id="{F8264B14-CF21-4DB3-8AA3-3E9D45F531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0" name="Text Box 15">
          <a:extLst>
            <a:ext uri="{FF2B5EF4-FFF2-40B4-BE49-F238E27FC236}">
              <a16:creationId xmlns:a16="http://schemas.microsoft.com/office/drawing/2014/main" id="{62E00DF7-F9B7-40B6-8EDB-0F9C6A374B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1" name="Text Box 15">
          <a:extLst>
            <a:ext uri="{FF2B5EF4-FFF2-40B4-BE49-F238E27FC236}">
              <a16:creationId xmlns:a16="http://schemas.microsoft.com/office/drawing/2014/main" id="{86C03524-18A9-4006-A837-9EF5521778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2" name="Text Box 15">
          <a:extLst>
            <a:ext uri="{FF2B5EF4-FFF2-40B4-BE49-F238E27FC236}">
              <a16:creationId xmlns:a16="http://schemas.microsoft.com/office/drawing/2014/main" id="{5CE2ABFE-4215-402B-B10A-7DF8B5BCF7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3" name="Text Box 15">
          <a:extLst>
            <a:ext uri="{FF2B5EF4-FFF2-40B4-BE49-F238E27FC236}">
              <a16:creationId xmlns:a16="http://schemas.microsoft.com/office/drawing/2014/main" id="{EE09CE69-2ACF-4DAA-B912-DE30607D77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4" name="Text Box 15">
          <a:extLst>
            <a:ext uri="{FF2B5EF4-FFF2-40B4-BE49-F238E27FC236}">
              <a16:creationId xmlns:a16="http://schemas.microsoft.com/office/drawing/2014/main" id="{8D4C76D8-1177-448B-BCCD-63C5575E59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5" name="Text Box 15">
          <a:extLst>
            <a:ext uri="{FF2B5EF4-FFF2-40B4-BE49-F238E27FC236}">
              <a16:creationId xmlns:a16="http://schemas.microsoft.com/office/drawing/2014/main" id="{92BB67D7-E679-4521-AFBE-77663A9679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6" name="Text Box 15">
          <a:extLst>
            <a:ext uri="{FF2B5EF4-FFF2-40B4-BE49-F238E27FC236}">
              <a16:creationId xmlns:a16="http://schemas.microsoft.com/office/drawing/2014/main" id="{576E469B-5B3D-4F36-89CB-F76CA0D1C8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7" name="Text Box 15">
          <a:extLst>
            <a:ext uri="{FF2B5EF4-FFF2-40B4-BE49-F238E27FC236}">
              <a16:creationId xmlns:a16="http://schemas.microsoft.com/office/drawing/2014/main" id="{3507E765-DF14-4B59-AC25-D99CDF3545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8" name="Text Box 15">
          <a:extLst>
            <a:ext uri="{FF2B5EF4-FFF2-40B4-BE49-F238E27FC236}">
              <a16:creationId xmlns:a16="http://schemas.microsoft.com/office/drawing/2014/main" id="{5D65ADB9-051F-4D8E-892A-D4C6D74490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9" name="Text Box 15">
          <a:extLst>
            <a:ext uri="{FF2B5EF4-FFF2-40B4-BE49-F238E27FC236}">
              <a16:creationId xmlns:a16="http://schemas.microsoft.com/office/drawing/2014/main" id="{3FD84AE6-E0A4-4C47-A8E1-9584A94D32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0" name="Text Box 15">
          <a:extLst>
            <a:ext uri="{FF2B5EF4-FFF2-40B4-BE49-F238E27FC236}">
              <a16:creationId xmlns:a16="http://schemas.microsoft.com/office/drawing/2014/main" id="{3FF381DE-64AA-4250-AC30-D97988403B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1" name="Text Box 15">
          <a:extLst>
            <a:ext uri="{FF2B5EF4-FFF2-40B4-BE49-F238E27FC236}">
              <a16:creationId xmlns:a16="http://schemas.microsoft.com/office/drawing/2014/main" id="{ADB2421D-0828-4D03-81AC-5F71D90643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2" name="Text Box 15">
          <a:extLst>
            <a:ext uri="{FF2B5EF4-FFF2-40B4-BE49-F238E27FC236}">
              <a16:creationId xmlns:a16="http://schemas.microsoft.com/office/drawing/2014/main" id="{4AC45274-F7EF-445F-9E8F-933338AECC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3" name="Text Box 15">
          <a:extLst>
            <a:ext uri="{FF2B5EF4-FFF2-40B4-BE49-F238E27FC236}">
              <a16:creationId xmlns:a16="http://schemas.microsoft.com/office/drawing/2014/main" id="{6BDA2C4A-396F-4BB7-869A-10C29AA6C4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4" name="Text Box 15">
          <a:extLst>
            <a:ext uri="{FF2B5EF4-FFF2-40B4-BE49-F238E27FC236}">
              <a16:creationId xmlns:a16="http://schemas.microsoft.com/office/drawing/2014/main" id="{0146AC26-5D75-4FA7-841D-A6FCAD37CF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5" name="Text Box 15">
          <a:extLst>
            <a:ext uri="{FF2B5EF4-FFF2-40B4-BE49-F238E27FC236}">
              <a16:creationId xmlns:a16="http://schemas.microsoft.com/office/drawing/2014/main" id="{BE270D16-2FA0-4967-B2AB-14488C2A227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6" name="Text Box 15">
          <a:extLst>
            <a:ext uri="{FF2B5EF4-FFF2-40B4-BE49-F238E27FC236}">
              <a16:creationId xmlns:a16="http://schemas.microsoft.com/office/drawing/2014/main" id="{DD6F8CE0-E821-4AA1-9B43-449F16B2CC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7" name="Text Box 15">
          <a:extLst>
            <a:ext uri="{FF2B5EF4-FFF2-40B4-BE49-F238E27FC236}">
              <a16:creationId xmlns:a16="http://schemas.microsoft.com/office/drawing/2014/main" id="{E24B6453-C0C0-4BEB-83F9-B635A8ED77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8" name="Text Box 15">
          <a:extLst>
            <a:ext uri="{FF2B5EF4-FFF2-40B4-BE49-F238E27FC236}">
              <a16:creationId xmlns:a16="http://schemas.microsoft.com/office/drawing/2014/main" id="{A06EA4DB-73A8-4549-A32F-33B2D78C9F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9" name="Text Box 15">
          <a:extLst>
            <a:ext uri="{FF2B5EF4-FFF2-40B4-BE49-F238E27FC236}">
              <a16:creationId xmlns:a16="http://schemas.microsoft.com/office/drawing/2014/main" id="{6DA60B25-2BBC-45F3-94D0-43BC359B548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0" name="Text Box 15">
          <a:extLst>
            <a:ext uri="{FF2B5EF4-FFF2-40B4-BE49-F238E27FC236}">
              <a16:creationId xmlns:a16="http://schemas.microsoft.com/office/drawing/2014/main" id="{4F0BCC64-E08F-4CE8-A1D5-F17DF0979D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1" name="Text Box 15">
          <a:extLst>
            <a:ext uri="{FF2B5EF4-FFF2-40B4-BE49-F238E27FC236}">
              <a16:creationId xmlns:a16="http://schemas.microsoft.com/office/drawing/2014/main" id="{0A598B9C-6BD1-42AF-823D-3477596C775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2" name="Text Box 15">
          <a:extLst>
            <a:ext uri="{FF2B5EF4-FFF2-40B4-BE49-F238E27FC236}">
              <a16:creationId xmlns:a16="http://schemas.microsoft.com/office/drawing/2014/main" id="{57DCAEA2-71E8-4AFF-855F-BDB0776991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3" name="Text Box 15">
          <a:extLst>
            <a:ext uri="{FF2B5EF4-FFF2-40B4-BE49-F238E27FC236}">
              <a16:creationId xmlns:a16="http://schemas.microsoft.com/office/drawing/2014/main" id="{A9E6C20B-1B8D-414D-ABCE-0B46F428798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4" name="Text Box 15">
          <a:extLst>
            <a:ext uri="{FF2B5EF4-FFF2-40B4-BE49-F238E27FC236}">
              <a16:creationId xmlns:a16="http://schemas.microsoft.com/office/drawing/2014/main" id="{B36D85B4-43D7-4622-BDF3-D39B68501A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5" name="Text Box 15">
          <a:extLst>
            <a:ext uri="{FF2B5EF4-FFF2-40B4-BE49-F238E27FC236}">
              <a16:creationId xmlns:a16="http://schemas.microsoft.com/office/drawing/2014/main" id="{7EE23E00-AF11-4652-87F7-B8A2704C01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6" name="Text Box 15">
          <a:extLst>
            <a:ext uri="{FF2B5EF4-FFF2-40B4-BE49-F238E27FC236}">
              <a16:creationId xmlns:a16="http://schemas.microsoft.com/office/drawing/2014/main" id="{B7E4AC9F-D028-4E5E-B587-27BA4A3144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7" name="Text Box 15">
          <a:extLst>
            <a:ext uri="{FF2B5EF4-FFF2-40B4-BE49-F238E27FC236}">
              <a16:creationId xmlns:a16="http://schemas.microsoft.com/office/drawing/2014/main" id="{5826F2B1-C017-4A21-97CD-237A48CDA9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8" name="Text Box 15">
          <a:extLst>
            <a:ext uri="{FF2B5EF4-FFF2-40B4-BE49-F238E27FC236}">
              <a16:creationId xmlns:a16="http://schemas.microsoft.com/office/drawing/2014/main" id="{0C900FC5-45D0-4BC7-A159-76F4C327A5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9" name="Text Box 15">
          <a:extLst>
            <a:ext uri="{FF2B5EF4-FFF2-40B4-BE49-F238E27FC236}">
              <a16:creationId xmlns:a16="http://schemas.microsoft.com/office/drawing/2014/main" id="{937F5BCB-16D8-4F04-BD44-0B43382CEA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0" name="Text Box 15">
          <a:extLst>
            <a:ext uri="{FF2B5EF4-FFF2-40B4-BE49-F238E27FC236}">
              <a16:creationId xmlns:a16="http://schemas.microsoft.com/office/drawing/2014/main" id="{A7F0FEFB-4D5D-486A-98D5-B3C6DCD58D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1" name="Text Box 15">
          <a:extLst>
            <a:ext uri="{FF2B5EF4-FFF2-40B4-BE49-F238E27FC236}">
              <a16:creationId xmlns:a16="http://schemas.microsoft.com/office/drawing/2014/main" id="{0D5FF6E8-AC16-4649-912B-4FEBF6DCC6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2" name="Text Box 15">
          <a:extLst>
            <a:ext uri="{FF2B5EF4-FFF2-40B4-BE49-F238E27FC236}">
              <a16:creationId xmlns:a16="http://schemas.microsoft.com/office/drawing/2014/main" id="{D5B6C792-C517-439B-849E-ADECBFB9A3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3" name="Text Box 15">
          <a:extLst>
            <a:ext uri="{FF2B5EF4-FFF2-40B4-BE49-F238E27FC236}">
              <a16:creationId xmlns:a16="http://schemas.microsoft.com/office/drawing/2014/main" id="{6FE94596-AA15-4DC4-B310-68246D5574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4" name="Text Box 15">
          <a:extLst>
            <a:ext uri="{FF2B5EF4-FFF2-40B4-BE49-F238E27FC236}">
              <a16:creationId xmlns:a16="http://schemas.microsoft.com/office/drawing/2014/main" id="{C72A48C9-E39A-4FB0-B7AD-B208D77CC1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5" name="Text Box 15">
          <a:extLst>
            <a:ext uri="{FF2B5EF4-FFF2-40B4-BE49-F238E27FC236}">
              <a16:creationId xmlns:a16="http://schemas.microsoft.com/office/drawing/2014/main" id="{D7B99E18-7D35-47A6-9820-1F58BD49B2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6" name="Text Box 15">
          <a:extLst>
            <a:ext uri="{FF2B5EF4-FFF2-40B4-BE49-F238E27FC236}">
              <a16:creationId xmlns:a16="http://schemas.microsoft.com/office/drawing/2014/main" id="{CEF3A53C-574E-409B-B4E0-DF878D908D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7" name="Text Box 15">
          <a:extLst>
            <a:ext uri="{FF2B5EF4-FFF2-40B4-BE49-F238E27FC236}">
              <a16:creationId xmlns:a16="http://schemas.microsoft.com/office/drawing/2014/main" id="{D468289A-0677-41A8-8145-293356EEB6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8" name="Text Box 15">
          <a:extLst>
            <a:ext uri="{FF2B5EF4-FFF2-40B4-BE49-F238E27FC236}">
              <a16:creationId xmlns:a16="http://schemas.microsoft.com/office/drawing/2014/main" id="{837B184B-C78D-4776-A193-52C730BD38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9" name="Text Box 15">
          <a:extLst>
            <a:ext uri="{FF2B5EF4-FFF2-40B4-BE49-F238E27FC236}">
              <a16:creationId xmlns:a16="http://schemas.microsoft.com/office/drawing/2014/main" id="{00849F4C-89C1-40AC-AB8F-F3B8AB28B4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0" name="Text Box 15">
          <a:extLst>
            <a:ext uri="{FF2B5EF4-FFF2-40B4-BE49-F238E27FC236}">
              <a16:creationId xmlns:a16="http://schemas.microsoft.com/office/drawing/2014/main" id="{32DEEF0B-2138-4DA4-88FD-706DDAB4AB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1" name="Text Box 15">
          <a:extLst>
            <a:ext uri="{FF2B5EF4-FFF2-40B4-BE49-F238E27FC236}">
              <a16:creationId xmlns:a16="http://schemas.microsoft.com/office/drawing/2014/main" id="{006B30DA-C222-4BFD-817C-6BDE9215E9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2" name="Text Box 15">
          <a:extLst>
            <a:ext uri="{FF2B5EF4-FFF2-40B4-BE49-F238E27FC236}">
              <a16:creationId xmlns:a16="http://schemas.microsoft.com/office/drawing/2014/main" id="{0D2F1CD4-094B-459C-A945-A9B56BDBE5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3" name="Text Box 15">
          <a:extLst>
            <a:ext uri="{FF2B5EF4-FFF2-40B4-BE49-F238E27FC236}">
              <a16:creationId xmlns:a16="http://schemas.microsoft.com/office/drawing/2014/main" id="{B9EB53D1-5EDC-4314-AD43-27C55B1FA9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4" name="Text Box 15">
          <a:extLst>
            <a:ext uri="{FF2B5EF4-FFF2-40B4-BE49-F238E27FC236}">
              <a16:creationId xmlns:a16="http://schemas.microsoft.com/office/drawing/2014/main" id="{87E39B48-2A23-45EB-A5D9-A2D72374C2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5" name="Text Box 15">
          <a:extLst>
            <a:ext uri="{FF2B5EF4-FFF2-40B4-BE49-F238E27FC236}">
              <a16:creationId xmlns:a16="http://schemas.microsoft.com/office/drawing/2014/main" id="{72FB4DBB-E082-4CC3-B70C-3057E945D1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6" name="Text Box 15">
          <a:extLst>
            <a:ext uri="{FF2B5EF4-FFF2-40B4-BE49-F238E27FC236}">
              <a16:creationId xmlns:a16="http://schemas.microsoft.com/office/drawing/2014/main" id="{72B6D403-F30D-432C-BB3C-13EDD3D8A0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7" name="Text Box 15">
          <a:extLst>
            <a:ext uri="{FF2B5EF4-FFF2-40B4-BE49-F238E27FC236}">
              <a16:creationId xmlns:a16="http://schemas.microsoft.com/office/drawing/2014/main" id="{077FA66B-E127-4E5E-8465-14C5F49B47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8" name="Text Box 15">
          <a:extLst>
            <a:ext uri="{FF2B5EF4-FFF2-40B4-BE49-F238E27FC236}">
              <a16:creationId xmlns:a16="http://schemas.microsoft.com/office/drawing/2014/main" id="{036DDDC9-B0DA-477C-9B9E-73C678C38E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9" name="Text Box 15">
          <a:extLst>
            <a:ext uri="{FF2B5EF4-FFF2-40B4-BE49-F238E27FC236}">
              <a16:creationId xmlns:a16="http://schemas.microsoft.com/office/drawing/2014/main" id="{6D2D30F7-CE40-4B6C-AAD5-E23A45B9EC3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0" name="Text Box 15">
          <a:extLst>
            <a:ext uri="{FF2B5EF4-FFF2-40B4-BE49-F238E27FC236}">
              <a16:creationId xmlns:a16="http://schemas.microsoft.com/office/drawing/2014/main" id="{1319488A-D30F-461E-B56E-19EA886BB2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1" name="Text Box 15">
          <a:extLst>
            <a:ext uri="{FF2B5EF4-FFF2-40B4-BE49-F238E27FC236}">
              <a16:creationId xmlns:a16="http://schemas.microsoft.com/office/drawing/2014/main" id="{951345DC-8850-4555-B6EF-F0A0A09AF3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2" name="Text Box 15">
          <a:extLst>
            <a:ext uri="{FF2B5EF4-FFF2-40B4-BE49-F238E27FC236}">
              <a16:creationId xmlns:a16="http://schemas.microsoft.com/office/drawing/2014/main" id="{21F57BBB-15EC-4ACF-85B1-C9431AECED7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3" name="Text Box 15">
          <a:extLst>
            <a:ext uri="{FF2B5EF4-FFF2-40B4-BE49-F238E27FC236}">
              <a16:creationId xmlns:a16="http://schemas.microsoft.com/office/drawing/2014/main" id="{9CC25999-50C2-4812-936E-8B40AB6E30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4" name="Text Box 15">
          <a:extLst>
            <a:ext uri="{FF2B5EF4-FFF2-40B4-BE49-F238E27FC236}">
              <a16:creationId xmlns:a16="http://schemas.microsoft.com/office/drawing/2014/main" id="{116764B2-9554-4559-A835-4D40CFF341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5" name="Text Box 15">
          <a:extLst>
            <a:ext uri="{FF2B5EF4-FFF2-40B4-BE49-F238E27FC236}">
              <a16:creationId xmlns:a16="http://schemas.microsoft.com/office/drawing/2014/main" id="{4E402828-ACB2-4135-9D6B-1D54EF6C0B8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6" name="Text Box 15">
          <a:extLst>
            <a:ext uri="{FF2B5EF4-FFF2-40B4-BE49-F238E27FC236}">
              <a16:creationId xmlns:a16="http://schemas.microsoft.com/office/drawing/2014/main" id="{D271D75C-FBCF-4639-8D06-E253B3C9B6D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7" name="Text Box 15">
          <a:extLst>
            <a:ext uri="{FF2B5EF4-FFF2-40B4-BE49-F238E27FC236}">
              <a16:creationId xmlns:a16="http://schemas.microsoft.com/office/drawing/2014/main" id="{6B15D916-E2B4-44A2-BF8F-9967B65CFF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8" name="Text Box 15">
          <a:extLst>
            <a:ext uri="{FF2B5EF4-FFF2-40B4-BE49-F238E27FC236}">
              <a16:creationId xmlns:a16="http://schemas.microsoft.com/office/drawing/2014/main" id="{F4E98844-430F-4F65-B916-CAA0F5BBC8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9" name="Text Box 15">
          <a:extLst>
            <a:ext uri="{FF2B5EF4-FFF2-40B4-BE49-F238E27FC236}">
              <a16:creationId xmlns:a16="http://schemas.microsoft.com/office/drawing/2014/main" id="{B35B309D-D164-4FD3-8E0B-AEE8DC68E7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0" name="Text Box 15">
          <a:extLst>
            <a:ext uri="{FF2B5EF4-FFF2-40B4-BE49-F238E27FC236}">
              <a16:creationId xmlns:a16="http://schemas.microsoft.com/office/drawing/2014/main" id="{3B999020-43AC-4ADB-BA08-558061022C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1" name="Text Box 15">
          <a:extLst>
            <a:ext uri="{FF2B5EF4-FFF2-40B4-BE49-F238E27FC236}">
              <a16:creationId xmlns:a16="http://schemas.microsoft.com/office/drawing/2014/main" id="{1ED5448F-64D6-4ABC-8641-1B394A3F7F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2" name="Text Box 15">
          <a:extLst>
            <a:ext uri="{FF2B5EF4-FFF2-40B4-BE49-F238E27FC236}">
              <a16:creationId xmlns:a16="http://schemas.microsoft.com/office/drawing/2014/main" id="{AC5A7FF0-9A0E-4AD4-A4AF-2DBD03CC70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3" name="Text Box 15">
          <a:extLst>
            <a:ext uri="{FF2B5EF4-FFF2-40B4-BE49-F238E27FC236}">
              <a16:creationId xmlns:a16="http://schemas.microsoft.com/office/drawing/2014/main" id="{371B0751-6BF1-4EC9-8712-39DB81E76A6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4" name="Text Box 15">
          <a:extLst>
            <a:ext uri="{FF2B5EF4-FFF2-40B4-BE49-F238E27FC236}">
              <a16:creationId xmlns:a16="http://schemas.microsoft.com/office/drawing/2014/main" id="{7229276B-15FD-4D7A-8355-388C23575B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5" name="Text Box 15">
          <a:extLst>
            <a:ext uri="{FF2B5EF4-FFF2-40B4-BE49-F238E27FC236}">
              <a16:creationId xmlns:a16="http://schemas.microsoft.com/office/drawing/2014/main" id="{163FFF2E-CAD4-4A82-B574-25629EBC05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6" name="Text Box 15">
          <a:extLst>
            <a:ext uri="{FF2B5EF4-FFF2-40B4-BE49-F238E27FC236}">
              <a16:creationId xmlns:a16="http://schemas.microsoft.com/office/drawing/2014/main" id="{0E06456D-3ECF-47FE-AE96-D566798E35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7" name="Text Box 15">
          <a:extLst>
            <a:ext uri="{FF2B5EF4-FFF2-40B4-BE49-F238E27FC236}">
              <a16:creationId xmlns:a16="http://schemas.microsoft.com/office/drawing/2014/main" id="{D87C7ECC-4621-440E-9350-8C5F25F0BA2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8" name="Text Box 15">
          <a:extLst>
            <a:ext uri="{FF2B5EF4-FFF2-40B4-BE49-F238E27FC236}">
              <a16:creationId xmlns:a16="http://schemas.microsoft.com/office/drawing/2014/main" id="{0E39776C-695D-4FAD-B7E6-FBCB5ACB2D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9" name="Text Box 15">
          <a:extLst>
            <a:ext uri="{FF2B5EF4-FFF2-40B4-BE49-F238E27FC236}">
              <a16:creationId xmlns:a16="http://schemas.microsoft.com/office/drawing/2014/main" id="{7DF73F74-4E77-4CA5-8350-D6F9D5C211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0" name="Text Box 15">
          <a:extLst>
            <a:ext uri="{FF2B5EF4-FFF2-40B4-BE49-F238E27FC236}">
              <a16:creationId xmlns:a16="http://schemas.microsoft.com/office/drawing/2014/main" id="{98A25082-C1EE-4385-9057-AE8FF33788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1" name="Text Box 15">
          <a:extLst>
            <a:ext uri="{FF2B5EF4-FFF2-40B4-BE49-F238E27FC236}">
              <a16:creationId xmlns:a16="http://schemas.microsoft.com/office/drawing/2014/main" id="{8188C492-0B66-4DCA-8BF9-1E824B9C55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2" name="Text Box 15">
          <a:extLst>
            <a:ext uri="{FF2B5EF4-FFF2-40B4-BE49-F238E27FC236}">
              <a16:creationId xmlns:a16="http://schemas.microsoft.com/office/drawing/2014/main" id="{07430D60-5769-4C52-B391-9D9F7B8B16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3" name="Text Box 15">
          <a:extLst>
            <a:ext uri="{FF2B5EF4-FFF2-40B4-BE49-F238E27FC236}">
              <a16:creationId xmlns:a16="http://schemas.microsoft.com/office/drawing/2014/main" id="{25A46647-0BB9-4937-8882-8E94FEC9885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4" name="Text Box 15">
          <a:extLst>
            <a:ext uri="{FF2B5EF4-FFF2-40B4-BE49-F238E27FC236}">
              <a16:creationId xmlns:a16="http://schemas.microsoft.com/office/drawing/2014/main" id="{2B981351-3D05-44C5-9A71-9A36870597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5" name="Text Box 15">
          <a:extLst>
            <a:ext uri="{FF2B5EF4-FFF2-40B4-BE49-F238E27FC236}">
              <a16:creationId xmlns:a16="http://schemas.microsoft.com/office/drawing/2014/main" id="{50C3E264-4BC0-4C59-8C30-18F0889411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6" name="Text Box 15">
          <a:extLst>
            <a:ext uri="{FF2B5EF4-FFF2-40B4-BE49-F238E27FC236}">
              <a16:creationId xmlns:a16="http://schemas.microsoft.com/office/drawing/2014/main" id="{FCBC25EF-EEB1-41DF-8ADD-EE3EA58DFB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7" name="Text Box 15">
          <a:extLst>
            <a:ext uri="{FF2B5EF4-FFF2-40B4-BE49-F238E27FC236}">
              <a16:creationId xmlns:a16="http://schemas.microsoft.com/office/drawing/2014/main" id="{2F117BD1-8851-49BB-A9AF-C015D622F9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8" name="Text Box 15">
          <a:extLst>
            <a:ext uri="{FF2B5EF4-FFF2-40B4-BE49-F238E27FC236}">
              <a16:creationId xmlns:a16="http://schemas.microsoft.com/office/drawing/2014/main" id="{0D42708D-0635-4FD3-8849-C7E0934D213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9" name="Text Box 15">
          <a:extLst>
            <a:ext uri="{FF2B5EF4-FFF2-40B4-BE49-F238E27FC236}">
              <a16:creationId xmlns:a16="http://schemas.microsoft.com/office/drawing/2014/main" id="{7F38A1E2-39DC-4182-AB9D-ADD775456C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090" name="Text Box 3">
          <a:extLst>
            <a:ext uri="{FF2B5EF4-FFF2-40B4-BE49-F238E27FC236}">
              <a16:creationId xmlns:a16="http://schemas.microsoft.com/office/drawing/2014/main" id="{ECB08EC2-42D7-41FA-B43B-93341DDA012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091" name="Text Box 32">
          <a:extLst>
            <a:ext uri="{FF2B5EF4-FFF2-40B4-BE49-F238E27FC236}">
              <a16:creationId xmlns:a16="http://schemas.microsoft.com/office/drawing/2014/main" id="{A534591B-DA3D-4F3F-9656-45909692888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092" name="Text Box 3">
          <a:extLst>
            <a:ext uri="{FF2B5EF4-FFF2-40B4-BE49-F238E27FC236}">
              <a16:creationId xmlns:a16="http://schemas.microsoft.com/office/drawing/2014/main" id="{9DEA8A8F-D723-44E1-9879-38925538EBF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093" name="Text Box 63">
          <a:extLst>
            <a:ext uri="{FF2B5EF4-FFF2-40B4-BE49-F238E27FC236}">
              <a16:creationId xmlns:a16="http://schemas.microsoft.com/office/drawing/2014/main" id="{68E63D5A-3582-4AA7-BBDA-A7D79C5D036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094" name="Text Box 3">
          <a:extLst>
            <a:ext uri="{FF2B5EF4-FFF2-40B4-BE49-F238E27FC236}">
              <a16:creationId xmlns:a16="http://schemas.microsoft.com/office/drawing/2014/main" id="{DABB8BBF-1B9E-4FDD-8C66-23D44DE50B2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095" name="Text Box 32">
          <a:extLst>
            <a:ext uri="{FF2B5EF4-FFF2-40B4-BE49-F238E27FC236}">
              <a16:creationId xmlns:a16="http://schemas.microsoft.com/office/drawing/2014/main" id="{24449EF0-5769-4947-BDEE-373D8562B80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096" name="Text Box 3">
          <a:extLst>
            <a:ext uri="{FF2B5EF4-FFF2-40B4-BE49-F238E27FC236}">
              <a16:creationId xmlns:a16="http://schemas.microsoft.com/office/drawing/2014/main" id="{9801A0FC-E6AE-47CB-BBA9-E17DB50AD21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097" name="Text Box 63">
          <a:extLst>
            <a:ext uri="{FF2B5EF4-FFF2-40B4-BE49-F238E27FC236}">
              <a16:creationId xmlns:a16="http://schemas.microsoft.com/office/drawing/2014/main" id="{A5791F53-5B3A-4615-BA5F-80F144EB55F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098" name="Text Box 3">
          <a:extLst>
            <a:ext uri="{FF2B5EF4-FFF2-40B4-BE49-F238E27FC236}">
              <a16:creationId xmlns:a16="http://schemas.microsoft.com/office/drawing/2014/main" id="{308D0E42-7FF9-4DC8-9B4E-37DED67D43B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099" name="Text Box 32">
          <a:extLst>
            <a:ext uri="{FF2B5EF4-FFF2-40B4-BE49-F238E27FC236}">
              <a16:creationId xmlns:a16="http://schemas.microsoft.com/office/drawing/2014/main" id="{71F08289-ADE7-442E-AD77-CDABC68FC76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00" name="Text Box 3">
          <a:extLst>
            <a:ext uri="{FF2B5EF4-FFF2-40B4-BE49-F238E27FC236}">
              <a16:creationId xmlns:a16="http://schemas.microsoft.com/office/drawing/2014/main" id="{B0157E70-4069-400A-B135-A36EA9AF227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01" name="Text Box 63">
          <a:extLst>
            <a:ext uri="{FF2B5EF4-FFF2-40B4-BE49-F238E27FC236}">
              <a16:creationId xmlns:a16="http://schemas.microsoft.com/office/drawing/2014/main" id="{2C9A5E43-6F67-4125-A0F3-B61063CA4DE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02" name="Text Box 3">
          <a:extLst>
            <a:ext uri="{FF2B5EF4-FFF2-40B4-BE49-F238E27FC236}">
              <a16:creationId xmlns:a16="http://schemas.microsoft.com/office/drawing/2014/main" id="{31BA244B-E3CE-4577-8991-E1F91F7F5D9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03" name="Text Box 32">
          <a:extLst>
            <a:ext uri="{FF2B5EF4-FFF2-40B4-BE49-F238E27FC236}">
              <a16:creationId xmlns:a16="http://schemas.microsoft.com/office/drawing/2014/main" id="{987B9496-24AE-4086-9BC4-485E81ED892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04" name="Text Box 3">
          <a:extLst>
            <a:ext uri="{FF2B5EF4-FFF2-40B4-BE49-F238E27FC236}">
              <a16:creationId xmlns:a16="http://schemas.microsoft.com/office/drawing/2014/main" id="{DE28E2E7-C4D3-4709-9232-541B5651829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05" name="Text Box 63">
          <a:extLst>
            <a:ext uri="{FF2B5EF4-FFF2-40B4-BE49-F238E27FC236}">
              <a16:creationId xmlns:a16="http://schemas.microsoft.com/office/drawing/2014/main" id="{7E6E43D4-FB91-4096-A45E-2721B269F58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06" name="Text Box 3">
          <a:extLst>
            <a:ext uri="{FF2B5EF4-FFF2-40B4-BE49-F238E27FC236}">
              <a16:creationId xmlns:a16="http://schemas.microsoft.com/office/drawing/2014/main" id="{C9AE0666-15FB-4955-91EB-64AC6608339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07" name="Text Box 32">
          <a:extLst>
            <a:ext uri="{FF2B5EF4-FFF2-40B4-BE49-F238E27FC236}">
              <a16:creationId xmlns:a16="http://schemas.microsoft.com/office/drawing/2014/main" id="{215ECC92-898A-4BA3-B2EC-27DD2351EE4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08" name="Text Box 3">
          <a:extLst>
            <a:ext uri="{FF2B5EF4-FFF2-40B4-BE49-F238E27FC236}">
              <a16:creationId xmlns:a16="http://schemas.microsoft.com/office/drawing/2014/main" id="{BBEF0418-CB59-4720-B644-816A048B627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09" name="Text Box 63">
          <a:extLst>
            <a:ext uri="{FF2B5EF4-FFF2-40B4-BE49-F238E27FC236}">
              <a16:creationId xmlns:a16="http://schemas.microsoft.com/office/drawing/2014/main" id="{B949026E-699E-4CBD-9F5E-113C2D5530A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10" name="Text Box 3">
          <a:extLst>
            <a:ext uri="{FF2B5EF4-FFF2-40B4-BE49-F238E27FC236}">
              <a16:creationId xmlns:a16="http://schemas.microsoft.com/office/drawing/2014/main" id="{F55856F2-15A6-4924-9CE6-CDAC0CC403B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11" name="Text Box 32">
          <a:extLst>
            <a:ext uri="{FF2B5EF4-FFF2-40B4-BE49-F238E27FC236}">
              <a16:creationId xmlns:a16="http://schemas.microsoft.com/office/drawing/2014/main" id="{1B347645-90E4-4AC0-A64A-053B1344F53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12" name="Text Box 3">
          <a:extLst>
            <a:ext uri="{FF2B5EF4-FFF2-40B4-BE49-F238E27FC236}">
              <a16:creationId xmlns:a16="http://schemas.microsoft.com/office/drawing/2014/main" id="{652CFAF1-FE69-4938-BC5D-9430CEF7AB0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13" name="Text Box 63">
          <a:extLst>
            <a:ext uri="{FF2B5EF4-FFF2-40B4-BE49-F238E27FC236}">
              <a16:creationId xmlns:a16="http://schemas.microsoft.com/office/drawing/2014/main" id="{C0289675-9D4C-4670-8FE0-7AE6F303D84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14" name="Text Box 3">
          <a:extLst>
            <a:ext uri="{FF2B5EF4-FFF2-40B4-BE49-F238E27FC236}">
              <a16:creationId xmlns:a16="http://schemas.microsoft.com/office/drawing/2014/main" id="{88BB0E69-34F3-49C3-97F0-1A653977B6A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15" name="Text Box 32">
          <a:extLst>
            <a:ext uri="{FF2B5EF4-FFF2-40B4-BE49-F238E27FC236}">
              <a16:creationId xmlns:a16="http://schemas.microsoft.com/office/drawing/2014/main" id="{F456AC29-B516-4848-A5FB-36245DCD621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16" name="Text Box 3">
          <a:extLst>
            <a:ext uri="{FF2B5EF4-FFF2-40B4-BE49-F238E27FC236}">
              <a16:creationId xmlns:a16="http://schemas.microsoft.com/office/drawing/2014/main" id="{D3F46709-3739-4F64-BDEC-5D866057B19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17" name="Text Box 63">
          <a:extLst>
            <a:ext uri="{FF2B5EF4-FFF2-40B4-BE49-F238E27FC236}">
              <a16:creationId xmlns:a16="http://schemas.microsoft.com/office/drawing/2014/main" id="{68C87432-D1AC-410C-B5B5-ACE9A6E9DA1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18" name="Text Box 3">
          <a:extLst>
            <a:ext uri="{FF2B5EF4-FFF2-40B4-BE49-F238E27FC236}">
              <a16:creationId xmlns:a16="http://schemas.microsoft.com/office/drawing/2014/main" id="{48035D14-50BF-4C15-A24D-AD3CB5DD72D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19" name="Text Box 32">
          <a:extLst>
            <a:ext uri="{FF2B5EF4-FFF2-40B4-BE49-F238E27FC236}">
              <a16:creationId xmlns:a16="http://schemas.microsoft.com/office/drawing/2014/main" id="{4D0787BF-761C-4290-BE25-7086775A356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20" name="Text Box 3">
          <a:extLst>
            <a:ext uri="{FF2B5EF4-FFF2-40B4-BE49-F238E27FC236}">
              <a16:creationId xmlns:a16="http://schemas.microsoft.com/office/drawing/2014/main" id="{41C746CF-8799-42C4-81DF-87D682CAF86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21" name="Text Box 63">
          <a:extLst>
            <a:ext uri="{FF2B5EF4-FFF2-40B4-BE49-F238E27FC236}">
              <a16:creationId xmlns:a16="http://schemas.microsoft.com/office/drawing/2014/main" id="{B00B38F2-0A97-49A1-A195-17880C03313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22" name="Text Box 3">
          <a:extLst>
            <a:ext uri="{FF2B5EF4-FFF2-40B4-BE49-F238E27FC236}">
              <a16:creationId xmlns:a16="http://schemas.microsoft.com/office/drawing/2014/main" id="{5240D5F6-8935-4ABF-80D3-5AA236B296B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23" name="Text Box 32">
          <a:extLst>
            <a:ext uri="{FF2B5EF4-FFF2-40B4-BE49-F238E27FC236}">
              <a16:creationId xmlns:a16="http://schemas.microsoft.com/office/drawing/2014/main" id="{D50395D0-A96E-4B46-96F2-252415C0520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24" name="Text Box 3">
          <a:extLst>
            <a:ext uri="{FF2B5EF4-FFF2-40B4-BE49-F238E27FC236}">
              <a16:creationId xmlns:a16="http://schemas.microsoft.com/office/drawing/2014/main" id="{0002E1D3-94F1-4ABD-A9CC-0D3EA3ADA36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25" name="Text Box 63">
          <a:extLst>
            <a:ext uri="{FF2B5EF4-FFF2-40B4-BE49-F238E27FC236}">
              <a16:creationId xmlns:a16="http://schemas.microsoft.com/office/drawing/2014/main" id="{BC5DE109-DB18-45C8-A53E-E5019DE7CA6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26" name="Text Box 3">
          <a:extLst>
            <a:ext uri="{FF2B5EF4-FFF2-40B4-BE49-F238E27FC236}">
              <a16:creationId xmlns:a16="http://schemas.microsoft.com/office/drawing/2014/main" id="{6ABA78F5-4F77-4537-ADC2-E76DC111F86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27" name="Text Box 32">
          <a:extLst>
            <a:ext uri="{FF2B5EF4-FFF2-40B4-BE49-F238E27FC236}">
              <a16:creationId xmlns:a16="http://schemas.microsoft.com/office/drawing/2014/main" id="{B7D99EAD-666E-48D7-A6B8-ADDD4FCE171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28" name="Text Box 3">
          <a:extLst>
            <a:ext uri="{FF2B5EF4-FFF2-40B4-BE49-F238E27FC236}">
              <a16:creationId xmlns:a16="http://schemas.microsoft.com/office/drawing/2014/main" id="{53E0353B-8AD7-435C-94A9-495FA5B37E8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29" name="Text Box 63">
          <a:extLst>
            <a:ext uri="{FF2B5EF4-FFF2-40B4-BE49-F238E27FC236}">
              <a16:creationId xmlns:a16="http://schemas.microsoft.com/office/drawing/2014/main" id="{5C4D939E-56AA-4DC2-8407-9D4CBFFEB35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30" name="Text Box 3">
          <a:extLst>
            <a:ext uri="{FF2B5EF4-FFF2-40B4-BE49-F238E27FC236}">
              <a16:creationId xmlns:a16="http://schemas.microsoft.com/office/drawing/2014/main" id="{1C791D7A-A29C-4516-8EC7-46B3C8ACE92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31" name="Text Box 32">
          <a:extLst>
            <a:ext uri="{FF2B5EF4-FFF2-40B4-BE49-F238E27FC236}">
              <a16:creationId xmlns:a16="http://schemas.microsoft.com/office/drawing/2014/main" id="{3D640533-7D30-4B71-957E-F56BDCFCBB0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32" name="Text Box 3">
          <a:extLst>
            <a:ext uri="{FF2B5EF4-FFF2-40B4-BE49-F238E27FC236}">
              <a16:creationId xmlns:a16="http://schemas.microsoft.com/office/drawing/2014/main" id="{24C8F792-4013-4C57-BCAA-5356AC06D8D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33" name="Text Box 63">
          <a:extLst>
            <a:ext uri="{FF2B5EF4-FFF2-40B4-BE49-F238E27FC236}">
              <a16:creationId xmlns:a16="http://schemas.microsoft.com/office/drawing/2014/main" id="{BB7CEB0E-C064-42DC-8B2B-096BE8A0D85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34" name="Text Box 3">
          <a:extLst>
            <a:ext uri="{FF2B5EF4-FFF2-40B4-BE49-F238E27FC236}">
              <a16:creationId xmlns:a16="http://schemas.microsoft.com/office/drawing/2014/main" id="{62F99097-DFBE-4463-9DA5-14A2A5C7BDE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35" name="Text Box 32">
          <a:extLst>
            <a:ext uri="{FF2B5EF4-FFF2-40B4-BE49-F238E27FC236}">
              <a16:creationId xmlns:a16="http://schemas.microsoft.com/office/drawing/2014/main" id="{CA47B18A-7D41-465B-9F54-07E8AA6B697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36" name="Text Box 3">
          <a:extLst>
            <a:ext uri="{FF2B5EF4-FFF2-40B4-BE49-F238E27FC236}">
              <a16:creationId xmlns:a16="http://schemas.microsoft.com/office/drawing/2014/main" id="{1825AB83-6C76-4213-AF7E-BE92A40D15F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37" name="Text Box 63">
          <a:extLst>
            <a:ext uri="{FF2B5EF4-FFF2-40B4-BE49-F238E27FC236}">
              <a16:creationId xmlns:a16="http://schemas.microsoft.com/office/drawing/2014/main" id="{2150BA67-7148-4CF7-BA2F-D26251E1D67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38" name="Text Box 3">
          <a:extLst>
            <a:ext uri="{FF2B5EF4-FFF2-40B4-BE49-F238E27FC236}">
              <a16:creationId xmlns:a16="http://schemas.microsoft.com/office/drawing/2014/main" id="{CBB513E9-062E-4D6C-B456-CF2C215C90B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39" name="Text Box 32">
          <a:extLst>
            <a:ext uri="{FF2B5EF4-FFF2-40B4-BE49-F238E27FC236}">
              <a16:creationId xmlns:a16="http://schemas.microsoft.com/office/drawing/2014/main" id="{2279B02B-FD5F-40BF-95D7-38523E6515D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40" name="Text Box 3">
          <a:extLst>
            <a:ext uri="{FF2B5EF4-FFF2-40B4-BE49-F238E27FC236}">
              <a16:creationId xmlns:a16="http://schemas.microsoft.com/office/drawing/2014/main" id="{AA3822D3-5BDA-4427-8AB6-3B5D6E485E8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41" name="Text Box 63">
          <a:extLst>
            <a:ext uri="{FF2B5EF4-FFF2-40B4-BE49-F238E27FC236}">
              <a16:creationId xmlns:a16="http://schemas.microsoft.com/office/drawing/2014/main" id="{F13C43B9-267C-4F63-9D21-DA27DF70DF6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42" name="Text Box 3">
          <a:extLst>
            <a:ext uri="{FF2B5EF4-FFF2-40B4-BE49-F238E27FC236}">
              <a16:creationId xmlns:a16="http://schemas.microsoft.com/office/drawing/2014/main" id="{EFF03809-51BD-4636-9503-C3ED41D9970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43" name="Text Box 32">
          <a:extLst>
            <a:ext uri="{FF2B5EF4-FFF2-40B4-BE49-F238E27FC236}">
              <a16:creationId xmlns:a16="http://schemas.microsoft.com/office/drawing/2014/main" id="{A8424BAE-9937-422C-884A-482EDD02EE7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44" name="Text Box 3">
          <a:extLst>
            <a:ext uri="{FF2B5EF4-FFF2-40B4-BE49-F238E27FC236}">
              <a16:creationId xmlns:a16="http://schemas.microsoft.com/office/drawing/2014/main" id="{CE93EB4D-18EF-4945-9617-AF6CF6E193F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45" name="Text Box 63">
          <a:extLst>
            <a:ext uri="{FF2B5EF4-FFF2-40B4-BE49-F238E27FC236}">
              <a16:creationId xmlns:a16="http://schemas.microsoft.com/office/drawing/2014/main" id="{761D7099-45BC-4003-898B-CACE61E90DD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46" name="Text Box 3">
          <a:extLst>
            <a:ext uri="{FF2B5EF4-FFF2-40B4-BE49-F238E27FC236}">
              <a16:creationId xmlns:a16="http://schemas.microsoft.com/office/drawing/2014/main" id="{B7675DD8-354D-464E-B7A9-2623C6AC983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47" name="Text Box 32">
          <a:extLst>
            <a:ext uri="{FF2B5EF4-FFF2-40B4-BE49-F238E27FC236}">
              <a16:creationId xmlns:a16="http://schemas.microsoft.com/office/drawing/2014/main" id="{BD671978-10B4-45C4-9288-F8D53C45632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48" name="Text Box 3">
          <a:extLst>
            <a:ext uri="{FF2B5EF4-FFF2-40B4-BE49-F238E27FC236}">
              <a16:creationId xmlns:a16="http://schemas.microsoft.com/office/drawing/2014/main" id="{3B735500-5EFA-451C-8DFB-E818D0DA8A6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49" name="Text Box 63">
          <a:extLst>
            <a:ext uri="{FF2B5EF4-FFF2-40B4-BE49-F238E27FC236}">
              <a16:creationId xmlns:a16="http://schemas.microsoft.com/office/drawing/2014/main" id="{5D1F1C75-B600-409E-8A96-E64D1178D41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50" name="Text Box 3">
          <a:extLst>
            <a:ext uri="{FF2B5EF4-FFF2-40B4-BE49-F238E27FC236}">
              <a16:creationId xmlns:a16="http://schemas.microsoft.com/office/drawing/2014/main" id="{8D701EDE-A0B4-45A1-A6B3-6ED108BBD1A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51" name="Text Box 32">
          <a:extLst>
            <a:ext uri="{FF2B5EF4-FFF2-40B4-BE49-F238E27FC236}">
              <a16:creationId xmlns:a16="http://schemas.microsoft.com/office/drawing/2014/main" id="{D0C22072-09D3-44A3-B0A2-F4332CB4C12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52" name="Text Box 3">
          <a:extLst>
            <a:ext uri="{FF2B5EF4-FFF2-40B4-BE49-F238E27FC236}">
              <a16:creationId xmlns:a16="http://schemas.microsoft.com/office/drawing/2014/main" id="{A0C5051F-3C6C-43AA-944C-E9FEDD3401C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53" name="Text Box 63">
          <a:extLst>
            <a:ext uri="{FF2B5EF4-FFF2-40B4-BE49-F238E27FC236}">
              <a16:creationId xmlns:a16="http://schemas.microsoft.com/office/drawing/2014/main" id="{006C744C-244F-467E-A53B-1DC28FA57C3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54" name="Text Box 3">
          <a:extLst>
            <a:ext uri="{FF2B5EF4-FFF2-40B4-BE49-F238E27FC236}">
              <a16:creationId xmlns:a16="http://schemas.microsoft.com/office/drawing/2014/main" id="{214F621E-BACF-42D5-96AD-B481352118E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55" name="Text Box 32">
          <a:extLst>
            <a:ext uri="{FF2B5EF4-FFF2-40B4-BE49-F238E27FC236}">
              <a16:creationId xmlns:a16="http://schemas.microsoft.com/office/drawing/2014/main" id="{09F5AEFD-5CA6-49CC-8ABF-5CCC9EB75A1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56" name="Text Box 3">
          <a:extLst>
            <a:ext uri="{FF2B5EF4-FFF2-40B4-BE49-F238E27FC236}">
              <a16:creationId xmlns:a16="http://schemas.microsoft.com/office/drawing/2014/main" id="{BB8A7123-8DCD-4215-9FDE-D4CF0B79271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57" name="Text Box 63">
          <a:extLst>
            <a:ext uri="{FF2B5EF4-FFF2-40B4-BE49-F238E27FC236}">
              <a16:creationId xmlns:a16="http://schemas.microsoft.com/office/drawing/2014/main" id="{DC789A91-AA9D-47DD-9893-B72723D3B85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58" name="Text Box 3">
          <a:extLst>
            <a:ext uri="{FF2B5EF4-FFF2-40B4-BE49-F238E27FC236}">
              <a16:creationId xmlns:a16="http://schemas.microsoft.com/office/drawing/2014/main" id="{1A0EE306-F70B-45BF-8BE3-190C788A943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59" name="Text Box 32">
          <a:extLst>
            <a:ext uri="{FF2B5EF4-FFF2-40B4-BE49-F238E27FC236}">
              <a16:creationId xmlns:a16="http://schemas.microsoft.com/office/drawing/2014/main" id="{3F28DE0A-398E-4D20-B902-ECE10DF475F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60" name="Text Box 3">
          <a:extLst>
            <a:ext uri="{FF2B5EF4-FFF2-40B4-BE49-F238E27FC236}">
              <a16:creationId xmlns:a16="http://schemas.microsoft.com/office/drawing/2014/main" id="{CDC41635-2A6B-40EE-B830-CE976F3AAC6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61" name="Text Box 63">
          <a:extLst>
            <a:ext uri="{FF2B5EF4-FFF2-40B4-BE49-F238E27FC236}">
              <a16:creationId xmlns:a16="http://schemas.microsoft.com/office/drawing/2014/main" id="{7A16294D-3621-4FA8-BE10-341064655DC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62" name="Text Box 3">
          <a:extLst>
            <a:ext uri="{FF2B5EF4-FFF2-40B4-BE49-F238E27FC236}">
              <a16:creationId xmlns:a16="http://schemas.microsoft.com/office/drawing/2014/main" id="{60138601-0069-4B1F-AD9F-646740BDC76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63" name="Text Box 32">
          <a:extLst>
            <a:ext uri="{FF2B5EF4-FFF2-40B4-BE49-F238E27FC236}">
              <a16:creationId xmlns:a16="http://schemas.microsoft.com/office/drawing/2014/main" id="{6CFAE298-05E1-438B-8ADF-9EB782FCF3D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64" name="Text Box 3">
          <a:extLst>
            <a:ext uri="{FF2B5EF4-FFF2-40B4-BE49-F238E27FC236}">
              <a16:creationId xmlns:a16="http://schemas.microsoft.com/office/drawing/2014/main" id="{4FC2A8D1-BD12-4C94-9D4E-4FB7050C1D5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65" name="Text Box 63">
          <a:extLst>
            <a:ext uri="{FF2B5EF4-FFF2-40B4-BE49-F238E27FC236}">
              <a16:creationId xmlns:a16="http://schemas.microsoft.com/office/drawing/2014/main" id="{16E0B3F7-7680-415F-B69C-52721EBC17E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66" name="Text Box 3">
          <a:extLst>
            <a:ext uri="{FF2B5EF4-FFF2-40B4-BE49-F238E27FC236}">
              <a16:creationId xmlns:a16="http://schemas.microsoft.com/office/drawing/2014/main" id="{E33D06BF-723C-41BF-81C1-92BA1BB39AE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67" name="Text Box 32">
          <a:extLst>
            <a:ext uri="{FF2B5EF4-FFF2-40B4-BE49-F238E27FC236}">
              <a16:creationId xmlns:a16="http://schemas.microsoft.com/office/drawing/2014/main" id="{13E75413-844A-42C1-B184-2B2D4199F04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68" name="Text Box 3">
          <a:extLst>
            <a:ext uri="{FF2B5EF4-FFF2-40B4-BE49-F238E27FC236}">
              <a16:creationId xmlns:a16="http://schemas.microsoft.com/office/drawing/2014/main" id="{E475D721-8A5A-4087-A0CE-90FCFF760C4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69" name="Text Box 63">
          <a:extLst>
            <a:ext uri="{FF2B5EF4-FFF2-40B4-BE49-F238E27FC236}">
              <a16:creationId xmlns:a16="http://schemas.microsoft.com/office/drawing/2014/main" id="{72280880-2800-42C8-8A4C-849AFF8CF3F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70" name="Text Box 3">
          <a:extLst>
            <a:ext uri="{FF2B5EF4-FFF2-40B4-BE49-F238E27FC236}">
              <a16:creationId xmlns:a16="http://schemas.microsoft.com/office/drawing/2014/main" id="{A10D7051-1005-4FD2-97EC-425A5CAA699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71" name="Text Box 32">
          <a:extLst>
            <a:ext uri="{FF2B5EF4-FFF2-40B4-BE49-F238E27FC236}">
              <a16:creationId xmlns:a16="http://schemas.microsoft.com/office/drawing/2014/main" id="{4B105699-BA1F-4365-B1FA-A1CE5F062EB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72" name="Text Box 3">
          <a:extLst>
            <a:ext uri="{FF2B5EF4-FFF2-40B4-BE49-F238E27FC236}">
              <a16:creationId xmlns:a16="http://schemas.microsoft.com/office/drawing/2014/main" id="{8397AA13-C9BD-4ACB-B51E-48AA51989FB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73" name="Text Box 63">
          <a:extLst>
            <a:ext uri="{FF2B5EF4-FFF2-40B4-BE49-F238E27FC236}">
              <a16:creationId xmlns:a16="http://schemas.microsoft.com/office/drawing/2014/main" id="{EE0F2188-5809-4A6A-BFA3-44A8055B36C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74" name="Text Box 3">
          <a:extLst>
            <a:ext uri="{FF2B5EF4-FFF2-40B4-BE49-F238E27FC236}">
              <a16:creationId xmlns:a16="http://schemas.microsoft.com/office/drawing/2014/main" id="{114EB5ED-1109-4641-B4F6-2BF7679420B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75" name="Text Box 32">
          <a:extLst>
            <a:ext uri="{FF2B5EF4-FFF2-40B4-BE49-F238E27FC236}">
              <a16:creationId xmlns:a16="http://schemas.microsoft.com/office/drawing/2014/main" id="{0BDA82E6-55EA-422B-8216-17179660768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76" name="Text Box 3">
          <a:extLst>
            <a:ext uri="{FF2B5EF4-FFF2-40B4-BE49-F238E27FC236}">
              <a16:creationId xmlns:a16="http://schemas.microsoft.com/office/drawing/2014/main" id="{D1616A84-E49E-4DC6-88C9-4289860B75F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77" name="Text Box 63">
          <a:extLst>
            <a:ext uri="{FF2B5EF4-FFF2-40B4-BE49-F238E27FC236}">
              <a16:creationId xmlns:a16="http://schemas.microsoft.com/office/drawing/2014/main" id="{8548016E-DA00-41EC-8CE3-F84030110B7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78" name="Text Box 3">
          <a:extLst>
            <a:ext uri="{FF2B5EF4-FFF2-40B4-BE49-F238E27FC236}">
              <a16:creationId xmlns:a16="http://schemas.microsoft.com/office/drawing/2014/main" id="{FC82BC6E-1ADA-4D2B-8A2E-6DA80B0FEF0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79" name="Text Box 32">
          <a:extLst>
            <a:ext uri="{FF2B5EF4-FFF2-40B4-BE49-F238E27FC236}">
              <a16:creationId xmlns:a16="http://schemas.microsoft.com/office/drawing/2014/main" id="{80DC5BE7-1714-4F80-B1B8-99718047FCE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80" name="Text Box 3">
          <a:extLst>
            <a:ext uri="{FF2B5EF4-FFF2-40B4-BE49-F238E27FC236}">
              <a16:creationId xmlns:a16="http://schemas.microsoft.com/office/drawing/2014/main" id="{135208DF-BAC4-4961-A6E2-46E1F89C392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81" name="Text Box 63">
          <a:extLst>
            <a:ext uri="{FF2B5EF4-FFF2-40B4-BE49-F238E27FC236}">
              <a16:creationId xmlns:a16="http://schemas.microsoft.com/office/drawing/2014/main" id="{421F90B4-BE3C-4E03-A698-A4E5E8D809E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82" name="Text Box 3">
          <a:extLst>
            <a:ext uri="{FF2B5EF4-FFF2-40B4-BE49-F238E27FC236}">
              <a16:creationId xmlns:a16="http://schemas.microsoft.com/office/drawing/2014/main" id="{1057DCD1-D8D8-4165-A942-735D83C92E4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83" name="Text Box 32">
          <a:extLst>
            <a:ext uri="{FF2B5EF4-FFF2-40B4-BE49-F238E27FC236}">
              <a16:creationId xmlns:a16="http://schemas.microsoft.com/office/drawing/2014/main" id="{6ECEF124-3B54-41B2-B340-FD737AF061E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84" name="Text Box 3">
          <a:extLst>
            <a:ext uri="{FF2B5EF4-FFF2-40B4-BE49-F238E27FC236}">
              <a16:creationId xmlns:a16="http://schemas.microsoft.com/office/drawing/2014/main" id="{D6D0BFC5-639C-4C90-88B0-495ECB21188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85" name="Text Box 63">
          <a:extLst>
            <a:ext uri="{FF2B5EF4-FFF2-40B4-BE49-F238E27FC236}">
              <a16:creationId xmlns:a16="http://schemas.microsoft.com/office/drawing/2014/main" id="{48CE670D-EAD6-4B82-A104-9F7CF3AA491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86" name="Text Box 3">
          <a:extLst>
            <a:ext uri="{FF2B5EF4-FFF2-40B4-BE49-F238E27FC236}">
              <a16:creationId xmlns:a16="http://schemas.microsoft.com/office/drawing/2014/main" id="{0056FE00-AB0B-48D1-82B9-4BECA645114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87" name="Text Box 32">
          <a:extLst>
            <a:ext uri="{FF2B5EF4-FFF2-40B4-BE49-F238E27FC236}">
              <a16:creationId xmlns:a16="http://schemas.microsoft.com/office/drawing/2014/main" id="{D8C3EDDE-DA7B-4FC3-95E5-EAA051795D0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88" name="Text Box 3">
          <a:extLst>
            <a:ext uri="{FF2B5EF4-FFF2-40B4-BE49-F238E27FC236}">
              <a16:creationId xmlns:a16="http://schemas.microsoft.com/office/drawing/2014/main" id="{F27EE664-2D6D-4176-AA0A-3A49A19374E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89" name="Text Box 63">
          <a:extLst>
            <a:ext uri="{FF2B5EF4-FFF2-40B4-BE49-F238E27FC236}">
              <a16:creationId xmlns:a16="http://schemas.microsoft.com/office/drawing/2014/main" id="{41CB706A-161D-485F-8A0F-D1FBFBA02E5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90" name="Text Box 3">
          <a:extLst>
            <a:ext uri="{FF2B5EF4-FFF2-40B4-BE49-F238E27FC236}">
              <a16:creationId xmlns:a16="http://schemas.microsoft.com/office/drawing/2014/main" id="{80A55A6F-1C65-44A1-BFE3-C25E01A193E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91" name="Text Box 32">
          <a:extLst>
            <a:ext uri="{FF2B5EF4-FFF2-40B4-BE49-F238E27FC236}">
              <a16:creationId xmlns:a16="http://schemas.microsoft.com/office/drawing/2014/main" id="{405D83B8-1176-4190-99C5-B15EF491142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92" name="Text Box 3">
          <a:extLst>
            <a:ext uri="{FF2B5EF4-FFF2-40B4-BE49-F238E27FC236}">
              <a16:creationId xmlns:a16="http://schemas.microsoft.com/office/drawing/2014/main" id="{20210D29-6C3E-471E-8C3C-5DC02EF3EB6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93" name="Text Box 63">
          <a:extLst>
            <a:ext uri="{FF2B5EF4-FFF2-40B4-BE49-F238E27FC236}">
              <a16:creationId xmlns:a16="http://schemas.microsoft.com/office/drawing/2014/main" id="{4090DE92-B9D4-4AD5-86E4-673A79299CB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94" name="Text Box 3">
          <a:extLst>
            <a:ext uri="{FF2B5EF4-FFF2-40B4-BE49-F238E27FC236}">
              <a16:creationId xmlns:a16="http://schemas.microsoft.com/office/drawing/2014/main" id="{B4974947-0780-45A6-96FF-773DACB0F68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95" name="Text Box 32">
          <a:extLst>
            <a:ext uri="{FF2B5EF4-FFF2-40B4-BE49-F238E27FC236}">
              <a16:creationId xmlns:a16="http://schemas.microsoft.com/office/drawing/2014/main" id="{FE629071-D11E-487B-A93E-B97F4D95524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96" name="Text Box 3">
          <a:extLst>
            <a:ext uri="{FF2B5EF4-FFF2-40B4-BE49-F238E27FC236}">
              <a16:creationId xmlns:a16="http://schemas.microsoft.com/office/drawing/2014/main" id="{7D53CDAF-5D21-4D25-964D-5C6690313E6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97" name="Text Box 63">
          <a:extLst>
            <a:ext uri="{FF2B5EF4-FFF2-40B4-BE49-F238E27FC236}">
              <a16:creationId xmlns:a16="http://schemas.microsoft.com/office/drawing/2014/main" id="{F5C7E527-83A1-4CA8-A660-E10D4A7CEFF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98" name="Text Box 3">
          <a:extLst>
            <a:ext uri="{FF2B5EF4-FFF2-40B4-BE49-F238E27FC236}">
              <a16:creationId xmlns:a16="http://schemas.microsoft.com/office/drawing/2014/main" id="{3D62018A-B267-49CC-AE6E-34EA7BE69F3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99" name="Text Box 32">
          <a:extLst>
            <a:ext uri="{FF2B5EF4-FFF2-40B4-BE49-F238E27FC236}">
              <a16:creationId xmlns:a16="http://schemas.microsoft.com/office/drawing/2014/main" id="{52F66647-4EFA-42A9-AA2B-34F774E0FE4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00" name="Text Box 3">
          <a:extLst>
            <a:ext uri="{FF2B5EF4-FFF2-40B4-BE49-F238E27FC236}">
              <a16:creationId xmlns:a16="http://schemas.microsoft.com/office/drawing/2014/main" id="{F6E161C8-B02D-491A-B3B0-6381BB42C1C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01" name="Text Box 63">
          <a:extLst>
            <a:ext uri="{FF2B5EF4-FFF2-40B4-BE49-F238E27FC236}">
              <a16:creationId xmlns:a16="http://schemas.microsoft.com/office/drawing/2014/main" id="{AE1B8C64-6846-43CA-BD5B-7A8B5929990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02" name="Text Box 3">
          <a:extLst>
            <a:ext uri="{FF2B5EF4-FFF2-40B4-BE49-F238E27FC236}">
              <a16:creationId xmlns:a16="http://schemas.microsoft.com/office/drawing/2014/main" id="{8B9D82BB-3F4A-4988-BB05-5BDA1D1EC4B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03" name="Text Box 32">
          <a:extLst>
            <a:ext uri="{FF2B5EF4-FFF2-40B4-BE49-F238E27FC236}">
              <a16:creationId xmlns:a16="http://schemas.microsoft.com/office/drawing/2014/main" id="{B95C6778-A281-4AA6-AF31-14E462B54CC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04" name="Text Box 3">
          <a:extLst>
            <a:ext uri="{FF2B5EF4-FFF2-40B4-BE49-F238E27FC236}">
              <a16:creationId xmlns:a16="http://schemas.microsoft.com/office/drawing/2014/main" id="{A0D59800-1D53-44FD-9C79-BEA662FA2A9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05" name="Text Box 63">
          <a:extLst>
            <a:ext uri="{FF2B5EF4-FFF2-40B4-BE49-F238E27FC236}">
              <a16:creationId xmlns:a16="http://schemas.microsoft.com/office/drawing/2014/main" id="{38332275-8CE7-43AC-B031-2D5FF6EC540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06" name="Text Box 3">
          <a:extLst>
            <a:ext uri="{FF2B5EF4-FFF2-40B4-BE49-F238E27FC236}">
              <a16:creationId xmlns:a16="http://schemas.microsoft.com/office/drawing/2014/main" id="{8787A38E-02A1-4410-AD68-D2D5A6C6CCA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07" name="Text Box 32">
          <a:extLst>
            <a:ext uri="{FF2B5EF4-FFF2-40B4-BE49-F238E27FC236}">
              <a16:creationId xmlns:a16="http://schemas.microsoft.com/office/drawing/2014/main" id="{36FB35E6-4E50-4B14-946B-69473DE506E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08" name="Text Box 3">
          <a:extLst>
            <a:ext uri="{FF2B5EF4-FFF2-40B4-BE49-F238E27FC236}">
              <a16:creationId xmlns:a16="http://schemas.microsoft.com/office/drawing/2014/main" id="{28479C22-C76A-437E-96C8-741B53093CA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09" name="Text Box 63">
          <a:extLst>
            <a:ext uri="{FF2B5EF4-FFF2-40B4-BE49-F238E27FC236}">
              <a16:creationId xmlns:a16="http://schemas.microsoft.com/office/drawing/2014/main" id="{B52512E3-714F-452A-9ECC-7006C1C5EAE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10" name="Text Box 3">
          <a:extLst>
            <a:ext uri="{FF2B5EF4-FFF2-40B4-BE49-F238E27FC236}">
              <a16:creationId xmlns:a16="http://schemas.microsoft.com/office/drawing/2014/main" id="{8FA084B0-4DDD-4184-9467-04AEDF42D42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11" name="Text Box 32">
          <a:extLst>
            <a:ext uri="{FF2B5EF4-FFF2-40B4-BE49-F238E27FC236}">
              <a16:creationId xmlns:a16="http://schemas.microsoft.com/office/drawing/2014/main" id="{B4B608F7-1873-4123-B400-F445F58B5A4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12" name="Text Box 3">
          <a:extLst>
            <a:ext uri="{FF2B5EF4-FFF2-40B4-BE49-F238E27FC236}">
              <a16:creationId xmlns:a16="http://schemas.microsoft.com/office/drawing/2014/main" id="{D773EAB4-7A38-4FF4-98DE-5091513F717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13" name="Text Box 63">
          <a:extLst>
            <a:ext uri="{FF2B5EF4-FFF2-40B4-BE49-F238E27FC236}">
              <a16:creationId xmlns:a16="http://schemas.microsoft.com/office/drawing/2014/main" id="{964D9C7A-E4EA-40DB-89F1-43E4DBC6853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14" name="Text Box 3">
          <a:extLst>
            <a:ext uri="{FF2B5EF4-FFF2-40B4-BE49-F238E27FC236}">
              <a16:creationId xmlns:a16="http://schemas.microsoft.com/office/drawing/2014/main" id="{5CA395BE-8D23-4CDA-A41C-ECC5316242D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15" name="Text Box 32">
          <a:extLst>
            <a:ext uri="{FF2B5EF4-FFF2-40B4-BE49-F238E27FC236}">
              <a16:creationId xmlns:a16="http://schemas.microsoft.com/office/drawing/2014/main" id="{9F162277-65D9-4003-AEBA-617402072EA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16" name="Text Box 3">
          <a:extLst>
            <a:ext uri="{FF2B5EF4-FFF2-40B4-BE49-F238E27FC236}">
              <a16:creationId xmlns:a16="http://schemas.microsoft.com/office/drawing/2014/main" id="{A1549710-CF60-4D84-B310-97AE7CC8C33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17" name="Text Box 63">
          <a:extLst>
            <a:ext uri="{FF2B5EF4-FFF2-40B4-BE49-F238E27FC236}">
              <a16:creationId xmlns:a16="http://schemas.microsoft.com/office/drawing/2014/main" id="{7AD478B3-3385-4D97-A27A-F84E9868430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18" name="Text Box 32">
          <a:extLst>
            <a:ext uri="{FF2B5EF4-FFF2-40B4-BE49-F238E27FC236}">
              <a16:creationId xmlns:a16="http://schemas.microsoft.com/office/drawing/2014/main" id="{0CE5A679-4EA0-4EA1-9605-F636C5D500E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19" name="Text Box 3">
          <a:extLst>
            <a:ext uri="{FF2B5EF4-FFF2-40B4-BE49-F238E27FC236}">
              <a16:creationId xmlns:a16="http://schemas.microsoft.com/office/drawing/2014/main" id="{7DD23286-F3F6-4C0F-AA5D-89F605CE86C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20" name="Text Box 63">
          <a:extLst>
            <a:ext uri="{FF2B5EF4-FFF2-40B4-BE49-F238E27FC236}">
              <a16:creationId xmlns:a16="http://schemas.microsoft.com/office/drawing/2014/main" id="{F62DADA4-01FC-41B0-8AF1-F13DC1F2734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21" name="Text Box 3">
          <a:extLst>
            <a:ext uri="{FF2B5EF4-FFF2-40B4-BE49-F238E27FC236}">
              <a16:creationId xmlns:a16="http://schemas.microsoft.com/office/drawing/2014/main" id="{ED07C389-C6DA-427C-9B2C-99B987E1C93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22" name="Text Box 32">
          <a:extLst>
            <a:ext uri="{FF2B5EF4-FFF2-40B4-BE49-F238E27FC236}">
              <a16:creationId xmlns:a16="http://schemas.microsoft.com/office/drawing/2014/main" id="{982FA19D-B6D7-453D-A0B4-27E88D1F4FC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23" name="Text Box 3">
          <a:extLst>
            <a:ext uri="{FF2B5EF4-FFF2-40B4-BE49-F238E27FC236}">
              <a16:creationId xmlns:a16="http://schemas.microsoft.com/office/drawing/2014/main" id="{8D2F923E-0122-47F9-AE77-A843659FC15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24" name="Text Box 63">
          <a:extLst>
            <a:ext uri="{FF2B5EF4-FFF2-40B4-BE49-F238E27FC236}">
              <a16:creationId xmlns:a16="http://schemas.microsoft.com/office/drawing/2014/main" id="{F23ECE1B-F589-47F8-B70F-36098240DC8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25" name="Text Box 3">
          <a:extLst>
            <a:ext uri="{FF2B5EF4-FFF2-40B4-BE49-F238E27FC236}">
              <a16:creationId xmlns:a16="http://schemas.microsoft.com/office/drawing/2014/main" id="{FA13EB2A-7F26-4D3E-9CA3-E24170E2050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26" name="Text Box 32">
          <a:extLst>
            <a:ext uri="{FF2B5EF4-FFF2-40B4-BE49-F238E27FC236}">
              <a16:creationId xmlns:a16="http://schemas.microsoft.com/office/drawing/2014/main" id="{05774BF7-6301-4DA1-8895-595EE35C6A2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27" name="Text Box 3">
          <a:extLst>
            <a:ext uri="{FF2B5EF4-FFF2-40B4-BE49-F238E27FC236}">
              <a16:creationId xmlns:a16="http://schemas.microsoft.com/office/drawing/2014/main" id="{C1E1D5F0-546E-4CC1-A4C0-BFB3CAA8946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28" name="Text Box 63">
          <a:extLst>
            <a:ext uri="{FF2B5EF4-FFF2-40B4-BE49-F238E27FC236}">
              <a16:creationId xmlns:a16="http://schemas.microsoft.com/office/drawing/2014/main" id="{693175DA-864A-44FD-AFB5-1988A35CF46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29" name="Text Box 3">
          <a:extLst>
            <a:ext uri="{FF2B5EF4-FFF2-40B4-BE49-F238E27FC236}">
              <a16:creationId xmlns:a16="http://schemas.microsoft.com/office/drawing/2014/main" id="{D79366BD-D394-4195-83CC-9CBA03E6ED8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30" name="Text Box 32">
          <a:extLst>
            <a:ext uri="{FF2B5EF4-FFF2-40B4-BE49-F238E27FC236}">
              <a16:creationId xmlns:a16="http://schemas.microsoft.com/office/drawing/2014/main" id="{C6E6246A-87F5-41C1-8E56-1400DC14E88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31" name="Text Box 3">
          <a:extLst>
            <a:ext uri="{FF2B5EF4-FFF2-40B4-BE49-F238E27FC236}">
              <a16:creationId xmlns:a16="http://schemas.microsoft.com/office/drawing/2014/main" id="{D493872B-64F6-416C-A659-C73AE561172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32" name="Text Box 63">
          <a:extLst>
            <a:ext uri="{FF2B5EF4-FFF2-40B4-BE49-F238E27FC236}">
              <a16:creationId xmlns:a16="http://schemas.microsoft.com/office/drawing/2014/main" id="{36FE2206-A8D5-4BE6-B6E9-B6987237938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33" name="Text Box 3">
          <a:extLst>
            <a:ext uri="{FF2B5EF4-FFF2-40B4-BE49-F238E27FC236}">
              <a16:creationId xmlns:a16="http://schemas.microsoft.com/office/drawing/2014/main" id="{3F6154C9-7A66-44E7-8178-44E47C30FC8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34" name="Text Box 32">
          <a:extLst>
            <a:ext uri="{FF2B5EF4-FFF2-40B4-BE49-F238E27FC236}">
              <a16:creationId xmlns:a16="http://schemas.microsoft.com/office/drawing/2014/main" id="{EACA8C35-191D-43B7-B7B8-344F1C66B00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35" name="Text Box 3">
          <a:extLst>
            <a:ext uri="{FF2B5EF4-FFF2-40B4-BE49-F238E27FC236}">
              <a16:creationId xmlns:a16="http://schemas.microsoft.com/office/drawing/2014/main" id="{A0875C1C-FBF2-4F1F-8154-4DFF5346A02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36" name="Text Box 63">
          <a:extLst>
            <a:ext uri="{FF2B5EF4-FFF2-40B4-BE49-F238E27FC236}">
              <a16:creationId xmlns:a16="http://schemas.microsoft.com/office/drawing/2014/main" id="{16FA5D37-02F4-45B8-8FA9-73CA7A7754E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37" name="Text Box 3">
          <a:extLst>
            <a:ext uri="{FF2B5EF4-FFF2-40B4-BE49-F238E27FC236}">
              <a16:creationId xmlns:a16="http://schemas.microsoft.com/office/drawing/2014/main" id="{52EE18AC-D80D-4C7F-9C3F-13EAA36384B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38" name="Text Box 32">
          <a:extLst>
            <a:ext uri="{FF2B5EF4-FFF2-40B4-BE49-F238E27FC236}">
              <a16:creationId xmlns:a16="http://schemas.microsoft.com/office/drawing/2014/main" id="{D14F7BA2-7E9C-4D1A-AA62-E7CFD15E7EE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39" name="Text Box 3">
          <a:extLst>
            <a:ext uri="{FF2B5EF4-FFF2-40B4-BE49-F238E27FC236}">
              <a16:creationId xmlns:a16="http://schemas.microsoft.com/office/drawing/2014/main" id="{2439E1B7-1DD9-45D4-9B7E-641A02F2BC5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40" name="Text Box 63">
          <a:extLst>
            <a:ext uri="{FF2B5EF4-FFF2-40B4-BE49-F238E27FC236}">
              <a16:creationId xmlns:a16="http://schemas.microsoft.com/office/drawing/2014/main" id="{B6016D04-998D-4B87-AA9F-B6E205B2F44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41" name="Text Box 3">
          <a:extLst>
            <a:ext uri="{FF2B5EF4-FFF2-40B4-BE49-F238E27FC236}">
              <a16:creationId xmlns:a16="http://schemas.microsoft.com/office/drawing/2014/main" id="{2EA38946-0446-4172-9E41-03D6DD8EB53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42" name="Text Box 32">
          <a:extLst>
            <a:ext uri="{FF2B5EF4-FFF2-40B4-BE49-F238E27FC236}">
              <a16:creationId xmlns:a16="http://schemas.microsoft.com/office/drawing/2014/main" id="{5C63A41C-B014-4C99-9FCA-2555E8CD78E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43" name="Text Box 3">
          <a:extLst>
            <a:ext uri="{FF2B5EF4-FFF2-40B4-BE49-F238E27FC236}">
              <a16:creationId xmlns:a16="http://schemas.microsoft.com/office/drawing/2014/main" id="{ECE82DC1-117E-44A0-A385-08BEFC83AA5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44" name="Text Box 63">
          <a:extLst>
            <a:ext uri="{FF2B5EF4-FFF2-40B4-BE49-F238E27FC236}">
              <a16:creationId xmlns:a16="http://schemas.microsoft.com/office/drawing/2014/main" id="{DED61E7A-ACF5-42BB-97C4-274E32E18A9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45" name="Text Box 3">
          <a:extLst>
            <a:ext uri="{FF2B5EF4-FFF2-40B4-BE49-F238E27FC236}">
              <a16:creationId xmlns:a16="http://schemas.microsoft.com/office/drawing/2014/main" id="{87BE895D-E533-4E4E-A740-68A1D40A1AB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46" name="Text Box 32">
          <a:extLst>
            <a:ext uri="{FF2B5EF4-FFF2-40B4-BE49-F238E27FC236}">
              <a16:creationId xmlns:a16="http://schemas.microsoft.com/office/drawing/2014/main" id="{CABCEDFA-EAEC-46CD-A9C8-AD585691FC2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47" name="Text Box 3">
          <a:extLst>
            <a:ext uri="{FF2B5EF4-FFF2-40B4-BE49-F238E27FC236}">
              <a16:creationId xmlns:a16="http://schemas.microsoft.com/office/drawing/2014/main" id="{672C201C-A733-4A0D-AED5-9DE0A2CBA3A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48" name="Text Box 63">
          <a:extLst>
            <a:ext uri="{FF2B5EF4-FFF2-40B4-BE49-F238E27FC236}">
              <a16:creationId xmlns:a16="http://schemas.microsoft.com/office/drawing/2014/main" id="{82D646FF-F818-4455-B06D-7B117A555C2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49" name="Text Box 3">
          <a:extLst>
            <a:ext uri="{FF2B5EF4-FFF2-40B4-BE49-F238E27FC236}">
              <a16:creationId xmlns:a16="http://schemas.microsoft.com/office/drawing/2014/main" id="{49EB6E4D-21C2-4389-955A-71DCA04E823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50" name="Text Box 32">
          <a:extLst>
            <a:ext uri="{FF2B5EF4-FFF2-40B4-BE49-F238E27FC236}">
              <a16:creationId xmlns:a16="http://schemas.microsoft.com/office/drawing/2014/main" id="{8C278603-2C37-4A6B-A2CB-880FBD40E62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51" name="Text Box 3">
          <a:extLst>
            <a:ext uri="{FF2B5EF4-FFF2-40B4-BE49-F238E27FC236}">
              <a16:creationId xmlns:a16="http://schemas.microsoft.com/office/drawing/2014/main" id="{112D9773-8A21-411C-B0C4-F6805A5E6E1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52" name="Text Box 63">
          <a:extLst>
            <a:ext uri="{FF2B5EF4-FFF2-40B4-BE49-F238E27FC236}">
              <a16:creationId xmlns:a16="http://schemas.microsoft.com/office/drawing/2014/main" id="{FD623109-341C-43DE-8D2C-2E69759884D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53" name="Text Box 3">
          <a:extLst>
            <a:ext uri="{FF2B5EF4-FFF2-40B4-BE49-F238E27FC236}">
              <a16:creationId xmlns:a16="http://schemas.microsoft.com/office/drawing/2014/main" id="{CE13FD01-B37B-4AC4-883C-48D9152E27E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54" name="Text Box 32">
          <a:extLst>
            <a:ext uri="{FF2B5EF4-FFF2-40B4-BE49-F238E27FC236}">
              <a16:creationId xmlns:a16="http://schemas.microsoft.com/office/drawing/2014/main" id="{DCAEBFB9-AE58-4D32-8444-B3AB5579046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55" name="Text Box 3">
          <a:extLst>
            <a:ext uri="{FF2B5EF4-FFF2-40B4-BE49-F238E27FC236}">
              <a16:creationId xmlns:a16="http://schemas.microsoft.com/office/drawing/2014/main" id="{2369D6B4-B964-403F-BDF7-B40744DA8BB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56" name="Text Box 63">
          <a:extLst>
            <a:ext uri="{FF2B5EF4-FFF2-40B4-BE49-F238E27FC236}">
              <a16:creationId xmlns:a16="http://schemas.microsoft.com/office/drawing/2014/main" id="{25B0FFD8-831F-408E-B1E8-E3449EA379D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57" name="Text Box 3">
          <a:extLst>
            <a:ext uri="{FF2B5EF4-FFF2-40B4-BE49-F238E27FC236}">
              <a16:creationId xmlns:a16="http://schemas.microsoft.com/office/drawing/2014/main" id="{9824ACE0-35B0-41F3-B4AC-7C18D27C0C3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58" name="Text Box 32">
          <a:extLst>
            <a:ext uri="{FF2B5EF4-FFF2-40B4-BE49-F238E27FC236}">
              <a16:creationId xmlns:a16="http://schemas.microsoft.com/office/drawing/2014/main" id="{401C351A-80E1-4DFD-BA80-AFD2CBA205E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59" name="Text Box 3">
          <a:extLst>
            <a:ext uri="{FF2B5EF4-FFF2-40B4-BE49-F238E27FC236}">
              <a16:creationId xmlns:a16="http://schemas.microsoft.com/office/drawing/2014/main" id="{E325270A-14D9-4D00-9EC9-3C17D71E0D4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60" name="Text Box 63">
          <a:extLst>
            <a:ext uri="{FF2B5EF4-FFF2-40B4-BE49-F238E27FC236}">
              <a16:creationId xmlns:a16="http://schemas.microsoft.com/office/drawing/2014/main" id="{BE4977D3-C926-4B09-95CA-425B6719EF9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61" name="Text Box 3">
          <a:extLst>
            <a:ext uri="{FF2B5EF4-FFF2-40B4-BE49-F238E27FC236}">
              <a16:creationId xmlns:a16="http://schemas.microsoft.com/office/drawing/2014/main" id="{1A2A740E-DD92-4ED6-9D68-A25C8B68AAF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62" name="Text Box 32">
          <a:extLst>
            <a:ext uri="{FF2B5EF4-FFF2-40B4-BE49-F238E27FC236}">
              <a16:creationId xmlns:a16="http://schemas.microsoft.com/office/drawing/2014/main" id="{9B9B3702-0C82-4B6A-8903-0B9EAB427C5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63" name="Text Box 3">
          <a:extLst>
            <a:ext uri="{FF2B5EF4-FFF2-40B4-BE49-F238E27FC236}">
              <a16:creationId xmlns:a16="http://schemas.microsoft.com/office/drawing/2014/main" id="{72CA658F-F789-4651-8CC9-98F7ED73FA4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64" name="Text Box 63">
          <a:extLst>
            <a:ext uri="{FF2B5EF4-FFF2-40B4-BE49-F238E27FC236}">
              <a16:creationId xmlns:a16="http://schemas.microsoft.com/office/drawing/2014/main" id="{863AF360-ABCA-46E4-AEED-66D94CA8354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65" name="Text Box 3">
          <a:extLst>
            <a:ext uri="{FF2B5EF4-FFF2-40B4-BE49-F238E27FC236}">
              <a16:creationId xmlns:a16="http://schemas.microsoft.com/office/drawing/2014/main" id="{73C9F762-41CB-4621-8E60-007AA480BFB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66" name="Text Box 32">
          <a:extLst>
            <a:ext uri="{FF2B5EF4-FFF2-40B4-BE49-F238E27FC236}">
              <a16:creationId xmlns:a16="http://schemas.microsoft.com/office/drawing/2014/main" id="{91E45D3E-5CA0-4BE7-B611-7700BC555BA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67" name="Text Box 3">
          <a:extLst>
            <a:ext uri="{FF2B5EF4-FFF2-40B4-BE49-F238E27FC236}">
              <a16:creationId xmlns:a16="http://schemas.microsoft.com/office/drawing/2014/main" id="{60B461E3-8BBA-4484-96C7-B00DAEFDBA0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68" name="Text Box 63">
          <a:extLst>
            <a:ext uri="{FF2B5EF4-FFF2-40B4-BE49-F238E27FC236}">
              <a16:creationId xmlns:a16="http://schemas.microsoft.com/office/drawing/2014/main" id="{B58BBE83-220D-47CC-B708-EA1F9A6F8CC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69" name="Text Box 3">
          <a:extLst>
            <a:ext uri="{FF2B5EF4-FFF2-40B4-BE49-F238E27FC236}">
              <a16:creationId xmlns:a16="http://schemas.microsoft.com/office/drawing/2014/main" id="{6D2E2CD6-2F85-4618-9C70-0E0F26D800A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70" name="Text Box 32">
          <a:extLst>
            <a:ext uri="{FF2B5EF4-FFF2-40B4-BE49-F238E27FC236}">
              <a16:creationId xmlns:a16="http://schemas.microsoft.com/office/drawing/2014/main" id="{C654B8D5-A445-4A0D-A75E-854312D09B1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71" name="Text Box 3">
          <a:extLst>
            <a:ext uri="{FF2B5EF4-FFF2-40B4-BE49-F238E27FC236}">
              <a16:creationId xmlns:a16="http://schemas.microsoft.com/office/drawing/2014/main" id="{8C208968-D815-406A-9FE6-78CDA3EB1AA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72" name="Text Box 63">
          <a:extLst>
            <a:ext uri="{FF2B5EF4-FFF2-40B4-BE49-F238E27FC236}">
              <a16:creationId xmlns:a16="http://schemas.microsoft.com/office/drawing/2014/main" id="{4991FD3E-FD0C-4F41-8E5A-81E4339984A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73" name="Text Box 3">
          <a:extLst>
            <a:ext uri="{FF2B5EF4-FFF2-40B4-BE49-F238E27FC236}">
              <a16:creationId xmlns:a16="http://schemas.microsoft.com/office/drawing/2014/main" id="{B70409A2-2C41-405B-86EC-F0E8BCDE39F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74" name="Text Box 32">
          <a:extLst>
            <a:ext uri="{FF2B5EF4-FFF2-40B4-BE49-F238E27FC236}">
              <a16:creationId xmlns:a16="http://schemas.microsoft.com/office/drawing/2014/main" id="{E8704D5F-1EE5-45B9-98B1-3AEC19A7DA1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75" name="Text Box 3">
          <a:extLst>
            <a:ext uri="{FF2B5EF4-FFF2-40B4-BE49-F238E27FC236}">
              <a16:creationId xmlns:a16="http://schemas.microsoft.com/office/drawing/2014/main" id="{BD234643-3981-485D-8866-E69BA286CDA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76" name="Text Box 63">
          <a:extLst>
            <a:ext uri="{FF2B5EF4-FFF2-40B4-BE49-F238E27FC236}">
              <a16:creationId xmlns:a16="http://schemas.microsoft.com/office/drawing/2014/main" id="{8914202A-29B9-4187-8E93-CBAEE943D2C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77" name="Text Box 3">
          <a:extLst>
            <a:ext uri="{FF2B5EF4-FFF2-40B4-BE49-F238E27FC236}">
              <a16:creationId xmlns:a16="http://schemas.microsoft.com/office/drawing/2014/main" id="{46834F06-727B-492F-B59D-07CA84BDCB0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78" name="Text Box 32">
          <a:extLst>
            <a:ext uri="{FF2B5EF4-FFF2-40B4-BE49-F238E27FC236}">
              <a16:creationId xmlns:a16="http://schemas.microsoft.com/office/drawing/2014/main" id="{08559EFF-4A89-4C66-B38B-8F74F2E9557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79" name="Text Box 3">
          <a:extLst>
            <a:ext uri="{FF2B5EF4-FFF2-40B4-BE49-F238E27FC236}">
              <a16:creationId xmlns:a16="http://schemas.microsoft.com/office/drawing/2014/main" id="{8C6ACA7F-FAD3-48EC-A813-D7CF181E343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80" name="Text Box 63">
          <a:extLst>
            <a:ext uri="{FF2B5EF4-FFF2-40B4-BE49-F238E27FC236}">
              <a16:creationId xmlns:a16="http://schemas.microsoft.com/office/drawing/2014/main" id="{A61CE251-276D-4860-A1E2-D10FD378A92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81" name="Text Box 3">
          <a:extLst>
            <a:ext uri="{FF2B5EF4-FFF2-40B4-BE49-F238E27FC236}">
              <a16:creationId xmlns:a16="http://schemas.microsoft.com/office/drawing/2014/main" id="{A86553B9-F49E-42B1-96A1-5A7C6F93A68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82" name="Text Box 32">
          <a:extLst>
            <a:ext uri="{FF2B5EF4-FFF2-40B4-BE49-F238E27FC236}">
              <a16:creationId xmlns:a16="http://schemas.microsoft.com/office/drawing/2014/main" id="{D4921785-28B0-43DD-BC9E-1C480A038D6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83" name="Text Box 3">
          <a:extLst>
            <a:ext uri="{FF2B5EF4-FFF2-40B4-BE49-F238E27FC236}">
              <a16:creationId xmlns:a16="http://schemas.microsoft.com/office/drawing/2014/main" id="{06985FDA-5BF8-42DF-8E6D-4ED43B76D9E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84" name="Text Box 63">
          <a:extLst>
            <a:ext uri="{FF2B5EF4-FFF2-40B4-BE49-F238E27FC236}">
              <a16:creationId xmlns:a16="http://schemas.microsoft.com/office/drawing/2014/main" id="{DA0BAC58-87A5-4C8D-BE6E-D27535B0DFA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85" name="Text Box 3">
          <a:extLst>
            <a:ext uri="{FF2B5EF4-FFF2-40B4-BE49-F238E27FC236}">
              <a16:creationId xmlns:a16="http://schemas.microsoft.com/office/drawing/2014/main" id="{1C645335-7D02-46A4-B6E5-16E011F82FC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86" name="Text Box 32">
          <a:extLst>
            <a:ext uri="{FF2B5EF4-FFF2-40B4-BE49-F238E27FC236}">
              <a16:creationId xmlns:a16="http://schemas.microsoft.com/office/drawing/2014/main" id="{63D460E5-A07C-4ACF-814A-2D9BB052385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87" name="Text Box 3">
          <a:extLst>
            <a:ext uri="{FF2B5EF4-FFF2-40B4-BE49-F238E27FC236}">
              <a16:creationId xmlns:a16="http://schemas.microsoft.com/office/drawing/2014/main" id="{BF473300-4528-4587-A5A9-F855544F8AB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88" name="Text Box 63">
          <a:extLst>
            <a:ext uri="{FF2B5EF4-FFF2-40B4-BE49-F238E27FC236}">
              <a16:creationId xmlns:a16="http://schemas.microsoft.com/office/drawing/2014/main" id="{2820CD52-F229-43E9-84DD-6E8FC515B87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89" name="Text Box 3">
          <a:extLst>
            <a:ext uri="{FF2B5EF4-FFF2-40B4-BE49-F238E27FC236}">
              <a16:creationId xmlns:a16="http://schemas.microsoft.com/office/drawing/2014/main" id="{1A6008DF-3212-4EDB-9432-7FE9777CB39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90" name="Text Box 32">
          <a:extLst>
            <a:ext uri="{FF2B5EF4-FFF2-40B4-BE49-F238E27FC236}">
              <a16:creationId xmlns:a16="http://schemas.microsoft.com/office/drawing/2014/main" id="{E4CC09C4-E5E6-4FBE-BAA0-9A65F896DE2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91" name="Text Box 3">
          <a:extLst>
            <a:ext uri="{FF2B5EF4-FFF2-40B4-BE49-F238E27FC236}">
              <a16:creationId xmlns:a16="http://schemas.microsoft.com/office/drawing/2014/main" id="{3E98F459-6149-482A-A226-11FB3CFF229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92" name="Text Box 63">
          <a:extLst>
            <a:ext uri="{FF2B5EF4-FFF2-40B4-BE49-F238E27FC236}">
              <a16:creationId xmlns:a16="http://schemas.microsoft.com/office/drawing/2014/main" id="{9E99DBA9-D2CD-403E-BEA3-C7C30DB3B51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93" name="Text Box 3">
          <a:extLst>
            <a:ext uri="{FF2B5EF4-FFF2-40B4-BE49-F238E27FC236}">
              <a16:creationId xmlns:a16="http://schemas.microsoft.com/office/drawing/2014/main" id="{2D57CF69-FE46-464C-B2A8-B6E6827EAC0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94" name="Text Box 32">
          <a:extLst>
            <a:ext uri="{FF2B5EF4-FFF2-40B4-BE49-F238E27FC236}">
              <a16:creationId xmlns:a16="http://schemas.microsoft.com/office/drawing/2014/main" id="{73E7CAA6-996B-4BB6-A17B-808D6700C40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95" name="Text Box 3">
          <a:extLst>
            <a:ext uri="{FF2B5EF4-FFF2-40B4-BE49-F238E27FC236}">
              <a16:creationId xmlns:a16="http://schemas.microsoft.com/office/drawing/2014/main" id="{F2D62F1A-CBDB-45B1-A167-91E991C9398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96" name="Text Box 63">
          <a:extLst>
            <a:ext uri="{FF2B5EF4-FFF2-40B4-BE49-F238E27FC236}">
              <a16:creationId xmlns:a16="http://schemas.microsoft.com/office/drawing/2014/main" id="{8B517AE8-5AF0-4B99-AE10-419052A4F64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97" name="Text Box 3">
          <a:extLst>
            <a:ext uri="{FF2B5EF4-FFF2-40B4-BE49-F238E27FC236}">
              <a16:creationId xmlns:a16="http://schemas.microsoft.com/office/drawing/2014/main" id="{AF5F51BB-1D51-4697-B044-146ABBCF468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98" name="Text Box 32">
          <a:extLst>
            <a:ext uri="{FF2B5EF4-FFF2-40B4-BE49-F238E27FC236}">
              <a16:creationId xmlns:a16="http://schemas.microsoft.com/office/drawing/2014/main" id="{DB2AAAF8-E865-4ECA-B804-F54F64556F4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99" name="Text Box 3">
          <a:extLst>
            <a:ext uri="{FF2B5EF4-FFF2-40B4-BE49-F238E27FC236}">
              <a16:creationId xmlns:a16="http://schemas.microsoft.com/office/drawing/2014/main" id="{54ACA973-3E5A-4BF8-9ED7-4834F54A01E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00" name="Text Box 63">
          <a:extLst>
            <a:ext uri="{FF2B5EF4-FFF2-40B4-BE49-F238E27FC236}">
              <a16:creationId xmlns:a16="http://schemas.microsoft.com/office/drawing/2014/main" id="{9AD3A829-4A12-4745-8B5A-3F4F292148D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01" name="Text Box 3">
          <a:extLst>
            <a:ext uri="{FF2B5EF4-FFF2-40B4-BE49-F238E27FC236}">
              <a16:creationId xmlns:a16="http://schemas.microsoft.com/office/drawing/2014/main" id="{DFD668C3-0589-4382-959E-58469508A8C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02" name="Text Box 32">
          <a:extLst>
            <a:ext uri="{FF2B5EF4-FFF2-40B4-BE49-F238E27FC236}">
              <a16:creationId xmlns:a16="http://schemas.microsoft.com/office/drawing/2014/main" id="{E64C869C-3FCF-4FBB-A24D-FA95269DE09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03" name="Text Box 3">
          <a:extLst>
            <a:ext uri="{FF2B5EF4-FFF2-40B4-BE49-F238E27FC236}">
              <a16:creationId xmlns:a16="http://schemas.microsoft.com/office/drawing/2014/main" id="{17BCD31F-9AA2-4C12-B8D0-CB42AB6C78E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04" name="Text Box 63">
          <a:extLst>
            <a:ext uri="{FF2B5EF4-FFF2-40B4-BE49-F238E27FC236}">
              <a16:creationId xmlns:a16="http://schemas.microsoft.com/office/drawing/2014/main" id="{ECF09C29-103E-4A35-A4C3-0D89049CCF2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05" name="Text Box 3">
          <a:extLst>
            <a:ext uri="{FF2B5EF4-FFF2-40B4-BE49-F238E27FC236}">
              <a16:creationId xmlns:a16="http://schemas.microsoft.com/office/drawing/2014/main" id="{2EDDD852-63EF-4577-968B-CAA386376C4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06" name="Text Box 32">
          <a:extLst>
            <a:ext uri="{FF2B5EF4-FFF2-40B4-BE49-F238E27FC236}">
              <a16:creationId xmlns:a16="http://schemas.microsoft.com/office/drawing/2014/main" id="{D81130B0-7FC5-4440-B5A3-994D83EE2DD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07" name="Text Box 3">
          <a:extLst>
            <a:ext uri="{FF2B5EF4-FFF2-40B4-BE49-F238E27FC236}">
              <a16:creationId xmlns:a16="http://schemas.microsoft.com/office/drawing/2014/main" id="{A2C70F91-87B2-4ECC-94D9-86B01D02805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08" name="Text Box 63">
          <a:extLst>
            <a:ext uri="{FF2B5EF4-FFF2-40B4-BE49-F238E27FC236}">
              <a16:creationId xmlns:a16="http://schemas.microsoft.com/office/drawing/2014/main" id="{5D00C4F7-EE3B-422A-BAA1-649CC05C627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09" name="Text Box 3">
          <a:extLst>
            <a:ext uri="{FF2B5EF4-FFF2-40B4-BE49-F238E27FC236}">
              <a16:creationId xmlns:a16="http://schemas.microsoft.com/office/drawing/2014/main" id="{7768349F-FF87-4110-A1F3-73AFB8F9D22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10" name="Text Box 32">
          <a:extLst>
            <a:ext uri="{FF2B5EF4-FFF2-40B4-BE49-F238E27FC236}">
              <a16:creationId xmlns:a16="http://schemas.microsoft.com/office/drawing/2014/main" id="{8820A895-C9FE-460B-99B8-0CA44AD3055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11" name="Text Box 3">
          <a:extLst>
            <a:ext uri="{FF2B5EF4-FFF2-40B4-BE49-F238E27FC236}">
              <a16:creationId xmlns:a16="http://schemas.microsoft.com/office/drawing/2014/main" id="{FF5D2235-E1F7-4F99-8CF7-2CC47FC5DE7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12" name="Text Box 63">
          <a:extLst>
            <a:ext uri="{FF2B5EF4-FFF2-40B4-BE49-F238E27FC236}">
              <a16:creationId xmlns:a16="http://schemas.microsoft.com/office/drawing/2014/main" id="{64041A21-FFAC-4368-A82D-F3F6F714E5B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13" name="Text Box 3">
          <a:extLst>
            <a:ext uri="{FF2B5EF4-FFF2-40B4-BE49-F238E27FC236}">
              <a16:creationId xmlns:a16="http://schemas.microsoft.com/office/drawing/2014/main" id="{278CFA55-0834-422F-9B0E-80BCFC04153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14" name="Text Box 32">
          <a:extLst>
            <a:ext uri="{FF2B5EF4-FFF2-40B4-BE49-F238E27FC236}">
              <a16:creationId xmlns:a16="http://schemas.microsoft.com/office/drawing/2014/main" id="{506E4FA0-0B9C-4D6F-AAD5-CAC4BCD6AB0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15" name="Text Box 3">
          <a:extLst>
            <a:ext uri="{FF2B5EF4-FFF2-40B4-BE49-F238E27FC236}">
              <a16:creationId xmlns:a16="http://schemas.microsoft.com/office/drawing/2014/main" id="{64D5385E-0811-400C-B072-AA8275D290C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16" name="Text Box 63">
          <a:extLst>
            <a:ext uri="{FF2B5EF4-FFF2-40B4-BE49-F238E27FC236}">
              <a16:creationId xmlns:a16="http://schemas.microsoft.com/office/drawing/2014/main" id="{35409BA9-1F83-4A06-9EEB-275E41D1C1F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17" name="Text Box 3">
          <a:extLst>
            <a:ext uri="{FF2B5EF4-FFF2-40B4-BE49-F238E27FC236}">
              <a16:creationId xmlns:a16="http://schemas.microsoft.com/office/drawing/2014/main" id="{06DE3BFF-4BDD-4601-8661-43240CC23C1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18" name="Text Box 32">
          <a:extLst>
            <a:ext uri="{FF2B5EF4-FFF2-40B4-BE49-F238E27FC236}">
              <a16:creationId xmlns:a16="http://schemas.microsoft.com/office/drawing/2014/main" id="{DB8A4D42-357E-434F-B85E-260B7D683C1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19" name="Text Box 3">
          <a:extLst>
            <a:ext uri="{FF2B5EF4-FFF2-40B4-BE49-F238E27FC236}">
              <a16:creationId xmlns:a16="http://schemas.microsoft.com/office/drawing/2014/main" id="{CED512F6-E459-4BCE-B893-991C1FD250A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20" name="Text Box 63">
          <a:extLst>
            <a:ext uri="{FF2B5EF4-FFF2-40B4-BE49-F238E27FC236}">
              <a16:creationId xmlns:a16="http://schemas.microsoft.com/office/drawing/2014/main" id="{16A3CA6E-9088-4F7C-8CBD-5359AC86270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21" name="Text Box 3">
          <a:extLst>
            <a:ext uri="{FF2B5EF4-FFF2-40B4-BE49-F238E27FC236}">
              <a16:creationId xmlns:a16="http://schemas.microsoft.com/office/drawing/2014/main" id="{B19A174B-42A4-4E96-B70B-324D7546947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22" name="Text Box 32">
          <a:extLst>
            <a:ext uri="{FF2B5EF4-FFF2-40B4-BE49-F238E27FC236}">
              <a16:creationId xmlns:a16="http://schemas.microsoft.com/office/drawing/2014/main" id="{5962C045-A719-4C22-937E-35235165EE4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23" name="Text Box 3">
          <a:extLst>
            <a:ext uri="{FF2B5EF4-FFF2-40B4-BE49-F238E27FC236}">
              <a16:creationId xmlns:a16="http://schemas.microsoft.com/office/drawing/2014/main" id="{68E120A1-DBB1-45B8-8D1B-E35CD3C9738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24" name="Text Box 63">
          <a:extLst>
            <a:ext uri="{FF2B5EF4-FFF2-40B4-BE49-F238E27FC236}">
              <a16:creationId xmlns:a16="http://schemas.microsoft.com/office/drawing/2014/main" id="{3A5BB5DD-834D-4A84-B808-1E497236EBA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25" name="Text Box 3">
          <a:extLst>
            <a:ext uri="{FF2B5EF4-FFF2-40B4-BE49-F238E27FC236}">
              <a16:creationId xmlns:a16="http://schemas.microsoft.com/office/drawing/2014/main" id="{4BD75C85-6F1C-4C48-9270-3E0B68D8E9D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26" name="Text Box 32">
          <a:extLst>
            <a:ext uri="{FF2B5EF4-FFF2-40B4-BE49-F238E27FC236}">
              <a16:creationId xmlns:a16="http://schemas.microsoft.com/office/drawing/2014/main" id="{5DBB9FC7-698A-4103-8137-0422121641C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27" name="Text Box 3">
          <a:extLst>
            <a:ext uri="{FF2B5EF4-FFF2-40B4-BE49-F238E27FC236}">
              <a16:creationId xmlns:a16="http://schemas.microsoft.com/office/drawing/2014/main" id="{395B2A51-F8CA-415C-9FA3-8E7C60D7252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28" name="Text Box 63">
          <a:extLst>
            <a:ext uri="{FF2B5EF4-FFF2-40B4-BE49-F238E27FC236}">
              <a16:creationId xmlns:a16="http://schemas.microsoft.com/office/drawing/2014/main" id="{9AF04261-47F0-43E4-9B5D-F064E954676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29" name="Text Box 3">
          <a:extLst>
            <a:ext uri="{FF2B5EF4-FFF2-40B4-BE49-F238E27FC236}">
              <a16:creationId xmlns:a16="http://schemas.microsoft.com/office/drawing/2014/main" id="{7AA65FC1-F055-48BE-B362-9619E91CF14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30" name="Text Box 32">
          <a:extLst>
            <a:ext uri="{FF2B5EF4-FFF2-40B4-BE49-F238E27FC236}">
              <a16:creationId xmlns:a16="http://schemas.microsoft.com/office/drawing/2014/main" id="{7E64C0A3-C40D-4A4A-BFFA-CBFC67247A8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31" name="Text Box 3">
          <a:extLst>
            <a:ext uri="{FF2B5EF4-FFF2-40B4-BE49-F238E27FC236}">
              <a16:creationId xmlns:a16="http://schemas.microsoft.com/office/drawing/2014/main" id="{A1821323-076B-4F8E-BDFE-4E190E1A176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32" name="Text Box 63">
          <a:extLst>
            <a:ext uri="{FF2B5EF4-FFF2-40B4-BE49-F238E27FC236}">
              <a16:creationId xmlns:a16="http://schemas.microsoft.com/office/drawing/2014/main" id="{2A96D7B3-F4F9-45F7-A345-633324BBB53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33" name="Text Box 3">
          <a:extLst>
            <a:ext uri="{FF2B5EF4-FFF2-40B4-BE49-F238E27FC236}">
              <a16:creationId xmlns:a16="http://schemas.microsoft.com/office/drawing/2014/main" id="{33FF17B0-F24C-4073-AE93-0930094F369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34" name="Text Box 32">
          <a:extLst>
            <a:ext uri="{FF2B5EF4-FFF2-40B4-BE49-F238E27FC236}">
              <a16:creationId xmlns:a16="http://schemas.microsoft.com/office/drawing/2014/main" id="{766BE73A-5002-421B-B0D7-D8C3186DCF4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35" name="Text Box 3">
          <a:extLst>
            <a:ext uri="{FF2B5EF4-FFF2-40B4-BE49-F238E27FC236}">
              <a16:creationId xmlns:a16="http://schemas.microsoft.com/office/drawing/2014/main" id="{D6F0F094-C82E-4BF6-9A6B-62CC3474A8E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36" name="Text Box 63">
          <a:extLst>
            <a:ext uri="{FF2B5EF4-FFF2-40B4-BE49-F238E27FC236}">
              <a16:creationId xmlns:a16="http://schemas.microsoft.com/office/drawing/2014/main" id="{E68B9320-ABD7-40B5-8847-B300FFA0389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37" name="Text Box 3">
          <a:extLst>
            <a:ext uri="{FF2B5EF4-FFF2-40B4-BE49-F238E27FC236}">
              <a16:creationId xmlns:a16="http://schemas.microsoft.com/office/drawing/2014/main" id="{B71FF455-6DFB-4E63-B33B-CE3B748276C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38" name="Text Box 32">
          <a:extLst>
            <a:ext uri="{FF2B5EF4-FFF2-40B4-BE49-F238E27FC236}">
              <a16:creationId xmlns:a16="http://schemas.microsoft.com/office/drawing/2014/main" id="{7F06BCCF-D705-4154-BCB9-F122EE9C24C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39" name="Text Box 3">
          <a:extLst>
            <a:ext uri="{FF2B5EF4-FFF2-40B4-BE49-F238E27FC236}">
              <a16:creationId xmlns:a16="http://schemas.microsoft.com/office/drawing/2014/main" id="{C842A153-1859-4DC4-9A42-3C076E6C5F3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40" name="Text Box 63">
          <a:extLst>
            <a:ext uri="{FF2B5EF4-FFF2-40B4-BE49-F238E27FC236}">
              <a16:creationId xmlns:a16="http://schemas.microsoft.com/office/drawing/2014/main" id="{B5080D8A-884C-470A-AAA7-13B3E467DDF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41" name="Text Box 3">
          <a:extLst>
            <a:ext uri="{FF2B5EF4-FFF2-40B4-BE49-F238E27FC236}">
              <a16:creationId xmlns:a16="http://schemas.microsoft.com/office/drawing/2014/main" id="{F1AF6E94-3468-4C1A-860A-B65F2F3D071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42" name="Text Box 32">
          <a:extLst>
            <a:ext uri="{FF2B5EF4-FFF2-40B4-BE49-F238E27FC236}">
              <a16:creationId xmlns:a16="http://schemas.microsoft.com/office/drawing/2014/main" id="{204FD97D-E509-4FAC-B282-4396A3B4B3B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43" name="Text Box 3">
          <a:extLst>
            <a:ext uri="{FF2B5EF4-FFF2-40B4-BE49-F238E27FC236}">
              <a16:creationId xmlns:a16="http://schemas.microsoft.com/office/drawing/2014/main" id="{6C1AAD49-47CA-428A-B5F8-B3574691D1A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44" name="Text Box 63">
          <a:extLst>
            <a:ext uri="{FF2B5EF4-FFF2-40B4-BE49-F238E27FC236}">
              <a16:creationId xmlns:a16="http://schemas.microsoft.com/office/drawing/2014/main" id="{EAF59D02-55B2-46FD-96D3-599BB50863F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897</xdr:row>
      <xdr:rowOff>0</xdr:rowOff>
    </xdr:from>
    <xdr:ext cx="0" cy="152400"/>
    <xdr:sp macro="" textlink="">
      <xdr:nvSpPr>
        <xdr:cNvPr id="6345" name="Text Box 3">
          <a:extLst>
            <a:ext uri="{FF2B5EF4-FFF2-40B4-BE49-F238E27FC236}">
              <a16:creationId xmlns:a16="http://schemas.microsoft.com/office/drawing/2014/main" id="{05C8151C-0791-41B0-A2B6-2B749808CAC5}"/>
            </a:ext>
          </a:extLst>
        </xdr:cNvPr>
        <xdr:cNvSpPr txBox="1">
          <a:spLocks noChangeArrowheads="1"/>
        </xdr:cNvSpPr>
      </xdr:nvSpPr>
      <xdr:spPr bwMode="auto">
        <a:xfrm>
          <a:off x="480391" y="855593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19" name="Text Box 15">
          <a:extLst>
            <a:ext uri="{FF2B5EF4-FFF2-40B4-BE49-F238E27FC236}">
              <a16:creationId xmlns:a16="http://schemas.microsoft.com/office/drawing/2014/main" id="{7EA999A1-09E3-46BF-B4AE-583F4362C0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0" name="Text Box 15">
          <a:extLst>
            <a:ext uri="{FF2B5EF4-FFF2-40B4-BE49-F238E27FC236}">
              <a16:creationId xmlns:a16="http://schemas.microsoft.com/office/drawing/2014/main" id="{B7E42578-BCD2-45A2-A03F-F63581AEA3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1" name="Text Box 15">
          <a:extLst>
            <a:ext uri="{FF2B5EF4-FFF2-40B4-BE49-F238E27FC236}">
              <a16:creationId xmlns:a16="http://schemas.microsoft.com/office/drawing/2014/main" id="{32CCED47-6193-4A59-9129-E93F277611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2" name="Text Box 15">
          <a:extLst>
            <a:ext uri="{FF2B5EF4-FFF2-40B4-BE49-F238E27FC236}">
              <a16:creationId xmlns:a16="http://schemas.microsoft.com/office/drawing/2014/main" id="{046A3B90-231F-47BD-BD81-BE9AD649B4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3" name="Text Box 15">
          <a:extLst>
            <a:ext uri="{FF2B5EF4-FFF2-40B4-BE49-F238E27FC236}">
              <a16:creationId xmlns:a16="http://schemas.microsoft.com/office/drawing/2014/main" id="{466875F5-BF75-461D-81DE-4A9807D894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4" name="Text Box 15">
          <a:extLst>
            <a:ext uri="{FF2B5EF4-FFF2-40B4-BE49-F238E27FC236}">
              <a16:creationId xmlns:a16="http://schemas.microsoft.com/office/drawing/2014/main" id="{A0F43468-793A-4173-8FF9-43B3DA270B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5" name="Text Box 15">
          <a:extLst>
            <a:ext uri="{FF2B5EF4-FFF2-40B4-BE49-F238E27FC236}">
              <a16:creationId xmlns:a16="http://schemas.microsoft.com/office/drawing/2014/main" id="{B7681034-4721-46BB-85B3-BCADEED858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6" name="Text Box 15">
          <a:extLst>
            <a:ext uri="{FF2B5EF4-FFF2-40B4-BE49-F238E27FC236}">
              <a16:creationId xmlns:a16="http://schemas.microsoft.com/office/drawing/2014/main" id="{3739903E-646D-43CD-90FF-35B0805568D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7" name="Text Box 15">
          <a:extLst>
            <a:ext uri="{FF2B5EF4-FFF2-40B4-BE49-F238E27FC236}">
              <a16:creationId xmlns:a16="http://schemas.microsoft.com/office/drawing/2014/main" id="{B09738FC-ACCC-4705-966B-A4E54B6A94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8" name="Text Box 15">
          <a:extLst>
            <a:ext uri="{FF2B5EF4-FFF2-40B4-BE49-F238E27FC236}">
              <a16:creationId xmlns:a16="http://schemas.microsoft.com/office/drawing/2014/main" id="{CEFD143D-CA51-4A77-8EEA-B6CDEBD7A0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29" name="Text Box 15">
          <a:extLst>
            <a:ext uri="{FF2B5EF4-FFF2-40B4-BE49-F238E27FC236}">
              <a16:creationId xmlns:a16="http://schemas.microsoft.com/office/drawing/2014/main" id="{8822066E-EF82-41EC-B580-B9F0EA9D58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30" name="Text Box 15">
          <a:extLst>
            <a:ext uri="{FF2B5EF4-FFF2-40B4-BE49-F238E27FC236}">
              <a16:creationId xmlns:a16="http://schemas.microsoft.com/office/drawing/2014/main" id="{4579DD39-8D92-41B4-A62C-E36B90622F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31" name="Text Box 15">
          <a:extLst>
            <a:ext uri="{FF2B5EF4-FFF2-40B4-BE49-F238E27FC236}">
              <a16:creationId xmlns:a16="http://schemas.microsoft.com/office/drawing/2014/main" id="{95D02CE7-1A96-4823-B8F9-21938746AF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32" name="Text Box 15">
          <a:extLst>
            <a:ext uri="{FF2B5EF4-FFF2-40B4-BE49-F238E27FC236}">
              <a16:creationId xmlns:a16="http://schemas.microsoft.com/office/drawing/2014/main" id="{18FCA72B-CDD5-4646-8B90-153DDBAE953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33" name="Text Box 15">
          <a:extLst>
            <a:ext uri="{FF2B5EF4-FFF2-40B4-BE49-F238E27FC236}">
              <a16:creationId xmlns:a16="http://schemas.microsoft.com/office/drawing/2014/main" id="{CCF28765-955B-4B7A-86F4-F87FEFAC7A1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4" name="Text Box 15">
          <a:extLst>
            <a:ext uri="{FF2B5EF4-FFF2-40B4-BE49-F238E27FC236}">
              <a16:creationId xmlns:a16="http://schemas.microsoft.com/office/drawing/2014/main" id="{1A211150-7ED6-418C-8BEA-49172C1F1F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5" name="Text Box 15">
          <a:extLst>
            <a:ext uri="{FF2B5EF4-FFF2-40B4-BE49-F238E27FC236}">
              <a16:creationId xmlns:a16="http://schemas.microsoft.com/office/drawing/2014/main" id="{5D1BBF7D-6D4F-4A70-BA3F-E41D211E69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6" name="Text Box 15">
          <a:extLst>
            <a:ext uri="{FF2B5EF4-FFF2-40B4-BE49-F238E27FC236}">
              <a16:creationId xmlns:a16="http://schemas.microsoft.com/office/drawing/2014/main" id="{56F59E9B-0FA7-4C48-9855-737C8C1602D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7" name="Text Box 15">
          <a:extLst>
            <a:ext uri="{FF2B5EF4-FFF2-40B4-BE49-F238E27FC236}">
              <a16:creationId xmlns:a16="http://schemas.microsoft.com/office/drawing/2014/main" id="{FD6FCA6A-EAB4-4813-8577-E984F6F02F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8" name="Text Box 15">
          <a:extLst>
            <a:ext uri="{FF2B5EF4-FFF2-40B4-BE49-F238E27FC236}">
              <a16:creationId xmlns:a16="http://schemas.microsoft.com/office/drawing/2014/main" id="{E3921B77-43F5-4758-B3B5-3DA6794122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9" name="Text Box 15">
          <a:extLst>
            <a:ext uri="{FF2B5EF4-FFF2-40B4-BE49-F238E27FC236}">
              <a16:creationId xmlns:a16="http://schemas.microsoft.com/office/drawing/2014/main" id="{C8DE88CA-F23C-4F48-A69D-9F59EA673FF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40" name="Text Box 15">
          <a:extLst>
            <a:ext uri="{FF2B5EF4-FFF2-40B4-BE49-F238E27FC236}">
              <a16:creationId xmlns:a16="http://schemas.microsoft.com/office/drawing/2014/main" id="{E48331AB-3294-4B3C-9444-269B964F74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41" name="Text Box 15">
          <a:extLst>
            <a:ext uri="{FF2B5EF4-FFF2-40B4-BE49-F238E27FC236}">
              <a16:creationId xmlns:a16="http://schemas.microsoft.com/office/drawing/2014/main" id="{137A7C13-3746-41AB-B195-B0AD045402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42" name="Text Box 15">
          <a:extLst>
            <a:ext uri="{FF2B5EF4-FFF2-40B4-BE49-F238E27FC236}">
              <a16:creationId xmlns:a16="http://schemas.microsoft.com/office/drawing/2014/main" id="{DEA5E858-5520-4052-99EB-CEEA36C5BC9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43" name="Text Box 15">
          <a:extLst>
            <a:ext uri="{FF2B5EF4-FFF2-40B4-BE49-F238E27FC236}">
              <a16:creationId xmlns:a16="http://schemas.microsoft.com/office/drawing/2014/main" id="{C8235AE4-30ED-4ADD-AB0A-55B4224433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44" name="Text Box 15">
          <a:extLst>
            <a:ext uri="{FF2B5EF4-FFF2-40B4-BE49-F238E27FC236}">
              <a16:creationId xmlns:a16="http://schemas.microsoft.com/office/drawing/2014/main" id="{0B63F8D4-4B13-42D4-A7BA-C352F315A3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45" name="Text Box 15">
          <a:extLst>
            <a:ext uri="{FF2B5EF4-FFF2-40B4-BE49-F238E27FC236}">
              <a16:creationId xmlns:a16="http://schemas.microsoft.com/office/drawing/2014/main" id="{B184BF08-2FD9-43C2-8401-8FF832E38A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46" name="Text Box 15">
          <a:extLst>
            <a:ext uri="{FF2B5EF4-FFF2-40B4-BE49-F238E27FC236}">
              <a16:creationId xmlns:a16="http://schemas.microsoft.com/office/drawing/2014/main" id="{9D723E23-21AC-4CDC-B1A0-BE784FC63B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47" name="Text Box 15">
          <a:extLst>
            <a:ext uri="{FF2B5EF4-FFF2-40B4-BE49-F238E27FC236}">
              <a16:creationId xmlns:a16="http://schemas.microsoft.com/office/drawing/2014/main" id="{18DB95B0-513B-4212-B626-935A7B0C1F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48" name="Text Box 15">
          <a:extLst>
            <a:ext uri="{FF2B5EF4-FFF2-40B4-BE49-F238E27FC236}">
              <a16:creationId xmlns:a16="http://schemas.microsoft.com/office/drawing/2014/main" id="{F681AB11-B3D6-43B4-BB5A-0BEC862FBD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49" name="Text Box 15">
          <a:extLst>
            <a:ext uri="{FF2B5EF4-FFF2-40B4-BE49-F238E27FC236}">
              <a16:creationId xmlns:a16="http://schemas.microsoft.com/office/drawing/2014/main" id="{00F92442-D50A-4263-8554-C54DEC30E2D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0" name="Text Box 15">
          <a:extLst>
            <a:ext uri="{FF2B5EF4-FFF2-40B4-BE49-F238E27FC236}">
              <a16:creationId xmlns:a16="http://schemas.microsoft.com/office/drawing/2014/main" id="{68A464C5-02AE-4EC2-B934-702F9A4401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1" name="Text Box 15">
          <a:extLst>
            <a:ext uri="{FF2B5EF4-FFF2-40B4-BE49-F238E27FC236}">
              <a16:creationId xmlns:a16="http://schemas.microsoft.com/office/drawing/2014/main" id="{AC952A56-2D89-4358-9C87-FAF548979E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2" name="Text Box 15">
          <a:extLst>
            <a:ext uri="{FF2B5EF4-FFF2-40B4-BE49-F238E27FC236}">
              <a16:creationId xmlns:a16="http://schemas.microsoft.com/office/drawing/2014/main" id="{62EB500D-BB9F-4143-BB8F-230F19C35B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3" name="Text Box 15">
          <a:extLst>
            <a:ext uri="{FF2B5EF4-FFF2-40B4-BE49-F238E27FC236}">
              <a16:creationId xmlns:a16="http://schemas.microsoft.com/office/drawing/2014/main" id="{E5FCD317-6B51-4BD1-9E20-F46C4E010D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4" name="Text Box 15">
          <a:extLst>
            <a:ext uri="{FF2B5EF4-FFF2-40B4-BE49-F238E27FC236}">
              <a16:creationId xmlns:a16="http://schemas.microsoft.com/office/drawing/2014/main" id="{28182AC8-9112-4B30-B311-5DAD0263C9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5" name="Text Box 15">
          <a:extLst>
            <a:ext uri="{FF2B5EF4-FFF2-40B4-BE49-F238E27FC236}">
              <a16:creationId xmlns:a16="http://schemas.microsoft.com/office/drawing/2014/main" id="{D2F3CE98-1092-4465-B5E3-4966721A19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6" name="Text Box 15">
          <a:extLst>
            <a:ext uri="{FF2B5EF4-FFF2-40B4-BE49-F238E27FC236}">
              <a16:creationId xmlns:a16="http://schemas.microsoft.com/office/drawing/2014/main" id="{28E586B1-ECD0-4A0E-98F1-AF4D63E708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7" name="Text Box 15">
          <a:extLst>
            <a:ext uri="{FF2B5EF4-FFF2-40B4-BE49-F238E27FC236}">
              <a16:creationId xmlns:a16="http://schemas.microsoft.com/office/drawing/2014/main" id="{647EC287-A568-407C-8C90-4FE29CE418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8" name="Text Box 15">
          <a:extLst>
            <a:ext uri="{FF2B5EF4-FFF2-40B4-BE49-F238E27FC236}">
              <a16:creationId xmlns:a16="http://schemas.microsoft.com/office/drawing/2014/main" id="{825F53F1-C11A-4349-8E65-454C75BA88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59" name="Text Box 15">
          <a:extLst>
            <a:ext uri="{FF2B5EF4-FFF2-40B4-BE49-F238E27FC236}">
              <a16:creationId xmlns:a16="http://schemas.microsoft.com/office/drawing/2014/main" id="{8278EB76-B978-4B51-A85F-226F8E97EC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60" name="Text Box 15">
          <a:extLst>
            <a:ext uri="{FF2B5EF4-FFF2-40B4-BE49-F238E27FC236}">
              <a16:creationId xmlns:a16="http://schemas.microsoft.com/office/drawing/2014/main" id="{09C79DAF-1C9D-453B-AA49-558C74C40E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61" name="Text Box 15">
          <a:extLst>
            <a:ext uri="{FF2B5EF4-FFF2-40B4-BE49-F238E27FC236}">
              <a16:creationId xmlns:a16="http://schemas.microsoft.com/office/drawing/2014/main" id="{EDFFDBDB-95F0-4A56-AC5D-98231FDDF8F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62" name="Text Box 15">
          <a:extLst>
            <a:ext uri="{FF2B5EF4-FFF2-40B4-BE49-F238E27FC236}">
              <a16:creationId xmlns:a16="http://schemas.microsoft.com/office/drawing/2014/main" id="{ECD4DFC8-612F-4777-BFE9-F5D9F02A25B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63" name="Text Box 15">
          <a:extLst>
            <a:ext uri="{FF2B5EF4-FFF2-40B4-BE49-F238E27FC236}">
              <a16:creationId xmlns:a16="http://schemas.microsoft.com/office/drawing/2014/main" id="{426E72B8-E478-483E-B597-FC4E0E07E69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4" name="Text Box 15">
          <a:extLst>
            <a:ext uri="{FF2B5EF4-FFF2-40B4-BE49-F238E27FC236}">
              <a16:creationId xmlns:a16="http://schemas.microsoft.com/office/drawing/2014/main" id="{BD39E935-6CA4-48DF-AA98-559661A02E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5" name="Text Box 15">
          <a:extLst>
            <a:ext uri="{FF2B5EF4-FFF2-40B4-BE49-F238E27FC236}">
              <a16:creationId xmlns:a16="http://schemas.microsoft.com/office/drawing/2014/main" id="{5FF81653-E7DF-4ADD-A57B-95167325D4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6" name="Text Box 15">
          <a:extLst>
            <a:ext uri="{FF2B5EF4-FFF2-40B4-BE49-F238E27FC236}">
              <a16:creationId xmlns:a16="http://schemas.microsoft.com/office/drawing/2014/main" id="{F3746399-FBA9-42D2-9B81-242DA5A4DD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7" name="Text Box 15">
          <a:extLst>
            <a:ext uri="{FF2B5EF4-FFF2-40B4-BE49-F238E27FC236}">
              <a16:creationId xmlns:a16="http://schemas.microsoft.com/office/drawing/2014/main" id="{81EF9602-A11C-4EDF-90AF-3407A34363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8" name="Text Box 15">
          <a:extLst>
            <a:ext uri="{FF2B5EF4-FFF2-40B4-BE49-F238E27FC236}">
              <a16:creationId xmlns:a16="http://schemas.microsoft.com/office/drawing/2014/main" id="{B95B89FB-815F-4646-8AD8-125B572EE89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9" name="Text Box 15">
          <a:extLst>
            <a:ext uri="{FF2B5EF4-FFF2-40B4-BE49-F238E27FC236}">
              <a16:creationId xmlns:a16="http://schemas.microsoft.com/office/drawing/2014/main" id="{9B63E136-B61C-4F61-9E27-E8D0A5763D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70" name="Text Box 15">
          <a:extLst>
            <a:ext uri="{FF2B5EF4-FFF2-40B4-BE49-F238E27FC236}">
              <a16:creationId xmlns:a16="http://schemas.microsoft.com/office/drawing/2014/main" id="{0D932352-FC65-49C6-8ADD-01A272E1EC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71" name="Text Box 15">
          <a:extLst>
            <a:ext uri="{FF2B5EF4-FFF2-40B4-BE49-F238E27FC236}">
              <a16:creationId xmlns:a16="http://schemas.microsoft.com/office/drawing/2014/main" id="{2351952D-2EEE-4D31-B908-46471D6CA0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72" name="Text Box 15">
          <a:extLst>
            <a:ext uri="{FF2B5EF4-FFF2-40B4-BE49-F238E27FC236}">
              <a16:creationId xmlns:a16="http://schemas.microsoft.com/office/drawing/2014/main" id="{2A6BC8B9-EB59-43EA-9C68-E5A9A740A3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73" name="Text Box 15">
          <a:extLst>
            <a:ext uri="{FF2B5EF4-FFF2-40B4-BE49-F238E27FC236}">
              <a16:creationId xmlns:a16="http://schemas.microsoft.com/office/drawing/2014/main" id="{D14EDA41-34D8-445A-992E-E7524C6307C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74" name="Text Box 15">
          <a:extLst>
            <a:ext uri="{FF2B5EF4-FFF2-40B4-BE49-F238E27FC236}">
              <a16:creationId xmlns:a16="http://schemas.microsoft.com/office/drawing/2014/main" id="{4C332E9F-1050-44A5-A9D2-4155BEA940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75" name="Text Box 15">
          <a:extLst>
            <a:ext uri="{FF2B5EF4-FFF2-40B4-BE49-F238E27FC236}">
              <a16:creationId xmlns:a16="http://schemas.microsoft.com/office/drawing/2014/main" id="{C6A179FA-8DFB-4607-A1D6-425646522A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4224" name="Text Box 15">
          <a:extLst>
            <a:ext uri="{FF2B5EF4-FFF2-40B4-BE49-F238E27FC236}">
              <a16:creationId xmlns:a16="http://schemas.microsoft.com/office/drawing/2014/main" id="{5F7B58D8-ED8A-4A42-A4DE-818B1AABF9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4225" name="Text Box 15">
          <a:extLst>
            <a:ext uri="{FF2B5EF4-FFF2-40B4-BE49-F238E27FC236}">
              <a16:creationId xmlns:a16="http://schemas.microsoft.com/office/drawing/2014/main" id="{0C7919A9-208A-4EDA-AE38-BBC54F678EE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4226" name="Text Box 15">
          <a:extLst>
            <a:ext uri="{FF2B5EF4-FFF2-40B4-BE49-F238E27FC236}">
              <a16:creationId xmlns:a16="http://schemas.microsoft.com/office/drawing/2014/main" id="{35285AED-326B-4CC3-BC68-84B32231649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27" name="Text Box 15">
          <a:extLst>
            <a:ext uri="{FF2B5EF4-FFF2-40B4-BE49-F238E27FC236}">
              <a16:creationId xmlns:a16="http://schemas.microsoft.com/office/drawing/2014/main" id="{0B561293-F066-42C2-BF10-4577F23BD0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28" name="Text Box 15">
          <a:extLst>
            <a:ext uri="{FF2B5EF4-FFF2-40B4-BE49-F238E27FC236}">
              <a16:creationId xmlns:a16="http://schemas.microsoft.com/office/drawing/2014/main" id="{CB75812C-FE77-4240-8CBF-37F46A2FA4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29" name="Text Box 15">
          <a:extLst>
            <a:ext uri="{FF2B5EF4-FFF2-40B4-BE49-F238E27FC236}">
              <a16:creationId xmlns:a16="http://schemas.microsoft.com/office/drawing/2014/main" id="{67B0F2D0-F8F9-445B-9169-C66DEDD16A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30" name="Text Box 15">
          <a:extLst>
            <a:ext uri="{FF2B5EF4-FFF2-40B4-BE49-F238E27FC236}">
              <a16:creationId xmlns:a16="http://schemas.microsoft.com/office/drawing/2014/main" id="{B55D921B-30D3-4670-979D-4C32B2D9DD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31" name="Text Box 15">
          <a:extLst>
            <a:ext uri="{FF2B5EF4-FFF2-40B4-BE49-F238E27FC236}">
              <a16:creationId xmlns:a16="http://schemas.microsoft.com/office/drawing/2014/main" id="{DD8C765C-0E12-4F19-9845-439036EFC6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32" name="Text Box 15">
          <a:extLst>
            <a:ext uri="{FF2B5EF4-FFF2-40B4-BE49-F238E27FC236}">
              <a16:creationId xmlns:a16="http://schemas.microsoft.com/office/drawing/2014/main" id="{792FE81F-9A44-481F-A008-645C11EBB1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46" name="Text Box 15">
          <a:extLst>
            <a:ext uri="{FF2B5EF4-FFF2-40B4-BE49-F238E27FC236}">
              <a16:creationId xmlns:a16="http://schemas.microsoft.com/office/drawing/2014/main" id="{5ACD5C98-8FCD-41C8-81A8-0611B7EC883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47" name="Text Box 15">
          <a:extLst>
            <a:ext uri="{FF2B5EF4-FFF2-40B4-BE49-F238E27FC236}">
              <a16:creationId xmlns:a16="http://schemas.microsoft.com/office/drawing/2014/main" id="{7A65E7CD-62B2-4827-84C2-0283A10F4B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48" name="Text Box 15">
          <a:extLst>
            <a:ext uri="{FF2B5EF4-FFF2-40B4-BE49-F238E27FC236}">
              <a16:creationId xmlns:a16="http://schemas.microsoft.com/office/drawing/2014/main" id="{587D42D4-FF48-4764-BD05-6C87D70D46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49" name="Text Box 15">
          <a:extLst>
            <a:ext uri="{FF2B5EF4-FFF2-40B4-BE49-F238E27FC236}">
              <a16:creationId xmlns:a16="http://schemas.microsoft.com/office/drawing/2014/main" id="{3BB1ACAD-A9E6-4C83-8425-EFD3BE0672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350" name="Text Box 15">
          <a:extLst>
            <a:ext uri="{FF2B5EF4-FFF2-40B4-BE49-F238E27FC236}">
              <a16:creationId xmlns:a16="http://schemas.microsoft.com/office/drawing/2014/main" id="{56167BEC-19C6-4F68-8AC7-7005E3092E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351" name="Text Box 15">
          <a:extLst>
            <a:ext uri="{FF2B5EF4-FFF2-40B4-BE49-F238E27FC236}">
              <a16:creationId xmlns:a16="http://schemas.microsoft.com/office/drawing/2014/main" id="{7C7B425E-1BB3-4411-82BC-C4E63851AD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352" name="Text Box 15">
          <a:extLst>
            <a:ext uri="{FF2B5EF4-FFF2-40B4-BE49-F238E27FC236}">
              <a16:creationId xmlns:a16="http://schemas.microsoft.com/office/drawing/2014/main" id="{DFE96213-8341-4187-92AA-733BBAA799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353" name="Text Box 15">
          <a:extLst>
            <a:ext uri="{FF2B5EF4-FFF2-40B4-BE49-F238E27FC236}">
              <a16:creationId xmlns:a16="http://schemas.microsoft.com/office/drawing/2014/main" id="{EE225049-7FAC-4E3A-BB8C-BFF2356598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354" name="Text Box 15">
          <a:extLst>
            <a:ext uri="{FF2B5EF4-FFF2-40B4-BE49-F238E27FC236}">
              <a16:creationId xmlns:a16="http://schemas.microsoft.com/office/drawing/2014/main" id="{1AC4CA57-29AF-43A1-AAFF-27CE780AE2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55" name="Text Box 15">
          <a:extLst>
            <a:ext uri="{FF2B5EF4-FFF2-40B4-BE49-F238E27FC236}">
              <a16:creationId xmlns:a16="http://schemas.microsoft.com/office/drawing/2014/main" id="{C66D8F63-8E20-4722-8BB4-F42D4D70EB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56" name="Text Box 15">
          <a:extLst>
            <a:ext uri="{FF2B5EF4-FFF2-40B4-BE49-F238E27FC236}">
              <a16:creationId xmlns:a16="http://schemas.microsoft.com/office/drawing/2014/main" id="{54BCB8FA-E33C-4928-9ECF-4AB651F432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57" name="Text Box 15">
          <a:extLst>
            <a:ext uri="{FF2B5EF4-FFF2-40B4-BE49-F238E27FC236}">
              <a16:creationId xmlns:a16="http://schemas.microsoft.com/office/drawing/2014/main" id="{B83C9779-D8A6-49C7-9D24-EB86F46558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58" name="Text Box 15">
          <a:extLst>
            <a:ext uri="{FF2B5EF4-FFF2-40B4-BE49-F238E27FC236}">
              <a16:creationId xmlns:a16="http://schemas.microsoft.com/office/drawing/2014/main" id="{067495E3-71AE-4EC6-8651-BA97CE39B1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59" name="Text Box 15">
          <a:extLst>
            <a:ext uri="{FF2B5EF4-FFF2-40B4-BE49-F238E27FC236}">
              <a16:creationId xmlns:a16="http://schemas.microsoft.com/office/drawing/2014/main" id="{71E096B7-C9FF-4362-95D4-B00FECB7D6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60" name="Text Box 15">
          <a:extLst>
            <a:ext uri="{FF2B5EF4-FFF2-40B4-BE49-F238E27FC236}">
              <a16:creationId xmlns:a16="http://schemas.microsoft.com/office/drawing/2014/main" id="{53E32EE5-858C-4790-A02E-645EE5DAE7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61" name="Text Box 15">
          <a:extLst>
            <a:ext uri="{FF2B5EF4-FFF2-40B4-BE49-F238E27FC236}">
              <a16:creationId xmlns:a16="http://schemas.microsoft.com/office/drawing/2014/main" id="{1C71582B-99FE-42B1-9B69-F54B9CA0B7D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62" name="Text Box 15">
          <a:extLst>
            <a:ext uri="{FF2B5EF4-FFF2-40B4-BE49-F238E27FC236}">
              <a16:creationId xmlns:a16="http://schemas.microsoft.com/office/drawing/2014/main" id="{108B2F04-2065-49C0-B014-654CBE9CC5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63" name="Text Box 15">
          <a:extLst>
            <a:ext uri="{FF2B5EF4-FFF2-40B4-BE49-F238E27FC236}">
              <a16:creationId xmlns:a16="http://schemas.microsoft.com/office/drawing/2014/main" id="{890D31D7-D573-4AEC-B54F-2962670BD6E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64" name="Text Box 15">
          <a:extLst>
            <a:ext uri="{FF2B5EF4-FFF2-40B4-BE49-F238E27FC236}">
              <a16:creationId xmlns:a16="http://schemas.microsoft.com/office/drawing/2014/main" id="{4059FF30-6EF3-410E-B79D-D38E3EF5ED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65" name="Text Box 15">
          <a:extLst>
            <a:ext uri="{FF2B5EF4-FFF2-40B4-BE49-F238E27FC236}">
              <a16:creationId xmlns:a16="http://schemas.microsoft.com/office/drawing/2014/main" id="{23938DDE-2D7A-4336-A8B3-6FD5A78123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66" name="Text Box 15">
          <a:extLst>
            <a:ext uri="{FF2B5EF4-FFF2-40B4-BE49-F238E27FC236}">
              <a16:creationId xmlns:a16="http://schemas.microsoft.com/office/drawing/2014/main" id="{0CFEE4D1-4A36-4B6A-88B9-8E08AB5DC7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67" name="Text Box 15">
          <a:extLst>
            <a:ext uri="{FF2B5EF4-FFF2-40B4-BE49-F238E27FC236}">
              <a16:creationId xmlns:a16="http://schemas.microsoft.com/office/drawing/2014/main" id="{DA7A8A52-8F6F-4572-BDEE-357D4CE283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68" name="Text Box 15">
          <a:extLst>
            <a:ext uri="{FF2B5EF4-FFF2-40B4-BE49-F238E27FC236}">
              <a16:creationId xmlns:a16="http://schemas.microsoft.com/office/drawing/2014/main" id="{887241BB-8537-426F-AA45-0D80920DBD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69" name="Text Box 15">
          <a:extLst>
            <a:ext uri="{FF2B5EF4-FFF2-40B4-BE49-F238E27FC236}">
              <a16:creationId xmlns:a16="http://schemas.microsoft.com/office/drawing/2014/main" id="{A3AED01D-9636-4719-AA20-B907ADB5E3A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0" name="Text Box 15">
          <a:extLst>
            <a:ext uri="{FF2B5EF4-FFF2-40B4-BE49-F238E27FC236}">
              <a16:creationId xmlns:a16="http://schemas.microsoft.com/office/drawing/2014/main" id="{1FAEFBC9-A412-4350-B034-94FD0A132D6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1" name="Text Box 15">
          <a:extLst>
            <a:ext uri="{FF2B5EF4-FFF2-40B4-BE49-F238E27FC236}">
              <a16:creationId xmlns:a16="http://schemas.microsoft.com/office/drawing/2014/main" id="{56706F95-F19B-45B9-B160-4773195893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2" name="Text Box 15">
          <a:extLst>
            <a:ext uri="{FF2B5EF4-FFF2-40B4-BE49-F238E27FC236}">
              <a16:creationId xmlns:a16="http://schemas.microsoft.com/office/drawing/2014/main" id="{9B2BFCB8-8313-4E38-8E43-28EBECC63E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3" name="Text Box 15">
          <a:extLst>
            <a:ext uri="{FF2B5EF4-FFF2-40B4-BE49-F238E27FC236}">
              <a16:creationId xmlns:a16="http://schemas.microsoft.com/office/drawing/2014/main" id="{AF76F626-9FF8-49DC-BAC0-A7C6C88B89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4" name="Text Box 15">
          <a:extLst>
            <a:ext uri="{FF2B5EF4-FFF2-40B4-BE49-F238E27FC236}">
              <a16:creationId xmlns:a16="http://schemas.microsoft.com/office/drawing/2014/main" id="{A4250EB5-A8C9-48E1-926A-9D98E996B8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5" name="Text Box 15">
          <a:extLst>
            <a:ext uri="{FF2B5EF4-FFF2-40B4-BE49-F238E27FC236}">
              <a16:creationId xmlns:a16="http://schemas.microsoft.com/office/drawing/2014/main" id="{986A4CBE-B506-48AD-B96A-7DCA36DFD2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6" name="Text Box 15">
          <a:extLst>
            <a:ext uri="{FF2B5EF4-FFF2-40B4-BE49-F238E27FC236}">
              <a16:creationId xmlns:a16="http://schemas.microsoft.com/office/drawing/2014/main" id="{16F30BDC-989E-4B16-8DBA-5257331846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7" name="Text Box 15">
          <a:extLst>
            <a:ext uri="{FF2B5EF4-FFF2-40B4-BE49-F238E27FC236}">
              <a16:creationId xmlns:a16="http://schemas.microsoft.com/office/drawing/2014/main" id="{BEF01E00-8917-4D59-A908-546AB63DE4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78" name="Text Box 15">
          <a:extLst>
            <a:ext uri="{FF2B5EF4-FFF2-40B4-BE49-F238E27FC236}">
              <a16:creationId xmlns:a16="http://schemas.microsoft.com/office/drawing/2014/main" id="{E16F8BED-FD01-41EE-BAAC-4A7F16866A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79" name="Text Box 15">
          <a:extLst>
            <a:ext uri="{FF2B5EF4-FFF2-40B4-BE49-F238E27FC236}">
              <a16:creationId xmlns:a16="http://schemas.microsoft.com/office/drawing/2014/main" id="{D353FACE-2A4B-4EBB-9BD6-3DBF1DE61B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80" name="Text Box 15">
          <a:extLst>
            <a:ext uri="{FF2B5EF4-FFF2-40B4-BE49-F238E27FC236}">
              <a16:creationId xmlns:a16="http://schemas.microsoft.com/office/drawing/2014/main" id="{CCF1F165-4CCD-4027-9509-B3460C37B5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81" name="Text Box 15">
          <a:extLst>
            <a:ext uri="{FF2B5EF4-FFF2-40B4-BE49-F238E27FC236}">
              <a16:creationId xmlns:a16="http://schemas.microsoft.com/office/drawing/2014/main" id="{4337B34D-30D4-4E25-A0B0-51D7953660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82" name="Text Box 15">
          <a:extLst>
            <a:ext uri="{FF2B5EF4-FFF2-40B4-BE49-F238E27FC236}">
              <a16:creationId xmlns:a16="http://schemas.microsoft.com/office/drawing/2014/main" id="{B32AE934-33F7-4240-93F5-E70B498452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3" name="Text Box 15">
          <a:extLst>
            <a:ext uri="{FF2B5EF4-FFF2-40B4-BE49-F238E27FC236}">
              <a16:creationId xmlns:a16="http://schemas.microsoft.com/office/drawing/2014/main" id="{313F80E4-CEE9-48BE-9199-C091265179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4" name="Text Box 15">
          <a:extLst>
            <a:ext uri="{FF2B5EF4-FFF2-40B4-BE49-F238E27FC236}">
              <a16:creationId xmlns:a16="http://schemas.microsoft.com/office/drawing/2014/main" id="{A8AB668B-85FA-472E-8A98-C86E4CDCE9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5" name="Text Box 15">
          <a:extLst>
            <a:ext uri="{FF2B5EF4-FFF2-40B4-BE49-F238E27FC236}">
              <a16:creationId xmlns:a16="http://schemas.microsoft.com/office/drawing/2014/main" id="{4C699FC9-5A8D-4AFD-A318-540592F78B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6" name="Text Box 15">
          <a:extLst>
            <a:ext uri="{FF2B5EF4-FFF2-40B4-BE49-F238E27FC236}">
              <a16:creationId xmlns:a16="http://schemas.microsoft.com/office/drawing/2014/main" id="{7FB9732C-4FB7-41CC-9892-9EC3C6BDE8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7" name="Text Box 15">
          <a:extLst>
            <a:ext uri="{FF2B5EF4-FFF2-40B4-BE49-F238E27FC236}">
              <a16:creationId xmlns:a16="http://schemas.microsoft.com/office/drawing/2014/main" id="{AF8E0B0F-FF3D-412A-9F4F-807C7892A4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8" name="Text Box 15">
          <a:extLst>
            <a:ext uri="{FF2B5EF4-FFF2-40B4-BE49-F238E27FC236}">
              <a16:creationId xmlns:a16="http://schemas.microsoft.com/office/drawing/2014/main" id="{918F1322-1628-4C0B-8C76-303E385824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9" name="Text Box 15">
          <a:extLst>
            <a:ext uri="{FF2B5EF4-FFF2-40B4-BE49-F238E27FC236}">
              <a16:creationId xmlns:a16="http://schemas.microsoft.com/office/drawing/2014/main" id="{E1655001-C547-4C84-BEB9-AA22CD97E64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90" name="Text Box 15">
          <a:extLst>
            <a:ext uri="{FF2B5EF4-FFF2-40B4-BE49-F238E27FC236}">
              <a16:creationId xmlns:a16="http://schemas.microsoft.com/office/drawing/2014/main" id="{73E9CA0E-A09D-49A9-BD15-1BB56E6C9A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91" name="Text Box 15">
          <a:extLst>
            <a:ext uri="{FF2B5EF4-FFF2-40B4-BE49-F238E27FC236}">
              <a16:creationId xmlns:a16="http://schemas.microsoft.com/office/drawing/2014/main" id="{5E6A3CC8-B457-4B0B-9650-C39F7A0E3C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92" name="Text Box 15">
          <a:extLst>
            <a:ext uri="{FF2B5EF4-FFF2-40B4-BE49-F238E27FC236}">
              <a16:creationId xmlns:a16="http://schemas.microsoft.com/office/drawing/2014/main" id="{D1291108-3BB2-48AC-8EE4-35C9C520A9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93" name="Text Box 15">
          <a:extLst>
            <a:ext uri="{FF2B5EF4-FFF2-40B4-BE49-F238E27FC236}">
              <a16:creationId xmlns:a16="http://schemas.microsoft.com/office/drawing/2014/main" id="{C5E12DAC-285E-451F-A04A-0C5809C94E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94" name="Text Box 15">
          <a:extLst>
            <a:ext uri="{FF2B5EF4-FFF2-40B4-BE49-F238E27FC236}">
              <a16:creationId xmlns:a16="http://schemas.microsoft.com/office/drawing/2014/main" id="{19C6B1ED-9966-422A-B4B3-B2FEBE670B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95" name="Text Box 15">
          <a:extLst>
            <a:ext uri="{FF2B5EF4-FFF2-40B4-BE49-F238E27FC236}">
              <a16:creationId xmlns:a16="http://schemas.microsoft.com/office/drawing/2014/main" id="{71E19750-684F-4BA9-8146-FC186B2F5E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96" name="Text Box 15">
          <a:extLst>
            <a:ext uri="{FF2B5EF4-FFF2-40B4-BE49-F238E27FC236}">
              <a16:creationId xmlns:a16="http://schemas.microsoft.com/office/drawing/2014/main" id="{8E24FAAC-9697-4E32-A884-001BCEA5FA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97" name="Text Box 15">
          <a:extLst>
            <a:ext uri="{FF2B5EF4-FFF2-40B4-BE49-F238E27FC236}">
              <a16:creationId xmlns:a16="http://schemas.microsoft.com/office/drawing/2014/main" id="{A68146C7-823F-4E95-AC2F-F264EFEFE0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98" name="Text Box 15">
          <a:extLst>
            <a:ext uri="{FF2B5EF4-FFF2-40B4-BE49-F238E27FC236}">
              <a16:creationId xmlns:a16="http://schemas.microsoft.com/office/drawing/2014/main" id="{893545D0-A4EA-4B64-A551-570D773617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99" name="Text Box 15">
          <a:extLst>
            <a:ext uri="{FF2B5EF4-FFF2-40B4-BE49-F238E27FC236}">
              <a16:creationId xmlns:a16="http://schemas.microsoft.com/office/drawing/2014/main" id="{4DE0C6B8-65BC-408B-A6AE-3D24CBB817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0" name="Text Box 15">
          <a:extLst>
            <a:ext uri="{FF2B5EF4-FFF2-40B4-BE49-F238E27FC236}">
              <a16:creationId xmlns:a16="http://schemas.microsoft.com/office/drawing/2014/main" id="{1DCD51D2-B4C0-414E-8CD2-38F6F221FE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1" name="Text Box 15">
          <a:extLst>
            <a:ext uri="{FF2B5EF4-FFF2-40B4-BE49-F238E27FC236}">
              <a16:creationId xmlns:a16="http://schemas.microsoft.com/office/drawing/2014/main" id="{97960A59-5E16-4748-9538-885D806C0B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2" name="Text Box 15">
          <a:extLst>
            <a:ext uri="{FF2B5EF4-FFF2-40B4-BE49-F238E27FC236}">
              <a16:creationId xmlns:a16="http://schemas.microsoft.com/office/drawing/2014/main" id="{9FD19142-5216-4E8B-8CA8-FEAB839C90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3" name="Text Box 15">
          <a:extLst>
            <a:ext uri="{FF2B5EF4-FFF2-40B4-BE49-F238E27FC236}">
              <a16:creationId xmlns:a16="http://schemas.microsoft.com/office/drawing/2014/main" id="{CD56A542-962D-43CB-B925-0CC6142863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4" name="Text Box 15">
          <a:extLst>
            <a:ext uri="{FF2B5EF4-FFF2-40B4-BE49-F238E27FC236}">
              <a16:creationId xmlns:a16="http://schemas.microsoft.com/office/drawing/2014/main" id="{1167BF70-2590-4E37-B14A-A0A9302ECC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5" name="Text Box 15">
          <a:extLst>
            <a:ext uri="{FF2B5EF4-FFF2-40B4-BE49-F238E27FC236}">
              <a16:creationId xmlns:a16="http://schemas.microsoft.com/office/drawing/2014/main" id="{A9B079B1-7A60-46C0-BF88-C9B8395BCA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6" name="Text Box 15">
          <a:extLst>
            <a:ext uri="{FF2B5EF4-FFF2-40B4-BE49-F238E27FC236}">
              <a16:creationId xmlns:a16="http://schemas.microsoft.com/office/drawing/2014/main" id="{92A4896C-49B8-4E00-856A-206F0D226C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7" name="Text Box 15">
          <a:extLst>
            <a:ext uri="{FF2B5EF4-FFF2-40B4-BE49-F238E27FC236}">
              <a16:creationId xmlns:a16="http://schemas.microsoft.com/office/drawing/2014/main" id="{555D52DA-1225-42D6-B3B2-25F3E3D70A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08" name="Text Box 15">
          <a:extLst>
            <a:ext uri="{FF2B5EF4-FFF2-40B4-BE49-F238E27FC236}">
              <a16:creationId xmlns:a16="http://schemas.microsoft.com/office/drawing/2014/main" id="{9FC2946C-1362-4C4A-B6DF-68D5133F34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09" name="Text Box 15">
          <a:extLst>
            <a:ext uri="{FF2B5EF4-FFF2-40B4-BE49-F238E27FC236}">
              <a16:creationId xmlns:a16="http://schemas.microsoft.com/office/drawing/2014/main" id="{6677D12F-B086-462E-986E-1CE6FD8A62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10" name="Text Box 15">
          <a:extLst>
            <a:ext uri="{FF2B5EF4-FFF2-40B4-BE49-F238E27FC236}">
              <a16:creationId xmlns:a16="http://schemas.microsoft.com/office/drawing/2014/main" id="{AC9D07D0-354F-4B84-9334-041486FAEA3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11" name="Text Box 15">
          <a:extLst>
            <a:ext uri="{FF2B5EF4-FFF2-40B4-BE49-F238E27FC236}">
              <a16:creationId xmlns:a16="http://schemas.microsoft.com/office/drawing/2014/main" id="{5E4B53CB-4CFD-44CA-B918-BB921408710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12" name="Text Box 15">
          <a:extLst>
            <a:ext uri="{FF2B5EF4-FFF2-40B4-BE49-F238E27FC236}">
              <a16:creationId xmlns:a16="http://schemas.microsoft.com/office/drawing/2014/main" id="{FD78C76E-3BEC-422A-8645-2E0B6B967A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3" name="Text Box 15">
          <a:extLst>
            <a:ext uri="{FF2B5EF4-FFF2-40B4-BE49-F238E27FC236}">
              <a16:creationId xmlns:a16="http://schemas.microsoft.com/office/drawing/2014/main" id="{2F6698AB-8172-48A1-8968-8B60116BC3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4" name="Text Box 15">
          <a:extLst>
            <a:ext uri="{FF2B5EF4-FFF2-40B4-BE49-F238E27FC236}">
              <a16:creationId xmlns:a16="http://schemas.microsoft.com/office/drawing/2014/main" id="{ECFE6D1B-E4A8-4425-A308-19C757FA63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5" name="Text Box 15">
          <a:extLst>
            <a:ext uri="{FF2B5EF4-FFF2-40B4-BE49-F238E27FC236}">
              <a16:creationId xmlns:a16="http://schemas.microsoft.com/office/drawing/2014/main" id="{382C98B3-F23D-46D2-B77F-C41A04B25B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6" name="Text Box 15">
          <a:extLst>
            <a:ext uri="{FF2B5EF4-FFF2-40B4-BE49-F238E27FC236}">
              <a16:creationId xmlns:a16="http://schemas.microsoft.com/office/drawing/2014/main" id="{B99047E1-4558-479F-BF4F-64401E0E1D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7" name="Text Box 15">
          <a:extLst>
            <a:ext uri="{FF2B5EF4-FFF2-40B4-BE49-F238E27FC236}">
              <a16:creationId xmlns:a16="http://schemas.microsoft.com/office/drawing/2014/main" id="{5E71E5EE-4E5D-4670-A8B5-FB44722706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8" name="Text Box 15">
          <a:extLst>
            <a:ext uri="{FF2B5EF4-FFF2-40B4-BE49-F238E27FC236}">
              <a16:creationId xmlns:a16="http://schemas.microsoft.com/office/drawing/2014/main" id="{EA5F60EC-601D-4E22-BE89-272AB1BD66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9" name="Text Box 15">
          <a:extLst>
            <a:ext uri="{FF2B5EF4-FFF2-40B4-BE49-F238E27FC236}">
              <a16:creationId xmlns:a16="http://schemas.microsoft.com/office/drawing/2014/main" id="{A99BE41B-A9F1-4CBF-B687-0DDA3D8B4F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20" name="Text Box 15">
          <a:extLst>
            <a:ext uri="{FF2B5EF4-FFF2-40B4-BE49-F238E27FC236}">
              <a16:creationId xmlns:a16="http://schemas.microsoft.com/office/drawing/2014/main" id="{9988E571-7F20-4DAF-997C-80E0023A47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21" name="Text Box 15">
          <a:extLst>
            <a:ext uri="{FF2B5EF4-FFF2-40B4-BE49-F238E27FC236}">
              <a16:creationId xmlns:a16="http://schemas.microsoft.com/office/drawing/2014/main" id="{4C96BB1F-A7C3-4AC5-B44E-EED57F17E1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22" name="Text Box 15">
          <a:extLst>
            <a:ext uri="{FF2B5EF4-FFF2-40B4-BE49-F238E27FC236}">
              <a16:creationId xmlns:a16="http://schemas.microsoft.com/office/drawing/2014/main" id="{41E11426-699A-4F17-9643-50D63AA6B8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23" name="Text Box 15">
          <a:extLst>
            <a:ext uri="{FF2B5EF4-FFF2-40B4-BE49-F238E27FC236}">
              <a16:creationId xmlns:a16="http://schemas.microsoft.com/office/drawing/2014/main" id="{90593026-83A3-4CC8-A62A-2750015DE7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24" name="Text Box 15">
          <a:extLst>
            <a:ext uri="{FF2B5EF4-FFF2-40B4-BE49-F238E27FC236}">
              <a16:creationId xmlns:a16="http://schemas.microsoft.com/office/drawing/2014/main" id="{97A65A9F-B5CE-4E7E-AAEA-EAB37610B8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25" name="Text Box 15">
          <a:extLst>
            <a:ext uri="{FF2B5EF4-FFF2-40B4-BE49-F238E27FC236}">
              <a16:creationId xmlns:a16="http://schemas.microsoft.com/office/drawing/2014/main" id="{BF70D7AB-9353-4201-80B8-F6B1C7603EA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26" name="Text Box 15">
          <a:extLst>
            <a:ext uri="{FF2B5EF4-FFF2-40B4-BE49-F238E27FC236}">
              <a16:creationId xmlns:a16="http://schemas.microsoft.com/office/drawing/2014/main" id="{637FD953-6F70-4F0C-B54C-2FE38E86BB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27" name="Text Box 15">
          <a:extLst>
            <a:ext uri="{FF2B5EF4-FFF2-40B4-BE49-F238E27FC236}">
              <a16:creationId xmlns:a16="http://schemas.microsoft.com/office/drawing/2014/main" id="{215CBB53-A036-40F5-9196-87E1101EB3A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28" name="Text Box 15">
          <a:extLst>
            <a:ext uri="{FF2B5EF4-FFF2-40B4-BE49-F238E27FC236}">
              <a16:creationId xmlns:a16="http://schemas.microsoft.com/office/drawing/2014/main" id="{93572BDF-66D6-41D8-91E6-A21B1D90FD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29" name="Text Box 15">
          <a:extLst>
            <a:ext uri="{FF2B5EF4-FFF2-40B4-BE49-F238E27FC236}">
              <a16:creationId xmlns:a16="http://schemas.microsoft.com/office/drawing/2014/main" id="{1DA67FC7-075C-469E-A43A-233D2B93E56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0" name="Text Box 15">
          <a:extLst>
            <a:ext uri="{FF2B5EF4-FFF2-40B4-BE49-F238E27FC236}">
              <a16:creationId xmlns:a16="http://schemas.microsoft.com/office/drawing/2014/main" id="{CFA0C16A-2F5E-426F-97A7-F7871D284B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1" name="Text Box 15">
          <a:extLst>
            <a:ext uri="{FF2B5EF4-FFF2-40B4-BE49-F238E27FC236}">
              <a16:creationId xmlns:a16="http://schemas.microsoft.com/office/drawing/2014/main" id="{36BE1B6B-57B6-495E-8A99-2E95C93B87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2" name="Text Box 15">
          <a:extLst>
            <a:ext uri="{FF2B5EF4-FFF2-40B4-BE49-F238E27FC236}">
              <a16:creationId xmlns:a16="http://schemas.microsoft.com/office/drawing/2014/main" id="{0D2887A6-0D24-458D-AEEC-EC77EE9EEB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3" name="Text Box 15">
          <a:extLst>
            <a:ext uri="{FF2B5EF4-FFF2-40B4-BE49-F238E27FC236}">
              <a16:creationId xmlns:a16="http://schemas.microsoft.com/office/drawing/2014/main" id="{1FE5DE94-A04B-4404-9404-7F2980C53D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4" name="Text Box 15">
          <a:extLst>
            <a:ext uri="{FF2B5EF4-FFF2-40B4-BE49-F238E27FC236}">
              <a16:creationId xmlns:a16="http://schemas.microsoft.com/office/drawing/2014/main" id="{5C99D7BD-4E8C-4DA5-A0F8-1C87E025106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5" name="Text Box 15">
          <a:extLst>
            <a:ext uri="{FF2B5EF4-FFF2-40B4-BE49-F238E27FC236}">
              <a16:creationId xmlns:a16="http://schemas.microsoft.com/office/drawing/2014/main" id="{392083B4-A5F3-4809-8D6E-0B91FF704C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6" name="Text Box 15">
          <a:extLst>
            <a:ext uri="{FF2B5EF4-FFF2-40B4-BE49-F238E27FC236}">
              <a16:creationId xmlns:a16="http://schemas.microsoft.com/office/drawing/2014/main" id="{DB3BD697-B4C8-419F-9E86-F180C05D3E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7" name="Text Box 15">
          <a:extLst>
            <a:ext uri="{FF2B5EF4-FFF2-40B4-BE49-F238E27FC236}">
              <a16:creationId xmlns:a16="http://schemas.microsoft.com/office/drawing/2014/main" id="{345700E4-60C8-418B-AED2-B9BA7E65399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38" name="Text Box 15">
          <a:extLst>
            <a:ext uri="{FF2B5EF4-FFF2-40B4-BE49-F238E27FC236}">
              <a16:creationId xmlns:a16="http://schemas.microsoft.com/office/drawing/2014/main" id="{C1C0CF33-CF71-46EF-8F36-00DB971B2E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39" name="Text Box 15">
          <a:extLst>
            <a:ext uri="{FF2B5EF4-FFF2-40B4-BE49-F238E27FC236}">
              <a16:creationId xmlns:a16="http://schemas.microsoft.com/office/drawing/2014/main" id="{A210F570-0962-4C57-847D-41E344EE37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40" name="Text Box 15">
          <a:extLst>
            <a:ext uri="{FF2B5EF4-FFF2-40B4-BE49-F238E27FC236}">
              <a16:creationId xmlns:a16="http://schemas.microsoft.com/office/drawing/2014/main" id="{F1D31166-155D-4604-87D4-485131B983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41" name="Text Box 15">
          <a:extLst>
            <a:ext uri="{FF2B5EF4-FFF2-40B4-BE49-F238E27FC236}">
              <a16:creationId xmlns:a16="http://schemas.microsoft.com/office/drawing/2014/main" id="{93B27CE8-B2B0-43EC-B21B-246D112231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42" name="Text Box 15">
          <a:extLst>
            <a:ext uri="{FF2B5EF4-FFF2-40B4-BE49-F238E27FC236}">
              <a16:creationId xmlns:a16="http://schemas.microsoft.com/office/drawing/2014/main" id="{22F5BA42-D204-4CBF-9004-BF43068C0F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3" name="Text Box 15">
          <a:extLst>
            <a:ext uri="{FF2B5EF4-FFF2-40B4-BE49-F238E27FC236}">
              <a16:creationId xmlns:a16="http://schemas.microsoft.com/office/drawing/2014/main" id="{C2A5A292-133D-47D3-A3CC-814939EB74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4" name="Text Box 15">
          <a:extLst>
            <a:ext uri="{FF2B5EF4-FFF2-40B4-BE49-F238E27FC236}">
              <a16:creationId xmlns:a16="http://schemas.microsoft.com/office/drawing/2014/main" id="{23FAD5CD-6E40-472C-BA7E-9255037348C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5" name="Text Box 15">
          <a:extLst>
            <a:ext uri="{FF2B5EF4-FFF2-40B4-BE49-F238E27FC236}">
              <a16:creationId xmlns:a16="http://schemas.microsoft.com/office/drawing/2014/main" id="{CC905042-5E9B-4A8D-AB3D-E7492FBE43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6" name="Text Box 15">
          <a:extLst>
            <a:ext uri="{FF2B5EF4-FFF2-40B4-BE49-F238E27FC236}">
              <a16:creationId xmlns:a16="http://schemas.microsoft.com/office/drawing/2014/main" id="{BBAA7604-EB22-4A51-9B9B-0CEF3B1E9AD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7" name="Text Box 15">
          <a:extLst>
            <a:ext uri="{FF2B5EF4-FFF2-40B4-BE49-F238E27FC236}">
              <a16:creationId xmlns:a16="http://schemas.microsoft.com/office/drawing/2014/main" id="{C12E6502-E9B0-49DB-8331-68C1D42B3F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8" name="Text Box 15">
          <a:extLst>
            <a:ext uri="{FF2B5EF4-FFF2-40B4-BE49-F238E27FC236}">
              <a16:creationId xmlns:a16="http://schemas.microsoft.com/office/drawing/2014/main" id="{84EF13AC-4201-4061-90DF-DABFD47CE5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9" name="Text Box 15">
          <a:extLst>
            <a:ext uri="{FF2B5EF4-FFF2-40B4-BE49-F238E27FC236}">
              <a16:creationId xmlns:a16="http://schemas.microsoft.com/office/drawing/2014/main" id="{E35D86FE-5790-492D-97CA-EFB8374294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50" name="Text Box 15">
          <a:extLst>
            <a:ext uri="{FF2B5EF4-FFF2-40B4-BE49-F238E27FC236}">
              <a16:creationId xmlns:a16="http://schemas.microsoft.com/office/drawing/2014/main" id="{477D2B37-4F22-470F-BEFC-697B5DBB98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51" name="Text Box 15">
          <a:extLst>
            <a:ext uri="{FF2B5EF4-FFF2-40B4-BE49-F238E27FC236}">
              <a16:creationId xmlns:a16="http://schemas.microsoft.com/office/drawing/2014/main" id="{000F936D-D41A-4A9D-984E-EBFD6F09534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52" name="Text Box 15">
          <a:extLst>
            <a:ext uri="{FF2B5EF4-FFF2-40B4-BE49-F238E27FC236}">
              <a16:creationId xmlns:a16="http://schemas.microsoft.com/office/drawing/2014/main" id="{1459DBEA-86AD-4322-B06B-22F624472E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53" name="Text Box 15">
          <a:extLst>
            <a:ext uri="{FF2B5EF4-FFF2-40B4-BE49-F238E27FC236}">
              <a16:creationId xmlns:a16="http://schemas.microsoft.com/office/drawing/2014/main" id="{E809381A-0C13-424A-8AEB-B6ADEA4108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54" name="Text Box 15">
          <a:extLst>
            <a:ext uri="{FF2B5EF4-FFF2-40B4-BE49-F238E27FC236}">
              <a16:creationId xmlns:a16="http://schemas.microsoft.com/office/drawing/2014/main" id="{4A80EAE2-4AF6-4919-8138-BBB96C2DB7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55" name="Text Box 15">
          <a:extLst>
            <a:ext uri="{FF2B5EF4-FFF2-40B4-BE49-F238E27FC236}">
              <a16:creationId xmlns:a16="http://schemas.microsoft.com/office/drawing/2014/main" id="{219A3353-7444-4D13-85AC-CE6AD4CCE03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56" name="Text Box 15">
          <a:extLst>
            <a:ext uri="{FF2B5EF4-FFF2-40B4-BE49-F238E27FC236}">
              <a16:creationId xmlns:a16="http://schemas.microsoft.com/office/drawing/2014/main" id="{A471C0E6-BB18-4D7E-9068-23C046E8BC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57" name="Text Box 15">
          <a:extLst>
            <a:ext uri="{FF2B5EF4-FFF2-40B4-BE49-F238E27FC236}">
              <a16:creationId xmlns:a16="http://schemas.microsoft.com/office/drawing/2014/main" id="{527BC320-E96F-48E5-8B5F-6290317F79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58" name="Text Box 15">
          <a:extLst>
            <a:ext uri="{FF2B5EF4-FFF2-40B4-BE49-F238E27FC236}">
              <a16:creationId xmlns:a16="http://schemas.microsoft.com/office/drawing/2014/main" id="{093C662E-A87D-4E33-BD24-537BA03AEA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59" name="Text Box 15">
          <a:extLst>
            <a:ext uri="{FF2B5EF4-FFF2-40B4-BE49-F238E27FC236}">
              <a16:creationId xmlns:a16="http://schemas.microsoft.com/office/drawing/2014/main" id="{43600279-A626-4705-9B55-20B860CB74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0" name="Text Box 15">
          <a:extLst>
            <a:ext uri="{FF2B5EF4-FFF2-40B4-BE49-F238E27FC236}">
              <a16:creationId xmlns:a16="http://schemas.microsoft.com/office/drawing/2014/main" id="{2ED2ABA4-BA80-43A3-9D40-FB4D88FDD1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1" name="Text Box 15">
          <a:extLst>
            <a:ext uri="{FF2B5EF4-FFF2-40B4-BE49-F238E27FC236}">
              <a16:creationId xmlns:a16="http://schemas.microsoft.com/office/drawing/2014/main" id="{35D91B72-F08E-41CD-B434-9F61A8ADCE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2" name="Text Box 15">
          <a:extLst>
            <a:ext uri="{FF2B5EF4-FFF2-40B4-BE49-F238E27FC236}">
              <a16:creationId xmlns:a16="http://schemas.microsoft.com/office/drawing/2014/main" id="{1DCB9983-D2CE-4CD1-8DE1-A2C9B747E1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3" name="Text Box 15">
          <a:extLst>
            <a:ext uri="{FF2B5EF4-FFF2-40B4-BE49-F238E27FC236}">
              <a16:creationId xmlns:a16="http://schemas.microsoft.com/office/drawing/2014/main" id="{7B519D93-666D-4480-B402-C5380C4668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4" name="Text Box 15">
          <a:extLst>
            <a:ext uri="{FF2B5EF4-FFF2-40B4-BE49-F238E27FC236}">
              <a16:creationId xmlns:a16="http://schemas.microsoft.com/office/drawing/2014/main" id="{52FEA81F-1D0D-4229-A823-D36F5E9286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5" name="Text Box 15">
          <a:extLst>
            <a:ext uri="{FF2B5EF4-FFF2-40B4-BE49-F238E27FC236}">
              <a16:creationId xmlns:a16="http://schemas.microsoft.com/office/drawing/2014/main" id="{7AF5F86D-2EDA-4C55-B4B9-7EC616E15D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66" name="Text Box 15">
          <a:extLst>
            <a:ext uri="{FF2B5EF4-FFF2-40B4-BE49-F238E27FC236}">
              <a16:creationId xmlns:a16="http://schemas.microsoft.com/office/drawing/2014/main" id="{76C093B8-6F60-435C-A307-9AF60DAAC4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67" name="Text Box 15">
          <a:extLst>
            <a:ext uri="{FF2B5EF4-FFF2-40B4-BE49-F238E27FC236}">
              <a16:creationId xmlns:a16="http://schemas.microsoft.com/office/drawing/2014/main" id="{53473515-F7E4-4E08-B037-090A202424D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68" name="Text Box 15">
          <a:extLst>
            <a:ext uri="{FF2B5EF4-FFF2-40B4-BE49-F238E27FC236}">
              <a16:creationId xmlns:a16="http://schemas.microsoft.com/office/drawing/2014/main" id="{28C82BC1-EE7A-43FD-80AE-34B2CF46D7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69" name="Text Box 15">
          <a:extLst>
            <a:ext uri="{FF2B5EF4-FFF2-40B4-BE49-F238E27FC236}">
              <a16:creationId xmlns:a16="http://schemas.microsoft.com/office/drawing/2014/main" id="{07F4CA79-50D1-40B2-9E43-373E237D5F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70" name="Text Box 15">
          <a:extLst>
            <a:ext uri="{FF2B5EF4-FFF2-40B4-BE49-F238E27FC236}">
              <a16:creationId xmlns:a16="http://schemas.microsoft.com/office/drawing/2014/main" id="{C6B01D09-4098-4473-80E8-8F53DE4D5F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1" name="Text Box 15">
          <a:extLst>
            <a:ext uri="{FF2B5EF4-FFF2-40B4-BE49-F238E27FC236}">
              <a16:creationId xmlns:a16="http://schemas.microsoft.com/office/drawing/2014/main" id="{46B18B50-B87F-43BF-A4C0-19EC03F62B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2" name="Text Box 15">
          <a:extLst>
            <a:ext uri="{FF2B5EF4-FFF2-40B4-BE49-F238E27FC236}">
              <a16:creationId xmlns:a16="http://schemas.microsoft.com/office/drawing/2014/main" id="{19BEFA27-92FD-40EE-AF6F-D2B4DB2FA0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3" name="Text Box 15">
          <a:extLst>
            <a:ext uri="{FF2B5EF4-FFF2-40B4-BE49-F238E27FC236}">
              <a16:creationId xmlns:a16="http://schemas.microsoft.com/office/drawing/2014/main" id="{EE6860B0-426A-4B82-BE35-F9CE5DDC56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4" name="Text Box 15">
          <a:extLst>
            <a:ext uri="{FF2B5EF4-FFF2-40B4-BE49-F238E27FC236}">
              <a16:creationId xmlns:a16="http://schemas.microsoft.com/office/drawing/2014/main" id="{BE7091E5-7CCC-43FC-95E5-98AD02BD12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5" name="Text Box 15">
          <a:extLst>
            <a:ext uri="{FF2B5EF4-FFF2-40B4-BE49-F238E27FC236}">
              <a16:creationId xmlns:a16="http://schemas.microsoft.com/office/drawing/2014/main" id="{CE0D96CD-1ED9-40B6-9A4D-24446CA57D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6" name="Text Box 15">
          <a:extLst>
            <a:ext uri="{FF2B5EF4-FFF2-40B4-BE49-F238E27FC236}">
              <a16:creationId xmlns:a16="http://schemas.microsoft.com/office/drawing/2014/main" id="{172966CE-6B28-47A0-808E-106C87170B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7" name="Text Box 15">
          <a:extLst>
            <a:ext uri="{FF2B5EF4-FFF2-40B4-BE49-F238E27FC236}">
              <a16:creationId xmlns:a16="http://schemas.microsoft.com/office/drawing/2014/main" id="{2EC97A4D-2984-4AC6-85E4-7D11BBD8B9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8" name="Text Box 15">
          <a:extLst>
            <a:ext uri="{FF2B5EF4-FFF2-40B4-BE49-F238E27FC236}">
              <a16:creationId xmlns:a16="http://schemas.microsoft.com/office/drawing/2014/main" id="{B970975D-75C1-4FF9-85CA-C828D51E2A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9" name="Text Box 15">
          <a:extLst>
            <a:ext uri="{FF2B5EF4-FFF2-40B4-BE49-F238E27FC236}">
              <a16:creationId xmlns:a16="http://schemas.microsoft.com/office/drawing/2014/main" id="{C7E16FED-569E-4D95-91A9-9D6D082956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80" name="Text Box 15">
          <a:extLst>
            <a:ext uri="{FF2B5EF4-FFF2-40B4-BE49-F238E27FC236}">
              <a16:creationId xmlns:a16="http://schemas.microsoft.com/office/drawing/2014/main" id="{2E9B2A4F-90C3-4FD6-97ED-78248D9249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81" name="Text Box 15">
          <a:extLst>
            <a:ext uri="{FF2B5EF4-FFF2-40B4-BE49-F238E27FC236}">
              <a16:creationId xmlns:a16="http://schemas.microsoft.com/office/drawing/2014/main" id="{22EC1F75-8DF0-49CB-A3EF-599A2AF067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82" name="Text Box 15">
          <a:extLst>
            <a:ext uri="{FF2B5EF4-FFF2-40B4-BE49-F238E27FC236}">
              <a16:creationId xmlns:a16="http://schemas.microsoft.com/office/drawing/2014/main" id="{D0617245-348A-4350-BC72-E8D0B15CF5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83" name="Text Box 15">
          <a:extLst>
            <a:ext uri="{FF2B5EF4-FFF2-40B4-BE49-F238E27FC236}">
              <a16:creationId xmlns:a16="http://schemas.microsoft.com/office/drawing/2014/main" id="{69F0F0C7-3773-4269-B958-DA6A919133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84" name="Text Box 15">
          <a:extLst>
            <a:ext uri="{FF2B5EF4-FFF2-40B4-BE49-F238E27FC236}">
              <a16:creationId xmlns:a16="http://schemas.microsoft.com/office/drawing/2014/main" id="{F8F0A91A-330A-4B5E-B35A-77ED3F89BA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85" name="Text Box 15">
          <a:extLst>
            <a:ext uri="{FF2B5EF4-FFF2-40B4-BE49-F238E27FC236}">
              <a16:creationId xmlns:a16="http://schemas.microsoft.com/office/drawing/2014/main" id="{11E1716F-2D9B-4128-B665-68F992DF3B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86" name="Text Box 15">
          <a:extLst>
            <a:ext uri="{FF2B5EF4-FFF2-40B4-BE49-F238E27FC236}">
              <a16:creationId xmlns:a16="http://schemas.microsoft.com/office/drawing/2014/main" id="{C945EB34-3A73-47E7-826C-88A06E1410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87" name="Text Box 15">
          <a:extLst>
            <a:ext uri="{FF2B5EF4-FFF2-40B4-BE49-F238E27FC236}">
              <a16:creationId xmlns:a16="http://schemas.microsoft.com/office/drawing/2014/main" id="{CCE130D6-A095-4054-9EF9-2F4401DC3F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88" name="Text Box 15">
          <a:extLst>
            <a:ext uri="{FF2B5EF4-FFF2-40B4-BE49-F238E27FC236}">
              <a16:creationId xmlns:a16="http://schemas.microsoft.com/office/drawing/2014/main" id="{C64E43B7-9932-46E9-968F-B79C75229D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89" name="Text Box 15">
          <a:extLst>
            <a:ext uri="{FF2B5EF4-FFF2-40B4-BE49-F238E27FC236}">
              <a16:creationId xmlns:a16="http://schemas.microsoft.com/office/drawing/2014/main" id="{A6F01F08-787C-4439-A8CB-71372E7C4E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0" name="Text Box 15">
          <a:extLst>
            <a:ext uri="{FF2B5EF4-FFF2-40B4-BE49-F238E27FC236}">
              <a16:creationId xmlns:a16="http://schemas.microsoft.com/office/drawing/2014/main" id="{29BED815-A5DB-4FB4-AEDF-1B22CA89EF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1" name="Text Box 15">
          <a:extLst>
            <a:ext uri="{FF2B5EF4-FFF2-40B4-BE49-F238E27FC236}">
              <a16:creationId xmlns:a16="http://schemas.microsoft.com/office/drawing/2014/main" id="{95FC1CF9-2C0A-45CF-8CBB-0A90C51CB8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2" name="Text Box 15">
          <a:extLst>
            <a:ext uri="{FF2B5EF4-FFF2-40B4-BE49-F238E27FC236}">
              <a16:creationId xmlns:a16="http://schemas.microsoft.com/office/drawing/2014/main" id="{F8D3DE36-0435-4EC3-9146-B9C95B505C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3" name="Text Box 15">
          <a:extLst>
            <a:ext uri="{FF2B5EF4-FFF2-40B4-BE49-F238E27FC236}">
              <a16:creationId xmlns:a16="http://schemas.microsoft.com/office/drawing/2014/main" id="{C9CD354A-4B23-4D66-84D2-4064E46116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4" name="Text Box 15">
          <a:extLst>
            <a:ext uri="{FF2B5EF4-FFF2-40B4-BE49-F238E27FC236}">
              <a16:creationId xmlns:a16="http://schemas.microsoft.com/office/drawing/2014/main" id="{12CDB35E-2254-4D4E-AD7F-EA91BEB967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5" name="Text Box 15">
          <a:extLst>
            <a:ext uri="{FF2B5EF4-FFF2-40B4-BE49-F238E27FC236}">
              <a16:creationId xmlns:a16="http://schemas.microsoft.com/office/drawing/2014/main" id="{4363D2F9-9DC9-4735-AA63-4D0DED28B0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96" name="Text Box 15">
          <a:extLst>
            <a:ext uri="{FF2B5EF4-FFF2-40B4-BE49-F238E27FC236}">
              <a16:creationId xmlns:a16="http://schemas.microsoft.com/office/drawing/2014/main" id="{1B0D12FC-8CFF-4B8D-A0FA-B0E4A3C4B9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97" name="Text Box 15">
          <a:extLst>
            <a:ext uri="{FF2B5EF4-FFF2-40B4-BE49-F238E27FC236}">
              <a16:creationId xmlns:a16="http://schemas.microsoft.com/office/drawing/2014/main" id="{9EB6E34E-1156-4B7C-B3D9-A709888A6B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98" name="Text Box 15">
          <a:extLst>
            <a:ext uri="{FF2B5EF4-FFF2-40B4-BE49-F238E27FC236}">
              <a16:creationId xmlns:a16="http://schemas.microsoft.com/office/drawing/2014/main" id="{F15B8B48-0FA2-4479-B5B1-D6D00777A44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99" name="Text Box 15">
          <a:extLst>
            <a:ext uri="{FF2B5EF4-FFF2-40B4-BE49-F238E27FC236}">
              <a16:creationId xmlns:a16="http://schemas.microsoft.com/office/drawing/2014/main" id="{4D8093F6-1007-471A-8B7B-05F865C337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00" name="Text Box 15">
          <a:extLst>
            <a:ext uri="{FF2B5EF4-FFF2-40B4-BE49-F238E27FC236}">
              <a16:creationId xmlns:a16="http://schemas.microsoft.com/office/drawing/2014/main" id="{F2B31921-2335-437E-AB35-1A694D1E9D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1" name="Text Box 15">
          <a:extLst>
            <a:ext uri="{FF2B5EF4-FFF2-40B4-BE49-F238E27FC236}">
              <a16:creationId xmlns:a16="http://schemas.microsoft.com/office/drawing/2014/main" id="{C8399EFB-22DA-4A8A-975A-08C6934FC2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2" name="Text Box 15">
          <a:extLst>
            <a:ext uri="{FF2B5EF4-FFF2-40B4-BE49-F238E27FC236}">
              <a16:creationId xmlns:a16="http://schemas.microsoft.com/office/drawing/2014/main" id="{804DE69E-6347-4BC3-97D0-1D07034609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3" name="Text Box 15">
          <a:extLst>
            <a:ext uri="{FF2B5EF4-FFF2-40B4-BE49-F238E27FC236}">
              <a16:creationId xmlns:a16="http://schemas.microsoft.com/office/drawing/2014/main" id="{AEDE119C-D0A2-4CD4-8D37-E2AB18D533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4" name="Text Box 15">
          <a:extLst>
            <a:ext uri="{FF2B5EF4-FFF2-40B4-BE49-F238E27FC236}">
              <a16:creationId xmlns:a16="http://schemas.microsoft.com/office/drawing/2014/main" id="{441D7FAF-6AF4-48DA-8FA1-D96E8CD735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5" name="Text Box 15">
          <a:extLst>
            <a:ext uri="{FF2B5EF4-FFF2-40B4-BE49-F238E27FC236}">
              <a16:creationId xmlns:a16="http://schemas.microsoft.com/office/drawing/2014/main" id="{0687606F-E77B-4EE2-A11E-649BBF0FF0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6" name="Text Box 15">
          <a:extLst>
            <a:ext uri="{FF2B5EF4-FFF2-40B4-BE49-F238E27FC236}">
              <a16:creationId xmlns:a16="http://schemas.microsoft.com/office/drawing/2014/main" id="{65AA27A7-0950-4421-9745-836CB3672B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7" name="Text Box 15">
          <a:extLst>
            <a:ext uri="{FF2B5EF4-FFF2-40B4-BE49-F238E27FC236}">
              <a16:creationId xmlns:a16="http://schemas.microsoft.com/office/drawing/2014/main" id="{73969B12-93C2-4B2D-9D38-C9B01AC6BD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8" name="Text Box 15">
          <a:extLst>
            <a:ext uri="{FF2B5EF4-FFF2-40B4-BE49-F238E27FC236}">
              <a16:creationId xmlns:a16="http://schemas.microsoft.com/office/drawing/2014/main" id="{6EEA6462-F336-49B2-B008-0AAC59424A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9" name="Text Box 15">
          <a:extLst>
            <a:ext uri="{FF2B5EF4-FFF2-40B4-BE49-F238E27FC236}">
              <a16:creationId xmlns:a16="http://schemas.microsoft.com/office/drawing/2014/main" id="{E3105AD4-A7E2-4C75-84A5-077619229F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10" name="Text Box 15">
          <a:extLst>
            <a:ext uri="{FF2B5EF4-FFF2-40B4-BE49-F238E27FC236}">
              <a16:creationId xmlns:a16="http://schemas.microsoft.com/office/drawing/2014/main" id="{A124F214-A2B4-478C-8ED1-690F7FD2F2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11" name="Text Box 15">
          <a:extLst>
            <a:ext uri="{FF2B5EF4-FFF2-40B4-BE49-F238E27FC236}">
              <a16:creationId xmlns:a16="http://schemas.microsoft.com/office/drawing/2014/main" id="{664F6C57-B0FE-424E-B500-C3199589A0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12" name="Text Box 15">
          <a:extLst>
            <a:ext uri="{FF2B5EF4-FFF2-40B4-BE49-F238E27FC236}">
              <a16:creationId xmlns:a16="http://schemas.microsoft.com/office/drawing/2014/main" id="{2DC2474C-0182-4156-8C10-78E5256130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13" name="Text Box 15">
          <a:extLst>
            <a:ext uri="{FF2B5EF4-FFF2-40B4-BE49-F238E27FC236}">
              <a16:creationId xmlns:a16="http://schemas.microsoft.com/office/drawing/2014/main" id="{22BCF59F-8748-4B43-848C-B7A522F618B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14" name="Text Box 15">
          <a:extLst>
            <a:ext uri="{FF2B5EF4-FFF2-40B4-BE49-F238E27FC236}">
              <a16:creationId xmlns:a16="http://schemas.microsoft.com/office/drawing/2014/main" id="{9EAE789D-B674-4A54-8938-D28D07C9A7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15" name="Text Box 15">
          <a:extLst>
            <a:ext uri="{FF2B5EF4-FFF2-40B4-BE49-F238E27FC236}">
              <a16:creationId xmlns:a16="http://schemas.microsoft.com/office/drawing/2014/main" id="{563E6132-5A8C-457C-9CFB-8D39AB3C92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16" name="Text Box 15">
          <a:extLst>
            <a:ext uri="{FF2B5EF4-FFF2-40B4-BE49-F238E27FC236}">
              <a16:creationId xmlns:a16="http://schemas.microsoft.com/office/drawing/2014/main" id="{4F47BE48-B06E-4511-A0EA-E29DB3409D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17" name="Text Box 15">
          <a:extLst>
            <a:ext uri="{FF2B5EF4-FFF2-40B4-BE49-F238E27FC236}">
              <a16:creationId xmlns:a16="http://schemas.microsoft.com/office/drawing/2014/main" id="{0F8EC539-DA01-44A5-ACD8-DB006E9A5DE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18" name="Text Box 15">
          <a:extLst>
            <a:ext uri="{FF2B5EF4-FFF2-40B4-BE49-F238E27FC236}">
              <a16:creationId xmlns:a16="http://schemas.microsoft.com/office/drawing/2014/main" id="{8C5C7036-5B99-484E-A044-7B958A4901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19" name="Text Box 15">
          <a:extLst>
            <a:ext uri="{FF2B5EF4-FFF2-40B4-BE49-F238E27FC236}">
              <a16:creationId xmlns:a16="http://schemas.microsoft.com/office/drawing/2014/main" id="{1645FA73-2E7C-4FA3-B014-4ED40AB323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0" name="Text Box 15">
          <a:extLst>
            <a:ext uri="{FF2B5EF4-FFF2-40B4-BE49-F238E27FC236}">
              <a16:creationId xmlns:a16="http://schemas.microsoft.com/office/drawing/2014/main" id="{0255D56A-E027-4863-B333-E1D1E372A5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1" name="Text Box 15">
          <a:extLst>
            <a:ext uri="{FF2B5EF4-FFF2-40B4-BE49-F238E27FC236}">
              <a16:creationId xmlns:a16="http://schemas.microsoft.com/office/drawing/2014/main" id="{F7B95761-5B6C-485C-B977-A25A2FD9949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2" name="Text Box 15">
          <a:extLst>
            <a:ext uri="{FF2B5EF4-FFF2-40B4-BE49-F238E27FC236}">
              <a16:creationId xmlns:a16="http://schemas.microsoft.com/office/drawing/2014/main" id="{69461837-39B5-4357-99C8-57C88C48BD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3" name="Text Box 15">
          <a:extLst>
            <a:ext uri="{FF2B5EF4-FFF2-40B4-BE49-F238E27FC236}">
              <a16:creationId xmlns:a16="http://schemas.microsoft.com/office/drawing/2014/main" id="{44700FF2-343D-45EB-85FD-E1291389319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4" name="Text Box 15">
          <a:extLst>
            <a:ext uri="{FF2B5EF4-FFF2-40B4-BE49-F238E27FC236}">
              <a16:creationId xmlns:a16="http://schemas.microsoft.com/office/drawing/2014/main" id="{CF1B6569-E492-4467-816D-B62D8063BD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5" name="Text Box 15">
          <a:extLst>
            <a:ext uri="{FF2B5EF4-FFF2-40B4-BE49-F238E27FC236}">
              <a16:creationId xmlns:a16="http://schemas.microsoft.com/office/drawing/2014/main" id="{8C49B944-DACD-4D92-ACB6-4AAA4E3447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26" name="Text Box 15">
          <a:extLst>
            <a:ext uri="{FF2B5EF4-FFF2-40B4-BE49-F238E27FC236}">
              <a16:creationId xmlns:a16="http://schemas.microsoft.com/office/drawing/2014/main" id="{CD5DBFB7-DB9A-49A3-B286-C9ADEA5E90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27" name="Text Box 15">
          <a:extLst>
            <a:ext uri="{FF2B5EF4-FFF2-40B4-BE49-F238E27FC236}">
              <a16:creationId xmlns:a16="http://schemas.microsoft.com/office/drawing/2014/main" id="{75918804-BFBA-47BA-9D52-3ABAF7EB15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28" name="Text Box 15">
          <a:extLst>
            <a:ext uri="{FF2B5EF4-FFF2-40B4-BE49-F238E27FC236}">
              <a16:creationId xmlns:a16="http://schemas.microsoft.com/office/drawing/2014/main" id="{CD7D2B29-0AC7-42C0-8ABB-DB53B61DC9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29" name="Text Box 15">
          <a:extLst>
            <a:ext uri="{FF2B5EF4-FFF2-40B4-BE49-F238E27FC236}">
              <a16:creationId xmlns:a16="http://schemas.microsoft.com/office/drawing/2014/main" id="{D80BA87C-94DC-4C67-8EF9-8B1E3A74E5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30" name="Text Box 15">
          <a:extLst>
            <a:ext uri="{FF2B5EF4-FFF2-40B4-BE49-F238E27FC236}">
              <a16:creationId xmlns:a16="http://schemas.microsoft.com/office/drawing/2014/main" id="{90723E50-291F-43BF-A7B6-DB4C471F461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1" name="Text Box 15">
          <a:extLst>
            <a:ext uri="{FF2B5EF4-FFF2-40B4-BE49-F238E27FC236}">
              <a16:creationId xmlns:a16="http://schemas.microsoft.com/office/drawing/2014/main" id="{E2DA3299-10C9-45F3-8314-E4223488B2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2" name="Text Box 15">
          <a:extLst>
            <a:ext uri="{FF2B5EF4-FFF2-40B4-BE49-F238E27FC236}">
              <a16:creationId xmlns:a16="http://schemas.microsoft.com/office/drawing/2014/main" id="{BAB70856-7DAE-4D70-929E-61717DA28E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3" name="Text Box 15">
          <a:extLst>
            <a:ext uri="{FF2B5EF4-FFF2-40B4-BE49-F238E27FC236}">
              <a16:creationId xmlns:a16="http://schemas.microsoft.com/office/drawing/2014/main" id="{E8EB8D07-BA56-408B-B69E-5514824324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4" name="Text Box 15">
          <a:extLst>
            <a:ext uri="{FF2B5EF4-FFF2-40B4-BE49-F238E27FC236}">
              <a16:creationId xmlns:a16="http://schemas.microsoft.com/office/drawing/2014/main" id="{016847EE-FDF9-4B1E-8F2C-127338E36D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5" name="Text Box 15">
          <a:extLst>
            <a:ext uri="{FF2B5EF4-FFF2-40B4-BE49-F238E27FC236}">
              <a16:creationId xmlns:a16="http://schemas.microsoft.com/office/drawing/2014/main" id="{930300C5-DB0B-4DEC-AF5F-E6C10A87FF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6" name="Text Box 15">
          <a:extLst>
            <a:ext uri="{FF2B5EF4-FFF2-40B4-BE49-F238E27FC236}">
              <a16:creationId xmlns:a16="http://schemas.microsoft.com/office/drawing/2014/main" id="{CD545781-ABBA-4C96-AC30-F71BF3BDD6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7" name="Text Box 15">
          <a:extLst>
            <a:ext uri="{FF2B5EF4-FFF2-40B4-BE49-F238E27FC236}">
              <a16:creationId xmlns:a16="http://schemas.microsoft.com/office/drawing/2014/main" id="{C0661D51-DD6B-4774-91BF-455AA2A615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38" name="Text Box 15">
          <a:extLst>
            <a:ext uri="{FF2B5EF4-FFF2-40B4-BE49-F238E27FC236}">
              <a16:creationId xmlns:a16="http://schemas.microsoft.com/office/drawing/2014/main" id="{4C0D0223-9C72-4FFF-B413-29A536AE65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39" name="Text Box 15">
          <a:extLst>
            <a:ext uri="{FF2B5EF4-FFF2-40B4-BE49-F238E27FC236}">
              <a16:creationId xmlns:a16="http://schemas.microsoft.com/office/drawing/2014/main" id="{9F6C54C6-8482-40BC-B494-DBDBD067CC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40" name="Text Box 15">
          <a:extLst>
            <a:ext uri="{FF2B5EF4-FFF2-40B4-BE49-F238E27FC236}">
              <a16:creationId xmlns:a16="http://schemas.microsoft.com/office/drawing/2014/main" id="{45FDADA6-7096-45FA-B23C-A0F851611C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1" name="Text Box 15">
          <a:extLst>
            <a:ext uri="{FF2B5EF4-FFF2-40B4-BE49-F238E27FC236}">
              <a16:creationId xmlns:a16="http://schemas.microsoft.com/office/drawing/2014/main" id="{9992CBDA-F6E3-453E-BD45-273CD90620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2" name="Text Box 15">
          <a:extLst>
            <a:ext uri="{FF2B5EF4-FFF2-40B4-BE49-F238E27FC236}">
              <a16:creationId xmlns:a16="http://schemas.microsoft.com/office/drawing/2014/main" id="{FF568018-F04E-4FE8-991A-2FC6BC1E19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3" name="Text Box 15">
          <a:extLst>
            <a:ext uri="{FF2B5EF4-FFF2-40B4-BE49-F238E27FC236}">
              <a16:creationId xmlns:a16="http://schemas.microsoft.com/office/drawing/2014/main" id="{09ECAD65-E84B-43C4-9955-795A4A4180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4" name="Text Box 15">
          <a:extLst>
            <a:ext uri="{FF2B5EF4-FFF2-40B4-BE49-F238E27FC236}">
              <a16:creationId xmlns:a16="http://schemas.microsoft.com/office/drawing/2014/main" id="{79AD5FBA-6F66-4A96-BE9B-F00475168C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5" name="Text Box 15">
          <a:extLst>
            <a:ext uri="{FF2B5EF4-FFF2-40B4-BE49-F238E27FC236}">
              <a16:creationId xmlns:a16="http://schemas.microsoft.com/office/drawing/2014/main" id="{C4EF2BA3-93EB-48A0-86B8-2C99E132DE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6" name="Text Box 15">
          <a:extLst>
            <a:ext uri="{FF2B5EF4-FFF2-40B4-BE49-F238E27FC236}">
              <a16:creationId xmlns:a16="http://schemas.microsoft.com/office/drawing/2014/main" id="{4679325A-632C-46BC-94FD-F1B758DCA1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7" name="Text Box 15">
          <a:extLst>
            <a:ext uri="{FF2B5EF4-FFF2-40B4-BE49-F238E27FC236}">
              <a16:creationId xmlns:a16="http://schemas.microsoft.com/office/drawing/2014/main" id="{A342A223-71AA-4B5F-AE63-FBD2E2E265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8" name="Text Box 15">
          <a:extLst>
            <a:ext uri="{FF2B5EF4-FFF2-40B4-BE49-F238E27FC236}">
              <a16:creationId xmlns:a16="http://schemas.microsoft.com/office/drawing/2014/main" id="{E9167D1A-7511-4CC4-A94F-44D36BD46D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9" name="Text Box 15">
          <a:extLst>
            <a:ext uri="{FF2B5EF4-FFF2-40B4-BE49-F238E27FC236}">
              <a16:creationId xmlns:a16="http://schemas.microsoft.com/office/drawing/2014/main" id="{DD01617A-48D7-47F0-AD0C-5E54564AD2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50" name="Text Box 15">
          <a:extLst>
            <a:ext uri="{FF2B5EF4-FFF2-40B4-BE49-F238E27FC236}">
              <a16:creationId xmlns:a16="http://schemas.microsoft.com/office/drawing/2014/main" id="{731FE6C3-D4E7-487E-ADAD-36206244A7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51" name="Text Box 15">
          <a:extLst>
            <a:ext uri="{FF2B5EF4-FFF2-40B4-BE49-F238E27FC236}">
              <a16:creationId xmlns:a16="http://schemas.microsoft.com/office/drawing/2014/main" id="{44B9FF38-F45C-4DEE-8CCC-42D6CD0EA4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52" name="Text Box 15">
          <a:extLst>
            <a:ext uri="{FF2B5EF4-FFF2-40B4-BE49-F238E27FC236}">
              <a16:creationId xmlns:a16="http://schemas.microsoft.com/office/drawing/2014/main" id="{684F5877-5674-4E82-ABBF-735B574EDE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53" name="Text Box 15">
          <a:extLst>
            <a:ext uri="{FF2B5EF4-FFF2-40B4-BE49-F238E27FC236}">
              <a16:creationId xmlns:a16="http://schemas.microsoft.com/office/drawing/2014/main" id="{2B60C4D6-CAA7-4E1F-A0FD-140C3CA504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54" name="Text Box 15">
          <a:extLst>
            <a:ext uri="{FF2B5EF4-FFF2-40B4-BE49-F238E27FC236}">
              <a16:creationId xmlns:a16="http://schemas.microsoft.com/office/drawing/2014/main" id="{665D2EFA-7759-4684-9EBC-BD1BA4BDFB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55" name="Text Box 15">
          <a:extLst>
            <a:ext uri="{FF2B5EF4-FFF2-40B4-BE49-F238E27FC236}">
              <a16:creationId xmlns:a16="http://schemas.microsoft.com/office/drawing/2014/main" id="{F39431C2-A2AE-4534-A99A-F24AD5BDAB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56" name="Text Box 15">
          <a:extLst>
            <a:ext uri="{FF2B5EF4-FFF2-40B4-BE49-F238E27FC236}">
              <a16:creationId xmlns:a16="http://schemas.microsoft.com/office/drawing/2014/main" id="{1A8CCE65-95F9-4AE0-8770-D9AE50FF87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57" name="Text Box 15">
          <a:extLst>
            <a:ext uri="{FF2B5EF4-FFF2-40B4-BE49-F238E27FC236}">
              <a16:creationId xmlns:a16="http://schemas.microsoft.com/office/drawing/2014/main" id="{56D8E9D1-7E6C-48B6-973C-5AE3930770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58" name="Text Box 15">
          <a:extLst>
            <a:ext uri="{FF2B5EF4-FFF2-40B4-BE49-F238E27FC236}">
              <a16:creationId xmlns:a16="http://schemas.microsoft.com/office/drawing/2014/main" id="{05ECF725-1A96-4074-8E3A-123A82BC83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59" name="Text Box 15">
          <a:extLst>
            <a:ext uri="{FF2B5EF4-FFF2-40B4-BE49-F238E27FC236}">
              <a16:creationId xmlns:a16="http://schemas.microsoft.com/office/drawing/2014/main" id="{2FE8230B-9ACF-439F-9565-A4349818BC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0" name="Text Box 15">
          <a:extLst>
            <a:ext uri="{FF2B5EF4-FFF2-40B4-BE49-F238E27FC236}">
              <a16:creationId xmlns:a16="http://schemas.microsoft.com/office/drawing/2014/main" id="{41556E15-65D7-4E3F-8050-C39C4E5C75D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1" name="Text Box 15">
          <a:extLst>
            <a:ext uri="{FF2B5EF4-FFF2-40B4-BE49-F238E27FC236}">
              <a16:creationId xmlns:a16="http://schemas.microsoft.com/office/drawing/2014/main" id="{106267A1-A561-4566-99E8-959051C7CF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2" name="Text Box 15">
          <a:extLst>
            <a:ext uri="{FF2B5EF4-FFF2-40B4-BE49-F238E27FC236}">
              <a16:creationId xmlns:a16="http://schemas.microsoft.com/office/drawing/2014/main" id="{2BB7C00F-C342-4F85-9A00-B26B4016AB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3" name="Text Box 15">
          <a:extLst>
            <a:ext uri="{FF2B5EF4-FFF2-40B4-BE49-F238E27FC236}">
              <a16:creationId xmlns:a16="http://schemas.microsoft.com/office/drawing/2014/main" id="{9A6EEF74-70AA-4EDA-B9B7-FE28E9E70C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4" name="Text Box 15">
          <a:extLst>
            <a:ext uri="{FF2B5EF4-FFF2-40B4-BE49-F238E27FC236}">
              <a16:creationId xmlns:a16="http://schemas.microsoft.com/office/drawing/2014/main" id="{211EBA23-9266-46B8-BD4C-5A7CFC1622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5" name="Text Box 15">
          <a:extLst>
            <a:ext uri="{FF2B5EF4-FFF2-40B4-BE49-F238E27FC236}">
              <a16:creationId xmlns:a16="http://schemas.microsoft.com/office/drawing/2014/main" id="{3592039E-2FB1-43E3-A2CF-02DB7DA8EB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66" name="Text Box 15">
          <a:extLst>
            <a:ext uri="{FF2B5EF4-FFF2-40B4-BE49-F238E27FC236}">
              <a16:creationId xmlns:a16="http://schemas.microsoft.com/office/drawing/2014/main" id="{5A413EB3-2295-4011-837B-0CD9F7E5DF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67" name="Text Box 15">
          <a:extLst>
            <a:ext uri="{FF2B5EF4-FFF2-40B4-BE49-F238E27FC236}">
              <a16:creationId xmlns:a16="http://schemas.microsoft.com/office/drawing/2014/main" id="{B487BC5C-4A38-41A9-B211-9A33FDF4F9C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68" name="Text Box 15">
          <a:extLst>
            <a:ext uri="{FF2B5EF4-FFF2-40B4-BE49-F238E27FC236}">
              <a16:creationId xmlns:a16="http://schemas.microsoft.com/office/drawing/2014/main" id="{D51BF4C6-EA96-45BC-BF55-0419048EA8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69" name="Text Box 15">
          <a:extLst>
            <a:ext uri="{FF2B5EF4-FFF2-40B4-BE49-F238E27FC236}">
              <a16:creationId xmlns:a16="http://schemas.microsoft.com/office/drawing/2014/main" id="{FEBD4FF8-D95E-4794-B6D3-9937DAEF42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70" name="Text Box 15">
          <a:extLst>
            <a:ext uri="{FF2B5EF4-FFF2-40B4-BE49-F238E27FC236}">
              <a16:creationId xmlns:a16="http://schemas.microsoft.com/office/drawing/2014/main" id="{11D3C6CE-CF6B-46A8-AFE4-D9E114CD11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1" name="Text Box 15">
          <a:extLst>
            <a:ext uri="{FF2B5EF4-FFF2-40B4-BE49-F238E27FC236}">
              <a16:creationId xmlns:a16="http://schemas.microsoft.com/office/drawing/2014/main" id="{DD1C5A7F-6118-487F-A426-4FE0BFD13F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2" name="Text Box 15">
          <a:extLst>
            <a:ext uri="{FF2B5EF4-FFF2-40B4-BE49-F238E27FC236}">
              <a16:creationId xmlns:a16="http://schemas.microsoft.com/office/drawing/2014/main" id="{AE78C40B-4BAB-4F1C-803C-ED9751E317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3" name="Text Box 15">
          <a:extLst>
            <a:ext uri="{FF2B5EF4-FFF2-40B4-BE49-F238E27FC236}">
              <a16:creationId xmlns:a16="http://schemas.microsoft.com/office/drawing/2014/main" id="{9FA56C05-8897-4B86-807E-3863B14236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4" name="Text Box 15">
          <a:extLst>
            <a:ext uri="{FF2B5EF4-FFF2-40B4-BE49-F238E27FC236}">
              <a16:creationId xmlns:a16="http://schemas.microsoft.com/office/drawing/2014/main" id="{0C0959CA-0C3B-428F-94B0-4A2F3BEE88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5" name="Text Box 15">
          <a:extLst>
            <a:ext uri="{FF2B5EF4-FFF2-40B4-BE49-F238E27FC236}">
              <a16:creationId xmlns:a16="http://schemas.microsoft.com/office/drawing/2014/main" id="{8E8E815B-714E-471C-AF5F-B013F6A0D3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6" name="Text Box 15">
          <a:extLst>
            <a:ext uri="{FF2B5EF4-FFF2-40B4-BE49-F238E27FC236}">
              <a16:creationId xmlns:a16="http://schemas.microsoft.com/office/drawing/2014/main" id="{E26E0BDF-7F4A-419B-8785-0942FF9EB3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7" name="Text Box 15">
          <a:extLst>
            <a:ext uri="{FF2B5EF4-FFF2-40B4-BE49-F238E27FC236}">
              <a16:creationId xmlns:a16="http://schemas.microsoft.com/office/drawing/2014/main" id="{2476354F-5437-4F8A-B931-E6D0E48DC4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8" name="Text Box 15">
          <a:extLst>
            <a:ext uri="{FF2B5EF4-FFF2-40B4-BE49-F238E27FC236}">
              <a16:creationId xmlns:a16="http://schemas.microsoft.com/office/drawing/2014/main" id="{4D39E7C2-06CF-44B5-AFB3-6571BC3795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9" name="Text Box 15">
          <a:extLst>
            <a:ext uri="{FF2B5EF4-FFF2-40B4-BE49-F238E27FC236}">
              <a16:creationId xmlns:a16="http://schemas.microsoft.com/office/drawing/2014/main" id="{81492F5D-3A70-46D7-BAD4-83D206A5FA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80" name="Text Box 15">
          <a:extLst>
            <a:ext uri="{FF2B5EF4-FFF2-40B4-BE49-F238E27FC236}">
              <a16:creationId xmlns:a16="http://schemas.microsoft.com/office/drawing/2014/main" id="{EE02B168-F121-4BC2-8D45-07B7CE2EA8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81" name="Text Box 15">
          <a:extLst>
            <a:ext uri="{FF2B5EF4-FFF2-40B4-BE49-F238E27FC236}">
              <a16:creationId xmlns:a16="http://schemas.microsoft.com/office/drawing/2014/main" id="{087A2A48-EF83-44A9-89C3-C379C18AC1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82" name="Text Box 15">
          <a:extLst>
            <a:ext uri="{FF2B5EF4-FFF2-40B4-BE49-F238E27FC236}">
              <a16:creationId xmlns:a16="http://schemas.microsoft.com/office/drawing/2014/main" id="{D906837A-D5F7-4B53-BD55-A3DA178229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83" name="Text Box 15">
          <a:extLst>
            <a:ext uri="{FF2B5EF4-FFF2-40B4-BE49-F238E27FC236}">
              <a16:creationId xmlns:a16="http://schemas.microsoft.com/office/drawing/2014/main" id="{73260FB0-6434-4A82-B69F-FCB8DFEE37D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84" name="Text Box 15">
          <a:extLst>
            <a:ext uri="{FF2B5EF4-FFF2-40B4-BE49-F238E27FC236}">
              <a16:creationId xmlns:a16="http://schemas.microsoft.com/office/drawing/2014/main" id="{2BE28CA6-2CB3-4E66-9BA9-0CB0B32855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85" name="Text Box 15">
          <a:extLst>
            <a:ext uri="{FF2B5EF4-FFF2-40B4-BE49-F238E27FC236}">
              <a16:creationId xmlns:a16="http://schemas.microsoft.com/office/drawing/2014/main" id="{DB8835E3-D78E-4FDF-A2A2-E3C3F11ACF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86" name="Text Box 15">
          <a:extLst>
            <a:ext uri="{FF2B5EF4-FFF2-40B4-BE49-F238E27FC236}">
              <a16:creationId xmlns:a16="http://schemas.microsoft.com/office/drawing/2014/main" id="{F6A8F902-1343-4703-85EB-17ECF4CFBE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87" name="Text Box 15">
          <a:extLst>
            <a:ext uri="{FF2B5EF4-FFF2-40B4-BE49-F238E27FC236}">
              <a16:creationId xmlns:a16="http://schemas.microsoft.com/office/drawing/2014/main" id="{51F60D12-1E14-4A2A-AC8A-B581A6B419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88" name="Text Box 15">
          <a:extLst>
            <a:ext uri="{FF2B5EF4-FFF2-40B4-BE49-F238E27FC236}">
              <a16:creationId xmlns:a16="http://schemas.microsoft.com/office/drawing/2014/main" id="{517CB00E-07CD-42F8-B5A1-1983D6D727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89" name="Text Box 15">
          <a:extLst>
            <a:ext uri="{FF2B5EF4-FFF2-40B4-BE49-F238E27FC236}">
              <a16:creationId xmlns:a16="http://schemas.microsoft.com/office/drawing/2014/main" id="{32669465-FE15-4ED8-8F84-36A88EA6B22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0" name="Text Box 15">
          <a:extLst>
            <a:ext uri="{FF2B5EF4-FFF2-40B4-BE49-F238E27FC236}">
              <a16:creationId xmlns:a16="http://schemas.microsoft.com/office/drawing/2014/main" id="{D69730A8-AFA1-4E60-BA36-1C5C7BCB73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1" name="Text Box 15">
          <a:extLst>
            <a:ext uri="{FF2B5EF4-FFF2-40B4-BE49-F238E27FC236}">
              <a16:creationId xmlns:a16="http://schemas.microsoft.com/office/drawing/2014/main" id="{8C8F7282-6776-4AA6-A475-EC4A467CED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2" name="Text Box 15">
          <a:extLst>
            <a:ext uri="{FF2B5EF4-FFF2-40B4-BE49-F238E27FC236}">
              <a16:creationId xmlns:a16="http://schemas.microsoft.com/office/drawing/2014/main" id="{34BEE904-621C-42BF-9355-DE7F938136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3" name="Text Box 15">
          <a:extLst>
            <a:ext uri="{FF2B5EF4-FFF2-40B4-BE49-F238E27FC236}">
              <a16:creationId xmlns:a16="http://schemas.microsoft.com/office/drawing/2014/main" id="{19638187-A8D3-4034-AC88-A94CE193CA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4" name="Text Box 15">
          <a:extLst>
            <a:ext uri="{FF2B5EF4-FFF2-40B4-BE49-F238E27FC236}">
              <a16:creationId xmlns:a16="http://schemas.microsoft.com/office/drawing/2014/main" id="{D646C619-7C9C-4ABA-AE6C-54912847D2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5" name="Text Box 15">
          <a:extLst>
            <a:ext uri="{FF2B5EF4-FFF2-40B4-BE49-F238E27FC236}">
              <a16:creationId xmlns:a16="http://schemas.microsoft.com/office/drawing/2014/main" id="{F15624DE-1169-4C40-BD2E-388DE5301B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96" name="Text Box 15">
          <a:extLst>
            <a:ext uri="{FF2B5EF4-FFF2-40B4-BE49-F238E27FC236}">
              <a16:creationId xmlns:a16="http://schemas.microsoft.com/office/drawing/2014/main" id="{FEAE745A-87FE-457C-A54A-D1511112E8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97" name="Text Box 15">
          <a:extLst>
            <a:ext uri="{FF2B5EF4-FFF2-40B4-BE49-F238E27FC236}">
              <a16:creationId xmlns:a16="http://schemas.microsoft.com/office/drawing/2014/main" id="{6AD3B17D-C9FF-4AF7-8303-B47EED5F72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98" name="Text Box 15">
          <a:extLst>
            <a:ext uri="{FF2B5EF4-FFF2-40B4-BE49-F238E27FC236}">
              <a16:creationId xmlns:a16="http://schemas.microsoft.com/office/drawing/2014/main" id="{208DC190-528A-470B-A6FC-AA2B4AF22BA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99" name="Text Box 15">
          <a:extLst>
            <a:ext uri="{FF2B5EF4-FFF2-40B4-BE49-F238E27FC236}">
              <a16:creationId xmlns:a16="http://schemas.microsoft.com/office/drawing/2014/main" id="{E4F29098-6C7E-422F-83A4-0F3CC50A5E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00" name="Text Box 15">
          <a:extLst>
            <a:ext uri="{FF2B5EF4-FFF2-40B4-BE49-F238E27FC236}">
              <a16:creationId xmlns:a16="http://schemas.microsoft.com/office/drawing/2014/main" id="{8A6195E1-619C-42A1-A8DD-289B188CED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1" name="Text Box 15">
          <a:extLst>
            <a:ext uri="{FF2B5EF4-FFF2-40B4-BE49-F238E27FC236}">
              <a16:creationId xmlns:a16="http://schemas.microsoft.com/office/drawing/2014/main" id="{AE251A56-1FCE-45F5-A7C9-DB28479094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2" name="Text Box 15">
          <a:extLst>
            <a:ext uri="{FF2B5EF4-FFF2-40B4-BE49-F238E27FC236}">
              <a16:creationId xmlns:a16="http://schemas.microsoft.com/office/drawing/2014/main" id="{D35141B4-8C6D-4941-AFBB-01605533F8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3" name="Text Box 15">
          <a:extLst>
            <a:ext uri="{FF2B5EF4-FFF2-40B4-BE49-F238E27FC236}">
              <a16:creationId xmlns:a16="http://schemas.microsoft.com/office/drawing/2014/main" id="{70BE75D8-033E-4379-A513-5B42A7A05A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4" name="Text Box 15">
          <a:extLst>
            <a:ext uri="{FF2B5EF4-FFF2-40B4-BE49-F238E27FC236}">
              <a16:creationId xmlns:a16="http://schemas.microsoft.com/office/drawing/2014/main" id="{159F8B27-9A4B-4984-BF31-CBEB4E7B04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5" name="Text Box 15">
          <a:extLst>
            <a:ext uri="{FF2B5EF4-FFF2-40B4-BE49-F238E27FC236}">
              <a16:creationId xmlns:a16="http://schemas.microsoft.com/office/drawing/2014/main" id="{526D5DFC-C063-4E15-8E63-2D03D0449F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6" name="Text Box 15">
          <a:extLst>
            <a:ext uri="{FF2B5EF4-FFF2-40B4-BE49-F238E27FC236}">
              <a16:creationId xmlns:a16="http://schemas.microsoft.com/office/drawing/2014/main" id="{C924C7EB-4EA7-430A-AAEB-58263EB745A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7" name="Text Box 15">
          <a:extLst>
            <a:ext uri="{FF2B5EF4-FFF2-40B4-BE49-F238E27FC236}">
              <a16:creationId xmlns:a16="http://schemas.microsoft.com/office/drawing/2014/main" id="{4FA9F8FD-1B91-4E43-9D04-D7884F63BD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8" name="Text Box 15">
          <a:extLst>
            <a:ext uri="{FF2B5EF4-FFF2-40B4-BE49-F238E27FC236}">
              <a16:creationId xmlns:a16="http://schemas.microsoft.com/office/drawing/2014/main" id="{FB28D27F-155E-424E-BD82-72EBE881D24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9" name="Text Box 15">
          <a:extLst>
            <a:ext uri="{FF2B5EF4-FFF2-40B4-BE49-F238E27FC236}">
              <a16:creationId xmlns:a16="http://schemas.microsoft.com/office/drawing/2014/main" id="{8719CD9F-5F0A-492B-BB79-2A44F3FC57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10" name="Text Box 15">
          <a:extLst>
            <a:ext uri="{FF2B5EF4-FFF2-40B4-BE49-F238E27FC236}">
              <a16:creationId xmlns:a16="http://schemas.microsoft.com/office/drawing/2014/main" id="{11DBA2F4-3BFA-4D61-B26F-2D10245EE9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11" name="Text Box 15">
          <a:extLst>
            <a:ext uri="{FF2B5EF4-FFF2-40B4-BE49-F238E27FC236}">
              <a16:creationId xmlns:a16="http://schemas.microsoft.com/office/drawing/2014/main" id="{09517D64-34EA-4F3E-B614-105A07303FA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12" name="Text Box 15">
          <a:extLst>
            <a:ext uri="{FF2B5EF4-FFF2-40B4-BE49-F238E27FC236}">
              <a16:creationId xmlns:a16="http://schemas.microsoft.com/office/drawing/2014/main" id="{1C972089-93EE-4B08-8D99-3091DED505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13" name="Text Box 15">
          <a:extLst>
            <a:ext uri="{FF2B5EF4-FFF2-40B4-BE49-F238E27FC236}">
              <a16:creationId xmlns:a16="http://schemas.microsoft.com/office/drawing/2014/main" id="{61435DA7-FC68-4917-8FB1-F76E0024347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14" name="Text Box 15">
          <a:extLst>
            <a:ext uri="{FF2B5EF4-FFF2-40B4-BE49-F238E27FC236}">
              <a16:creationId xmlns:a16="http://schemas.microsoft.com/office/drawing/2014/main" id="{BC285D00-12BF-4B42-97DA-E12F5DEC7C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15" name="Text Box 15">
          <a:extLst>
            <a:ext uri="{FF2B5EF4-FFF2-40B4-BE49-F238E27FC236}">
              <a16:creationId xmlns:a16="http://schemas.microsoft.com/office/drawing/2014/main" id="{651716E8-DA6B-4E80-AAEA-32C2C7CD937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16" name="Text Box 15">
          <a:extLst>
            <a:ext uri="{FF2B5EF4-FFF2-40B4-BE49-F238E27FC236}">
              <a16:creationId xmlns:a16="http://schemas.microsoft.com/office/drawing/2014/main" id="{DFA4EC8A-8A39-488A-BDBE-C3277A6ECA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17" name="Text Box 15">
          <a:extLst>
            <a:ext uri="{FF2B5EF4-FFF2-40B4-BE49-F238E27FC236}">
              <a16:creationId xmlns:a16="http://schemas.microsoft.com/office/drawing/2014/main" id="{72F8AC29-9971-42E0-84F9-51B55D030D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18" name="Text Box 15">
          <a:extLst>
            <a:ext uri="{FF2B5EF4-FFF2-40B4-BE49-F238E27FC236}">
              <a16:creationId xmlns:a16="http://schemas.microsoft.com/office/drawing/2014/main" id="{DB2FE67F-D8C9-4085-BD65-68FD9FE12A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19" name="Text Box 15">
          <a:extLst>
            <a:ext uri="{FF2B5EF4-FFF2-40B4-BE49-F238E27FC236}">
              <a16:creationId xmlns:a16="http://schemas.microsoft.com/office/drawing/2014/main" id="{D8A1E4B2-3545-4DBA-8132-7F9E43F2CF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0" name="Text Box 15">
          <a:extLst>
            <a:ext uri="{FF2B5EF4-FFF2-40B4-BE49-F238E27FC236}">
              <a16:creationId xmlns:a16="http://schemas.microsoft.com/office/drawing/2014/main" id="{FF7F8CA4-4065-4C30-A275-575E1782825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1" name="Text Box 15">
          <a:extLst>
            <a:ext uri="{FF2B5EF4-FFF2-40B4-BE49-F238E27FC236}">
              <a16:creationId xmlns:a16="http://schemas.microsoft.com/office/drawing/2014/main" id="{FC603BD3-95ED-43A4-A328-B8686714E4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2" name="Text Box 15">
          <a:extLst>
            <a:ext uri="{FF2B5EF4-FFF2-40B4-BE49-F238E27FC236}">
              <a16:creationId xmlns:a16="http://schemas.microsoft.com/office/drawing/2014/main" id="{BF08B861-547A-4597-8EAB-89A804FFAB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3" name="Text Box 15">
          <a:extLst>
            <a:ext uri="{FF2B5EF4-FFF2-40B4-BE49-F238E27FC236}">
              <a16:creationId xmlns:a16="http://schemas.microsoft.com/office/drawing/2014/main" id="{052968EF-694C-42D4-AE62-B9D5588852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4" name="Text Box 15">
          <a:extLst>
            <a:ext uri="{FF2B5EF4-FFF2-40B4-BE49-F238E27FC236}">
              <a16:creationId xmlns:a16="http://schemas.microsoft.com/office/drawing/2014/main" id="{48146148-CAE2-43FC-A57A-A99C1B5EAF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5" name="Text Box 15">
          <a:extLst>
            <a:ext uri="{FF2B5EF4-FFF2-40B4-BE49-F238E27FC236}">
              <a16:creationId xmlns:a16="http://schemas.microsoft.com/office/drawing/2014/main" id="{1E4EB2C7-73EF-4319-86E0-C005C17988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26" name="Text Box 15">
          <a:extLst>
            <a:ext uri="{FF2B5EF4-FFF2-40B4-BE49-F238E27FC236}">
              <a16:creationId xmlns:a16="http://schemas.microsoft.com/office/drawing/2014/main" id="{4B6D19FA-0206-43DF-AA9B-147F13E8C22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27" name="Text Box 15">
          <a:extLst>
            <a:ext uri="{FF2B5EF4-FFF2-40B4-BE49-F238E27FC236}">
              <a16:creationId xmlns:a16="http://schemas.microsoft.com/office/drawing/2014/main" id="{93164D40-A98C-4E4B-8A3D-7A000BB856A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28" name="Text Box 15">
          <a:extLst>
            <a:ext uri="{FF2B5EF4-FFF2-40B4-BE49-F238E27FC236}">
              <a16:creationId xmlns:a16="http://schemas.microsoft.com/office/drawing/2014/main" id="{EADBB004-F8C2-40FA-8F0C-AD221F975B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29" name="Text Box 15">
          <a:extLst>
            <a:ext uri="{FF2B5EF4-FFF2-40B4-BE49-F238E27FC236}">
              <a16:creationId xmlns:a16="http://schemas.microsoft.com/office/drawing/2014/main" id="{D630695B-9EB9-4D0C-809A-68A9D2596E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0" name="Text Box 15">
          <a:extLst>
            <a:ext uri="{FF2B5EF4-FFF2-40B4-BE49-F238E27FC236}">
              <a16:creationId xmlns:a16="http://schemas.microsoft.com/office/drawing/2014/main" id="{1D6165BB-DFE3-4169-87BA-7153A48B9C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1" name="Text Box 15">
          <a:extLst>
            <a:ext uri="{FF2B5EF4-FFF2-40B4-BE49-F238E27FC236}">
              <a16:creationId xmlns:a16="http://schemas.microsoft.com/office/drawing/2014/main" id="{996022BB-B6AA-4650-8DCC-D3639FB0A2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2" name="Text Box 15">
          <a:extLst>
            <a:ext uri="{FF2B5EF4-FFF2-40B4-BE49-F238E27FC236}">
              <a16:creationId xmlns:a16="http://schemas.microsoft.com/office/drawing/2014/main" id="{E16A2399-4F3A-4C01-9519-D620DFEEBC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3" name="Text Box 15">
          <a:extLst>
            <a:ext uri="{FF2B5EF4-FFF2-40B4-BE49-F238E27FC236}">
              <a16:creationId xmlns:a16="http://schemas.microsoft.com/office/drawing/2014/main" id="{82E03753-3B3D-4A39-87A3-18E2ABD346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4" name="Text Box 15">
          <a:extLst>
            <a:ext uri="{FF2B5EF4-FFF2-40B4-BE49-F238E27FC236}">
              <a16:creationId xmlns:a16="http://schemas.microsoft.com/office/drawing/2014/main" id="{1AA8B2C3-E222-410D-A231-B6BAA2954C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5" name="Text Box 15">
          <a:extLst>
            <a:ext uri="{FF2B5EF4-FFF2-40B4-BE49-F238E27FC236}">
              <a16:creationId xmlns:a16="http://schemas.microsoft.com/office/drawing/2014/main" id="{5C632B94-7B18-418A-9F6B-B9875F2302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6" name="Text Box 15">
          <a:extLst>
            <a:ext uri="{FF2B5EF4-FFF2-40B4-BE49-F238E27FC236}">
              <a16:creationId xmlns:a16="http://schemas.microsoft.com/office/drawing/2014/main" id="{76E403DF-5D4A-460B-8D41-BE0D2418FD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7" name="Text Box 15">
          <a:extLst>
            <a:ext uri="{FF2B5EF4-FFF2-40B4-BE49-F238E27FC236}">
              <a16:creationId xmlns:a16="http://schemas.microsoft.com/office/drawing/2014/main" id="{2C3D8712-E88F-446E-A68F-035CFC1B95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8" name="Text Box 15">
          <a:extLst>
            <a:ext uri="{FF2B5EF4-FFF2-40B4-BE49-F238E27FC236}">
              <a16:creationId xmlns:a16="http://schemas.microsoft.com/office/drawing/2014/main" id="{E9129C3F-B1B6-4B71-AB1B-8D5F86539F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39" name="Text Box 15">
          <a:extLst>
            <a:ext uri="{FF2B5EF4-FFF2-40B4-BE49-F238E27FC236}">
              <a16:creationId xmlns:a16="http://schemas.microsoft.com/office/drawing/2014/main" id="{F7BFC73D-4483-4B48-B387-B48D87D3D3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40" name="Text Box 15">
          <a:extLst>
            <a:ext uri="{FF2B5EF4-FFF2-40B4-BE49-F238E27FC236}">
              <a16:creationId xmlns:a16="http://schemas.microsoft.com/office/drawing/2014/main" id="{90DB8322-8D69-4FD5-855D-0E1599C883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41" name="Text Box 15">
          <a:extLst>
            <a:ext uri="{FF2B5EF4-FFF2-40B4-BE49-F238E27FC236}">
              <a16:creationId xmlns:a16="http://schemas.microsoft.com/office/drawing/2014/main" id="{75C76E4D-1A9C-442F-947B-36ECC0E8C4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42" name="Text Box 15">
          <a:extLst>
            <a:ext uri="{FF2B5EF4-FFF2-40B4-BE49-F238E27FC236}">
              <a16:creationId xmlns:a16="http://schemas.microsoft.com/office/drawing/2014/main" id="{08156274-792E-4215-9A5E-63059B2447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43" name="Text Box 15">
          <a:extLst>
            <a:ext uri="{FF2B5EF4-FFF2-40B4-BE49-F238E27FC236}">
              <a16:creationId xmlns:a16="http://schemas.microsoft.com/office/drawing/2014/main" id="{597507BB-70C5-40F2-9A36-4C8803B0A9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4" name="Text Box 15">
          <a:extLst>
            <a:ext uri="{FF2B5EF4-FFF2-40B4-BE49-F238E27FC236}">
              <a16:creationId xmlns:a16="http://schemas.microsoft.com/office/drawing/2014/main" id="{2F85CF4B-16DA-491D-B1FA-BC7C43AF86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5" name="Text Box 15">
          <a:extLst>
            <a:ext uri="{FF2B5EF4-FFF2-40B4-BE49-F238E27FC236}">
              <a16:creationId xmlns:a16="http://schemas.microsoft.com/office/drawing/2014/main" id="{349B3938-5A29-4A82-96EE-15867E3199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6" name="Text Box 15">
          <a:extLst>
            <a:ext uri="{FF2B5EF4-FFF2-40B4-BE49-F238E27FC236}">
              <a16:creationId xmlns:a16="http://schemas.microsoft.com/office/drawing/2014/main" id="{4DE5DEE6-740A-4079-A43E-B59A67E6BF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7" name="Text Box 15">
          <a:extLst>
            <a:ext uri="{FF2B5EF4-FFF2-40B4-BE49-F238E27FC236}">
              <a16:creationId xmlns:a16="http://schemas.microsoft.com/office/drawing/2014/main" id="{E5E5761E-C3B1-4F03-B4D6-CBEEEE5878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8" name="Text Box 15">
          <a:extLst>
            <a:ext uri="{FF2B5EF4-FFF2-40B4-BE49-F238E27FC236}">
              <a16:creationId xmlns:a16="http://schemas.microsoft.com/office/drawing/2014/main" id="{5D652676-4683-4438-A637-6B5B49569A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9" name="Text Box 15">
          <a:extLst>
            <a:ext uri="{FF2B5EF4-FFF2-40B4-BE49-F238E27FC236}">
              <a16:creationId xmlns:a16="http://schemas.microsoft.com/office/drawing/2014/main" id="{DAFC9FCF-57B6-4DAA-A5BC-A7E96FA6322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50" name="Text Box 15">
          <a:extLst>
            <a:ext uri="{FF2B5EF4-FFF2-40B4-BE49-F238E27FC236}">
              <a16:creationId xmlns:a16="http://schemas.microsoft.com/office/drawing/2014/main" id="{4A12DED3-F9ED-46B1-AB58-0716742BD6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51" name="Text Box 15">
          <a:extLst>
            <a:ext uri="{FF2B5EF4-FFF2-40B4-BE49-F238E27FC236}">
              <a16:creationId xmlns:a16="http://schemas.microsoft.com/office/drawing/2014/main" id="{9A3DD578-AA08-46FD-BEEF-3A27E3C44A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52" name="Text Box 15">
          <a:extLst>
            <a:ext uri="{FF2B5EF4-FFF2-40B4-BE49-F238E27FC236}">
              <a16:creationId xmlns:a16="http://schemas.microsoft.com/office/drawing/2014/main" id="{18EC3717-5301-4700-B622-8582C336CF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53" name="Text Box 15">
          <a:extLst>
            <a:ext uri="{FF2B5EF4-FFF2-40B4-BE49-F238E27FC236}">
              <a16:creationId xmlns:a16="http://schemas.microsoft.com/office/drawing/2014/main" id="{9348AA8F-E4DC-4C59-A619-C026C147AC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54" name="Text Box 15">
          <a:extLst>
            <a:ext uri="{FF2B5EF4-FFF2-40B4-BE49-F238E27FC236}">
              <a16:creationId xmlns:a16="http://schemas.microsoft.com/office/drawing/2014/main" id="{1134A025-9F06-4BB6-96D6-DF7EABC20D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55" name="Text Box 15">
          <a:extLst>
            <a:ext uri="{FF2B5EF4-FFF2-40B4-BE49-F238E27FC236}">
              <a16:creationId xmlns:a16="http://schemas.microsoft.com/office/drawing/2014/main" id="{385AE17C-4FDE-4995-B1A6-C7790CAE6E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56" name="Text Box 15">
          <a:extLst>
            <a:ext uri="{FF2B5EF4-FFF2-40B4-BE49-F238E27FC236}">
              <a16:creationId xmlns:a16="http://schemas.microsoft.com/office/drawing/2014/main" id="{69D117DC-92A9-47DC-AC12-FB8AF90F62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57" name="Text Box 15">
          <a:extLst>
            <a:ext uri="{FF2B5EF4-FFF2-40B4-BE49-F238E27FC236}">
              <a16:creationId xmlns:a16="http://schemas.microsoft.com/office/drawing/2014/main" id="{F92C989D-8749-46E8-A3AA-F79B436143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58" name="Text Box 15">
          <a:extLst>
            <a:ext uri="{FF2B5EF4-FFF2-40B4-BE49-F238E27FC236}">
              <a16:creationId xmlns:a16="http://schemas.microsoft.com/office/drawing/2014/main" id="{5B62D99E-ED5A-47EF-A743-DDFE12068A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59" name="Text Box 15">
          <a:extLst>
            <a:ext uri="{FF2B5EF4-FFF2-40B4-BE49-F238E27FC236}">
              <a16:creationId xmlns:a16="http://schemas.microsoft.com/office/drawing/2014/main" id="{104F51E8-1927-44B4-989F-840E1A339E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0" name="Text Box 15">
          <a:extLst>
            <a:ext uri="{FF2B5EF4-FFF2-40B4-BE49-F238E27FC236}">
              <a16:creationId xmlns:a16="http://schemas.microsoft.com/office/drawing/2014/main" id="{E8410127-F25F-416B-A8DF-2829121E87D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1" name="Text Box 15">
          <a:extLst>
            <a:ext uri="{FF2B5EF4-FFF2-40B4-BE49-F238E27FC236}">
              <a16:creationId xmlns:a16="http://schemas.microsoft.com/office/drawing/2014/main" id="{42490427-BDDF-4D60-9BAF-F0FE30B5EE9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2" name="Text Box 15">
          <a:extLst>
            <a:ext uri="{FF2B5EF4-FFF2-40B4-BE49-F238E27FC236}">
              <a16:creationId xmlns:a16="http://schemas.microsoft.com/office/drawing/2014/main" id="{B0BC85E5-2C4E-4529-BFA1-59BC177BAA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3" name="Text Box 15">
          <a:extLst>
            <a:ext uri="{FF2B5EF4-FFF2-40B4-BE49-F238E27FC236}">
              <a16:creationId xmlns:a16="http://schemas.microsoft.com/office/drawing/2014/main" id="{79640A3B-1A01-43CB-91DC-571C2F0EFF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4" name="Text Box 15">
          <a:extLst>
            <a:ext uri="{FF2B5EF4-FFF2-40B4-BE49-F238E27FC236}">
              <a16:creationId xmlns:a16="http://schemas.microsoft.com/office/drawing/2014/main" id="{F350F852-3BF0-4B30-A3B9-5190BB9D98D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5" name="Text Box 15">
          <a:extLst>
            <a:ext uri="{FF2B5EF4-FFF2-40B4-BE49-F238E27FC236}">
              <a16:creationId xmlns:a16="http://schemas.microsoft.com/office/drawing/2014/main" id="{297CA37D-5457-4302-ACEA-6C2C8F13F8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6" name="Text Box 15">
          <a:extLst>
            <a:ext uri="{FF2B5EF4-FFF2-40B4-BE49-F238E27FC236}">
              <a16:creationId xmlns:a16="http://schemas.microsoft.com/office/drawing/2014/main" id="{5AC6C527-9CE3-4CE5-A589-398A164D12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7" name="Text Box 15">
          <a:extLst>
            <a:ext uri="{FF2B5EF4-FFF2-40B4-BE49-F238E27FC236}">
              <a16:creationId xmlns:a16="http://schemas.microsoft.com/office/drawing/2014/main" id="{49817E07-1942-4AF0-8AD0-C83FABE4AA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8" name="Text Box 15">
          <a:extLst>
            <a:ext uri="{FF2B5EF4-FFF2-40B4-BE49-F238E27FC236}">
              <a16:creationId xmlns:a16="http://schemas.microsoft.com/office/drawing/2014/main" id="{75F43EA1-19F5-48B3-87E5-A9D3FEEDEF9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69" name="Text Box 15">
          <a:extLst>
            <a:ext uri="{FF2B5EF4-FFF2-40B4-BE49-F238E27FC236}">
              <a16:creationId xmlns:a16="http://schemas.microsoft.com/office/drawing/2014/main" id="{A19CB748-FA7F-4489-AA8A-9C24A19CBB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70" name="Text Box 15">
          <a:extLst>
            <a:ext uri="{FF2B5EF4-FFF2-40B4-BE49-F238E27FC236}">
              <a16:creationId xmlns:a16="http://schemas.microsoft.com/office/drawing/2014/main" id="{A0C31C73-9018-42A4-B93B-CE8E9636FC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71" name="Text Box 15">
          <a:extLst>
            <a:ext uri="{FF2B5EF4-FFF2-40B4-BE49-F238E27FC236}">
              <a16:creationId xmlns:a16="http://schemas.microsoft.com/office/drawing/2014/main" id="{C895E20C-E54C-4FC8-89DC-C332BCB20E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72" name="Text Box 15">
          <a:extLst>
            <a:ext uri="{FF2B5EF4-FFF2-40B4-BE49-F238E27FC236}">
              <a16:creationId xmlns:a16="http://schemas.microsoft.com/office/drawing/2014/main" id="{98AA9D4E-1DD7-446B-8C17-8165E174B3A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73" name="Text Box 15">
          <a:extLst>
            <a:ext uri="{FF2B5EF4-FFF2-40B4-BE49-F238E27FC236}">
              <a16:creationId xmlns:a16="http://schemas.microsoft.com/office/drawing/2014/main" id="{EE8A252C-0E89-4188-8EDA-7CE960BBA2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4" name="Text Box 15">
          <a:extLst>
            <a:ext uri="{FF2B5EF4-FFF2-40B4-BE49-F238E27FC236}">
              <a16:creationId xmlns:a16="http://schemas.microsoft.com/office/drawing/2014/main" id="{89A9C05E-48D8-48B8-8F4C-75C30F37C0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5" name="Text Box 15">
          <a:extLst>
            <a:ext uri="{FF2B5EF4-FFF2-40B4-BE49-F238E27FC236}">
              <a16:creationId xmlns:a16="http://schemas.microsoft.com/office/drawing/2014/main" id="{CE9F5286-8D97-43A3-BBD1-B194ECF0C4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6" name="Text Box 15">
          <a:extLst>
            <a:ext uri="{FF2B5EF4-FFF2-40B4-BE49-F238E27FC236}">
              <a16:creationId xmlns:a16="http://schemas.microsoft.com/office/drawing/2014/main" id="{8979AABA-E065-4221-8922-C14A963099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7" name="Text Box 15">
          <a:extLst>
            <a:ext uri="{FF2B5EF4-FFF2-40B4-BE49-F238E27FC236}">
              <a16:creationId xmlns:a16="http://schemas.microsoft.com/office/drawing/2014/main" id="{CFBC15E6-3BE2-49DC-A48D-FC55C5DE31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8" name="Text Box 15">
          <a:extLst>
            <a:ext uri="{FF2B5EF4-FFF2-40B4-BE49-F238E27FC236}">
              <a16:creationId xmlns:a16="http://schemas.microsoft.com/office/drawing/2014/main" id="{B99EEE31-DA89-4F03-8643-709C3C37BC9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9" name="Text Box 15">
          <a:extLst>
            <a:ext uri="{FF2B5EF4-FFF2-40B4-BE49-F238E27FC236}">
              <a16:creationId xmlns:a16="http://schemas.microsoft.com/office/drawing/2014/main" id="{853AA3CF-43D2-42CA-A9C4-18583D70E6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80" name="Text Box 15">
          <a:extLst>
            <a:ext uri="{FF2B5EF4-FFF2-40B4-BE49-F238E27FC236}">
              <a16:creationId xmlns:a16="http://schemas.microsoft.com/office/drawing/2014/main" id="{C9976BA6-5BAC-4F5E-80A9-F2423E8A3B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81" name="Text Box 15">
          <a:extLst>
            <a:ext uri="{FF2B5EF4-FFF2-40B4-BE49-F238E27FC236}">
              <a16:creationId xmlns:a16="http://schemas.microsoft.com/office/drawing/2014/main" id="{1D4FDCC7-1F10-4BEE-A5BB-7D776F1D48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82" name="Text Box 15">
          <a:extLst>
            <a:ext uri="{FF2B5EF4-FFF2-40B4-BE49-F238E27FC236}">
              <a16:creationId xmlns:a16="http://schemas.microsoft.com/office/drawing/2014/main" id="{658DFA62-8C64-485D-91F5-42C3EDDA69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83" name="Text Box 15">
          <a:extLst>
            <a:ext uri="{FF2B5EF4-FFF2-40B4-BE49-F238E27FC236}">
              <a16:creationId xmlns:a16="http://schemas.microsoft.com/office/drawing/2014/main" id="{F5523837-5511-4329-807C-5F3046DC4A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84" name="Text Box 15">
          <a:extLst>
            <a:ext uri="{FF2B5EF4-FFF2-40B4-BE49-F238E27FC236}">
              <a16:creationId xmlns:a16="http://schemas.microsoft.com/office/drawing/2014/main" id="{52803352-4C97-4BFD-9D76-640B149B8DF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85" name="Text Box 15">
          <a:extLst>
            <a:ext uri="{FF2B5EF4-FFF2-40B4-BE49-F238E27FC236}">
              <a16:creationId xmlns:a16="http://schemas.microsoft.com/office/drawing/2014/main" id="{EE5CB94D-BBE9-46D6-B048-19B346866F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86" name="Text Box 15">
          <a:extLst>
            <a:ext uri="{FF2B5EF4-FFF2-40B4-BE49-F238E27FC236}">
              <a16:creationId xmlns:a16="http://schemas.microsoft.com/office/drawing/2014/main" id="{DF8E2CF2-91C2-4E8D-B9B9-6B5CB0B0DD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87" name="Text Box 15">
          <a:extLst>
            <a:ext uri="{FF2B5EF4-FFF2-40B4-BE49-F238E27FC236}">
              <a16:creationId xmlns:a16="http://schemas.microsoft.com/office/drawing/2014/main" id="{11D63A2A-5E3B-4A9C-86C3-9312DE09B0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88" name="Text Box 15">
          <a:extLst>
            <a:ext uri="{FF2B5EF4-FFF2-40B4-BE49-F238E27FC236}">
              <a16:creationId xmlns:a16="http://schemas.microsoft.com/office/drawing/2014/main" id="{8A30EE10-A38E-4887-819E-C123A600D4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89" name="Text Box 15">
          <a:extLst>
            <a:ext uri="{FF2B5EF4-FFF2-40B4-BE49-F238E27FC236}">
              <a16:creationId xmlns:a16="http://schemas.microsoft.com/office/drawing/2014/main" id="{2F81F9C4-CEEC-48E9-9D18-F104B9F05F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0" name="Text Box 15">
          <a:extLst>
            <a:ext uri="{FF2B5EF4-FFF2-40B4-BE49-F238E27FC236}">
              <a16:creationId xmlns:a16="http://schemas.microsoft.com/office/drawing/2014/main" id="{CABFFA36-B1BD-461F-AC3C-2E4B22568D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1" name="Text Box 15">
          <a:extLst>
            <a:ext uri="{FF2B5EF4-FFF2-40B4-BE49-F238E27FC236}">
              <a16:creationId xmlns:a16="http://schemas.microsoft.com/office/drawing/2014/main" id="{17434979-F4B5-4944-B713-E9EA18AE04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2" name="Text Box 15">
          <a:extLst>
            <a:ext uri="{FF2B5EF4-FFF2-40B4-BE49-F238E27FC236}">
              <a16:creationId xmlns:a16="http://schemas.microsoft.com/office/drawing/2014/main" id="{6917CDB4-2FF7-4D42-AD4A-0B65585551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3" name="Text Box 15">
          <a:extLst>
            <a:ext uri="{FF2B5EF4-FFF2-40B4-BE49-F238E27FC236}">
              <a16:creationId xmlns:a16="http://schemas.microsoft.com/office/drawing/2014/main" id="{E2482274-CDF4-4BA9-8653-E8E71914983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4" name="Text Box 15">
          <a:extLst>
            <a:ext uri="{FF2B5EF4-FFF2-40B4-BE49-F238E27FC236}">
              <a16:creationId xmlns:a16="http://schemas.microsoft.com/office/drawing/2014/main" id="{653FF8EC-95A6-48F4-BD84-DAA14270D1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5" name="Text Box 15">
          <a:extLst>
            <a:ext uri="{FF2B5EF4-FFF2-40B4-BE49-F238E27FC236}">
              <a16:creationId xmlns:a16="http://schemas.microsoft.com/office/drawing/2014/main" id="{939E4CD4-B16F-4C21-B6AA-555B4207A4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6" name="Text Box 15">
          <a:extLst>
            <a:ext uri="{FF2B5EF4-FFF2-40B4-BE49-F238E27FC236}">
              <a16:creationId xmlns:a16="http://schemas.microsoft.com/office/drawing/2014/main" id="{A5B8E96A-8EC2-46F9-AACE-CED8D5478A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7" name="Text Box 15">
          <a:extLst>
            <a:ext uri="{FF2B5EF4-FFF2-40B4-BE49-F238E27FC236}">
              <a16:creationId xmlns:a16="http://schemas.microsoft.com/office/drawing/2014/main" id="{E4A7139E-871F-4639-A450-CC8721CFDF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8" name="Text Box 15">
          <a:extLst>
            <a:ext uri="{FF2B5EF4-FFF2-40B4-BE49-F238E27FC236}">
              <a16:creationId xmlns:a16="http://schemas.microsoft.com/office/drawing/2014/main" id="{CCA3DFAD-FCB7-46D8-B7E6-215586444E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99" name="Text Box 15">
          <a:extLst>
            <a:ext uri="{FF2B5EF4-FFF2-40B4-BE49-F238E27FC236}">
              <a16:creationId xmlns:a16="http://schemas.microsoft.com/office/drawing/2014/main" id="{1CEFD795-6788-41F4-B55E-0E1E0059C9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00" name="Text Box 15">
          <a:extLst>
            <a:ext uri="{FF2B5EF4-FFF2-40B4-BE49-F238E27FC236}">
              <a16:creationId xmlns:a16="http://schemas.microsoft.com/office/drawing/2014/main" id="{2D7D096F-7C6D-4D38-B908-18168EEC10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01" name="Text Box 15">
          <a:extLst>
            <a:ext uri="{FF2B5EF4-FFF2-40B4-BE49-F238E27FC236}">
              <a16:creationId xmlns:a16="http://schemas.microsoft.com/office/drawing/2014/main" id="{4BD4F35E-A792-4D77-BCD1-AD194B03AC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02" name="Text Box 15">
          <a:extLst>
            <a:ext uri="{FF2B5EF4-FFF2-40B4-BE49-F238E27FC236}">
              <a16:creationId xmlns:a16="http://schemas.microsoft.com/office/drawing/2014/main" id="{0975C54C-AE1F-4573-87F4-A3895464D55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03" name="Text Box 15">
          <a:extLst>
            <a:ext uri="{FF2B5EF4-FFF2-40B4-BE49-F238E27FC236}">
              <a16:creationId xmlns:a16="http://schemas.microsoft.com/office/drawing/2014/main" id="{6394CAFA-01B5-4BE8-A23D-925F3E6E69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4" name="Text Box 15">
          <a:extLst>
            <a:ext uri="{FF2B5EF4-FFF2-40B4-BE49-F238E27FC236}">
              <a16:creationId xmlns:a16="http://schemas.microsoft.com/office/drawing/2014/main" id="{AE5546C3-D613-4109-84C7-2D619C37D6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5" name="Text Box 15">
          <a:extLst>
            <a:ext uri="{FF2B5EF4-FFF2-40B4-BE49-F238E27FC236}">
              <a16:creationId xmlns:a16="http://schemas.microsoft.com/office/drawing/2014/main" id="{4B97EB98-80C5-4373-9571-1081159FF5A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6" name="Text Box 15">
          <a:extLst>
            <a:ext uri="{FF2B5EF4-FFF2-40B4-BE49-F238E27FC236}">
              <a16:creationId xmlns:a16="http://schemas.microsoft.com/office/drawing/2014/main" id="{A58EBFDF-00BA-4832-AECB-04979612FF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7" name="Text Box 15">
          <a:extLst>
            <a:ext uri="{FF2B5EF4-FFF2-40B4-BE49-F238E27FC236}">
              <a16:creationId xmlns:a16="http://schemas.microsoft.com/office/drawing/2014/main" id="{ACEC1EB6-44C0-40A6-9D39-25C6E1FF687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8" name="Text Box 15">
          <a:extLst>
            <a:ext uri="{FF2B5EF4-FFF2-40B4-BE49-F238E27FC236}">
              <a16:creationId xmlns:a16="http://schemas.microsoft.com/office/drawing/2014/main" id="{4AEF07F5-BF91-4079-869D-11B8CB8A70B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9" name="Text Box 15">
          <a:extLst>
            <a:ext uri="{FF2B5EF4-FFF2-40B4-BE49-F238E27FC236}">
              <a16:creationId xmlns:a16="http://schemas.microsoft.com/office/drawing/2014/main" id="{87395D25-4028-44B4-A9AF-C1E909BFB9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0" name="Text Box 15">
          <a:extLst>
            <a:ext uri="{FF2B5EF4-FFF2-40B4-BE49-F238E27FC236}">
              <a16:creationId xmlns:a16="http://schemas.microsoft.com/office/drawing/2014/main" id="{C6C51B95-1EAD-448B-B116-AD2F7129AE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1" name="Text Box 15">
          <a:extLst>
            <a:ext uri="{FF2B5EF4-FFF2-40B4-BE49-F238E27FC236}">
              <a16:creationId xmlns:a16="http://schemas.microsoft.com/office/drawing/2014/main" id="{203CB627-E0B4-4ED5-BF20-5F50EB5C7C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2" name="Text Box 15">
          <a:extLst>
            <a:ext uri="{FF2B5EF4-FFF2-40B4-BE49-F238E27FC236}">
              <a16:creationId xmlns:a16="http://schemas.microsoft.com/office/drawing/2014/main" id="{E1A04466-1A5B-430B-A0BE-8867CE6475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3" name="Text Box 15">
          <a:extLst>
            <a:ext uri="{FF2B5EF4-FFF2-40B4-BE49-F238E27FC236}">
              <a16:creationId xmlns:a16="http://schemas.microsoft.com/office/drawing/2014/main" id="{22BA65B7-BA02-4A30-A512-D8DE37CACD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14" name="Text Box 15">
          <a:extLst>
            <a:ext uri="{FF2B5EF4-FFF2-40B4-BE49-F238E27FC236}">
              <a16:creationId xmlns:a16="http://schemas.microsoft.com/office/drawing/2014/main" id="{550EF8CC-3ABD-4EA6-8A06-8334A2F97E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15" name="Text Box 15">
          <a:extLst>
            <a:ext uri="{FF2B5EF4-FFF2-40B4-BE49-F238E27FC236}">
              <a16:creationId xmlns:a16="http://schemas.microsoft.com/office/drawing/2014/main" id="{B4A756B9-7D15-49D4-BBD8-03DBB173D3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16" name="Text Box 15">
          <a:extLst>
            <a:ext uri="{FF2B5EF4-FFF2-40B4-BE49-F238E27FC236}">
              <a16:creationId xmlns:a16="http://schemas.microsoft.com/office/drawing/2014/main" id="{B20C4441-D318-42D9-AD01-6F01648195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7" name="Text Box 15">
          <a:extLst>
            <a:ext uri="{FF2B5EF4-FFF2-40B4-BE49-F238E27FC236}">
              <a16:creationId xmlns:a16="http://schemas.microsoft.com/office/drawing/2014/main" id="{63306B49-4516-4117-8FDA-6B755DBC5B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8" name="Text Box 15">
          <a:extLst>
            <a:ext uri="{FF2B5EF4-FFF2-40B4-BE49-F238E27FC236}">
              <a16:creationId xmlns:a16="http://schemas.microsoft.com/office/drawing/2014/main" id="{7C05EB36-EF97-4604-BBC2-B7C6F539D7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9" name="Text Box 15">
          <a:extLst>
            <a:ext uri="{FF2B5EF4-FFF2-40B4-BE49-F238E27FC236}">
              <a16:creationId xmlns:a16="http://schemas.microsoft.com/office/drawing/2014/main" id="{394BAF86-9EEA-4085-A1A2-E511541AE4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0" name="Text Box 15">
          <a:extLst>
            <a:ext uri="{FF2B5EF4-FFF2-40B4-BE49-F238E27FC236}">
              <a16:creationId xmlns:a16="http://schemas.microsoft.com/office/drawing/2014/main" id="{C7B5531C-67F2-44B2-ADAB-44D3515E72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1" name="Text Box 15">
          <a:extLst>
            <a:ext uri="{FF2B5EF4-FFF2-40B4-BE49-F238E27FC236}">
              <a16:creationId xmlns:a16="http://schemas.microsoft.com/office/drawing/2014/main" id="{D236F538-EB8B-48EC-ADFD-38C26F20F2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2" name="Text Box 15">
          <a:extLst>
            <a:ext uri="{FF2B5EF4-FFF2-40B4-BE49-F238E27FC236}">
              <a16:creationId xmlns:a16="http://schemas.microsoft.com/office/drawing/2014/main" id="{5E56D8FD-408A-4ABB-B0F1-3E3D8976F6C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3" name="Text Box 15">
          <a:extLst>
            <a:ext uri="{FF2B5EF4-FFF2-40B4-BE49-F238E27FC236}">
              <a16:creationId xmlns:a16="http://schemas.microsoft.com/office/drawing/2014/main" id="{1E2C47C6-557D-4181-A4D8-802983BC61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4" name="Text Box 15">
          <a:extLst>
            <a:ext uri="{FF2B5EF4-FFF2-40B4-BE49-F238E27FC236}">
              <a16:creationId xmlns:a16="http://schemas.microsoft.com/office/drawing/2014/main" id="{F5B2C705-1924-498E-B0C2-ED7A9C568F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5" name="Text Box 15">
          <a:extLst>
            <a:ext uri="{FF2B5EF4-FFF2-40B4-BE49-F238E27FC236}">
              <a16:creationId xmlns:a16="http://schemas.microsoft.com/office/drawing/2014/main" id="{C7CCF6DC-A141-4F6F-9C69-AF51D3B5CA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6" name="Text Box 15">
          <a:extLst>
            <a:ext uri="{FF2B5EF4-FFF2-40B4-BE49-F238E27FC236}">
              <a16:creationId xmlns:a16="http://schemas.microsoft.com/office/drawing/2014/main" id="{E543953A-9B7F-42A5-A570-1522E6D091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27" name="Text Box 15">
          <a:extLst>
            <a:ext uri="{FF2B5EF4-FFF2-40B4-BE49-F238E27FC236}">
              <a16:creationId xmlns:a16="http://schemas.microsoft.com/office/drawing/2014/main" id="{EA5DDED2-3186-48CF-88FB-8CB5E3EB45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28" name="Text Box 15">
          <a:extLst>
            <a:ext uri="{FF2B5EF4-FFF2-40B4-BE49-F238E27FC236}">
              <a16:creationId xmlns:a16="http://schemas.microsoft.com/office/drawing/2014/main" id="{A038E0C6-8816-4EC0-8B85-2A16CFF2CF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29" name="Text Box 15">
          <a:extLst>
            <a:ext uri="{FF2B5EF4-FFF2-40B4-BE49-F238E27FC236}">
              <a16:creationId xmlns:a16="http://schemas.microsoft.com/office/drawing/2014/main" id="{E87EACF8-2E67-4A79-A84A-AFD830BD93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30" name="Text Box 15">
          <a:extLst>
            <a:ext uri="{FF2B5EF4-FFF2-40B4-BE49-F238E27FC236}">
              <a16:creationId xmlns:a16="http://schemas.microsoft.com/office/drawing/2014/main" id="{FD1E50E4-D21C-4435-893F-AB88FDB65F9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31" name="Text Box 15">
          <a:extLst>
            <a:ext uri="{FF2B5EF4-FFF2-40B4-BE49-F238E27FC236}">
              <a16:creationId xmlns:a16="http://schemas.microsoft.com/office/drawing/2014/main" id="{B903EEEB-A675-434A-BED1-5E40D9ADF0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2" name="Text Box 15">
          <a:extLst>
            <a:ext uri="{FF2B5EF4-FFF2-40B4-BE49-F238E27FC236}">
              <a16:creationId xmlns:a16="http://schemas.microsoft.com/office/drawing/2014/main" id="{29877850-BCBE-4C52-BE29-F34A9FBEA2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3" name="Text Box 15">
          <a:extLst>
            <a:ext uri="{FF2B5EF4-FFF2-40B4-BE49-F238E27FC236}">
              <a16:creationId xmlns:a16="http://schemas.microsoft.com/office/drawing/2014/main" id="{2FF449EA-5852-455E-B50C-9CACC93F6A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4" name="Text Box 15">
          <a:extLst>
            <a:ext uri="{FF2B5EF4-FFF2-40B4-BE49-F238E27FC236}">
              <a16:creationId xmlns:a16="http://schemas.microsoft.com/office/drawing/2014/main" id="{263D0930-0178-479D-9D40-C7D8A5AA41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5" name="Text Box 15">
          <a:extLst>
            <a:ext uri="{FF2B5EF4-FFF2-40B4-BE49-F238E27FC236}">
              <a16:creationId xmlns:a16="http://schemas.microsoft.com/office/drawing/2014/main" id="{6AD02965-D7B6-4926-A954-0838DD0826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6" name="Text Box 15">
          <a:extLst>
            <a:ext uri="{FF2B5EF4-FFF2-40B4-BE49-F238E27FC236}">
              <a16:creationId xmlns:a16="http://schemas.microsoft.com/office/drawing/2014/main" id="{CAD7D5B4-ECC3-47A3-99F5-F3B127E905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7" name="Text Box 15">
          <a:extLst>
            <a:ext uri="{FF2B5EF4-FFF2-40B4-BE49-F238E27FC236}">
              <a16:creationId xmlns:a16="http://schemas.microsoft.com/office/drawing/2014/main" id="{5A345CC1-0D51-49C2-AB6E-94A5A33B9D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8" name="Text Box 15">
          <a:extLst>
            <a:ext uri="{FF2B5EF4-FFF2-40B4-BE49-F238E27FC236}">
              <a16:creationId xmlns:a16="http://schemas.microsoft.com/office/drawing/2014/main" id="{06E9B725-E2BD-49E7-9D5B-97404FCB85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9" name="Text Box 15">
          <a:extLst>
            <a:ext uri="{FF2B5EF4-FFF2-40B4-BE49-F238E27FC236}">
              <a16:creationId xmlns:a16="http://schemas.microsoft.com/office/drawing/2014/main" id="{38F1334C-EFE5-4CC4-8E6D-2BDD6DBF58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40" name="Text Box 15">
          <a:extLst>
            <a:ext uri="{FF2B5EF4-FFF2-40B4-BE49-F238E27FC236}">
              <a16:creationId xmlns:a16="http://schemas.microsoft.com/office/drawing/2014/main" id="{9274953E-F2B2-4926-8A1E-BB293AD618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41" name="Text Box 15">
          <a:extLst>
            <a:ext uri="{FF2B5EF4-FFF2-40B4-BE49-F238E27FC236}">
              <a16:creationId xmlns:a16="http://schemas.microsoft.com/office/drawing/2014/main" id="{C8AF21FC-F5CF-4B20-AEB5-8AFC3E70D6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42" name="Text Box 15">
          <a:extLst>
            <a:ext uri="{FF2B5EF4-FFF2-40B4-BE49-F238E27FC236}">
              <a16:creationId xmlns:a16="http://schemas.microsoft.com/office/drawing/2014/main" id="{F7081246-7ED3-49AC-87D8-A39B4C2C1B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43" name="Text Box 15">
          <a:extLst>
            <a:ext uri="{FF2B5EF4-FFF2-40B4-BE49-F238E27FC236}">
              <a16:creationId xmlns:a16="http://schemas.microsoft.com/office/drawing/2014/main" id="{E9B0FC3A-3991-4DE5-AB87-9EBAF81CB76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44" name="Text Box 15">
          <a:extLst>
            <a:ext uri="{FF2B5EF4-FFF2-40B4-BE49-F238E27FC236}">
              <a16:creationId xmlns:a16="http://schemas.microsoft.com/office/drawing/2014/main" id="{0935AC51-CADD-456E-9054-59280F4C71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45" name="Text Box 15">
          <a:extLst>
            <a:ext uri="{FF2B5EF4-FFF2-40B4-BE49-F238E27FC236}">
              <a16:creationId xmlns:a16="http://schemas.microsoft.com/office/drawing/2014/main" id="{7C150045-3979-4A63-84A2-E16E4D467B1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46" name="Text Box 15">
          <a:extLst>
            <a:ext uri="{FF2B5EF4-FFF2-40B4-BE49-F238E27FC236}">
              <a16:creationId xmlns:a16="http://schemas.microsoft.com/office/drawing/2014/main" id="{B7ABAFEA-601E-4773-8E5C-52519A53EE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47" name="Text Box 15">
          <a:extLst>
            <a:ext uri="{FF2B5EF4-FFF2-40B4-BE49-F238E27FC236}">
              <a16:creationId xmlns:a16="http://schemas.microsoft.com/office/drawing/2014/main" id="{EA9E3037-6E86-4A86-8E4A-5A4BE3B174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48" name="Text Box 15">
          <a:extLst>
            <a:ext uri="{FF2B5EF4-FFF2-40B4-BE49-F238E27FC236}">
              <a16:creationId xmlns:a16="http://schemas.microsoft.com/office/drawing/2014/main" id="{FFB52105-0574-4D3A-B31A-906DC47A79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49" name="Text Box 15">
          <a:extLst>
            <a:ext uri="{FF2B5EF4-FFF2-40B4-BE49-F238E27FC236}">
              <a16:creationId xmlns:a16="http://schemas.microsoft.com/office/drawing/2014/main" id="{C5AE5ADD-051F-4290-87E4-8E194C153A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0" name="Text Box 15">
          <a:extLst>
            <a:ext uri="{FF2B5EF4-FFF2-40B4-BE49-F238E27FC236}">
              <a16:creationId xmlns:a16="http://schemas.microsoft.com/office/drawing/2014/main" id="{0FAAB240-0E19-4358-98E7-ABFCD7552BB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1" name="Text Box 15">
          <a:extLst>
            <a:ext uri="{FF2B5EF4-FFF2-40B4-BE49-F238E27FC236}">
              <a16:creationId xmlns:a16="http://schemas.microsoft.com/office/drawing/2014/main" id="{B1A843AE-A666-4087-BAC4-D76C19E442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2" name="Text Box 15">
          <a:extLst>
            <a:ext uri="{FF2B5EF4-FFF2-40B4-BE49-F238E27FC236}">
              <a16:creationId xmlns:a16="http://schemas.microsoft.com/office/drawing/2014/main" id="{15311397-0481-4FE0-990F-3D837F16F9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3" name="Text Box 15">
          <a:extLst>
            <a:ext uri="{FF2B5EF4-FFF2-40B4-BE49-F238E27FC236}">
              <a16:creationId xmlns:a16="http://schemas.microsoft.com/office/drawing/2014/main" id="{D994017A-DE3B-4BAE-85F9-6E4F865010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4" name="Text Box 15">
          <a:extLst>
            <a:ext uri="{FF2B5EF4-FFF2-40B4-BE49-F238E27FC236}">
              <a16:creationId xmlns:a16="http://schemas.microsoft.com/office/drawing/2014/main" id="{7FFDE4F9-34EF-4FDA-BADB-A5C6398942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5" name="Text Box 15">
          <a:extLst>
            <a:ext uri="{FF2B5EF4-FFF2-40B4-BE49-F238E27FC236}">
              <a16:creationId xmlns:a16="http://schemas.microsoft.com/office/drawing/2014/main" id="{486AAC2D-E182-4E22-9F30-D7EF1135B9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6" name="Text Box 15">
          <a:extLst>
            <a:ext uri="{FF2B5EF4-FFF2-40B4-BE49-F238E27FC236}">
              <a16:creationId xmlns:a16="http://schemas.microsoft.com/office/drawing/2014/main" id="{2134A1ED-6961-465A-863E-ED1C700EB2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57" name="Text Box 15">
          <a:extLst>
            <a:ext uri="{FF2B5EF4-FFF2-40B4-BE49-F238E27FC236}">
              <a16:creationId xmlns:a16="http://schemas.microsoft.com/office/drawing/2014/main" id="{1C76798B-D8BF-40E3-8AF2-55C9641D8E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58" name="Text Box 15">
          <a:extLst>
            <a:ext uri="{FF2B5EF4-FFF2-40B4-BE49-F238E27FC236}">
              <a16:creationId xmlns:a16="http://schemas.microsoft.com/office/drawing/2014/main" id="{2250D5ED-88FF-4384-A3C6-FB575C7716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59" name="Text Box 15">
          <a:extLst>
            <a:ext uri="{FF2B5EF4-FFF2-40B4-BE49-F238E27FC236}">
              <a16:creationId xmlns:a16="http://schemas.microsoft.com/office/drawing/2014/main" id="{AFFC3117-923E-4159-9B33-D9BB3BAF3D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60" name="Text Box 15">
          <a:extLst>
            <a:ext uri="{FF2B5EF4-FFF2-40B4-BE49-F238E27FC236}">
              <a16:creationId xmlns:a16="http://schemas.microsoft.com/office/drawing/2014/main" id="{E203A6E1-1882-478A-996D-94DC59A6F3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61" name="Text Box 15">
          <a:extLst>
            <a:ext uri="{FF2B5EF4-FFF2-40B4-BE49-F238E27FC236}">
              <a16:creationId xmlns:a16="http://schemas.microsoft.com/office/drawing/2014/main" id="{84005ED8-0865-4F0B-8E29-FB368293259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2" name="Text Box 15">
          <a:extLst>
            <a:ext uri="{FF2B5EF4-FFF2-40B4-BE49-F238E27FC236}">
              <a16:creationId xmlns:a16="http://schemas.microsoft.com/office/drawing/2014/main" id="{90DF2F68-9FE8-4D50-8899-9FA8B521FA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3" name="Text Box 15">
          <a:extLst>
            <a:ext uri="{FF2B5EF4-FFF2-40B4-BE49-F238E27FC236}">
              <a16:creationId xmlns:a16="http://schemas.microsoft.com/office/drawing/2014/main" id="{699A9C37-BDDF-4A25-A6E2-F7E2947FC6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4" name="Text Box 15">
          <a:extLst>
            <a:ext uri="{FF2B5EF4-FFF2-40B4-BE49-F238E27FC236}">
              <a16:creationId xmlns:a16="http://schemas.microsoft.com/office/drawing/2014/main" id="{D65A1AE4-4ED1-426F-874E-A67ACDEF614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5" name="Text Box 15">
          <a:extLst>
            <a:ext uri="{FF2B5EF4-FFF2-40B4-BE49-F238E27FC236}">
              <a16:creationId xmlns:a16="http://schemas.microsoft.com/office/drawing/2014/main" id="{918E9705-E758-41D6-B6C2-BAC0A87097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6" name="Text Box 15">
          <a:extLst>
            <a:ext uri="{FF2B5EF4-FFF2-40B4-BE49-F238E27FC236}">
              <a16:creationId xmlns:a16="http://schemas.microsoft.com/office/drawing/2014/main" id="{D9C1A375-AFF7-49CF-833E-CD28C97AAA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7" name="Text Box 15">
          <a:extLst>
            <a:ext uri="{FF2B5EF4-FFF2-40B4-BE49-F238E27FC236}">
              <a16:creationId xmlns:a16="http://schemas.microsoft.com/office/drawing/2014/main" id="{8565B2FA-6642-4CAF-AF70-EA7C10D8C4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8" name="Text Box 15">
          <a:extLst>
            <a:ext uri="{FF2B5EF4-FFF2-40B4-BE49-F238E27FC236}">
              <a16:creationId xmlns:a16="http://schemas.microsoft.com/office/drawing/2014/main" id="{106DB196-8F27-4568-8DA3-7FB8371904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9" name="Text Box 15">
          <a:extLst>
            <a:ext uri="{FF2B5EF4-FFF2-40B4-BE49-F238E27FC236}">
              <a16:creationId xmlns:a16="http://schemas.microsoft.com/office/drawing/2014/main" id="{9BF2926C-59AE-4728-B8B6-F9D7406946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70" name="Text Box 15">
          <a:extLst>
            <a:ext uri="{FF2B5EF4-FFF2-40B4-BE49-F238E27FC236}">
              <a16:creationId xmlns:a16="http://schemas.microsoft.com/office/drawing/2014/main" id="{6158BE74-D757-46CA-A110-AEA0E0D3C74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71" name="Text Box 15">
          <a:extLst>
            <a:ext uri="{FF2B5EF4-FFF2-40B4-BE49-F238E27FC236}">
              <a16:creationId xmlns:a16="http://schemas.microsoft.com/office/drawing/2014/main" id="{41BBBC73-4634-453B-B790-765E999D1CB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72" name="Text Box 15">
          <a:extLst>
            <a:ext uri="{FF2B5EF4-FFF2-40B4-BE49-F238E27FC236}">
              <a16:creationId xmlns:a16="http://schemas.microsoft.com/office/drawing/2014/main" id="{A1638AFC-B6F5-4D83-AE11-89D46B7430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73" name="Text Box 15">
          <a:extLst>
            <a:ext uri="{FF2B5EF4-FFF2-40B4-BE49-F238E27FC236}">
              <a16:creationId xmlns:a16="http://schemas.microsoft.com/office/drawing/2014/main" id="{ED526264-1664-4B69-8A85-0A51079A03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74" name="Text Box 15">
          <a:extLst>
            <a:ext uri="{FF2B5EF4-FFF2-40B4-BE49-F238E27FC236}">
              <a16:creationId xmlns:a16="http://schemas.microsoft.com/office/drawing/2014/main" id="{4A55913D-C034-4CCD-906A-021DCB066A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75" name="Text Box 15">
          <a:extLst>
            <a:ext uri="{FF2B5EF4-FFF2-40B4-BE49-F238E27FC236}">
              <a16:creationId xmlns:a16="http://schemas.microsoft.com/office/drawing/2014/main" id="{61BF6197-7DB0-40F7-AF4F-63E7CA00E7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76" name="Text Box 15">
          <a:extLst>
            <a:ext uri="{FF2B5EF4-FFF2-40B4-BE49-F238E27FC236}">
              <a16:creationId xmlns:a16="http://schemas.microsoft.com/office/drawing/2014/main" id="{660F1E3D-57B2-4BC4-874F-FDE8264A39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77" name="Text Box 15">
          <a:extLst>
            <a:ext uri="{FF2B5EF4-FFF2-40B4-BE49-F238E27FC236}">
              <a16:creationId xmlns:a16="http://schemas.microsoft.com/office/drawing/2014/main" id="{A74021B9-5631-4A0C-996D-DE4A3368F3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78" name="Text Box 15">
          <a:extLst>
            <a:ext uri="{FF2B5EF4-FFF2-40B4-BE49-F238E27FC236}">
              <a16:creationId xmlns:a16="http://schemas.microsoft.com/office/drawing/2014/main" id="{B02398FB-F58A-4BDF-B599-D9C3340A10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79" name="Text Box 15">
          <a:extLst>
            <a:ext uri="{FF2B5EF4-FFF2-40B4-BE49-F238E27FC236}">
              <a16:creationId xmlns:a16="http://schemas.microsoft.com/office/drawing/2014/main" id="{000A8386-57CC-4109-A72A-E6EF9E7D96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0" name="Text Box 15">
          <a:extLst>
            <a:ext uri="{FF2B5EF4-FFF2-40B4-BE49-F238E27FC236}">
              <a16:creationId xmlns:a16="http://schemas.microsoft.com/office/drawing/2014/main" id="{35A3C154-37BF-4C7F-847C-8C17DD004B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1" name="Text Box 15">
          <a:extLst>
            <a:ext uri="{FF2B5EF4-FFF2-40B4-BE49-F238E27FC236}">
              <a16:creationId xmlns:a16="http://schemas.microsoft.com/office/drawing/2014/main" id="{278A7961-9B01-41A8-A059-83D8541BD07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2" name="Text Box 15">
          <a:extLst>
            <a:ext uri="{FF2B5EF4-FFF2-40B4-BE49-F238E27FC236}">
              <a16:creationId xmlns:a16="http://schemas.microsoft.com/office/drawing/2014/main" id="{82C99FAB-FAFC-4D4C-BCBD-F92E7E31FE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3" name="Text Box 15">
          <a:extLst>
            <a:ext uri="{FF2B5EF4-FFF2-40B4-BE49-F238E27FC236}">
              <a16:creationId xmlns:a16="http://schemas.microsoft.com/office/drawing/2014/main" id="{DE26990F-5F16-4187-A67A-FA040BA5F2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4" name="Text Box 15">
          <a:extLst>
            <a:ext uri="{FF2B5EF4-FFF2-40B4-BE49-F238E27FC236}">
              <a16:creationId xmlns:a16="http://schemas.microsoft.com/office/drawing/2014/main" id="{45C5CAD7-67F9-443B-B1BF-C98AC8FCA9C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5" name="Text Box 15">
          <a:extLst>
            <a:ext uri="{FF2B5EF4-FFF2-40B4-BE49-F238E27FC236}">
              <a16:creationId xmlns:a16="http://schemas.microsoft.com/office/drawing/2014/main" id="{48298198-C817-4DCA-BF37-4C5DA0E96D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6" name="Text Box 15">
          <a:extLst>
            <a:ext uri="{FF2B5EF4-FFF2-40B4-BE49-F238E27FC236}">
              <a16:creationId xmlns:a16="http://schemas.microsoft.com/office/drawing/2014/main" id="{8D8F729B-092D-49F9-998C-2D6070390F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87" name="Text Box 15">
          <a:extLst>
            <a:ext uri="{FF2B5EF4-FFF2-40B4-BE49-F238E27FC236}">
              <a16:creationId xmlns:a16="http://schemas.microsoft.com/office/drawing/2014/main" id="{D24DF4AF-918E-4608-B92A-7299DD7B48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88" name="Text Box 15">
          <a:extLst>
            <a:ext uri="{FF2B5EF4-FFF2-40B4-BE49-F238E27FC236}">
              <a16:creationId xmlns:a16="http://schemas.microsoft.com/office/drawing/2014/main" id="{270585EF-E744-4CA5-A4EE-FBDC026B31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89" name="Text Box 15">
          <a:extLst>
            <a:ext uri="{FF2B5EF4-FFF2-40B4-BE49-F238E27FC236}">
              <a16:creationId xmlns:a16="http://schemas.microsoft.com/office/drawing/2014/main" id="{5A961A2C-9DDD-4400-AEA0-FF0584EB56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90" name="Text Box 15">
          <a:extLst>
            <a:ext uri="{FF2B5EF4-FFF2-40B4-BE49-F238E27FC236}">
              <a16:creationId xmlns:a16="http://schemas.microsoft.com/office/drawing/2014/main" id="{9B983595-03E2-446F-A686-91F199AA6AD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91" name="Text Box 15">
          <a:extLst>
            <a:ext uri="{FF2B5EF4-FFF2-40B4-BE49-F238E27FC236}">
              <a16:creationId xmlns:a16="http://schemas.microsoft.com/office/drawing/2014/main" id="{C6A063FB-33A8-4688-A8B5-68CEE9A4FB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2" name="Text Box 15">
          <a:extLst>
            <a:ext uri="{FF2B5EF4-FFF2-40B4-BE49-F238E27FC236}">
              <a16:creationId xmlns:a16="http://schemas.microsoft.com/office/drawing/2014/main" id="{2E948372-320E-494D-AA4B-CAFE372981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3" name="Text Box 15">
          <a:extLst>
            <a:ext uri="{FF2B5EF4-FFF2-40B4-BE49-F238E27FC236}">
              <a16:creationId xmlns:a16="http://schemas.microsoft.com/office/drawing/2014/main" id="{83A6D8DC-2B1E-4A60-B1EB-2308D503FD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4" name="Text Box 15">
          <a:extLst>
            <a:ext uri="{FF2B5EF4-FFF2-40B4-BE49-F238E27FC236}">
              <a16:creationId xmlns:a16="http://schemas.microsoft.com/office/drawing/2014/main" id="{B0EAE57E-2C9D-43E4-8216-FC85AAF705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5" name="Text Box 15">
          <a:extLst>
            <a:ext uri="{FF2B5EF4-FFF2-40B4-BE49-F238E27FC236}">
              <a16:creationId xmlns:a16="http://schemas.microsoft.com/office/drawing/2014/main" id="{22CC66C2-DD78-45E5-9162-8D90C25D853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6" name="Text Box 15">
          <a:extLst>
            <a:ext uri="{FF2B5EF4-FFF2-40B4-BE49-F238E27FC236}">
              <a16:creationId xmlns:a16="http://schemas.microsoft.com/office/drawing/2014/main" id="{3BCCE833-FC23-4963-ADC6-FFF1DAF624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7" name="Text Box 15">
          <a:extLst>
            <a:ext uri="{FF2B5EF4-FFF2-40B4-BE49-F238E27FC236}">
              <a16:creationId xmlns:a16="http://schemas.microsoft.com/office/drawing/2014/main" id="{40705347-784E-4784-A4C8-D9FF7D5ABA3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8" name="Text Box 15">
          <a:extLst>
            <a:ext uri="{FF2B5EF4-FFF2-40B4-BE49-F238E27FC236}">
              <a16:creationId xmlns:a16="http://schemas.microsoft.com/office/drawing/2014/main" id="{50381597-BB5C-41D2-B2DB-670C42015B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9" name="Text Box 15">
          <a:extLst>
            <a:ext uri="{FF2B5EF4-FFF2-40B4-BE49-F238E27FC236}">
              <a16:creationId xmlns:a16="http://schemas.microsoft.com/office/drawing/2014/main" id="{8CAAD3B0-2C38-4F77-90C6-326B8157D80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0" name="Text Box 15">
          <a:extLst>
            <a:ext uri="{FF2B5EF4-FFF2-40B4-BE49-F238E27FC236}">
              <a16:creationId xmlns:a16="http://schemas.microsoft.com/office/drawing/2014/main" id="{1C86979C-E22D-4784-93DB-18FBBE76B34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1" name="Text Box 15">
          <a:extLst>
            <a:ext uri="{FF2B5EF4-FFF2-40B4-BE49-F238E27FC236}">
              <a16:creationId xmlns:a16="http://schemas.microsoft.com/office/drawing/2014/main" id="{31CA97A8-2F83-4ED8-A218-CC5013A408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02" name="Text Box 15">
          <a:extLst>
            <a:ext uri="{FF2B5EF4-FFF2-40B4-BE49-F238E27FC236}">
              <a16:creationId xmlns:a16="http://schemas.microsoft.com/office/drawing/2014/main" id="{E00A3609-B3B2-4EC4-A9C0-9D710B1ED4E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03" name="Text Box 15">
          <a:extLst>
            <a:ext uri="{FF2B5EF4-FFF2-40B4-BE49-F238E27FC236}">
              <a16:creationId xmlns:a16="http://schemas.microsoft.com/office/drawing/2014/main" id="{95466DB9-F31B-4EA2-AD55-E933B928B2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04" name="Text Box 15">
          <a:extLst>
            <a:ext uri="{FF2B5EF4-FFF2-40B4-BE49-F238E27FC236}">
              <a16:creationId xmlns:a16="http://schemas.microsoft.com/office/drawing/2014/main" id="{40FF98CD-127F-4C0D-953D-0DBE1CCF57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5" name="Text Box 15">
          <a:extLst>
            <a:ext uri="{FF2B5EF4-FFF2-40B4-BE49-F238E27FC236}">
              <a16:creationId xmlns:a16="http://schemas.microsoft.com/office/drawing/2014/main" id="{8DEFB92D-60C0-4299-9BFE-61D07F6A08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6" name="Text Box 15">
          <a:extLst>
            <a:ext uri="{FF2B5EF4-FFF2-40B4-BE49-F238E27FC236}">
              <a16:creationId xmlns:a16="http://schemas.microsoft.com/office/drawing/2014/main" id="{062E5EA9-F4C0-4D0A-9954-A9CA6948F1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7" name="Text Box 15">
          <a:extLst>
            <a:ext uri="{FF2B5EF4-FFF2-40B4-BE49-F238E27FC236}">
              <a16:creationId xmlns:a16="http://schemas.microsoft.com/office/drawing/2014/main" id="{7E9C6DE8-9C6B-4467-8C4C-7EBCBB05DB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8" name="Text Box 15">
          <a:extLst>
            <a:ext uri="{FF2B5EF4-FFF2-40B4-BE49-F238E27FC236}">
              <a16:creationId xmlns:a16="http://schemas.microsoft.com/office/drawing/2014/main" id="{73615675-9D92-410B-849B-160AD248DA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9" name="Text Box 15">
          <a:extLst>
            <a:ext uri="{FF2B5EF4-FFF2-40B4-BE49-F238E27FC236}">
              <a16:creationId xmlns:a16="http://schemas.microsoft.com/office/drawing/2014/main" id="{7657ACF2-6263-423B-9E4B-CA60A1620B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10" name="Text Box 15">
          <a:extLst>
            <a:ext uri="{FF2B5EF4-FFF2-40B4-BE49-F238E27FC236}">
              <a16:creationId xmlns:a16="http://schemas.microsoft.com/office/drawing/2014/main" id="{3BEBE903-0032-4344-BDBE-08F4B2633FD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11" name="Text Box 15">
          <a:extLst>
            <a:ext uri="{FF2B5EF4-FFF2-40B4-BE49-F238E27FC236}">
              <a16:creationId xmlns:a16="http://schemas.microsoft.com/office/drawing/2014/main" id="{C42173A7-5C01-484F-A4A7-E22F37FD05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12" name="Text Box 15">
          <a:extLst>
            <a:ext uri="{FF2B5EF4-FFF2-40B4-BE49-F238E27FC236}">
              <a16:creationId xmlns:a16="http://schemas.microsoft.com/office/drawing/2014/main" id="{163A07EB-A13D-4936-A4C1-13F8D7EAB31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13" name="Text Box 15">
          <a:extLst>
            <a:ext uri="{FF2B5EF4-FFF2-40B4-BE49-F238E27FC236}">
              <a16:creationId xmlns:a16="http://schemas.microsoft.com/office/drawing/2014/main" id="{5958E33F-97E2-4EA7-98E5-8E4DE689B9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14" name="Text Box 15">
          <a:extLst>
            <a:ext uri="{FF2B5EF4-FFF2-40B4-BE49-F238E27FC236}">
              <a16:creationId xmlns:a16="http://schemas.microsoft.com/office/drawing/2014/main" id="{F9E03470-2FC2-4AD3-B7AA-8ABB418DD47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15" name="Text Box 15">
          <a:extLst>
            <a:ext uri="{FF2B5EF4-FFF2-40B4-BE49-F238E27FC236}">
              <a16:creationId xmlns:a16="http://schemas.microsoft.com/office/drawing/2014/main" id="{3B70305A-E140-473C-9632-A8A5F3964E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16" name="Text Box 15">
          <a:extLst>
            <a:ext uri="{FF2B5EF4-FFF2-40B4-BE49-F238E27FC236}">
              <a16:creationId xmlns:a16="http://schemas.microsoft.com/office/drawing/2014/main" id="{1334E722-2D0C-44F7-8749-0419A4D5DC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17" name="Text Box 15">
          <a:extLst>
            <a:ext uri="{FF2B5EF4-FFF2-40B4-BE49-F238E27FC236}">
              <a16:creationId xmlns:a16="http://schemas.microsoft.com/office/drawing/2014/main" id="{121F60E4-C6FD-4DF9-8E9D-997297E641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18" name="Text Box 15">
          <a:extLst>
            <a:ext uri="{FF2B5EF4-FFF2-40B4-BE49-F238E27FC236}">
              <a16:creationId xmlns:a16="http://schemas.microsoft.com/office/drawing/2014/main" id="{BC3AC586-0B5F-4E12-A389-34296C6E93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19" name="Text Box 15">
          <a:extLst>
            <a:ext uri="{FF2B5EF4-FFF2-40B4-BE49-F238E27FC236}">
              <a16:creationId xmlns:a16="http://schemas.microsoft.com/office/drawing/2014/main" id="{CC5B5888-E1B3-47FC-B93A-7B9A83132C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0" name="Text Box 15">
          <a:extLst>
            <a:ext uri="{FF2B5EF4-FFF2-40B4-BE49-F238E27FC236}">
              <a16:creationId xmlns:a16="http://schemas.microsoft.com/office/drawing/2014/main" id="{3F5FB8BC-0D23-43C6-A118-0EC90073124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1" name="Text Box 15">
          <a:extLst>
            <a:ext uri="{FF2B5EF4-FFF2-40B4-BE49-F238E27FC236}">
              <a16:creationId xmlns:a16="http://schemas.microsoft.com/office/drawing/2014/main" id="{9CB7C5B2-BD2F-4324-8D87-7EA07DC512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2" name="Text Box 15">
          <a:extLst>
            <a:ext uri="{FF2B5EF4-FFF2-40B4-BE49-F238E27FC236}">
              <a16:creationId xmlns:a16="http://schemas.microsoft.com/office/drawing/2014/main" id="{C5BB6323-836B-4EAE-A581-32A14D63A24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3" name="Text Box 15">
          <a:extLst>
            <a:ext uri="{FF2B5EF4-FFF2-40B4-BE49-F238E27FC236}">
              <a16:creationId xmlns:a16="http://schemas.microsoft.com/office/drawing/2014/main" id="{EAED70FF-2578-45C1-9253-3F629145C6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4" name="Text Box 15">
          <a:extLst>
            <a:ext uri="{FF2B5EF4-FFF2-40B4-BE49-F238E27FC236}">
              <a16:creationId xmlns:a16="http://schemas.microsoft.com/office/drawing/2014/main" id="{8A0CC00A-E518-4E11-B370-AA92490DFA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5" name="Text Box 15">
          <a:extLst>
            <a:ext uri="{FF2B5EF4-FFF2-40B4-BE49-F238E27FC236}">
              <a16:creationId xmlns:a16="http://schemas.microsoft.com/office/drawing/2014/main" id="{AE3B4B6E-99FF-4B1D-B922-A036DF6587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6" name="Text Box 15">
          <a:extLst>
            <a:ext uri="{FF2B5EF4-FFF2-40B4-BE49-F238E27FC236}">
              <a16:creationId xmlns:a16="http://schemas.microsoft.com/office/drawing/2014/main" id="{0901F3FB-1C6E-4754-8584-C0010E23FE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7" name="Text Box 15">
          <a:extLst>
            <a:ext uri="{FF2B5EF4-FFF2-40B4-BE49-F238E27FC236}">
              <a16:creationId xmlns:a16="http://schemas.microsoft.com/office/drawing/2014/main" id="{A288C9C4-4EA5-49E6-8D93-43BEA81F44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8" name="Text Box 15">
          <a:extLst>
            <a:ext uri="{FF2B5EF4-FFF2-40B4-BE49-F238E27FC236}">
              <a16:creationId xmlns:a16="http://schemas.microsoft.com/office/drawing/2014/main" id="{BD7E2552-FE9E-44EB-A92C-DFEDCA32C7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9" name="Text Box 15">
          <a:extLst>
            <a:ext uri="{FF2B5EF4-FFF2-40B4-BE49-F238E27FC236}">
              <a16:creationId xmlns:a16="http://schemas.microsoft.com/office/drawing/2014/main" id="{BFB7E510-30EA-425D-AFF1-EE3AB06315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30" name="Text Box 15">
          <a:extLst>
            <a:ext uri="{FF2B5EF4-FFF2-40B4-BE49-F238E27FC236}">
              <a16:creationId xmlns:a16="http://schemas.microsoft.com/office/drawing/2014/main" id="{4A171796-1659-44AB-94DD-F1D78F1F40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31" name="Text Box 15">
          <a:extLst>
            <a:ext uri="{FF2B5EF4-FFF2-40B4-BE49-F238E27FC236}">
              <a16:creationId xmlns:a16="http://schemas.microsoft.com/office/drawing/2014/main" id="{21784D84-95EF-476D-9308-4C6F37D9F4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32" name="Text Box 15">
          <a:extLst>
            <a:ext uri="{FF2B5EF4-FFF2-40B4-BE49-F238E27FC236}">
              <a16:creationId xmlns:a16="http://schemas.microsoft.com/office/drawing/2014/main" id="{F1D26CD4-3EAF-4E69-B0E1-141964D8AB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33" name="Text Box 15">
          <a:extLst>
            <a:ext uri="{FF2B5EF4-FFF2-40B4-BE49-F238E27FC236}">
              <a16:creationId xmlns:a16="http://schemas.microsoft.com/office/drawing/2014/main" id="{EFA59705-CB90-4DC1-B7D3-4B6BA894F9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34" name="Text Box 15">
          <a:extLst>
            <a:ext uri="{FF2B5EF4-FFF2-40B4-BE49-F238E27FC236}">
              <a16:creationId xmlns:a16="http://schemas.microsoft.com/office/drawing/2014/main" id="{4D3DBD7C-67F6-4F7C-9992-854AF8D8455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35" name="Text Box 15">
          <a:extLst>
            <a:ext uri="{FF2B5EF4-FFF2-40B4-BE49-F238E27FC236}">
              <a16:creationId xmlns:a16="http://schemas.microsoft.com/office/drawing/2014/main" id="{DD00415C-6DB9-4F46-88A7-EEF63ABD27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36" name="Text Box 15">
          <a:extLst>
            <a:ext uri="{FF2B5EF4-FFF2-40B4-BE49-F238E27FC236}">
              <a16:creationId xmlns:a16="http://schemas.microsoft.com/office/drawing/2014/main" id="{D87A2685-DEF4-4D6C-8581-85A0E89E8B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37" name="Text Box 15">
          <a:extLst>
            <a:ext uri="{FF2B5EF4-FFF2-40B4-BE49-F238E27FC236}">
              <a16:creationId xmlns:a16="http://schemas.microsoft.com/office/drawing/2014/main" id="{D09A6B51-D4D1-417C-A2A6-C182BD9DCE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38" name="Text Box 15">
          <a:extLst>
            <a:ext uri="{FF2B5EF4-FFF2-40B4-BE49-F238E27FC236}">
              <a16:creationId xmlns:a16="http://schemas.microsoft.com/office/drawing/2014/main" id="{02B12F14-B8EA-499B-B5FF-674FBD8D2F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39" name="Text Box 15">
          <a:extLst>
            <a:ext uri="{FF2B5EF4-FFF2-40B4-BE49-F238E27FC236}">
              <a16:creationId xmlns:a16="http://schemas.microsoft.com/office/drawing/2014/main" id="{E645AF9F-C806-495B-BDCF-42711BB7B6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40" name="Text Box 15">
          <a:extLst>
            <a:ext uri="{FF2B5EF4-FFF2-40B4-BE49-F238E27FC236}">
              <a16:creationId xmlns:a16="http://schemas.microsoft.com/office/drawing/2014/main" id="{4F58D534-7F9A-4A8C-87E8-2A2CDE7A32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41" name="Text Box 15">
          <a:extLst>
            <a:ext uri="{FF2B5EF4-FFF2-40B4-BE49-F238E27FC236}">
              <a16:creationId xmlns:a16="http://schemas.microsoft.com/office/drawing/2014/main" id="{51A357AD-A3C9-4E6E-B00F-32E1423C27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42" name="Text Box 15">
          <a:extLst>
            <a:ext uri="{FF2B5EF4-FFF2-40B4-BE49-F238E27FC236}">
              <a16:creationId xmlns:a16="http://schemas.microsoft.com/office/drawing/2014/main" id="{8100FDF2-00C4-49D2-BD95-264CF5F02A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43" name="Text Box 15">
          <a:extLst>
            <a:ext uri="{FF2B5EF4-FFF2-40B4-BE49-F238E27FC236}">
              <a16:creationId xmlns:a16="http://schemas.microsoft.com/office/drawing/2014/main" id="{301E3C02-15D0-4B80-898F-B17E730BD4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44" name="Text Box 15">
          <a:extLst>
            <a:ext uri="{FF2B5EF4-FFF2-40B4-BE49-F238E27FC236}">
              <a16:creationId xmlns:a16="http://schemas.microsoft.com/office/drawing/2014/main" id="{F7B0CDB6-4E66-44FC-9D42-17C9A1F32B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45" name="Text Box 15">
          <a:extLst>
            <a:ext uri="{FF2B5EF4-FFF2-40B4-BE49-F238E27FC236}">
              <a16:creationId xmlns:a16="http://schemas.microsoft.com/office/drawing/2014/main" id="{81DB6A04-B10D-4A15-B18C-F2513B65E9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46" name="Text Box 15">
          <a:extLst>
            <a:ext uri="{FF2B5EF4-FFF2-40B4-BE49-F238E27FC236}">
              <a16:creationId xmlns:a16="http://schemas.microsoft.com/office/drawing/2014/main" id="{17FDAC41-E66E-4A95-8A90-D8FF8AC54D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47" name="Text Box 15">
          <a:extLst>
            <a:ext uri="{FF2B5EF4-FFF2-40B4-BE49-F238E27FC236}">
              <a16:creationId xmlns:a16="http://schemas.microsoft.com/office/drawing/2014/main" id="{B520C4B0-7099-40A2-97E0-418D15BB98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48" name="Text Box 15">
          <a:extLst>
            <a:ext uri="{FF2B5EF4-FFF2-40B4-BE49-F238E27FC236}">
              <a16:creationId xmlns:a16="http://schemas.microsoft.com/office/drawing/2014/main" id="{A3E0756E-4FD6-4A5B-AFD5-6127AD0041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49" name="Text Box 15">
          <a:extLst>
            <a:ext uri="{FF2B5EF4-FFF2-40B4-BE49-F238E27FC236}">
              <a16:creationId xmlns:a16="http://schemas.microsoft.com/office/drawing/2014/main" id="{DAA35BB3-9A4F-423E-B9E3-1580C76231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0" name="Text Box 15">
          <a:extLst>
            <a:ext uri="{FF2B5EF4-FFF2-40B4-BE49-F238E27FC236}">
              <a16:creationId xmlns:a16="http://schemas.microsoft.com/office/drawing/2014/main" id="{A1FE516F-71B1-4925-8B15-6E8D24C3A4D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1" name="Text Box 15">
          <a:extLst>
            <a:ext uri="{FF2B5EF4-FFF2-40B4-BE49-F238E27FC236}">
              <a16:creationId xmlns:a16="http://schemas.microsoft.com/office/drawing/2014/main" id="{292ECE57-5F59-4A03-966A-957AD30074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2" name="Text Box 15">
          <a:extLst>
            <a:ext uri="{FF2B5EF4-FFF2-40B4-BE49-F238E27FC236}">
              <a16:creationId xmlns:a16="http://schemas.microsoft.com/office/drawing/2014/main" id="{0C814408-E9FB-4C6E-8192-7DF0CAD0BA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3" name="Text Box 15">
          <a:extLst>
            <a:ext uri="{FF2B5EF4-FFF2-40B4-BE49-F238E27FC236}">
              <a16:creationId xmlns:a16="http://schemas.microsoft.com/office/drawing/2014/main" id="{F496256F-E63B-4252-8381-7508E9984F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4" name="Text Box 15">
          <a:extLst>
            <a:ext uri="{FF2B5EF4-FFF2-40B4-BE49-F238E27FC236}">
              <a16:creationId xmlns:a16="http://schemas.microsoft.com/office/drawing/2014/main" id="{EDEE5746-C92B-4306-93A7-1A66C4E186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5" name="Text Box 15">
          <a:extLst>
            <a:ext uri="{FF2B5EF4-FFF2-40B4-BE49-F238E27FC236}">
              <a16:creationId xmlns:a16="http://schemas.microsoft.com/office/drawing/2014/main" id="{0809B335-9955-4EE4-B29F-65716E8BD8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6" name="Text Box 15">
          <a:extLst>
            <a:ext uri="{FF2B5EF4-FFF2-40B4-BE49-F238E27FC236}">
              <a16:creationId xmlns:a16="http://schemas.microsoft.com/office/drawing/2014/main" id="{4B69643F-8CE4-4D32-8D32-4AECB6346C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7" name="Text Box 15">
          <a:extLst>
            <a:ext uri="{FF2B5EF4-FFF2-40B4-BE49-F238E27FC236}">
              <a16:creationId xmlns:a16="http://schemas.microsoft.com/office/drawing/2014/main" id="{E1D9CCCE-4533-4ACE-AA98-8182704904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8" name="Text Box 15">
          <a:extLst>
            <a:ext uri="{FF2B5EF4-FFF2-40B4-BE49-F238E27FC236}">
              <a16:creationId xmlns:a16="http://schemas.microsoft.com/office/drawing/2014/main" id="{7710C912-FE0A-4649-877B-522D98A063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9" name="Text Box 15">
          <a:extLst>
            <a:ext uri="{FF2B5EF4-FFF2-40B4-BE49-F238E27FC236}">
              <a16:creationId xmlns:a16="http://schemas.microsoft.com/office/drawing/2014/main" id="{8F8E1A95-DF10-4AEE-BD16-6DA923FEB5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60" name="Text Box 15">
          <a:extLst>
            <a:ext uri="{FF2B5EF4-FFF2-40B4-BE49-F238E27FC236}">
              <a16:creationId xmlns:a16="http://schemas.microsoft.com/office/drawing/2014/main" id="{6B7AB80E-FB25-4B98-AE59-4A23796C6B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61" name="Text Box 15">
          <a:extLst>
            <a:ext uri="{FF2B5EF4-FFF2-40B4-BE49-F238E27FC236}">
              <a16:creationId xmlns:a16="http://schemas.microsoft.com/office/drawing/2014/main" id="{3E2404A4-CC6B-41F3-85C2-EE67939563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62" name="Text Box 15">
          <a:extLst>
            <a:ext uri="{FF2B5EF4-FFF2-40B4-BE49-F238E27FC236}">
              <a16:creationId xmlns:a16="http://schemas.microsoft.com/office/drawing/2014/main" id="{1F6D108D-0E78-41CB-9899-E1BA36CB14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63" name="Text Box 15">
          <a:extLst>
            <a:ext uri="{FF2B5EF4-FFF2-40B4-BE49-F238E27FC236}">
              <a16:creationId xmlns:a16="http://schemas.microsoft.com/office/drawing/2014/main" id="{4C3C8C25-FF14-469B-836E-9D25E9FECC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64" name="Text Box 15">
          <a:extLst>
            <a:ext uri="{FF2B5EF4-FFF2-40B4-BE49-F238E27FC236}">
              <a16:creationId xmlns:a16="http://schemas.microsoft.com/office/drawing/2014/main" id="{C2E10604-C94E-4460-8090-A81A37CC8B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65" name="Text Box 15">
          <a:extLst>
            <a:ext uri="{FF2B5EF4-FFF2-40B4-BE49-F238E27FC236}">
              <a16:creationId xmlns:a16="http://schemas.microsoft.com/office/drawing/2014/main" id="{532C1A5D-5675-4C22-9BA9-AB4E0B4A537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66" name="Text Box 15">
          <a:extLst>
            <a:ext uri="{FF2B5EF4-FFF2-40B4-BE49-F238E27FC236}">
              <a16:creationId xmlns:a16="http://schemas.microsoft.com/office/drawing/2014/main" id="{A16E6975-D223-40B6-853B-FCAA7682C4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67" name="Text Box 15">
          <a:extLst>
            <a:ext uri="{FF2B5EF4-FFF2-40B4-BE49-F238E27FC236}">
              <a16:creationId xmlns:a16="http://schemas.microsoft.com/office/drawing/2014/main" id="{D21F2FDD-DD48-4683-894D-65F3CE5B570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68" name="Text Box 15">
          <a:extLst>
            <a:ext uri="{FF2B5EF4-FFF2-40B4-BE49-F238E27FC236}">
              <a16:creationId xmlns:a16="http://schemas.microsoft.com/office/drawing/2014/main" id="{1F7EFE37-64D5-43B5-AFC3-A02BA3BA09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69" name="Text Box 15">
          <a:extLst>
            <a:ext uri="{FF2B5EF4-FFF2-40B4-BE49-F238E27FC236}">
              <a16:creationId xmlns:a16="http://schemas.microsoft.com/office/drawing/2014/main" id="{C4744F80-0E5B-4D10-B2FB-D86CA57C3A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70" name="Text Box 15">
          <a:extLst>
            <a:ext uri="{FF2B5EF4-FFF2-40B4-BE49-F238E27FC236}">
              <a16:creationId xmlns:a16="http://schemas.microsoft.com/office/drawing/2014/main" id="{5030B128-C29D-4ED4-892F-F82BE53A84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71" name="Text Box 15">
          <a:extLst>
            <a:ext uri="{FF2B5EF4-FFF2-40B4-BE49-F238E27FC236}">
              <a16:creationId xmlns:a16="http://schemas.microsoft.com/office/drawing/2014/main" id="{AFD1D4F9-E306-4F91-9BF3-3AA96EBBC4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72" name="Text Box 15">
          <a:extLst>
            <a:ext uri="{FF2B5EF4-FFF2-40B4-BE49-F238E27FC236}">
              <a16:creationId xmlns:a16="http://schemas.microsoft.com/office/drawing/2014/main" id="{968DFE89-CEF5-47B6-A092-7E9CE1BDAC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73" name="Text Box 15">
          <a:extLst>
            <a:ext uri="{FF2B5EF4-FFF2-40B4-BE49-F238E27FC236}">
              <a16:creationId xmlns:a16="http://schemas.microsoft.com/office/drawing/2014/main" id="{781C89DA-C2EA-4E20-8E50-93F9D7A95B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74" name="Text Box 15">
          <a:extLst>
            <a:ext uri="{FF2B5EF4-FFF2-40B4-BE49-F238E27FC236}">
              <a16:creationId xmlns:a16="http://schemas.microsoft.com/office/drawing/2014/main" id="{827817C5-A7F4-4FA7-99B8-096C9B21C9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75" name="Text Box 15">
          <a:extLst>
            <a:ext uri="{FF2B5EF4-FFF2-40B4-BE49-F238E27FC236}">
              <a16:creationId xmlns:a16="http://schemas.microsoft.com/office/drawing/2014/main" id="{C2AB376E-CC59-4761-8EA8-BAAAAB77BB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76" name="Text Box 15">
          <a:extLst>
            <a:ext uri="{FF2B5EF4-FFF2-40B4-BE49-F238E27FC236}">
              <a16:creationId xmlns:a16="http://schemas.microsoft.com/office/drawing/2014/main" id="{D1E20765-1E71-4787-9242-6A4B12C132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77" name="Text Box 15">
          <a:extLst>
            <a:ext uri="{FF2B5EF4-FFF2-40B4-BE49-F238E27FC236}">
              <a16:creationId xmlns:a16="http://schemas.microsoft.com/office/drawing/2014/main" id="{D99DDF4B-B83F-425B-9613-31452CDD39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78" name="Text Box 15">
          <a:extLst>
            <a:ext uri="{FF2B5EF4-FFF2-40B4-BE49-F238E27FC236}">
              <a16:creationId xmlns:a16="http://schemas.microsoft.com/office/drawing/2014/main" id="{ABD011CC-19EB-4C2E-A93B-C3B52BE7C5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79" name="Text Box 15">
          <a:extLst>
            <a:ext uri="{FF2B5EF4-FFF2-40B4-BE49-F238E27FC236}">
              <a16:creationId xmlns:a16="http://schemas.microsoft.com/office/drawing/2014/main" id="{D3601B72-FD12-42E0-8A03-67237E1D42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0" name="Text Box 15">
          <a:extLst>
            <a:ext uri="{FF2B5EF4-FFF2-40B4-BE49-F238E27FC236}">
              <a16:creationId xmlns:a16="http://schemas.microsoft.com/office/drawing/2014/main" id="{50521403-DC58-41EA-AF68-D2EB156F3F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1" name="Text Box 15">
          <a:extLst>
            <a:ext uri="{FF2B5EF4-FFF2-40B4-BE49-F238E27FC236}">
              <a16:creationId xmlns:a16="http://schemas.microsoft.com/office/drawing/2014/main" id="{C97CC1F7-C8C4-40E4-AED1-0FF956CA2E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2" name="Text Box 15">
          <a:extLst>
            <a:ext uri="{FF2B5EF4-FFF2-40B4-BE49-F238E27FC236}">
              <a16:creationId xmlns:a16="http://schemas.microsoft.com/office/drawing/2014/main" id="{49A28F82-B508-47FE-A220-73840763B6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3" name="Text Box 15">
          <a:extLst>
            <a:ext uri="{FF2B5EF4-FFF2-40B4-BE49-F238E27FC236}">
              <a16:creationId xmlns:a16="http://schemas.microsoft.com/office/drawing/2014/main" id="{E6D3F317-3C96-4228-8100-3B8016B2C1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4" name="Text Box 15">
          <a:extLst>
            <a:ext uri="{FF2B5EF4-FFF2-40B4-BE49-F238E27FC236}">
              <a16:creationId xmlns:a16="http://schemas.microsoft.com/office/drawing/2014/main" id="{4D3DCA1B-997C-4FCA-8B95-CB87D37E72B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5" name="Text Box 15">
          <a:extLst>
            <a:ext uri="{FF2B5EF4-FFF2-40B4-BE49-F238E27FC236}">
              <a16:creationId xmlns:a16="http://schemas.microsoft.com/office/drawing/2014/main" id="{F557844C-9EB9-427A-A74F-2566FB74D8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86" name="Text Box 15">
          <a:extLst>
            <a:ext uri="{FF2B5EF4-FFF2-40B4-BE49-F238E27FC236}">
              <a16:creationId xmlns:a16="http://schemas.microsoft.com/office/drawing/2014/main" id="{8B2CA633-CE33-4FD4-95B9-F3D0E2585B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87" name="Text Box 15">
          <a:extLst>
            <a:ext uri="{FF2B5EF4-FFF2-40B4-BE49-F238E27FC236}">
              <a16:creationId xmlns:a16="http://schemas.microsoft.com/office/drawing/2014/main" id="{28473D24-C01C-4091-BA65-146AE4AD3A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88" name="Text Box 15">
          <a:extLst>
            <a:ext uri="{FF2B5EF4-FFF2-40B4-BE49-F238E27FC236}">
              <a16:creationId xmlns:a16="http://schemas.microsoft.com/office/drawing/2014/main" id="{E5C6E591-55DA-47DA-9468-B17B81506A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89" name="Text Box 15">
          <a:extLst>
            <a:ext uri="{FF2B5EF4-FFF2-40B4-BE49-F238E27FC236}">
              <a16:creationId xmlns:a16="http://schemas.microsoft.com/office/drawing/2014/main" id="{8F9306EA-BC37-4B90-AAFF-E04EE7B7C2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0" name="Text Box 15">
          <a:extLst>
            <a:ext uri="{FF2B5EF4-FFF2-40B4-BE49-F238E27FC236}">
              <a16:creationId xmlns:a16="http://schemas.microsoft.com/office/drawing/2014/main" id="{54BB9138-2F8A-48EE-8F41-C74E9D22B3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1" name="Text Box 15">
          <a:extLst>
            <a:ext uri="{FF2B5EF4-FFF2-40B4-BE49-F238E27FC236}">
              <a16:creationId xmlns:a16="http://schemas.microsoft.com/office/drawing/2014/main" id="{1F213B85-8CDB-4FF5-AC48-C48EC5EC26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2" name="Text Box 15">
          <a:extLst>
            <a:ext uri="{FF2B5EF4-FFF2-40B4-BE49-F238E27FC236}">
              <a16:creationId xmlns:a16="http://schemas.microsoft.com/office/drawing/2014/main" id="{A8172FBC-F170-4CB8-8CED-2ED4344B9D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3" name="Text Box 15">
          <a:extLst>
            <a:ext uri="{FF2B5EF4-FFF2-40B4-BE49-F238E27FC236}">
              <a16:creationId xmlns:a16="http://schemas.microsoft.com/office/drawing/2014/main" id="{33A41F9D-0004-4EED-BB1F-EAF0BD8F0F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4" name="Text Box 15">
          <a:extLst>
            <a:ext uri="{FF2B5EF4-FFF2-40B4-BE49-F238E27FC236}">
              <a16:creationId xmlns:a16="http://schemas.microsoft.com/office/drawing/2014/main" id="{BF04BE81-B555-45CF-96C8-E9FCAC05EB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5" name="Text Box 15">
          <a:extLst>
            <a:ext uri="{FF2B5EF4-FFF2-40B4-BE49-F238E27FC236}">
              <a16:creationId xmlns:a16="http://schemas.microsoft.com/office/drawing/2014/main" id="{595AC613-AF90-466E-AFD3-749D09EFA8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896" name="Text Box 15">
          <a:extLst>
            <a:ext uri="{FF2B5EF4-FFF2-40B4-BE49-F238E27FC236}">
              <a16:creationId xmlns:a16="http://schemas.microsoft.com/office/drawing/2014/main" id="{AD73BFBB-6545-4924-B05C-1505F30FF2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897" name="Text Box 15">
          <a:extLst>
            <a:ext uri="{FF2B5EF4-FFF2-40B4-BE49-F238E27FC236}">
              <a16:creationId xmlns:a16="http://schemas.microsoft.com/office/drawing/2014/main" id="{CAEA575A-20AB-4642-8D04-D0B8CB9608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898" name="Text Box 15">
          <a:extLst>
            <a:ext uri="{FF2B5EF4-FFF2-40B4-BE49-F238E27FC236}">
              <a16:creationId xmlns:a16="http://schemas.microsoft.com/office/drawing/2014/main" id="{311DAFB4-7061-43EC-BA71-E976E56A6F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899" name="Text Box 15">
          <a:extLst>
            <a:ext uri="{FF2B5EF4-FFF2-40B4-BE49-F238E27FC236}">
              <a16:creationId xmlns:a16="http://schemas.microsoft.com/office/drawing/2014/main" id="{9A511FD8-AF2D-4145-9D96-DCF4BE91E4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00" name="Text Box 15">
          <a:extLst>
            <a:ext uri="{FF2B5EF4-FFF2-40B4-BE49-F238E27FC236}">
              <a16:creationId xmlns:a16="http://schemas.microsoft.com/office/drawing/2014/main" id="{36EF5C0D-8B7F-410F-AAB3-C43CD5850A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1" name="Text Box 15">
          <a:extLst>
            <a:ext uri="{FF2B5EF4-FFF2-40B4-BE49-F238E27FC236}">
              <a16:creationId xmlns:a16="http://schemas.microsoft.com/office/drawing/2014/main" id="{DADCDAC1-CCEA-4333-83FA-C52FAABD50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2" name="Text Box 15">
          <a:extLst>
            <a:ext uri="{FF2B5EF4-FFF2-40B4-BE49-F238E27FC236}">
              <a16:creationId xmlns:a16="http://schemas.microsoft.com/office/drawing/2014/main" id="{F3352B99-B58A-4E07-843F-9BFC6759CA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3" name="Text Box 15">
          <a:extLst>
            <a:ext uri="{FF2B5EF4-FFF2-40B4-BE49-F238E27FC236}">
              <a16:creationId xmlns:a16="http://schemas.microsoft.com/office/drawing/2014/main" id="{0DAD2160-256F-4EE4-BA76-F317F416CF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4" name="Text Box 15">
          <a:extLst>
            <a:ext uri="{FF2B5EF4-FFF2-40B4-BE49-F238E27FC236}">
              <a16:creationId xmlns:a16="http://schemas.microsoft.com/office/drawing/2014/main" id="{86AC5319-D9D7-46B8-8631-A8679361E33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5" name="Text Box 15">
          <a:extLst>
            <a:ext uri="{FF2B5EF4-FFF2-40B4-BE49-F238E27FC236}">
              <a16:creationId xmlns:a16="http://schemas.microsoft.com/office/drawing/2014/main" id="{1A7370EA-9147-4727-8E02-D3AB22070DD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6" name="Text Box 15">
          <a:extLst>
            <a:ext uri="{FF2B5EF4-FFF2-40B4-BE49-F238E27FC236}">
              <a16:creationId xmlns:a16="http://schemas.microsoft.com/office/drawing/2014/main" id="{5473C2F5-D7EA-49CF-B6ED-A9B6B9FEB9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7" name="Text Box 15">
          <a:extLst>
            <a:ext uri="{FF2B5EF4-FFF2-40B4-BE49-F238E27FC236}">
              <a16:creationId xmlns:a16="http://schemas.microsoft.com/office/drawing/2014/main" id="{5BD3D3BC-E724-49CF-8737-D06D9CBF78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8" name="Text Box 15">
          <a:extLst>
            <a:ext uri="{FF2B5EF4-FFF2-40B4-BE49-F238E27FC236}">
              <a16:creationId xmlns:a16="http://schemas.microsoft.com/office/drawing/2014/main" id="{B8DDAE7F-BF38-4735-AD51-C3BA565486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9" name="Text Box 15">
          <a:extLst>
            <a:ext uri="{FF2B5EF4-FFF2-40B4-BE49-F238E27FC236}">
              <a16:creationId xmlns:a16="http://schemas.microsoft.com/office/drawing/2014/main" id="{8E800295-3F21-402E-99A5-06BA3F7768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10" name="Text Box 15">
          <a:extLst>
            <a:ext uri="{FF2B5EF4-FFF2-40B4-BE49-F238E27FC236}">
              <a16:creationId xmlns:a16="http://schemas.microsoft.com/office/drawing/2014/main" id="{ED73AF3A-5257-4685-8362-E09BB39AED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11" name="Text Box 15">
          <a:extLst>
            <a:ext uri="{FF2B5EF4-FFF2-40B4-BE49-F238E27FC236}">
              <a16:creationId xmlns:a16="http://schemas.microsoft.com/office/drawing/2014/main" id="{E12C552F-D018-4327-8AED-DE4E87C325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12" name="Text Box 15">
          <a:extLst>
            <a:ext uri="{FF2B5EF4-FFF2-40B4-BE49-F238E27FC236}">
              <a16:creationId xmlns:a16="http://schemas.microsoft.com/office/drawing/2014/main" id="{50437ACF-3474-4BE8-878C-F92A30D7C9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13" name="Text Box 15">
          <a:extLst>
            <a:ext uri="{FF2B5EF4-FFF2-40B4-BE49-F238E27FC236}">
              <a16:creationId xmlns:a16="http://schemas.microsoft.com/office/drawing/2014/main" id="{C43A5691-7398-427F-874E-C58E64D790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14" name="Text Box 15">
          <a:extLst>
            <a:ext uri="{FF2B5EF4-FFF2-40B4-BE49-F238E27FC236}">
              <a16:creationId xmlns:a16="http://schemas.microsoft.com/office/drawing/2014/main" id="{CB666186-F566-42C8-9715-ECF1C5508F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15" name="Text Box 15">
          <a:extLst>
            <a:ext uri="{FF2B5EF4-FFF2-40B4-BE49-F238E27FC236}">
              <a16:creationId xmlns:a16="http://schemas.microsoft.com/office/drawing/2014/main" id="{ED24F48D-1A7E-47B3-A506-F0E955B8B5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16" name="Text Box 15">
          <a:extLst>
            <a:ext uri="{FF2B5EF4-FFF2-40B4-BE49-F238E27FC236}">
              <a16:creationId xmlns:a16="http://schemas.microsoft.com/office/drawing/2014/main" id="{98804052-8796-4DF4-BF61-A0AFE281A30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17" name="Text Box 15">
          <a:extLst>
            <a:ext uri="{FF2B5EF4-FFF2-40B4-BE49-F238E27FC236}">
              <a16:creationId xmlns:a16="http://schemas.microsoft.com/office/drawing/2014/main" id="{72B7E824-7CF6-4EB2-9289-59CC2A5B68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18" name="Text Box 15">
          <a:extLst>
            <a:ext uri="{FF2B5EF4-FFF2-40B4-BE49-F238E27FC236}">
              <a16:creationId xmlns:a16="http://schemas.microsoft.com/office/drawing/2014/main" id="{904A3980-5160-4294-8478-5013D78B40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19" name="Text Box 15">
          <a:extLst>
            <a:ext uri="{FF2B5EF4-FFF2-40B4-BE49-F238E27FC236}">
              <a16:creationId xmlns:a16="http://schemas.microsoft.com/office/drawing/2014/main" id="{15C5C402-BDAE-46CB-9304-1A791BFDD0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0" name="Text Box 15">
          <a:extLst>
            <a:ext uri="{FF2B5EF4-FFF2-40B4-BE49-F238E27FC236}">
              <a16:creationId xmlns:a16="http://schemas.microsoft.com/office/drawing/2014/main" id="{C49B2BE7-2296-456A-9669-99C9603CE2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1" name="Text Box 15">
          <a:extLst>
            <a:ext uri="{FF2B5EF4-FFF2-40B4-BE49-F238E27FC236}">
              <a16:creationId xmlns:a16="http://schemas.microsoft.com/office/drawing/2014/main" id="{F15554EA-162F-4CBF-B0E4-CFD402D3C1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2" name="Text Box 15">
          <a:extLst>
            <a:ext uri="{FF2B5EF4-FFF2-40B4-BE49-F238E27FC236}">
              <a16:creationId xmlns:a16="http://schemas.microsoft.com/office/drawing/2014/main" id="{10384EB8-15AF-42EC-91DE-29C073CFE2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3" name="Text Box 15">
          <a:extLst>
            <a:ext uri="{FF2B5EF4-FFF2-40B4-BE49-F238E27FC236}">
              <a16:creationId xmlns:a16="http://schemas.microsoft.com/office/drawing/2014/main" id="{000ACCD7-FCB3-4DF7-B76D-B3626E9386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4" name="Text Box 15">
          <a:extLst>
            <a:ext uri="{FF2B5EF4-FFF2-40B4-BE49-F238E27FC236}">
              <a16:creationId xmlns:a16="http://schemas.microsoft.com/office/drawing/2014/main" id="{BC5C3723-A181-4279-BDAB-5170195B9E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5" name="Text Box 15">
          <a:extLst>
            <a:ext uri="{FF2B5EF4-FFF2-40B4-BE49-F238E27FC236}">
              <a16:creationId xmlns:a16="http://schemas.microsoft.com/office/drawing/2014/main" id="{86F74FEA-6297-400E-B276-C183059BC5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26" name="Text Box 15">
          <a:extLst>
            <a:ext uri="{FF2B5EF4-FFF2-40B4-BE49-F238E27FC236}">
              <a16:creationId xmlns:a16="http://schemas.microsoft.com/office/drawing/2014/main" id="{9B4EF4A3-0A09-4216-8AFE-5E5903351C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27" name="Text Box 15">
          <a:extLst>
            <a:ext uri="{FF2B5EF4-FFF2-40B4-BE49-F238E27FC236}">
              <a16:creationId xmlns:a16="http://schemas.microsoft.com/office/drawing/2014/main" id="{6EFA48F3-B08F-4981-88C0-44678ED969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28" name="Text Box 15">
          <a:extLst>
            <a:ext uri="{FF2B5EF4-FFF2-40B4-BE49-F238E27FC236}">
              <a16:creationId xmlns:a16="http://schemas.microsoft.com/office/drawing/2014/main" id="{2375CE64-11F2-40A8-ACEA-4601395BA2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29" name="Text Box 15">
          <a:extLst>
            <a:ext uri="{FF2B5EF4-FFF2-40B4-BE49-F238E27FC236}">
              <a16:creationId xmlns:a16="http://schemas.microsoft.com/office/drawing/2014/main" id="{3054FE8C-EB34-4475-9D91-A369094A8F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30" name="Text Box 15">
          <a:extLst>
            <a:ext uri="{FF2B5EF4-FFF2-40B4-BE49-F238E27FC236}">
              <a16:creationId xmlns:a16="http://schemas.microsoft.com/office/drawing/2014/main" id="{E60CDFC1-9180-4450-A262-6A2C5D7D355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1" name="Text Box 15">
          <a:extLst>
            <a:ext uri="{FF2B5EF4-FFF2-40B4-BE49-F238E27FC236}">
              <a16:creationId xmlns:a16="http://schemas.microsoft.com/office/drawing/2014/main" id="{3C27EFB9-6983-4853-A7AF-6373866AE8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2" name="Text Box 15">
          <a:extLst>
            <a:ext uri="{FF2B5EF4-FFF2-40B4-BE49-F238E27FC236}">
              <a16:creationId xmlns:a16="http://schemas.microsoft.com/office/drawing/2014/main" id="{95DD8C5C-61FC-4BCF-8042-D9C8274705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3" name="Text Box 15">
          <a:extLst>
            <a:ext uri="{FF2B5EF4-FFF2-40B4-BE49-F238E27FC236}">
              <a16:creationId xmlns:a16="http://schemas.microsoft.com/office/drawing/2014/main" id="{F706A6D3-22F9-4985-951C-3F9CF3ACE4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4" name="Text Box 15">
          <a:extLst>
            <a:ext uri="{FF2B5EF4-FFF2-40B4-BE49-F238E27FC236}">
              <a16:creationId xmlns:a16="http://schemas.microsoft.com/office/drawing/2014/main" id="{3F228549-A8B0-47EF-9B9B-D3DC4B8AEB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5" name="Text Box 15">
          <a:extLst>
            <a:ext uri="{FF2B5EF4-FFF2-40B4-BE49-F238E27FC236}">
              <a16:creationId xmlns:a16="http://schemas.microsoft.com/office/drawing/2014/main" id="{BC8243C9-9D71-479D-AEE4-58474E9635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6" name="Text Box 15">
          <a:extLst>
            <a:ext uri="{FF2B5EF4-FFF2-40B4-BE49-F238E27FC236}">
              <a16:creationId xmlns:a16="http://schemas.microsoft.com/office/drawing/2014/main" id="{464ACD37-89C1-45F3-9CB4-CB262ABC81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7" name="Text Box 15">
          <a:extLst>
            <a:ext uri="{FF2B5EF4-FFF2-40B4-BE49-F238E27FC236}">
              <a16:creationId xmlns:a16="http://schemas.microsoft.com/office/drawing/2014/main" id="{398DE899-2F33-4BD4-BF0A-652A6F57F2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8" name="Text Box 15">
          <a:extLst>
            <a:ext uri="{FF2B5EF4-FFF2-40B4-BE49-F238E27FC236}">
              <a16:creationId xmlns:a16="http://schemas.microsoft.com/office/drawing/2014/main" id="{1F3D0131-26D9-410E-B387-44A8A10773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9" name="Text Box 15">
          <a:extLst>
            <a:ext uri="{FF2B5EF4-FFF2-40B4-BE49-F238E27FC236}">
              <a16:creationId xmlns:a16="http://schemas.microsoft.com/office/drawing/2014/main" id="{CE9BFB43-3508-480F-9CA3-37416B5975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40" name="Text Box 15">
          <a:extLst>
            <a:ext uri="{FF2B5EF4-FFF2-40B4-BE49-F238E27FC236}">
              <a16:creationId xmlns:a16="http://schemas.microsoft.com/office/drawing/2014/main" id="{1B5B72D0-F317-403F-89F9-B75362B68D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41" name="Text Box 15">
          <a:extLst>
            <a:ext uri="{FF2B5EF4-FFF2-40B4-BE49-F238E27FC236}">
              <a16:creationId xmlns:a16="http://schemas.microsoft.com/office/drawing/2014/main" id="{FE9719ED-0FB4-4B2D-B14A-C753536988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42" name="Text Box 15">
          <a:extLst>
            <a:ext uri="{FF2B5EF4-FFF2-40B4-BE49-F238E27FC236}">
              <a16:creationId xmlns:a16="http://schemas.microsoft.com/office/drawing/2014/main" id="{D7B4AB32-BF8B-4637-9C26-90BE72A156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43" name="Text Box 15">
          <a:extLst>
            <a:ext uri="{FF2B5EF4-FFF2-40B4-BE49-F238E27FC236}">
              <a16:creationId xmlns:a16="http://schemas.microsoft.com/office/drawing/2014/main" id="{B15A4447-F097-4A0A-B91E-CD5F1D8B72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44" name="Text Box 15">
          <a:extLst>
            <a:ext uri="{FF2B5EF4-FFF2-40B4-BE49-F238E27FC236}">
              <a16:creationId xmlns:a16="http://schemas.microsoft.com/office/drawing/2014/main" id="{38FB203B-67A1-4C30-B799-618BFF287A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45" name="Text Box 15">
          <a:extLst>
            <a:ext uri="{FF2B5EF4-FFF2-40B4-BE49-F238E27FC236}">
              <a16:creationId xmlns:a16="http://schemas.microsoft.com/office/drawing/2014/main" id="{864F3AA2-09B7-48DA-8474-DCA70DF934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46" name="Text Box 15">
          <a:extLst>
            <a:ext uri="{FF2B5EF4-FFF2-40B4-BE49-F238E27FC236}">
              <a16:creationId xmlns:a16="http://schemas.microsoft.com/office/drawing/2014/main" id="{F6F320D2-35A9-43A4-96FF-396911E909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47" name="Text Box 15">
          <a:extLst>
            <a:ext uri="{FF2B5EF4-FFF2-40B4-BE49-F238E27FC236}">
              <a16:creationId xmlns:a16="http://schemas.microsoft.com/office/drawing/2014/main" id="{D29619BF-7900-443A-A595-6B150CA359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48" name="Text Box 15">
          <a:extLst>
            <a:ext uri="{FF2B5EF4-FFF2-40B4-BE49-F238E27FC236}">
              <a16:creationId xmlns:a16="http://schemas.microsoft.com/office/drawing/2014/main" id="{2C9777FB-AB3E-44F2-AF95-084DA512F4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49" name="Text Box 15">
          <a:extLst>
            <a:ext uri="{FF2B5EF4-FFF2-40B4-BE49-F238E27FC236}">
              <a16:creationId xmlns:a16="http://schemas.microsoft.com/office/drawing/2014/main" id="{C8DE0BF7-D59E-46A3-BFD3-91A8344117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0" name="Text Box 15">
          <a:extLst>
            <a:ext uri="{FF2B5EF4-FFF2-40B4-BE49-F238E27FC236}">
              <a16:creationId xmlns:a16="http://schemas.microsoft.com/office/drawing/2014/main" id="{A5A92A3B-42E4-4D00-B215-2C1E8B18EE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1" name="Text Box 15">
          <a:extLst>
            <a:ext uri="{FF2B5EF4-FFF2-40B4-BE49-F238E27FC236}">
              <a16:creationId xmlns:a16="http://schemas.microsoft.com/office/drawing/2014/main" id="{8A4E9327-989C-474A-81E0-672679502D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2" name="Text Box 15">
          <a:extLst>
            <a:ext uri="{FF2B5EF4-FFF2-40B4-BE49-F238E27FC236}">
              <a16:creationId xmlns:a16="http://schemas.microsoft.com/office/drawing/2014/main" id="{8C76E12A-2DC2-45F0-BDC4-23889FAECE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3" name="Text Box 15">
          <a:extLst>
            <a:ext uri="{FF2B5EF4-FFF2-40B4-BE49-F238E27FC236}">
              <a16:creationId xmlns:a16="http://schemas.microsoft.com/office/drawing/2014/main" id="{51651EF7-D365-4EA6-81B6-8DF96D3F84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4" name="Text Box 15">
          <a:extLst>
            <a:ext uri="{FF2B5EF4-FFF2-40B4-BE49-F238E27FC236}">
              <a16:creationId xmlns:a16="http://schemas.microsoft.com/office/drawing/2014/main" id="{7EE830DD-C27D-460A-82B9-B11CD04FA0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5" name="Text Box 15">
          <a:extLst>
            <a:ext uri="{FF2B5EF4-FFF2-40B4-BE49-F238E27FC236}">
              <a16:creationId xmlns:a16="http://schemas.microsoft.com/office/drawing/2014/main" id="{236C6599-BD66-4C26-A28A-FA6F64C52C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56" name="Text Box 15">
          <a:extLst>
            <a:ext uri="{FF2B5EF4-FFF2-40B4-BE49-F238E27FC236}">
              <a16:creationId xmlns:a16="http://schemas.microsoft.com/office/drawing/2014/main" id="{12444204-E79C-4953-8C7C-33BB4C02B2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57" name="Text Box 15">
          <a:extLst>
            <a:ext uri="{FF2B5EF4-FFF2-40B4-BE49-F238E27FC236}">
              <a16:creationId xmlns:a16="http://schemas.microsoft.com/office/drawing/2014/main" id="{E3681B5F-8A80-4C4F-8D20-E695BF2B77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58" name="Text Box 15">
          <a:extLst>
            <a:ext uri="{FF2B5EF4-FFF2-40B4-BE49-F238E27FC236}">
              <a16:creationId xmlns:a16="http://schemas.microsoft.com/office/drawing/2014/main" id="{19C5A815-024D-4078-9AEE-585E6E2AF4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59" name="Text Box 15">
          <a:extLst>
            <a:ext uri="{FF2B5EF4-FFF2-40B4-BE49-F238E27FC236}">
              <a16:creationId xmlns:a16="http://schemas.microsoft.com/office/drawing/2014/main" id="{EA585E31-34E6-4BC7-B366-17D897293F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60" name="Text Box 15">
          <a:extLst>
            <a:ext uri="{FF2B5EF4-FFF2-40B4-BE49-F238E27FC236}">
              <a16:creationId xmlns:a16="http://schemas.microsoft.com/office/drawing/2014/main" id="{5C878F51-58E9-4E48-90EB-5ED95859CD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1" name="Text Box 15">
          <a:extLst>
            <a:ext uri="{FF2B5EF4-FFF2-40B4-BE49-F238E27FC236}">
              <a16:creationId xmlns:a16="http://schemas.microsoft.com/office/drawing/2014/main" id="{B92C50EA-7481-4695-B9BA-CBDC54E782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2" name="Text Box 15">
          <a:extLst>
            <a:ext uri="{FF2B5EF4-FFF2-40B4-BE49-F238E27FC236}">
              <a16:creationId xmlns:a16="http://schemas.microsoft.com/office/drawing/2014/main" id="{A6969619-4F42-4AAF-85ED-CA24DE5AC3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3" name="Text Box 15">
          <a:extLst>
            <a:ext uri="{FF2B5EF4-FFF2-40B4-BE49-F238E27FC236}">
              <a16:creationId xmlns:a16="http://schemas.microsoft.com/office/drawing/2014/main" id="{04434DA1-E427-4ADB-A7D2-EDD029245F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4" name="Text Box 15">
          <a:extLst>
            <a:ext uri="{FF2B5EF4-FFF2-40B4-BE49-F238E27FC236}">
              <a16:creationId xmlns:a16="http://schemas.microsoft.com/office/drawing/2014/main" id="{59575D29-EAFA-44AE-9BED-C21F6C9BB1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5" name="Text Box 15">
          <a:extLst>
            <a:ext uri="{FF2B5EF4-FFF2-40B4-BE49-F238E27FC236}">
              <a16:creationId xmlns:a16="http://schemas.microsoft.com/office/drawing/2014/main" id="{4EB700E1-3998-4FC4-ACB8-33B26BAF07F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6" name="Text Box 15">
          <a:extLst>
            <a:ext uri="{FF2B5EF4-FFF2-40B4-BE49-F238E27FC236}">
              <a16:creationId xmlns:a16="http://schemas.microsoft.com/office/drawing/2014/main" id="{84DCDF97-ADEC-4596-B82D-8AAA0056DA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7" name="Text Box 15">
          <a:extLst>
            <a:ext uri="{FF2B5EF4-FFF2-40B4-BE49-F238E27FC236}">
              <a16:creationId xmlns:a16="http://schemas.microsoft.com/office/drawing/2014/main" id="{BA9E1A20-D2B6-4840-A916-29A68F3041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8" name="Text Box 15">
          <a:extLst>
            <a:ext uri="{FF2B5EF4-FFF2-40B4-BE49-F238E27FC236}">
              <a16:creationId xmlns:a16="http://schemas.microsoft.com/office/drawing/2014/main" id="{95A280E3-206B-41B9-9A30-48739F245C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9" name="Text Box 15">
          <a:extLst>
            <a:ext uri="{FF2B5EF4-FFF2-40B4-BE49-F238E27FC236}">
              <a16:creationId xmlns:a16="http://schemas.microsoft.com/office/drawing/2014/main" id="{CAE927E2-88E0-4B42-8270-8705294071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70" name="Text Box 15">
          <a:extLst>
            <a:ext uri="{FF2B5EF4-FFF2-40B4-BE49-F238E27FC236}">
              <a16:creationId xmlns:a16="http://schemas.microsoft.com/office/drawing/2014/main" id="{4AE2B4E1-AE6E-4E24-BF12-36AF5701A0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71" name="Text Box 15">
          <a:extLst>
            <a:ext uri="{FF2B5EF4-FFF2-40B4-BE49-F238E27FC236}">
              <a16:creationId xmlns:a16="http://schemas.microsoft.com/office/drawing/2014/main" id="{0F1B4862-E482-4AC5-B84C-45DB989D91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72" name="Text Box 15">
          <a:extLst>
            <a:ext uri="{FF2B5EF4-FFF2-40B4-BE49-F238E27FC236}">
              <a16:creationId xmlns:a16="http://schemas.microsoft.com/office/drawing/2014/main" id="{0130A3E4-466E-4388-8567-D8EA093CCC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73" name="Text Box 15">
          <a:extLst>
            <a:ext uri="{FF2B5EF4-FFF2-40B4-BE49-F238E27FC236}">
              <a16:creationId xmlns:a16="http://schemas.microsoft.com/office/drawing/2014/main" id="{62581C84-EC0B-4C2F-9CE1-9012F2540F2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4" name="Text Box 15">
          <a:extLst>
            <a:ext uri="{FF2B5EF4-FFF2-40B4-BE49-F238E27FC236}">
              <a16:creationId xmlns:a16="http://schemas.microsoft.com/office/drawing/2014/main" id="{23B54D8D-B859-41BF-B776-3713D5C065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5" name="Text Box 15">
          <a:extLst>
            <a:ext uri="{FF2B5EF4-FFF2-40B4-BE49-F238E27FC236}">
              <a16:creationId xmlns:a16="http://schemas.microsoft.com/office/drawing/2014/main" id="{BC7E55EB-DD6D-4BD9-A67A-ABAC611825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6" name="Text Box 15">
          <a:extLst>
            <a:ext uri="{FF2B5EF4-FFF2-40B4-BE49-F238E27FC236}">
              <a16:creationId xmlns:a16="http://schemas.microsoft.com/office/drawing/2014/main" id="{8F1C9255-2B96-4537-AC39-FB1644D2D7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7" name="Text Box 15">
          <a:extLst>
            <a:ext uri="{FF2B5EF4-FFF2-40B4-BE49-F238E27FC236}">
              <a16:creationId xmlns:a16="http://schemas.microsoft.com/office/drawing/2014/main" id="{9F5B65AA-61AA-4044-8C24-DDC9DFE45A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8" name="Text Box 15">
          <a:extLst>
            <a:ext uri="{FF2B5EF4-FFF2-40B4-BE49-F238E27FC236}">
              <a16:creationId xmlns:a16="http://schemas.microsoft.com/office/drawing/2014/main" id="{EA5D6649-EFDF-4C56-A21C-8641AEFE14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9" name="Text Box 15">
          <a:extLst>
            <a:ext uri="{FF2B5EF4-FFF2-40B4-BE49-F238E27FC236}">
              <a16:creationId xmlns:a16="http://schemas.microsoft.com/office/drawing/2014/main" id="{352BCA97-F112-4F42-B25B-5ED6239F53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80" name="Text Box 15">
          <a:extLst>
            <a:ext uri="{FF2B5EF4-FFF2-40B4-BE49-F238E27FC236}">
              <a16:creationId xmlns:a16="http://schemas.microsoft.com/office/drawing/2014/main" id="{015EC5D6-9C7F-4F28-8BC3-E65E8D60A0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81" name="Text Box 15">
          <a:extLst>
            <a:ext uri="{FF2B5EF4-FFF2-40B4-BE49-F238E27FC236}">
              <a16:creationId xmlns:a16="http://schemas.microsoft.com/office/drawing/2014/main" id="{3EED7020-BC31-476C-ACFF-670997D6DD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82" name="Text Box 15">
          <a:extLst>
            <a:ext uri="{FF2B5EF4-FFF2-40B4-BE49-F238E27FC236}">
              <a16:creationId xmlns:a16="http://schemas.microsoft.com/office/drawing/2014/main" id="{4E899A71-68B3-4115-B4D4-1DCCD53314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83" name="Text Box 15">
          <a:extLst>
            <a:ext uri="{FF2B5EF4-FFF2-40B4-BE49-F238E27FC236}">
              <a16:creationId xmlns:a16="http://schemas.microsoft.com/office/drawing/2014/main" id="{B020C641-9FEA-44FB-8328-935F83FCA1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84" name="Text Box 15">
          <a:extLst>
            <a:ext uri="{FF2B5EF4-FFF2-40B4-BE49-F238E27FC236}">
              <a16:creationId xmlns:a16="http://schemas.microsoft.com/office/drawing/2014/main" id="{6B91CF15-3E41-4071-953B-E1CEF7685B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85" name="Text Box 15">
          <a:extLst>
            <a:ext uri="{FF2B5EF4-FFF2-40B4-BE49-F238E27FC236}">
              <a16:creationId xmlns:a16="http://schemas.microsoft.com/office/drawing/2014/main" id="{966B60FD-7F1C-4979-BD9B-3A8A8962C6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86" name="Text Box 15">
          <a:extLst>
            <a:ext uri="{FF2B5EF4-FFF2-40B4-BE49-F238E27FC236}">
              <a16:creationId xmlns:a16="http://schemas.microsoft.com/office/drawing/2014/main" id="{11620219-1B0D-407F-A9A0-35FF55B8B7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87" name="Text Box 15">
          <a:extLst>
            <a:ext uri="{FF2B5EF4-FFF2-40B4-BE49-F238E27FC236}">
              <a16:creationId xmlns:a16="http://schemas.microsoft.com/office/drawing/2014/main" id="{7E73A507-A007-4882-A5CF-4C6FB85752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88" name="Text Box 15">
          <a:extLst>
            <a:ext uri="{FF2B5EF4-FFF2-40B4-BE49-F238E27FC236}">
              <a16:creationId xmlns:a16="http://schemas.microsoft.com/office/drawing/2014/main" id="{37BD0703-7109-497E-9F91-C671311C2E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89" name="Text Box 15">
          <a:extLst>
            <a:ext uri="{FF2B5EF4-FFF2-40B4-BE49-F238E27FC236}">
              <a16:creationId xmlns:a16="http://schemas.microsoft.com/office/drawing/2014/main" id="{A2BFD1F4-386A-4538-A3DF-9D47FD1F17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0" name="Text Box 15">
          <a:extLst>
            <a:ext uri="{FF2B5EF4-FFF2-40B4-BE49-F238E27FC236}">
              <a16:creationId xmlns:a16="http://schemas.microsoft.com/office/drawing/2014/main" id="{4D97E4F0-7D9E-4788-9367-334D6E8E07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1" name="Text Box 15">
          <a:extLst>
            <a:ext uri="{FF2B5EF4-FFF2-40B4-BE49-F238E27FC236}">
              <a16:creationId xmlns:a16="http://schemas.microsoft.com/office/drawing/2014/main" id="{794C0CDC-6AB4-4D24-BC9F-10DEA7106A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2" name="Text Box 15">
          <a:extLst>
            <a:ext uri="{FF2B5EF4-FFF2-40B4-BE49-F238E27FC236}">
              <a16:creationId xmlns:a16="http://schemas.microsoft.com/office/drawing/2014/main" id="{657EA5C0-908A-4CC3-888C-3C5304ABAE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3" name="Text Box 15">
          <a:extLst>
            <a:ext uri="{FF2B5EF4-FFF2-40B4-BE49-F238E27FC236}">
              <a16:creationId xmlns:a16="http://schemas.microsoft.com/office/drawing/2014/main" id="{62862812-9E31-4F29-9473-1B45561BBA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4" name="Text Box 15">
          <a:extLst>
            <a:ext uri="{FF2B5EF4-FFF2-40B4-BE49-F238E27FC236}">
              <a16:creationId xmlns:a16="http://schemas.microsoft.com/office/drawing/2014/main" id="{B1D94E3B-2200-440D-ACF1-6388DBED96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5" name="Text Box 15">
          <a:extLst>
            <a:ext uri="{FF2B5EF4-FFF2-40B4-BE49-F238E27FC236}">
              <a16:creationId xmlns:a16="http://schemas.microsoft.com/office/drawing/2014/main" id="{5A87FA65-7A80-4EA4-8E2A-D222A1D90D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6" name="Text Box 15">
          <a:extLst>
            <a:ext uri="{FF2B5EF4-FFF2-40B4-BE49-F238E27FC236}">
              <a16:creationId xmlns:a16="http://schemas.microsoft.com/office/drawing/2014/main" id="{3881A49B-C516-418A-8154-3783713FD83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7" name="Text Box 15">
          <a:extLst>
            <a:ext uri="{FF2B5EF4-FFF2-40B4-BE49-F238E27FC236}">
              <a16:creationId xmlns:a16="http://schemas.microsoft.com/office/drawing/2014/main" id="{50CFA479-7EF5-4A6B-9210-283C5667CA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8" name="Text Box 15">
          <a:extLst>
            <a:ext uri="{FF2B5EF4-FFF2-40B4-BE49-F238E27FC236}">
              <a16:creationId xmlns:a16="http://schemas.microsoft.com/office/drawing/2014/main" id="{9D14D490-8265-4EE8-9D1D-1473F02E8F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99" name="Text Box 15">
          <a:extLst>
            <a:ext uri="{FF2B5EF4-FFF2-40B4-BE49-F238E27FC236}">
              <a16:creationId xmlns:a16="http://schemas.microsoft.com/office/drawing/2014/main" id="{615B0265-532C-4A3E-9B76-B5AF281E176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00" name="Text Box 15">
          <a:extLst>
            <a:ext uri="{FF2B5EF4-FFF2-40B4-BE49-F238E27FC236}">
              <a16:creationId xmlns:a16="http://schemas.microsoft.com/office/drawing/2014/main" id="{969EA721-6A0D-4B20-849D-BB0BB69038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01" name="Text Box 15">
          <a:extLst>
            <a:ext uri="{FF2B5EF4-FFF2-40B4-BE49-F238E27FC236}">
              <a16:creationId xmlns:a16="http://schemas.microsoft.com/office/drawing/2014/main" id="{2E679CD5-5460-44BA-8C56-5377C27F86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02" name="Text Box 15">
          <a:extLst>
            <a:ext uri="{FF2B5EF4-FFF2-40B4-BE49-F238E27FC236}">
              <a16:creationId xmlns:a16="http://schemas.microsoft.com/office/drawing/2014/main" id="{C64BC532-3EE4-49ED-A484-52C7CFA838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03" name="Text Box 15">
          <a:extLst>
            <a:ext uri="{FF2B5EF4-FFF2-40B4-BE49-F238E27FC236}">
              <a16:creationId xmlns:a16="http://schemas.microsoft.com/office/drawing/2014/main" id="{4F9E0301-B418-44B1-A3EC-6193BCD0EC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4" name="Text Box 15">
          <a:extLst>
            <a:ext uri="{FF2B5EF4-FFF2-40B4-BE49-F238E27FC236}">
              <a16:creationId xmlns:a16="http://schemas.microsoft.com/office/drawing/2014/main" id="{CA6BE5F5-6690-444A-9195-3DA3E9A3E1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5" name="Text Box 15">
          <a:extLst>
            <a:ext uri="{FF2B5EF4-FFF2-40B4-BE49-F238E27FC236}">
              <a16:creationId xmlns:a16="http://schemas.microsoft.com/office/drawing/2014/main" id="{DB841D3E-4C3E-47B3-B6B1-598008EE76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6" name="Text Box 15">
          <a:extLst>
            <a:ext uri="{FF2B5EF4-FFF2-40B4-BE49-F238E27FC236}">
              <a16:creationId xmlns:a16="http://schemas.microsoft.com/office/drawing/2014/main" id="{E90237CF-C41D-4F3A-8380-54D7FBC9F8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7" name="Text Box 15">
          <a:extLst>
            <a:ext uri="{FF2B5EF4-FFF2-40B4-BE49-F238E27FC236}">
              <a16:creationId xmlns:a16="http://schemas.microsoft.com/office/drawing/2014/main" id="{B076D1C9-C2DF-4590-A808-3C35584AB0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8" name="Text Box 15">
          <a:extLst>
            <a:ext uri="{FF2B5EF4-FFF2-40B4-BE49-F238E27FC236}">
              <a16:creationId xmlns:a16="http://schemas.microsoft.com/office/drawing/2014/main" id="{81C12D3B-AF8F-42CD-8A21-E275587491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9" name="Text Box 15">
          <a:extLst>
            <a:ext uri="{FF2B5EF4-FFF2-40B4-BE49-F238E27FC236}">
              <a16:creationId xmlns:a16="http://schemas.microsoft.com/office/drawing/2014/main" id="{1514632C-9360-4FDF-A5C0-6C64FFE0FC3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10" name="Text Box 15">
          <a:extLst>
            <a:ext uri="{FF2B5EF4-FFF2-40B4-BE49-F238E27FC236}">
              <a16:creationId xmlns:a16="http://schemas.microsoft.com/office/drawing/2014/main" id="{8C624D40-AB28-4822-A7A7-09277193E9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11" name="Text Box 15">
          <a:extLst>
            <a:ext uri="{FF2B5EF4-FFF2-40B4-BE49-F238E27FC236}">
              <a16:creationId xmlns:a16="http://schemas.microsoft.com/office/drawing/2014/main" id="{32FD5F05-4C52-41BB-A2D7-CD380FE650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12" name="Text Box 15">
          <a:extLst>
            <a:ext uri="{FF2B5EF4-FFF2-40B4-BE49-F238E27FC236}">
              <a16:creationId xmlns:a16="http://schemas.microsoft.com/office/drawing/2014/main" id="{2AAD60E2-3FB9-49DA-A20B-5235C09213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13" name="Text Box 15">
          <a:extLst>
            <a:ext uri="{FF2B5EF4-FFF2-40B4-BE49-F238E27FC236}">
              <a16:creationId xmlns:a16="http://schemas.microsoft.com/office/drawing/2014/main" id="{DD7E8C37-6883-4445-AFBE-E4E5B4FEA5E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14" name="Text Box 15">
          <a:extLst>
            <a:ext uri="{FF2B5EF4-FFF2-40B4-BE49-F238E27FC236}">
              <a16:creationId xmlns:a16="http://schemas.microsoft.com/office/drawing/2014/main" id="{94DDD385-CE35-410A-8F01-0CFED53405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15" name="Text Box 15">
          <a:extLst>
            <a:ext uri="{FF2B5EF4-FFF2-40B4-BE49-F238E27FC236}">
              <a16:creationId xmlns:a16="http://schemas.microsoft.com/office/drawing/2014/main" id="{5B15D206-30FF-42FB-BA8A-51C99CF63B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16" name="Text Box 15">
          <a:extLst>
            <a:ext uri="{FF2B5EF4-FFF2-40B4-BE49-F238E27FC236}">
              <a16:creationId xmlns:a16="http://schemas.microsoft.com/office/drawing/2014/main" id="{EFF3407B-B8FA-4CD3-B05B-6C129F8467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17" name="Text Box 15">
          <a:extLst>
            <a:ext uri="{FF2B5EF4-FFF2-40B4-BE49-F238E27FC236}">
              <a16:creationId xmlns:a16="http://schemas.microsoft.com/office/drawing/2014/main" id="{5D2B2ED6-7D16-4FF3-B6DC-223D13127E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18" name="Text Box 15">
          <a:extLst>
            <a:ext uri="{FF2B5EF4-FFF2-40B4-BE49-F238E27FC236}">
              <a16:creationId xmlns:a16="http://schemas.microsoft.com/office/drawing/2014/main" id="{86FC6718-7B12-411B-9C1B-0F138C2B40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19" name="Text Box 15">
          <a:extLst>
            <a:ext uri="{FF2B5EF4-FFF2-40B4-BE49-F238E27FC236}">
              <a16:creationId xmlns:a16="http://schemas.microsoft.com/office/drawing/2014/main" id="{ADB409E1-0CD4-4444-894E-8B8D8BE826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0" name="Text Box 15">
          <a:extLst>
            <a:ext uri="{FF2B5EF4-FFF2-40B4-BE49-F238E27FC236}">
              <a16:creationId xmlns:a16="http://schemas.microsoft.com/office/drawing/2014/main" id="{72A2998A-9A4A-42E2-88D3-BD5E343815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1" name="Text Box 15">
          <a:extLst>
            <a:ext uri="{FF2B5EF4-FFF2-40B4-BE49-F238E27FC236}">
              <a16:creationId xmlns:a16="http://schemas.microsoft.com/office/drawing/2014/main" id="{125DB1B1-5DE4-4525-9989-94C79BEA20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2" name="Text Box 15">
          <a:extLst>
            <a:ext uri="{FF2B5EF4-FFF2-40B4-BE49-F238E27FC236}">
              <a16:creationId xmlns:a16="http://schemas.microsoft.com/office/drawing/2014/main" id="{4FB56E57-837F-4BBE-808D-07A05C79CA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3" name="Text Box 15">
          <a:extLst>
            <a:ext uri="{FF2B5EF4-FFF2-40B4-BE49-F238E27FC236}">
              <a16:creationId xmlns:a16="http://schemas.microsoft.com/office/drawing/2014/main" id="{4DDB7E5E-DDE7-4338-B889-0DDE2CE2F9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4" name="Text Box 15">
          <a:extLst>
            <a:ext uri="{FF2B5EF4-FFF2-40B4-BE49-F238E27FC236}">
              <a16:creationId xmlns:a16="http://schemas.microsoft.com/office/drawing/2014/main" id="{319EE4ED-898C-42D7-97F2-3712086AA83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5" name="Text Box 15">
          <a:extLst>
            <a:ext uri="{FF2B5EF4-FFF2-40B4-BE49-F238E27FC236}">
              <a16:creationId xmlns:a16="http://schemas.microsoft.com/office/drawing/2014/main" id="{8E80D50F-3AE5-4868-ADD6-A97BA9605E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6" name="Text Box 15">
          <a:extLst>
            <a:ext uri="{FF2B5EF4-FFF2-40B4-BE49-F238E27FC236}">
              <a16:creationId xmlns:a16="http://schemas.microsoft.com/office/drawing/2014/main" id="{B895AA19-FB99-4CE0-951A-44693A6458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7" name="Text Box 15">
          <a:extLst>
            <a:ext uri="{FF2B5EF4-FFF2-40B4-BE49-F238E27FC236}">
              <a16:creationId xmlns:a16="http://schemas.microsoft.com/office/drawing/2014/main" id="{1E6D1A9E-73C0-4228-928A-D8E9058276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8" name="Text Box 15">
          <a:extLst>
            <a:ext uri="{FF2B5EF4-FFF2-40B4-BE49-F238E27FC236}">
              <a16:creationId xmlns:a16="http://schemas.microsoft.com/office/drawing/2014/main" id="{D04BBFD1-4EE7-4AAF-B099-D399A0B2ABA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29" name="Text Box 15">
          <a:extLst>
            <a:ext uri="{FF2B5EF4-FFF2-40B4-BE49-F238E27FC236}">
              <a16:creationId xmlns:a16="http://schemas.microsoft.com/office/drawing/2014/main" id="{EB6896A8-EB45-4E9F-8106-337461C739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30" name="Text Box 15">
          <a:extLst>
            <a:ext uri="{FF2B5EF4-FFF2-40B4-BE49-F238E27FC236}">
              <a16:creationId xmlns:a16="http://schemas.microsoft.com/office/drawing/2014/main" id="{A17F7CAE-06F2-448F-B996-E3D847FBF6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31" name="Text Box 15">
          <a:extLst>
            <a:ext uri="{FF2B5EF4-FFF2-40B4-BE49-F238E27FC236}">
              <a16:creationId xmlns:a16="http://schemas.microsoft.com/office/drawing/2014/main" id="{4F64F027-FE03-424B-A36E-C7F6C8EF99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32" name="Text Box 15">
          <a:extLst>
            <a:ext uri="{FF2B5EF4-FFF2-40B4-BE49-F238E27FC236}">
              <a16:creationId xmlns:a16="http://schemas.microsoft.com/office/drawing/2014/main" id="{F48BF7BD-318F-4C1B-8D7C-8F6520925A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33" name="Text Box 15">
          <a:extLst>
            <a:ext uri="{FF2B5EF4-FFF2-40B4-BE49-F238E27FC236}">
              <a16:creationId xmlns:a16="http://schemas.microsoft.com/office/drawing/2014/main" id="{CD27DA96-0243-4BCD-8B46-1CAE38D98B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4" name="Text Box 15">
          <a:extLst>
            <a:ext uri="{FF2B5EF4-FFF2-40B4-BE49-F238E27FC236}">
              <a16:creationId xmlns:a16="http://schemas.microsoft.com/office/drawing/2014/main" id="{0518DDC0-17A5-4182-BF6F-F0C6E664C2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5" name="Text Box 15">
          <a:extLst>
            <a:ext uri="{FF2B5EF4-FFF2-40B4-BE49-F238E27FC236}">
              <a16:creationId xmlns:a16="http://schemas.microsoft.com/office/drawing/2014/main" id="{D6733BD4-964E-41C9-90AD-BE7EE728C60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6" name="Text Box 15">
          <a:extLst>
            <a:ext uri="{FF2B5EF4-FFF2-40B4-BE49-F238E27FC236}">
              <a16:creationId xmlns:a16="http://schemas.microsoft.com/office/drawing/2014/main" id="{5EA41B3F-D0B9-4B37-944A-0738954A70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7" name="Text Box 15">
          <a:extLst>
            <a:ext uri="{FF2B5EF4-FFF2-40B4-BE49-F238E27FC236}">
              <a16:creationId xmlns:a16="http://schemas.microsoft.com/office/drawing/2014/main" id="{CEFA0F60-2B7C-4738-8B6F-9EF91E491C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8" name="Text Box 15">
          <a:extLst>
            <a:ext uri="{FF2B5EF4-FFF2-40B4-BE49-F238E27FC236}">
              <a16:creationId xmlns:a16="http://schemas.microsoft.com/office/drawing/2014/main" id="{17043652-512D-4486-8393-437A1C43BF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9" name="Text Box 15">
          <a:extLst>
            <a:ext uri="{FF2B5EF4-FFF2-40B4-BE49-F238E27FC236}">
              <a16:creationId xmlns:a16="http://schemas.microsoft.com/office/drawing/2014/main" id="{B0164A22-565A-404A-AE41-888E59500B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40" name="Text Box 15">
          <a:extLst>
            <a:ext uri="{FF2B5EF4-FFF2-40B4-BE49-F238E27FC236}">
              <a16:creationId xmlns:a16="http://schemas.microsoft.com/office/drawing/2014/main" id="{7FF89C6D-0E61-4A2F-B987-4ABD4C492D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41" name="Text Box 15">
          <a:extLst>
            <a:ext uri="{FF2B5EF4-FFF2-40B4-BE49-F238E27FC236}">
              <a16:creationId xmlns:a16="http://schemas.microsoft.com/office/drawing/2014/main" id="{8E2C165E-1B03-4E11-A091-D348C06F71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42" name="Text Box 15">
          <a:extLst>
            <a:ext uri="{FF2B5EF4-FFF2-40B4-BE49-F238E27FC236}">
              <a16:creationId xmlns:a16="http://schemas.microsoft.com/office/drawing/2014/main" id="{E04CA04B-1586-45BD-A00F-A4BF73CFB8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43" name="Text Box 15">
          <a:extLst>
            <a:ext uri="{FF2B5EF4-FFF2-40B4-BE49-F238E27FC236}">
              <a16:creationId xmlns:a16="http://schemas.microsoft.com/office/drawing/2014/main" id="{EFF9E318-BA49-4EF3-81B0-4E25C3A925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44" name="Text Box 15">
          <a:extLst>
            <a:ext uri="{FF2B5EF4-FFF2-40B4-BE49-F238E27FC236}">
              <a16:creationId xmlns:a16="http://schemas.microsoft.com/office/drawing/2014/main" id="{DBD259B9-42E5-44BA-A6B7-40A35BEBF4F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45" name="Text Box 15">
          <a:extLst>
            <a:ext uri="{FF2B5EF4-FFF2-40B4-BE49-F238E27FC236}">
              <a16:creationId xmlns:a16="http://schemas.microsoft.com/office/drawing/2014/main" id="{66FF329B-29B9-4C3F-BA14-4271353D12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46" name="Text Box 15">
          <a:extLst>
            <a:ext uri="{FF2B5EF4-FFF2-40B4-BE49-F238E27FC236}">
              <a16:creationId xmlns:a16="http://schemas.microsoft.com/office/drawing/2014/main" id="{43EB82ED-3E24-42CA-BC8D-E6289D1A6D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47" name="Text Box 15">
          <a:extLst>
            <a:ext uri="{FF2B5EF4-FFF2-40B4-BE49-F238E27FC236}">
              <a16:creationId xmlns:a16="http://schemas.microsoft.com/office/drawing/2014/main" id="{77FDCDF3-6863-4BF3-A946-02D368C03B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48" name="Text Box 15">
          <a:extLst>
            <a:ext uri="{FF2B5EF4-FFF2-40B4-BE49-F238E27FC236}">
              <a16:creationId xmlns:a16="http://schemas.microsoft.com/office/drawing/2014/main" id="{427016E6-C19B-48D8-B642-B5F099F944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49" name="Text Box 15">
          <a:extLst>
            <a:ext uri="{FF2B5EF4-FFF2-40B4-BE49-F238E27FC236}">
              <a16:creationId xmlns:a16="http://schemas.microsoft.com/office/drawing/2014/main" id="{582467F2-7ECB-428C-B767-533BAF53AC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0" name="Text Box 15">
          <a:extLst>
            <a:ext uri="{FF2B5EF4-FFF2-40B4-BE49-F238E27FC236}">
              <a16:creationId xmlns:a16="http://schemas.microsoft.com/office/drawing/2014/main" id="{8C5961FB-A411-464A-9FFC-EC6298D946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1" name="Text Box 15">
          <a:extLst>
            <a:ext uri="{FF2B5EF4-FFF2-40B4-BE49-F238E27FC236}">
              <a16:creationId xmlns:a16="http://schemas.microsoft.com/office/drawing/2014/main" id="{7005CE50-E1BC-4643-AEC8-573F779483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2" name="Text Box 15">
          <a:extLst>
            <a:ext uri="{FF2B5EF4-FFF2-40B4-BE49-F238E27FC236}">
              <a16:creationId xmlns:a16="http://schemas.microsoft.com/office/drawing/2014/main" id="{83146D7B-5690-43A6-8BA5-7BE9489D32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3" name="Text Box 15">
          <a:extLst>
            <a:ext uri="{FF2B5EF4-FFF2-40B4-BE49-F238E27FC236}">
              <a16:creationId xmlns:a16="http://schemas.microsoft.com/office/drawing/2014/main" id="{5A82732D-DC54-442A-8429-193120AE4D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4" name="Text Box 15">
          <a:extLst>
            <a:ext uri="{FF2B5EF4-FFF2-40B4-BE49-F238E27FC236}">
              <a16:creationId xmlns:a16="http://schemas.microsoft.com/office/drawing/2014/main" id="{C8802F62-3F27-42D8-A242-E5FA1C75624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5" name="Text Box 15">
          <a:extLst>
            <a:ext uri="{FF2B5EF4-FFF2-40B4-BE49-F238E27FC236}">
              <a16:creationId xmlns:a16="http://schemas.microsoft.com/office/drawing/2014/main" id="{4CE5FFAE-D298-4382-99FF-A726F811FB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6" name="Text Box 15">
          <a:extLst>
            <a:ext uri="{FF2B5EF4-FFF2-40B4-BE49-F238E27FC236}">
              <a16:creationId xmlns:a16="http://schemas.microsoft.com/office/drawing/2014/main" id="{E73E27DC-3022-40E0-BB35-E426225DAB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7" name="Text Box 15">
          <a:extLst>
            <a:ext uri="{FF2B5EF4-FFF2-40B4-BE49-F238E27FC236}">
              <a16:creationId xmlns:a16="http://schemas.microsoft.com/office/drawing/2014/main" id="{CC7040D6-FF2B-4585-875F-11CDE8BA24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8" name="Text Box 15">
          <a:extLst>
            <a:ext uri="{FF2B5EF4-FFF2-40B4-BE49-F238E27FC236}">
              <a16:creationId xmlns:a16="http://schemas.microsoft.com/office/drawing/2014/main" id="{65AC5EDD-3C75-41BC-BFA4-DCB48F26C0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59" name="Text Box 15">
          <a:extLst>
            <a:ext uri="{FF2B5EF4-FFF2-40B4-BE49-F238E27FC236}">
              <a16:creationId xmlns:a16="http://schemas.microsoft.com/office/drawing/2014/main" id="{FEF5B686-B31B-4864-A1E6-ACF78E8C31F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60" name="Text Box 15">
          <a:extLst>
            <a:ext uri="{FF2B5EF4-FFF2-40B4-BE49-F238E27FC236}">
              <a16:creationId xmlns:a16="http://schemas.microsoft.com/office/drawing/2014/main" id="{981A2E59-6BE0-43EC-AE54-9B329C9003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61" name="Text Box 15">
          <a:extLst>
            <a:ext uri="{FF2B5EF4-FFF2-40B4-BE49-F238E27FC236}">
              <a16:creationId xmlns:a16="http://schemas.microsoft.com/office/drawing/2014/main" id="{C056369A-448D-485D-802E-7F4EF5A89D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2" name="Text Box 15">
          <a:extLst>
            <a:ext uri="{FF2B5EF4-FFF2-40B4-BE49-F238E27FC236}">
              <a16:creationId xmlns:a16="http://schemas.microsoft.com/office/drawing/2014/main" id="{D7617691-00CC-466E-8F36-B2354BE66E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3" name="Text Box 15">
          <a:extLst>
            <a:ext uri="{FF2B5EF4-FFF2-40B4-BE49-F238E27FC236}">
              <a16:creationId xmlns:a16="http://schemas.microsoft.com/office/drawing/2014/main" id="{9533B87D-F935-496E-AC57-2EB17FF5BD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4" name="Text Box 15">
          <a:extLst>
            <a:ext uri="{FF2B5EF4-FFF2-40B4-BE49-F238E27FC236}">
              <a16:creationId xmlns:a16="http://schemas.microsoft.com/office/drawing/2014/main" id="{828D1A10-8FF4-4ED5-8478-23DF0CBA29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5" name="Text Box 15">
          <a:extLst>
            <a:ext uri="{FF2B5EF4-FFF2-40B4-BE49-F238E27FC236}">
              <a16:creationId xmlns:a16="http://schemas.microsoft.com/office/drawing/2014/main" id="{A754C470-D818-4378-9310-28B5720888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6" name="Text Box 15">
          <a:extLst>
            <a:ext uri="{FF2B5EF4-FFF2-40B4-BE49-F238E27FC236}">
              <a16:creationId xmlns:a16="http://schemas.microsoft.com/office/drawing/2014/main" id="{FA7DB0C4-3F7F-4237-A558-23C6E168AE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7" name="Text Box 15">
          <a:extLst>
            <a:ext uri="{FF2B5EF4-FFF2-40B4-BE49-F238E27FC236}">
              <a16:creationId xmlns:a16="http://schemas.microsoft.com/office/drawing/2014/main" id="{50801D3F-1D70-4B84-B8E8-168A37A6AF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8" name="Text Box 15">
          <a:extLst>
            <a:ext uri="{FF2B5EF4-FFF2-40B4-BE49-F238E27FC236}">
              <a16:creationId xmlns:a16="http://schemas.microsoft.com/office/drawing/2014/main" id="{0236F01D-941A-4750-A93D-C381F391FA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9" name="Text Box 15">
          <a:extLst>
            <a:ext uri="{FF2B5EF4-FFF2-40B4-BE49-F238E27FC236}">
              <a16:creationId xmlns:a16="http://schemas.microsoft.com/office/drawing/2014/main" id="{1281AB51-9A0D-4F89-9BE6-468578958C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70" name="Text Box 15">
          <a:extLst>
            <a:ext uri="{FF2B5EF4-FFF2-40B4-BE49-F238E27FC236}">
              <a16:creationId xmlns:a16="http://schemas.microsoft.com/office/drawing/2014/main" id="{4A955F0E-25EF-4C03-A5EE-D8681425A9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71" name="Text Box 15">
          <a:extLst>
            <a:ext uri="{FF2B5EF4-FFF2-40B4-BE49-F238E27FC236}">
              <a16:creationId xmlns:a16="http://schemas.microsoft.com/office/drawing/2014/main" id="{BDB5B54A-FE4D-428F-B8E5-E166799FC6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72" name="Text Box 15">
          <a:extLst>
            <a:ext uri="{FF2B5EF4-FFF2-40B4-BE49-F238E27FC236}">
              <a16:creationId xmlns:a16="http://schemas.microsoft.com/office/drawing/2014/main" id="{A78F4D79-DC3B-4C6C-9896-C9EB4397C1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73" name="Text Box 15">
          <a:extLst>
            <a:ext uri="{FF2B5EF4-FFF2-40B4-BE49-F238E27FC236}">
              <a16:creationId xmlns:a16="http://schemas.microsoft.com/office/drawing/2014/main" id="{CFDB1121-FF16-4394-962C-F84D2C8F5C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74" name="Text Box 15">
          <a:extLst>
            <a:ext uri="{FF2B5EF4-FFF2-40B4-BE49-F238E27FC236}">
              <a16:creationId xmlns:a16="http://schemas.microsoft.com/office/drawing/2014/main" id="{225E49BA-32DD-459B-9EF1-B358F4B0F7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75" name="Text Box 15">
          <a:extLst>
            <a:ext uri="{FF2B5EF4-FFF2-40B4-BE49-F238E27FC236}">
              <a16:creationId xmlns:a16="http://schemas.microsoft.com/office/drawing/2014/main" id="{0FC7BD1D-7A90-4E07-944C-3A34E71702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76" name="Text Box 15">
          <a:extLst>
            <a:ext uri="{FF2B5EF4-FFF2-40B4-BE49-F238E27FC236}">
              <a16:creationId xmlns:a16="http://schemas.microsoft.com/office/drawing/2014/main" id="{69833A8E-BDD6-4DAC-AD36-1ED285AABB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77" name="Text Box 15">
          <a:extLst>
            <a:ext uri="{FF2B5EF4-FFF2-40B4-BE49-F238E27FC236}">
              <a16:creationId xmlns:a16="http://schemas.microsoft.com/office/drawing/2014/main" id="{80195E8F-BE74-4202-8E40-846260FCFB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78" name="Text Box 15">
          <a:extLst>
            <a:ext uri="{FF2B5EF4-FFF2-40B4-BE49-F238E27FC236}">
              <a16:creationId xmlns:a16="http://schemas.microsoft.com/office/drawing/2014/main" id="{27549ADA-2B08-4B22-A317-FE83704CAA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79" name="Text Box 15">
          <a:extLst>
            <a:ext uri="{FF2B5EF4-FFF2-40B4-BE49-F238E27FC236}">
              <a16:creationId xmlns:a16="http://schemas.microsoft.com/office/drawing/2014/main" id="{598E279A-49B8-4CE3-9A91-AE35FB8571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0" name="Text Box 15">
          <a:extLst>
            <a:ext uri="{FF2B5EF4-FFF2-40B4-BE49-F238E27FC236}">
              <a16:creationId xmlns:a16="http://schemas.microsoft.com/office/drawing/2014/main" id="{06E5F668-7DA0-4592-B099-65ACB2F9A5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1" name="Text Box 15">
          <a:extLst>
            <a:ext uri="{FF2B5EF4-FFF2-40B4-BE49-F238E27FC236}">
              <a16:creationId xmlns:a16="http://schemas.microsoft.com/office/drawing/2014/main" id="{462A1F4F-E6E8-4A7B-B312-3F60056242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2" name="Text Box 15">
          <a:extLst>
            <a:ext uri="{FF2B5EF4-FFF2-40B4-BE49-F238E27FC236}">
              <a16:creationId xmlns:a16="http://schemas.microsoft.com/office/drawing/2014/main" id="{C7D4E2A1-0DEE-4575-AEC9-CA37D096F9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3" name="Text Box 15">
          <a:extLst>
            <a:ext uri="{FF2B5EF4-FFF2-40B4-BE49-F238E27FC236}">
              <a16:creationId xmlns:a16="http://schemas.microsoft.com/office/drawing/2014/main" id="{B2B5C981-ABA7-4581-98E0-682CC8D097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4" name="Text Box 15">
          <a:extLst>
            <a:ext uri="{FF2B5EF4-FFF2-40B4-BE49-F238E27FC236}">
              <a16:creationId xmlns:a16="http://schemas.microsoft.com/office/drawing/2014/main" id="{2562FD4A-3E9F-461E-8B5B-04FC0C91B6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5" name="Text Box 15">
          <a:extLst>
            <a:ext uri="{FF2B5EF4-FFF2-40B4-BE49-F238E27FC236}">
              <a16:creationId xmlns:a16="http://schemas.microsoft.com/office/drawing/2014/main" id="{F180132A-13CF-442E-ABF0-2B18ED8AA9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6" name="Text Box 15">
          <a:extLst>
            <a:ext uri="{FF2B5EF4-FFF2-40B4-BE49-F238E27FC236}">
              <a16:creationId xmlns:a16="http://schemas.microsoft.com/office/drawing/2014/main" id="{13596058-67EE-40AC-A1C8-A45EA72CE1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87" name="Text Box 15">
          <a:extLst>
            <a:ext uri="{FF2B5EF4-FFF2-40B4-BE49-F238E27FC236}">
              <a16:creationId xmlns:a16="http://schemas.microsoft.com/office/drawing/2014/main" id="{F45CFD73-8498-461B-A69C-4EBB64BBA04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88" name="Text Box 15">
          <a:extLst>
            <a:ext uri="{FF2B5EF4-FFF2-40B4-BE49-F238E27FC236}">
              <a16:creationId xmlns:a16="http://schemas.microsoft.com/office/drawing/2014/main" id="{23A5299E-B6E2-423C-B8A7-506921FBED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89" name="Text Box 15">
          <a:extLst>
            <a:ext uri="{FF2B5EF4-FFF2-40B4-BE49-F238E27FC236}">
              <a16:creationId xmlns:a16="http://schemas.microsoft.com/office/drawing/2014/main" id="{3FD1FFCD-D3CC-410E-AED8-A1D58ED858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90" name="Text Box 15">
          <a:extLst>
            <a:ext uri="{FF2B5EF4-FFF2-40B4-BE49-F238E27FC236}">
              <a16:creationId xmlns:a16="http://schemas.microsoft.com/office/drawing/2014/main" id="{15F7BF30-137F-4DD2-8BB6-6D7CAEF0F96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91" name="Text Box 15">
          <a:extLst>
            <a:ext uri="{FF2B5EF4-FFF2-40B4-BE49-F238E27FC236}">
              <a16:creationId xmlns:a16="http://schemas.microsoft.com/office/drawing/2014/main" id="{21CE2C16-1C28-46FF-8712-8161218DED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2" name="Text Box 15">
          <a:extLst>
            <a:ext uri="{FF2B5EF4-FFF2-40B4-BE49-F238E27FC236}">
              <a16:creationId xmlns:a16="http://schemas.microsoft.com/office/drawing/2014/main" id="{A16A8EF2-99CF-49E9-AEC0-961E95B7A2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3" name="Text Box 15">
          <a:extLst>
            <a:ext uri="{FF2B5EF4-FFF2-40B4-BE49-F238E27FC236}">
              <a16:creationId xmlns:a16="http://schemas.microsoft.com/office/drawing/2014/main" id="{C680EE3A-9DD9-49F6-8EA2-E053C1BB9A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4" name="Text Box 15">
          <a:extLst>
            <a:ext uri="{FF2B5EF4-FFF2-40B4-BE49-F238E27FC236}">
              <a16:creationId xmlns:a16="http://schemas.microsoft.com/office/drawing/2014/main" id="{7B661164-4A19-4ADE-8432-6580CBA3F4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5" name="Text Box 15">
          <a:extLst>
            <a:ext uri="{FF2B5EF4-FFF2-40B4-BE49-F238E27FC236}">
              <a16:creationId xmlns:a16="http://schemas.microsoft.com/office/drawing/2014/main" id="{0357D74F-5299-4B2A-AE99-F1B656F8B6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6" name="Text Box 15">
          <a:extLst>
            <a:ext uri="{FF2B5EF4-FFF2-40B4-BE49-F238E27FC236}">
              <a16:creationId xmlns:a16="http://schemas.microsoft.com/office/drawing/2014/main" id="{7900A746-8035-4BB4-ABAF-5EC92F7600E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7" name="Text Box 15">
          <a:extLst>
            <a:ext uri="{FF2B5EF4-FFF2-40B4-BE49-F238E27FC236}">
              <a16:creationId xmlns:a16="http://schemas.microsoft.com/office/drawing/2014/main" id="{1B8104F8-D4F7-4532-B73A-E918C59CA0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8" name="Text Box 15">
          <a:extLst>
            <a:ext uri="{FF2B5EF4-FFF2-40B4-BE49-F238E27FC236}">
              <a16:creationId xmlns:a16="http://schemas.microsoft.com/office/drawing/2014/main" id="{4EBB4BB4-E7FB-4356-8D14-52DD6FB469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9" name="Text Box 15">
          <a:extLst>
            <a:ext uri="{FF2B5EF4-FFF2-40B4-BE49-F238E27FC236}">
              <a16:creationId xmlns:a16="http://schemas.microsoft.com/office/drawing/2014/main" id="{EF87E486-9E04-48C8-B502-AE018B6951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00" name="Text Box 15">
          <a:extLst>
            <a:ext uri="{FF2B5EF4-FFF2-40B4-BE49-F238E27FC236}">
              <a16:creationId xmlns:a16="http://schemas.microsoft.com/office/drawing/2014/main" id="{C51B496D-6777-47E4-B825-491E85EEE2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01" name="Text Box 15">
          <a:extLst>
            <a:ext uri="{FF2B5EF4-FFF2-40B4-BE49-F238E27FC236}">
              <a16:creationId xmlns:a16="http://schemas.microsoft.com/office/drawing/2014/main" id="{3F32F230-548A-4BBE-A3A4-84381EE1A1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02" name="Text Box 15">
          <a:extLst>
            <a:ext uri="{FF2B5EF4-FFF2-40B4-BE49-F238E27FC236}">
              <a16:creationId xmlns:a16="http://schemas.microsoft.com/office/drawing/2014/main" id="{0D7AEF98-F4BA-4BB3-BC09-EE2D2B3D5AA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03" name="Text Box 15">
          <a:extLst>
            <a:ext uri="{FF2B5EF4-FFF2-40B4-BE49-F238E27FC236}">
              <a16:creationId xmlns:a16="http://schemas.microsoft.com/office/drawing/2014/main" id="{6C40F541-350A-4450-8A3C-18EBC1C884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04" name="Text Box 15">
          <a:extLst>
            <a:ext uri="{FF2B5EF4-FFF2-40B4-BE49-F238E27FC236}">
              <a16:creationId xmlns:a16="http://schemas.microsoft.com/office/drawing/2014/main" id="{8E5EA24F-4A4E-4984-906A-7468DDBB6F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05" name="Text Box 15">
          <a:extLst>
            <a:ext uri="{FF2B5EF4-FFF2-40B4-BE49-F238E27FC236}">
              <a16:creationId xmlns:a16="http://schemas.microsoft.com/office/drawing/2014/main" id="{8E3E4642-F4D3-49AC-A285-A482277FD9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06" name="Text Box 15">
          <a:extLst>
            <a:ext uri="{FF2B5EF4-FFF2-40B4-BE49-F238E27FC236}">
              <a16:creationId xmlns:a16="http://schemas.microsoft.com/office/drawing/2014/main" id="{2DD01018-38DD-4F27-875A-2B0D2E2D1C6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07" name="Text Box 15">
          <a:extLst>
            <a:ext uri="{FF2B5EF4-FFF2-40B4-BE49-F238E27FC236}">
              <a16:creationId xmlns:a16="http://schemas.microsoft.com/office/drawing/2014/main" id="{E80A930F-5508-4DF8-9F50-B66F769B1D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08" name="Text Box 15">
          <a:extLst>
            <a:ext uri="{FF2B5EF4-FFF2-40B4-BE49-F238E27FC236}">
              <a16:creationId xmlns:a16="http://schemas.microsoft.com/office/drawing/2014/main" id="{649E1A21-EB0D-43C9-BC15-D59E162F66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09" name="Text Box 15">
          <a:extLst>
            <a:ext uri="{FF2B5EF4-FFF2-40B4-BE49-F238E27FC236}">
              <a16:creationId xmlns:a16="http://schemas.microsoft.com/office/drawing/2014/main" id="{C82A0BFD-FF56-467A-98BD-7A6EE5BCCF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0" name="Text Box 15">
          <a:extLst>
            <a:ext uri="{FF2B5EF4-FFF2-40B4-BE49-F238E27FC236}">
              <a16:creationId xmlns:a16="http://schemas.microsoft.com/office/drawing/2014/main" id="{B2E5BD23-B3C6-4232-85DF-FE9137E11A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1" name="Text Box 15">
          <a:extLst>
            <a:ext uri="{FF2B5EF4-FFF2-40B4-BE49-F238E27FC236}">
              <a16:creationId xmlns:a16="http://schemas.microsoft.com/office/drawing/2014/main" id="{DD026351-B623-4C4B-9C01-13AAD733B28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2" name="Text Box 15">
          <a:extLst>
            <a:ext uri="{FF2B5EF4-FFF2-40B4-BE49-F238E27FC236}">
              <a16:creationId xmlns:a16="http://schemas.microsoft.com/office/drawing/2014/main" id="{9E2A02D1-4325-462B-9523-6869E05D52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3" name="Text Box 15">
          <a:extLst>
            <a:ext uri="{FF2B5EF4-FFF2-40B4-BE49-F238E27FC236}">
              <a16:creationId xmlns:a16="http://schemas.microsoft.com/office/drawing/2014/main" id="{E118217E-1D90-47E9-9E7C-25301A0D85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4" name="Text Box 15">
          <a:extLst>
            <a:ext uri="{FF2B5EF4-FFF2-40B4-BE49-F238E27FC236}">
              <a16:creationId xmlns:a16="http://schemas.microsoft.com/office/drawing/2014/main" id="{CF3AB651-C728-4AB5-97AE-F3E8CF73F7F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5" name="Text Box 15">
          <a:extLst>
            <a:ext uri="{FF2B5EF4-FFF2-40B4-BE49-F238E27FC236}">
              <a16:creationId xmlns:a16="http://schemas.microsoft.com/office/drawing/2014/main" id="{47076AD4-0A9C-4063-864C-98212CE49F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6" name="Text Box 15">
          <a:extLst>
            <a:ext uri="{FF2B5EF4-FFF2-40B4-BE49-F238E27FC236}">
              <a16:creationId xmlns:a16="http://schemas.microsoft.com/office/drawing/2014/main" id="{C91D442A-5B35-4F0A-A43C-73730F1F3F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17" name="Text Box 15">
          <a:extLst>
            <a:ext uri="{FF2B5EF4-FFF2-40B4-BE49-F238E27FC236}">
              <a16:creationId xmlns:a16="http://schemas.microsoft.com/office/drawing/2014/main" id="{36EB8A90-25E4-4F57-935A-3DEC7498C8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18" name="Text Box 15">
          <a:extLst>
            <a:ext uri="{FF2B5EF4-FFF2-40B4-BE49-F238E27FC236}">
              <a16:creationId xmlns:a16="http://schemas.microsoft.com/office/drawing/2014/main" id="{37A6657A-36B2-4271-9ED0-2215208BB8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19" name="Text Box 15">
          <a:extLst>
            <a:ext uri="{FF2B5EF4-FFF2-40B4-BE49-F238E27FC236}">
              <a16:creationId xmlns:a16="http://schemas.microsoft.com/office/drawing/2014/main" id="{198657CD-5A6D-4948-8C64-0F14BE9E04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20" name="Text Box 15">
          <a:extLst>
            <a:ext uri="{FF2B5EF4-FFF2-40B4-BE49-F238E27FC236}">
              <a16:creationId xmlns:a16="http://schemas.microsoft.com/office/drawing/2014/main" id="{CF62DA5D-9B0C-4611-9FB3-E8E31DAF88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21" name="Text Box 15">
          <a:extLst>
            <a:ext uri="{FF2B5EF4-FFF2-40B4-BE49-F238E27FC236}">
              <a16:creationId xmlns:a16="http://schemas.microsoft.com/office/drawing/2014/main" id="{92149511-3F41-42C4-BF7D-2937F30454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2" name="Text Box 15">
          <a:extLst>
            <a:ext uri="{FF2B5EF4-FFF2-40B4-BE49-F238E27FC236}">
              <a16:creationId xmlns:a16="http://schemas.microsoft.com/office/drawing/2014/main" id="{5E807FB0-A5A6-4A4F-87B7-98E5C94546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3" name="Text Box 15">
          <a:extLst>
            <a:ext uri="{FF2B5EF4-FFF2-40B4-BE49-F238E27FC236}">
              <a16:creationId xmlns:a16="http://schemas.microsoft.com/office/drawing/2014/main" id="{3BB5F0AE-8A9C-47B8-9369-46F346FE58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4" name="Text Box 15">
          <a:extLst>
            <a:ext uri="{FF2B5EF4-FFF2-40B4-BE49-F238E27FC236}">
              <a16:creationId xmlns:a16="http://schemas.microsoft.com/office/drawing/2014/main" id="{2CD65B71-07E1-4A92-A267-BCF73A3FDD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5" name="Text Box 15">
          <a:extLst>
            <a:ext uri="{FF2B5EF4-FFF2-40B4-BE49-F238E27FC236}">
              <a16:creationId xmlns:a16="http://schemas.microsoft.com/office/drawing/2014/main" id="{72EE1EC8-FFD7-444A-BB7D-7668CC00B0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6" name="Text Box 15">
          <a:extLst>
            <a:ext uri="{FF2B5EF4-FFF2-40B4-BE49-F238E27FC236}">
              <a16:creationId xmlns:a16="http://schemas.microsoft.com/office/drawing/2014/main" id="{E25D38B0-4962-4B87-A971-FA9C391D1C3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7" name="Text Box 15">
          <a:extLst>
            <a:ext uri="{FF2B5EF4-FFF2-40B4-BE49-F238E27FC236}">
              <a16:creationId xmlns:a16="http://schemas.microsoft.com/office/drawing/2014/main" id="{C0B5AD6A-A139-4296-9163-8761337BC4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8" name="Text Box 15">
          <a:extLst>
            <a:ext uri="{FF2B5EF4-FFF2-40B4-BE49-F238E27FC236}">
              <a16:creationId xmlns:a16="http://schemas.microsoft.com/office/drawing/2014/main" id="{FE1DD6A5-2E97-4DE3-8F43-7F28D44006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9" name="Text Box 15">
          <a:extLst>
            <a:ext uri="{FF2B5EF4-FFF2-40B4-BE49-F238E27FC236}">
              <a16:creationId xmlns:a16="http://schemas.microsoft.com/office/drawing/2014/main" id="{DF0F08F5-1DF2-4B75-AABA-FB63582512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30" name="Text Box 15">
          <a:extLst>
            <a:ext uri="{FF2B5EF4-FFF2-40B4-BE49-F238E27FC236}">
              <a16:creationId xmlns:a16="http://schemas.microsoft.com/office/drawing/2014/main" id="{2FA5F163-84FA-460E-8388-524B5F67FE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31" name="Text Box 15">
          <a:extLst>
            <a:ext uri="{FF2B5EF4-FFF2-40B4-BE49-F238E27FC236}">
              <a16:creationId xmlns:a16="http://schemas.microsoft.com/office/drawing/2014/main" id="{701DFF02-649E-45D3-9B3F-01E4C835C49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32" name="Text Box 15">
          <a:extLst>
            <a:ext uri="{FF2B5EF4-FFF2-40B4-BE49-F238E27FC236}">
              <a16:creationId xmlns:a16="http://schemas.microsoft.com/office/drawing/2014/main" id="{CE5DA972-2DDA-489B-BE83-677824DBF8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33" name="Text Box 15">
          <a:extLst>
            <a:ext uri="{FF2B5EF4-FFF2-40B4-BE49-F238E27FC236}">
              <a16:creationId xmlns:a16="http://schemas.microsoft.com/office/drawing/2014/main" id="{7EEC6FD6-070A-4A37-BDFD-3C10FCAD3B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34" name="Text Box 15">
          <a:extLst>
            <a:ext uri="{FF2B5EF4-FFF2-40B4-BE49-F238E27FC236}">
              <a16:creationId xmlns:a16="http://schemas.microsoft.com/office/drawing/2014/main" id="{B99CC2AA-2D5A-4480-B96A-276FE8241D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35" name="Text Box 15">
          <a:extLst>
            <a:ext uri="{FF2B5EF4-FFF2-40B4-BE49-F238E27FC236}">
              <a16:creationId xmlns:a16="http://schemas.microsoft.com/office/drawing/2014/main" id="{BF80594C-BE9E-425B-B8A1-33C069DA90D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36" name="Text Box 15">
          <a:extLst>
            <a:ext uri="{FF2B5EF4-FFF2-40B4-BE49-F238E27FC236}">
              <a16:creationId xmlns:a16="http://schemas.microsoft.com/office/drawing/2014/main" id="{F4C39528-6635-4099-B056-83B16100AB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37" name="Text Box 15">
          <a:extLst>
            <a:ext uri="{FF2B5EF4-FFF2-40B4-BE49-F238E27FC236}">
              <a16:creationId xmlns:a16="http://schemas.microsoft.com/office/drawing/2014/main" id="{6D85AC9C-6F80-429D-8E8C-F8DB062645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38" name="Text Box 15">
          <a:extLst>
            <a:ext uri="{FF2B5EF4-FFF2-40B4-BE49-F238E27FC236}">
              <a16:creationId xmlns:a16="http://schemas.microsoft.com/office/drawing/2014/main" id="{BEDDEADD-F0A3-445A-8E22-0E2251116B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39" name="Text Box 15">
          <a:extLst>
            <a:ext uri="{FF2B5EF4-FFF2-40B4-BE49-F238E27FC236}">
              <a16:creationId xmlns:a16="http://schemas.microsoft.com/office/drawing/2014/main" id="{95135E77-CC01-4F54-ADFD-DE48422527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40" name="Text Box 15">
          <a:extLst>
            <a:ext uri="{FF2B5EF4-FFF2-40B4-BE49-F238E27FC236}">
              <a16:creationId xmlns:a16="http://schemas.microsoft.com/office/drawing/2014/main" id="{8B7943AD-7B86-4645-8409-55CBC970321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41" name="Text Box 15">
          <a:extLst>
            <a:ext uri="{FF2B5EF4-FFF2-40B4-BE49-F238E27FC236}">
              <a16:creationId xmlns:a16="http://schemas.microsoft.com/office/drawing/2014/main" id="{9067148F-D57C-4049-82D4-ED85F53ED0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42" name="Text Box 15">
          <a:extLst>
            <a:ext uri="{FF2B5EF4-FFF2-40B4-BE49-F238E27FC236}">
              <a16:creationId xmlns:a16="http://schemas.microsoft.com/office/drawing/2014/main" id="{8BC90266-1692-4988-B383-B4ED3C6F35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43" name="Text Box 15">
          <a:extLst>
            <a:ext uri="{FF2B5EF4-FFF2-40B4-BE49-F238E27FC236}">
              <a16:creationId xmlns:a16="http://schemas.microsoft.com/office/drawing/2014/main" id="{9268C7D8-6F07-4660-9CE6-553D3EA908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44" name="Text Box 15">
          <a:extLst>
            <a:ext uri="{FF2B5EF4-FFF2-40B4-BE49-F238E27FC236}">
              <a16:creationId xmlns:a16="http://schemas.microsoft.com/office/drawing/2014/main" id="{32698D11-1511-46D6-8F04-FB8B4880C7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45" name="Text Box 15">
          <a:extLst>
            <a:ext uri="{FF2B5EF4-FFF2-40B4-BE49-F238E27FC236}">
              <a16:creationId xmlns:a16="http://schemas.microsoft.com/office/drawing/2014/main" id="{6159EF0E-E77F-4746-A9E5-4F643EF539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46" name="Text Box 15">
          <a:extLst>
            <a:ext uri="{FF2B5EF4-FFF2-40B4-BE49-F238E27FC236}">
              <a16:creationId xmlns:a16="http://schemas.microsoft.com/office/drawing/2014/main" id="{FB63AAE5-E296-47E6-B47C-A869054CC0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47" name="Text Box 15">
          <a:extLst>
            <a:ext uri="{FF2B5EF4-FFF2-40B4-BE49-F238E27FC236}">
              <a16:creationId xmlns:a16="http://schemas.microsoft.com/office/drawing/2014/main" id="{5802208E-4725-4E84-8983-1BF6CB7035B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48" name="Text Box 15">
          <a:extLst>
            <a:ext uri="{FF2B5EF4-FFF2-40B4-BE49-F238E27FC236}">
              <a16:creationId xmlns:a16="http://schemas.microsoft.com/office/drawing/2014/main" id="{572F9F8E-D799-4C49-A017-EFBA958015D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49" name="Text Box 15">
          <a:extLst>
            <a:ext uri="{FF2B5EF4-FFF2-40B4-BE49-F238E27FC236}">
              <a16:creationId xmlns:a16="http://schemas.microsoft.com/office/drawing/2014/main" id="{4B9A281C-77F8-47C1-BBA6-F186D7B4D6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0" name="Text Box 15">
          <a:extLst>
            <a:ext uri="{FF2B5EF4-FFF2-40B4-BE49-F238E27FC236}">
              <a16:creationId xmlns:a16="http://schemas.microsoft.com/office/drawing/2014/main" id="{6F074776-9760-4B5A-9A62-A849537974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1" name="Text Box 15">
          <a:extLst>
            <a:ext uri="{FF2B5EF4-FFF2-40B4-BE49-F238E27FC236}">
              <a16:creationId xmlns:a16="http://schemas.microsoft.com/office/drawing/2014/main" id="{5B73063E-7699-4FA3-B16E-87E5DC46C52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2" name="Text Box 15">
          <a:extLst>
            <a:ext uri="{FF2B5EF4-FFF2-40B4-BE49-F238E27FC236}">
              <a16:creationId xmlns:a16="http://schemas.microsoft.com/office/drawing/2014/main" id="{8915A09C-061A-453E-9C0C-EA928DD341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3" name="Text Box 15">
          <a:extLst>
            <a:ext uri="{FF2B5EF4-FFF2-40B4-BE49-F238E27FC236}">
              <a16:creationId xmlns:a16="http://schemas.microsoft.com/office/drawing/2014/main" id="{8003B185-1C4D-4C22-9122-256253B992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4" name="Text Box 15">
          <a:extLst>
            <a:ext uri="{FF2B5EF4-FFF2-40B4-BE49-F238E27FC236}">
              <a16:creationId xmlns:a16="http://schemas.microsoft.com/office/drawing/2014/main" id="{26BC8FC7-3230-4A51-A1AA-E266C953A9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5" name="Text Box 15">
          <a:extLst>
            <a:ext uri="{FF2B5EF4-FFF2-40B4-BE49-F238E27FC236}">
              <a16:creationId xmlns:a16="http://schemas.microsoft.com/office/drawing/2014/main" id="{FB36D3D5-BA94-4DC8-A7E6-BC1018E474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6" name="Text Box 15">
          <a:extLst>
            <a:ext uri="{FF2B5EF4-FFF2-40B4-BE49-F238E27FC236}">
              <a16:creationId xmlns:a16="http://schemas.microsoft.com/office/drawing/2014/main" id="{4C5D9F33-1BBE-4F6D-9E5E-F070949A9B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57" name="Text Box 15">
          <a:extLst>
            <a:ext uri="{FF2B5EF4-FFF2-40B4-BE49-F238E27FC236}">
              <a16:creationId xmlns:a16="http://schemas.microsoft.com/office/drawing/2014/main" id="{A2477C0F-08C4-4A8C-AC49-7780B40696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58" name="Text Box 15">
          <a:extLst>
            <a:ext uri="{FF2B5EF4-FFF2-40B4-BE49-F238E27FC236}">
              <a16:creationId xmlns:a16="http://schemas.microsoft.com/office/drawing/2014/main" id="{5F1A1874-9278-48A0-B908-18CC7A77A5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59" name="Text Box 15">
          <a:extLst>
            <a:ext uri="{FF2B5EF4-FFF2-40B4-BE49-F238E27FC236}">
              <a16:creationId xmlns:a16="http://schemas.microsoft.com/office/drawing/2014/main" id="{7B19FFFD-C345-4E7F-9C9B-7D5A024095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60" name="Text Box 15">
          <a:extLst>
            <a:ext uri="{FF2B5EF4-FFF2-40B4-BE49-F238E27FC236}">
              <a16:creationId xmlns:a16="http://schemas.microsoft.com/office/drawing/2014/main" id="{CF90CBE3-FA45-4B60-83B0-5494A9877C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61" name="Text Box 15">
          <a:extLst>
            <a:ext uri="{FF2B5EF4-FFF2-40B4-BE49-F238E27FC236}">
              <a16:creationId xmlns:a16="http://schemas.microsoft.com/office/drawing/2014/main" id="{9134B3F1-8FD2-434F-9075-84F8A35DCF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2" name="Text Box 15">
          <a:extLst>
            <a:ext uri="{FF2B5EF4-FFF2-40B4-BE49-F238E27FC236}">
              <a16:creationId xmlns:a16="http://schemas.microsoft.com/office/drawing/2014/main" id="{3C379E19-7C3E-417E-90B9-5178D71480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3" name="Text Box 15">
          <a:extLst>
            <a:ext uri="{FF2B5EF4-FFF2-40B4-BE49-F238E27FC236}">
              <a16:creationId xmlns:a16="http://schemas.microsoft.com/office/drawing/2014/main" id="{4E464DFA-2AF9-429B-BE2E-EA198E4C3C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4" name="Text Box 15">
          <a:extLst>
            <a:ext uri="{FF2B5EF4-FFF2-40B4-BE49-F238E27FC236}">
              <a16:creationId xmlns:a16="http://schemas.microsoft.com/office/drawing/2014/main" id="{A7592510-A0B2-41DD-80B9-4D358A1AD1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5" name="Text Box 15">
          <a:extLst>
            <a:ext uri="{FF2B5EF4-FFF2-40B4-BE49-F238E27FC236}">
              <a16:creationId xmlns:a16="http://schemas.microsoft.com/office/drawing/2014/main" id="{BB3ADCCE-3EE0-4BCF-8BA7-C1389C22B7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6" name="Text Box 15">
          <a:extLst>
            <a:ext uri="{FF2B5EF4-FFF2-40B4-BE49-F238E27FC236}">
              <a16:creationId xmlns:a16="http://schemas.microsoft.com/office/drawing/2014/main" id="{A76A6CD5-6F67-4B7F-82CD-D027C0D898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7" name="Text Box 15">
          <a:extLst>
            <a:ext uri="{FF2B5EF4-FFF2-40B4-BE49-F238E27FC236}">
              <a16:creationId xmlns:a16="http://schemas.microsoft.com/office/drawing/2014/main" id="{01CE512E-A64E-4224-BF79-F00DCADC80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8" name="Text Box 15">
          <a:extLst>
            <a:ext uri="{FF2B5EF4-FFF2-40B4-BE49-F238E27FC236}">
              <a16:creationId xmlns:a16="http://schemas.microsoft.com/office/drawing/2014/main" id="{73EC4351-631F-473F-83B6-C7A55DA741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9" name="Text Box 15">
          <a:extLst>
            <a:ext uri="{FF2B5EF4-FFF2-40B4-BE49-F238E27FC236}">
              <a16:creationId xmlns:a16="http://schemas.microsoft.com/office/drawing/2014/main" id="{EDCA6858-FFC4-4E53-9231-C73780617A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70" name="Text Box 15">
          <a:extLst>
            <a:ext uri="{FF2B5EF4-FFF2-40B4-BE49-F238E27FC236}">
              <a16:creationId xmlns:a16="http://schemas.microsoft.com/office/drawing/2014/main" id="{29C1B045-EC8C-4427-AE9A-C30058CE0A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71" name="Text Box 15">
          <a:extLst>
            <a:ext uri="{FF2B5EF4-FFF2-40B4-BE49-F238E27FC236}">
              <a16:creationId xmlns:a16="http://schemas.microsoft.com/office/drawing/2014/main" id="{9C96A3F6-41C3-4E5B-898C-1AE4B5FD71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72" name="Text Box 15">
          <a:extLst>
            <a:ext uri="{FF2B5EF4-FFF2-40B4-BE49-F238E27FC236}">
              <a16:creationId xmlns:a16="http://schemas.microsoft.com/office/drawing/2014/main" id="{67A9E0EB-0F16-424F-9DFD-BE47EF0EF9D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73" name="Text Box 15">
          <a:extLst>
            <a:ext uri="{FF2B5EF4-FFF2-40B4-BE49-F238E27FC236}">
              <a16:creationId xmlns:a16="http://schemas.microsoft.com/office/drawing/2014/main" id="{1731EF59-5351-4775-A242-B831F745164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74" name="Text Box 15">
          <a:extLst>
            <a:ext uri="{FF2B5EF4-FFF2-40B4-BE49-F238E27FC236}">
              <a16:creationId xmlns:a16="http://schemas.microsoft.com/office/drawing/2014/main" id="{B5ECB609-706D-4BBF-A82A-734A9A690A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75" name="Text Box 15">
          <a:extLst>
            <a:ext uri="{FF2B5EF4-FFF2-40B4-BE49-F238E27FC236}">
              <a16:creationId xmlns:a16="http://schemas.microsoft.com/office/drawing/2014/main" id="{4152AF5D-8A50-488D-813A-FD29834D74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76" name="Text Box 15">
          <a:extLst>
            <a:ext uri="{FF2B5EF4-FFF2-40B4-BE49-F238E27FC236}">
              <a16:creationId xmlns:a16="http://schemas.microsoft.com/office/drawing/2014/main" id="{9752B304-E900-4CC6-A2B1-B36B726908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77" name="Text Box 15">
          <a:extLst>
            <a:ext uri="{FF2B5EF4-FFF2-40B4-BE49-F238E27FC236}">
              <a16:creationId xmlns:a16="http://schemas.microsoft.com/office/drawing/2014/main" id="{D0C72B98-471B-4FB2-B728-41C67C4326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78" name="Text Box 15">
          <a:extLst>
            <a:ext uri="{FF2B5EF4-FFF2-40B4-BE49-F238E27FC236}">
              <a16:creationId xmlns:a16="http://schemas.microsoft.com/office/drawing/2014/main" id="{740DFC5D-BCC7-4656-B43B-A33F7AA74C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79" name="Text Box 15">
          <a:extLst>
            <a:ext uri="{FF2B5EF4-FFF2-40B4-BE49-F238E27FC236}">
              <a16:creationId xmlns:a16="http://schemas.microsoft.com/office/drawing/2014/main" id="{F8A813CA-7D9F-4DFA-AAC2-9C547A19DF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0" name="Text Box 15">
          <a:extLst>
            <a:ext uri="{FF2B5EF4-FFF2-40B4-BE49-F238E27FC236}">
              <a16:creationId xmlns:a16="http://schemas.microsoft.com/office/drawing/2014/main" id="{193F9E95-29A0-4B10-9B65-6686954408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1" name="Text Box 15">
          <a:extLst>
            <a:ext uri="{FF2B5EF4-FFF2-40B4-BE49-F238E27FC236}">
              <a16:creationId xmlns:a16="http://schemas.microsoft.com/office/drawing/2014/main" id="{149B0298-066A-486C-827F-07393CDE8B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2" name="Text Box 15">
          <a:extLst>
            <a:ext uri="{FF2B5EF4-FFF2-40B4-BE49-F238E27FC236}">
              <a16:creationId xmlns:a16="http://schemas.microsoft.com/office/drawing/2014/main" id="{0B463C1E-857D-420F-9AC3-30F6CD81DA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3" name="Text Box 15">
          <a:extLst>
            <a:ext uri="{FF2B5EF4-FFF2-40B4-BE49-F238E27FC236}">
              <a16:creationId xmlns:a16="http://schemas.microsoft.com/office/drawing/2014/main" id="{BF266BE6-A19D-4696-9DCD-DF2B049C7C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4" name="Text Box 15">
          <a:extLst>
            <a:ext uri="{FF2B5EF4-FFF2-40B4-BE49-F238E27FC236}">
              <a16:creationId xmlns:a16="http://schemas.microsoft.com/office/drawing/2014/main" id="{DF0E8096-42EB-4B49-BC70-B73C8629D0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5" name="Text Box 15">
          <a:extLst>
            <a:ext uri="{FF2B5EF4-FFF2-40B4-BE49-F238E27FC236}">
              <a16:creationId xmlns:a16="http://schemas.microsoft.com/office/drawing/2014/main" id="{DA7D3B35-9C73-4D1C-A1A8-09AE77D4BA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6" name="Text Box 15">
          <a:extLst>
            <a:ext uri="{FF2B5EF4-FFF2-40B4-BE49-F238E27FC236}">
              <a16:creationId xmlns:a16="http://schemas.microsoft.com/office/drawing/2014/main" id="{37D1536F-2DA6-4FC7-8C51-97D0CAD003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87" name="Text Box 15">
          <a:extLst>
            <a:ext uri="{FF2B5EF4-FFF2-40B4-BE49-F238E27FC236}">
              <a16:creationId xmlns:a16="http://schemas.microsoft.com/office/drawing/2014/main" id="{38DE58C9-091C-4A08-B914-E9A06082E3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88" name="Text Box 15">
          <a:extLst>
            <a:ext uri="{FF2B5EF4-FFF2-40B4-BE49-F238E27FC236}">
              <a16:creationId xmlns:a16="http://schemas.microsoft.com/office/drawing/2014/main" id="{5C04F79E-DFD5-4ADA-B972-92C5A389DED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89" name="Text Box 15">
          <a:extLst>
            <a:ext uri="{FF2B5EF4-FFF2-40B4-BE49-F238E27FC236}">
              <a16:creationId xmlns:a16="http://schemas.microsoft.com/office/drawing/2014/main" id="{9F2A53D8-F0B2-4979-9B45-29F9FC873D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90" name="Text Box 15">
          <a:extLst>
            <a:ext uri="{FF2B5EF4-FFF2-40B4-BE49-F238E27FC236}">
              <a16:creationId xmlns:a16="http://schemas.microsoft.com/office/drawing/2014/main" id="{2E5E99F9-CA30-4990-9F03-6F87CFE1F1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91" name="Text Box 15">
          <a:extLst>
            <a:ext uri="{FF2B5EF4-FFF2-40B4-BE49-F238E27FC236}">
              <a16:creationId xmlns:a16="http://schemas.microsoft.com/office/drawing/2014/main" id="{8C174F20-4BE2-4ADF-994A-051F29178D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2" name="Text Box 15">
          <a:extLst>
            <a:ext uri="{FF2B5EF4-FFF2-40B4-BE49-F238E27FC236}">
              <a16:creationId xmlns:a16="http://schemas.microsoft.com/office/drawing/2014/main" id="{61C295ED-2F67-4A23-8D65-F4204CC272A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3" name="Text Box 15">
          <a:extLst>
            <a:ext uri="{FF2B5EF4-FFF2-40B4-BE49-F238E27FC236}">
              <a16:creationId xmlns:a16="http://schemas.microsoft.com/office/drawing/2014/main" id="{DD275C08-44E1-412E-9EFA-53E726FA55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4" name="Text Box 15">
          <a:extLst>
            <a:ext uri="{FF2B5EF4-FFF2-40B4-BE49-F238E27FC236}">
              <a16:creationId xmlns:a16="http://schemas.microsoft.com/office/drawing/2014/main" id="{CF1E4E64-5515-4A8F-B782-9F35BD6626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5" name="Text Box 15">
          <a:extLst>
            <a:ext uri="{FF2B5EF4-FFF2-40B4-BE49-F238E27FC236}">
              <a16:creationId xmlns:a16="http://schemas.microsoft.com/office/drawing/2014/main" id="{9DF20900-2B7A-4996-A774-BED5D0B592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6" name="Text Box 15">
          <a:extLst>
            <a:ext uri="{FF2B5EF4-FFF2-40B4-BE49-F238E27FC236}">
              <a16:creationId xmlns:a16="http://schemas.microsoft.com/office/drawing/2014/main" id="{8DFC6048-59E2-48D6-B623-E0DFCEC49D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7" name="Text Box 15">
          <a:extLst>
            <a:ext uri="{FF2B5EF4-FFF2-40B4-BE49-F238E27FC236}">
              <a16:creationId xmlns:a16="http://schemas.microsoft.com/office/drawing/2014/main" id="{6749BA54-FEB6-4B3B-AA15-E8C80D12D3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8" name="Text Box 15">
          <a:extLst>
            <a:ext uri="{FF2B5EF4-FFF2-40B4-BE49-F238E27FC236}">
              <a16:creationId xmlns:a16="http://schemas.microsoft.com/office/drawing/2014/main" id="{2AB772D2-D081-4B23-973E-4F3011072D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9" name="Text Box 15">
          <a:extLst>
            <a:ext uri="{FF2B5EF4-FFF2-40B4-BE49-F238E27FC236}">
              <a16:creationId xmlns:a16="http://schemas.microsoft.com/office/drawing/2014/main" id="{57329113-0CEC-4345-8914-3C85D86222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00" name="Text Box 15">
          <a:extLst>
            <a:ext uri="{FF2B5EF4-FFF2-40B4-BE49-F238E27FC236}">
              <a16:creationId xmlns:a16="http://schemas.microsoft.com/office/drawing/2014/main" id="{606EF6BA-DAF8-4D9C-9DA8-07E3C5ABDE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01" name="Text Box 15">
          <a:extLst>
            <a:ext uri="{FF2B5EF4-FFF2-40B4-BE49-F238E27FC236}">
              <a16:creationId xmlns:a16="http://schemas.microsoft.com/office/drawing/2014/main" id="{49A2C6CD-8D09-4EF2-96CB-60760DC39C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02" name="Text Box 15">
          <a:extLst>
            <a:ext uri="{FF2B5EF4-FFF2-40B4-BE49-F238E27FC236}">
              <a16:creationId xmlns:a16="http://schemas.microsoft.com/office/drawing/2014/main" id="{0A879D80-678B-49DB-BBC7-9BBEAE451F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03" name="Text Box 15">
          <a:extLst>
            <a:ext uri="{FF2B5EF4-FFF2-40B4-BE49-F238E27FC236}">
              <a16:creationId xmlns:a16="http://schemas.microsoft.com/office/drawing/2014/main" id="{2A20965B-0717-431B-AEE9-586FF5042D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04" name="Text Box 15">
          <a:extLst>
            <a:ext uri="{FF2B5EF4-FFF2-40B4-BE49-F238E27FC236}">
              <a16:creationId xmlns:a16="http://schemas.microsoft.com/office/drawing/2014/main" id="{B70E8B1D-D13E-4991-8FCB-0C743085C9C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05" name="Text Box 15">
          <a:extLst>
            <a:ext uri="{FF2B5EF4-FFF2-40B4-BE49-F238E27FC236}">
              <a16:creationId xmlns:a16="http://schemas.microsoft.com/office/drawing/2014/main" id="{C0D631C6-CB7E-45CF-9B9C-7D9118563E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06" name="Text Box 15">
          <a:extLst>
            <a:ext uri="{FF2B5EF4-FFF2-40B4-BE49-F238E27FC236}">
              <a16:creationId xmlns:a16="http://schemas.microsoft.com/office/drawing/2014/main" id="{118EE66A-4BD3-4400-B8DC-5B7C505247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07" name="Text Box 15">
          <a:extLst>
            <a:ext uri="{FF2B5EF4-FFF2-40B4-BE49-F238E27FC236}">
              <a16:creationId xmlns:a16="http://schemas.microsoft.com/office/drawing/2014/main" id="{FBBD871D-52ED-40AB-9ABF-67C0B84A63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08" name="Text Box 15">
          <a:extLst>
            <a:ext uri="{FF2B5EF4-FFF2-40B4-BE49-F238E27FC236}">
              <a16:creationId xmlns:a16="http://schemas.microsoft.com/office/drawing/2014/main" id="{167CDFDF-3585-424B-B970-09C77A6332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09" name="Text Box 15">
          <a:extLst>
            <a:ext uri="{FF2B5EF4-FFF2-40B4-BE49-F238E27FC236}">
              <a16:creationId xmlns:a16="http://schemas.microsoft.com/office/drawing/2014/main" id="{771F791F-0B9F-4C89-8174-806D7FF3AD4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0" name="Text Box 15">
          <a:extLst>
            <a:ext uri="{FF2B5EF4-FFF2-40B4-BE49-F238E27FC236}">
              <a16:creationId xmlns:a16="http://schemas.microsoft.com/office/drawing/2014/main" id="{45473F68-DF5D-44F1-8879-7CB5A91FD8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1" name="Text Box 15">
          <a:extLst>
            <a:ext uri="{FF2B5EF4-FFF2-40B4-BE49-F238E27FC236}">
              <a16:creationId xmlns:a16="http://schemas.microsoft.com/office/drawing/2014/main" id="{B690E4E9-5533-4BAE-8166-53EB3D99CE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2" name="Text Box 15">
          <a:extLst>
            <a:ext uri="{FF2B5EF4-FFF2-40B4-BE49-F238E27FC236}">
              <a16:creationId xmlns:a16="http://schemas.microsoft.com/office/drawing/2014/main" id="{0C42DEEC-5838-430D-B2CC-56866B53F2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3" name="Text Box 15">
          <a:extLst>
            <a:ext uri="{FF2B5EF4-FFF2-40B4-BE49-F238E27FC236}">
              <a16:creationId xmlns:a16="http://schemas.microsoft.com/office/drawing/2014/main" id="{B6D72BF8-45C1-4996-B7ED-B7C55DF7A3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4" name="Text Box 15">
          <a:extLst>
            <a:ext uri="{FF2B5EF4-FFF2-40B4-BE49-F238E27FC236}">
              <a16:creationId xmlns:a16="http://schemas.microsoft.com/office/drawing/2014/main" id="{EE82F0DE-418B-4094-BBD8-B66C432694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5" name="Text Box 15">
          <a:extLst>
            <a:ext uri="{FF2B5EF4-FFF2-40B4-BE49-F238E27FC236}">
              <a16:creationId xmlns:a16="http://schemas.microsoft.com/office/drawing/2014/main" id="{4E22C56B-340D-481E-9217-4C9AA76AD3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6" name="Text Box 15">
          <a:extLst>
            <a:ext uri="{FF2B5EF4-FFF2-40B4-BE49-F238E27FC236}">
              <a16:creationId xmlns:a16="http://schemas.microsoft.com/office/drawing/2014/main" id="{78740295-CC49-4B68-B910-802FEFEC503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17" name="Text Box 15">
          <a:extLst>
            <a:ext uri="{FF2B5EF4-FFF2-40B4-BE49-F238E27FC236}">
              <a16:creationId xmlns:a16="http://schemas.microsoft.com/office/drawing/2014/main" id="{FC5317A4-8394-451E-9EB5-58BD50CC33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18" name="Text Box 15">
          <a:extLst>
            <a:ext uri="{FF2B5EF4-FFF2-40B4-BE49-F238E27FC236}">
              <a16:creationId xmlns:a16="http://schemas.microsoft.com/office/drawing/2014/main" id="{42962BD6-C8D8-4E1C-A6CE-25F0347571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19" name="Text Box 15">
          <a:extLst>
            <a:ext uri="{FF2B5EF4-FFF2-40B4-BE49-F238E27FC236}">
              <a16:creationId xmlns:a16="http://schemas.microsoft.com/office/drawing/2014/main" id="{FA4C893F-5C70-4BDD-AB74-3BFC1EBA3E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20" name="Text Box 15">
          <a:extLst>
            <a:ext uri="{FF2B5EF4-FFF2-40B4-BE49-F238E27FC236}">
              <a16:creationId xmlns:a16="http://schemas.microsoft.com/office/drawing/2014/main" id="{2CD16EAA-4153-402B-8E97-2353CDF4F7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21" name="Text Box 15">
          <a:extLst>
            <a:ext uri="{FF2B5EF4-FFF2-40B4-BE49-F238E27FC236}">
              <a16:creationId xmlns:a16="http://schemas.microsoft.com/office/drawing/2014/main" id="{AFA6135A-AA48-4D2B-8147-C21FBC1D60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2" name="Text Box 15">
          <a:extLst>
            <a:ext uri="{FF2B5EF4-FFF2-40B4-BE49-F238E27FC236}">
              <a16:creationId xmlns:a16="http://schemas.microsoft.com/office/drawing/2014/main" id="{2B0BAA4A-9434-4584-9D1E-336CA24994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3" name="Text Box 15">
          <a:extLst>
            <a:ext uri="{FF2B5EF4-FFF2-40B4-BE49-F238E27FC236}">
              <a16:creationId xmlns:a16="http://schemas.microsoft.com/office/drawing/2014/main" id="{02AAFF8C-0093-4F30-89CE-BAF6C1FDFC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4" name="Text Box 15">
          <a:extLst>
            <a:ext uri="{FF2B5EF4-FFF2-40B4-BE49-F238E27FC236}">
              <a16:creationId xmlns:a16="http://schemas.microsoft.com/office/drawing/2014/main" id="{3A06D9E5-CF2E-4B7C-B655-7D86FFC2D6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5" name="Text Box 15">
          <a:extLst>
            <a:ext uri="{FF2B5EF4-FFF2-40B4-BE49-F238E27FC236}">
              <a16:creationId xmlns:a16="http://schemas.microsoft.com/office/drawing/2014/main" id="{3E6BB40C-7344-4C3A-A1D8-9FCAC9F5059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6" name="Text Box 15">
          <a:extLst>
            <a:ext uri="{FF2B5EF4-FFF2-40B4-BE49-F238E27FC236}">
              <a16:creationId xmlns:a16="http://schemas.microsoft.com/office/drawing/2014/main" id="{262C199D-02C2-40AB-A59C-3EA4226068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7" name="Text Box 15">
          <a:extLst>
            <a:ext uri="{FF2B5EF4-FFF2-40B4-BE49-F238E27FC236}">
              <a16:creationId xmlns:a16="http://schemas.microsoft.com/office/drawing/2014/main" id="{D40FC7EF-C49C-426D-82F4-CDD74B2AEF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8" name="Text Box 15">
          <a:extLst>
            <a:ext uri="{FF2B5EF4-FFF2-40B4-BE49-F238E27FC236}">
              <a16:creationId xmlns:a16="http://schemas.microsoft.com/office/drawing/2014/main" id="{6CCFECAC-C7FF-460F-A767-917F9D16B21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9" name="Text Box 15">
          <a:extLst>
            <a:ext uri="{FF2B5EF4-FFF2-40B4-BE49-F238E27FC236}">
              <a16:creationId xmlns:a16="http://schemas.microsoft.com/office/drawing/2014/main" id="{03547D0D-15E2-42B6-98AF-EF710781CE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30" name="Text Box 15">
          <a:extLst>
            <a:ext uri="{FF2B5EF4-FFF2-40B4-BE49-F238E27FC236}">
              <a16:creationId xmlns:a16="http://schemas.microsoft.com/office/drawing/2014/main" id="{BE59E593-8666-47FF-B180-AB2A218846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31" name="Text Box 15">
          <a:extLst>
            <a:ext uri="{FF2B5EF4-FFF2-40B4-BE49-F238E27FC236}">
              <a16:creationId xmlns:a16="http://schemas.microsoft.com/office/drawing/2014/main" id="{85451370-1109-4095-AE8B-71F1187D6B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32" name="Text Box 15">
          <a:extLst>
            <a:ext uri="{FF2B5EF4-FFF2-40B4-BE49-F238E27FC236}">
              <a16:creationId xmlns:a16="http://schemas.microsoft.com/office/drawing/2014/main" id="{7CCA38AE-4A49-43BB-9016-E07E19D5CB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33" name="Text Box 15">
          <a:extLst>
            <a:ext uri="{FF2B5EF4-FFF2-40B4-BE49-F238E27FC236}">
              <a16:creationId xmlns:a16="http://schemas.microsoft.com/office/drawing/2014/main" id="{8D1AF1EE-65BC-48D3-9103-1F1AFF34520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34" name="Text Box 15">
          <a:extLst>
            <a:ext uri="{FF2B5EF4-FFF2-40B4-BE49-F238E27FC236}">
              <a16:creationId xmlns:a16="http://schemas.microsoft.com/office/drawing/2014/main" id="{26397F9A-B575-44B4-894F-F9170FEFFB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35" name="Text Box 15">
          <a:extLst>
            <a:ext uri="{FF2B5EF4-FFF2-40B4-BE49-F238E27FC236}">
              <a16:creationId xmlns:a16="http://schemas.microsoft.com/office/drawing/2014/main" id="{7A33DC18-34AF-4D1D-8477-23B717050C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36" name="Text Box 15">
          <a:extLst>
            <a:ext uri="{FF2B5EF4-FFF2-40B4-BE49-F238E27FC236}">
              <a16:creationId xmlns:a16="http://schemas.microsoft.com/office/drawing/2014/main" id="{3F48856F-416A-428B-8223-69C9AF8C606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37" name="Text Box 15">
          <a:extLst>
            <a:ext uri="{FF2B5EF4-FFF2-40B4-BE49-F238E27FC236}">
              <a16:creationId xmlns:a16="http://schemas.microsoft.com/office/drawing/2014/main" id="{8E524281-115C-4FA2-AFE8-6A4CDAAF17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38" name="Text Box 15">
          <a:extLst>
            <a:ext uri="{FF2B5EF4-FFF2-40B4-BE49-F238E27FC236}">
              <a16:creationId xmlns:a16="http://schemas.microsoft.com/office/drawing/2014/main" id="{9CD3C21A-F2B8-444C-A4E4-40657EBE6B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39" name="Text Box 15">
          <a:extLst>
            <a:ext uri="{FF2B5EF4-FFF2-40B4-BE49-F238E27FC236}">
              <a16:creationId xmlns:a16="http://schemas.microsoft.com/office/drawing/2014/main" id="{C49E453D-FBE7-4750-BC98-F3C5B143A9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40" name="Text Box 15">
          <a:extLst>
            <a:ext uri="{FF2B5EF4-FFF2-40B4-BE49-F238E27FC236}">
              <a16:creationId xmlns:a16="http://schemas.microsoft.com/office/drawing/2014/main" id="{A11B1352-C947-4295-9C45-5ADEDAD475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41" name="Text Box 15">
          <a:extLst>
            <a:ext uri="{FF2B5EF4-FFF2-40B4-BE49-F238E27FC236}">
              <a16:creationId xmlns:a16="http://schemas.microsoft.com/office/drawing/2014/main" id="{58BEF175-6CDE-4932-8CBD-597DA764D2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42" name="Text Box 15">
          <a:extLst>
            <a:ext uri="{FF2B5EF4-FFF2-40B4-BE49-F238E27FC236}">
              <a16:creationId xmlns:a16="http://schemas.microsoft.com/office/drawing/2014/main" id="{D6F48447-AB2B-4CAB-834E-9C9A9F1A4B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43" name="Text Box 15">
          <a:extLst>
            <a:ext uri="{FF2B5EF4-FFF2-40B4-BE49-F238E27FC236}">
              <a16:creationId xmlns:a16="http://schemas.microsoft.com/office/drawing/2014/main" id="{07D04387-7020-4D38-9AD7-15E14A8117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44" name="Text Box 15">
          <a:extLst>
            <a:ext uri="{FF2B5EF4-FFF2-40B4-BE49-F238E27FC236}">
              <a16:creationId xmlns:a16="http://schemas.microsoft.com/office/drawing/2014/main" id="{ABE3840F-57C9-4D4F-9259-21ED7F57DD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45" name="Text Box 15">
          <a:extLst>
            <a:ext uri="{FF2B5EF4-FFF2-40B4-BE49-F238E27FC236}">
              <a16:creationId xmlns:a16="http://schemas.microsoft.com/office/drawing/2014/main" id="{D4741630-F8B3-450F-AF59-D7D4BF9EE9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46" name="Text Box 15">
          <a:extLst>
            <a:ext uri="{FF2B5EF4-FFF2-40B4-BE49-F238E27FC236}">
              <a16:creationId xmlns:a16="http://schemas.microsoft.com/office/drawing/2014/main" id="{D4221DC8-275D-48C7-BA5E-693A1C557B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47" name="Text Box 15">
          <a:extLst>
            <a:ext uri="{FF2B5EF4-FFF2-40B4-BE49-F238E27FC236}">
              <a16:creationId xmlns:a16="http://schemas.microsoft.com/office/drawing/2014/main" id="{B9CB9A20-3CFE-4143-A170-F80E5521307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48" name="Text Box 15">
          <a:extLst>
            <a:ext uri="{FF2B5EF4-FFF2-40B4-BE49-F238E27FC236}">
              <a16:creationId xmlns:a16="http://schemas.microsoft.com/office/drawing/2014/main" id="{6468903A-1C49-4EF5-A060-A9A7FEA733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49" name="Text Box 15">
          <a:extLst>
            <a:ext uri="{FF2B5EF4-FFF2-40B4-BE49-F238E27FC236}">
              <a16:creationId xmlns:a16="http://schemas.microsoft.com/office/drawing/2014/main" id="{D8372E0A-AEA9-40AC-8A37-806C6E164D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0" name="Text Box 15">
          <a:extLst>
            <a:ext uri="{FF2B5EF4-FFF2-40B4-BE49-F238E27FC236}">
              <a16:creationId xmlns:a16="http://schemas.microsoft.com/office/drawing/2014/main" id="{AA8329B8-3B02-4C26-A13E-B7CC8D98D8D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1" name="Text Box 15">
          <a:extLst>
            <a:ext uri="{FF2B5EF4-FFF2-40B4-BE49-F238E27FC236}">
              <a16:creationId xmlns:a16="http://schemas.microsoft.com/office/drawing/2014/main" id="{39BB7983-9013-474D-96BF-7E281CA04B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2" name="Text Box 15">
          <a:extLst>
            <a:ext uri="{FF2B5EF4-FFF2-40B4-BE49-F238E27FC236}">
              <a16:creationId xmlns:a16="http://schemas.microsoft.com/office/drawing/2014/main" id="{9B3A8C57-8230-4C87-90D9-81F143224CF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3" name="Text Box 15">
          <a:extLst>
            <a:ext uri="{FF2B5EF4-FFF2-40B4-BE49-F238E27FC236}">
              <a16:creationId xmlns:a16="http://schemas.microsoft.com/office/drawing/2014/main" id="{74C08FEB-AA96-458A-B7B3-929805D44C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4" name="Text Box 15">
          <a:extLst>
            <a:ext uri="{FF2B5EF4-FFF2-40B4-BE49-F238E27FC236}">
              <a16:creationId xmlns:a16="http://schemas.microsoft.com/office/drawing/2014/main" id="{49CD2BE0-B53C-4B3E-93DD-A2447DA42B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5" name="Text Box 15">
          <a:extLst>
            <a:ext uri="{FF2B5EF4-FFF2-40B4-BE49-F238E27FC236}">
              <a16:creationId xmlns:a16="http://schemas.microsoft.com/office/drawing/2014/main" id="{AAE43109-1DE9-45F3-B15D-17204B5CFE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6" name="Text Box 15">
          <a:extLst>
            <a:ext uri="{FF2B5EF4-FFF2-40B4-BE49-F238E27FC236}">
              <a16:creationId xmlns:a16="http://schemas.microsoft.com/office/drawing/2014/main" id="{22593925-8BD6-41F0-9E9D-4F3EDB8A66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7" name="Text Box 15">
          <a:extLst>
            <a:ext uri="{FF2B5EF4-FFF2-40B4-BE49-F238E27FC236}">
              <a16:creationId xmlns:a16="http://schemas.microsoft.com/office/drawing/2014/main" id="{727CAEEF-EB73-4094-BEF5-C09083606E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8" name="Text Box 15">
          <a:extLst>
            <a:ext uri="{FF2B5EF4-FFF2-40B4-BE49-F238E27FC236}">
              <a16:creationId xmlns:a16="http://schemas.microsoft.com/office/drawing/2014/main" id="{91AA38CE-404E-4271-B46A-F3A32CEF16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9" name="Text Box 15">
          <a:extLst>
            <a:ext uri="{FF2B5EF4-FFF2-40B4-BE49-F238E27FC236}">
              <a16:creationId xmlns:a16="http://schemas.microsoft.com/office/drawing/2014/main" id="{CB0EA7D3-665F-4DAC-B7AC-70F7621CF4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60" name="Text Box 15">
          <a:extLst>
            <a:ext uri="{FF2B5EF4-FFF2-40B4-BE49-F238E27FC236}">
              <a16:creationId xmlns:a16="http://schemas.microsoft.com/office/drawing/2014/main" id="{D53DBDBD-1A09-4BC2-BB03-C8359A0C86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61" name="Text Box 15">
          <a:extLst>
            <a:ext uri="{FF2B5EF4-FFF2-40B4-BE49-F238E27FC236}">
              <a16:creationId xmlns:a16="http://schemas.microsoft.com/office/drawing/2014/main" id="{26131141-273B-4E74-B764-7B8E4A8404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62" name="Text Box 15">
          <a:extLst>
            <a:ext uri="{FF2B5EF4-FFF2-40B4-BE49-F238E27FC236}">
              <a16:creationId xmlns:a16="http://schemas.microsoft.com/office/drawing/2014/main" id="{27EA1C50-D1BC-4193-8AAF-1E37ED4EF3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63" name="Text Box 15">
          <a:extLst>
            <a:ext uri="{FF2B5EF4-FFF2-40B4-BE49-F238E27FC236}">
              <a16:creationId xmlns:a16="http://schemas.microsoft.com/office/drawing/2014/main" id="{14B9E2C6-16D0-435D-A8F3-2F2D9D555F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64" name="Text Box 15">
          <a:extLst>
            <a:ext uri="{FF2B5EF4-FFF2-40B4-BE49-F238E27FC236}">
              <a16:creationId xmlns:a16="http://schemas.microsoft.com/office/drawing/2014/main" id="{DA59BD74-7FEC-45E2-AB5F-438059299A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65" name="Text Box 15">
          <a:extLst>
            <a:ext uri="{FF2B5EF4-FFF2-40B4-BE49-F238E27FC236}">
              <a16:creationId xmlns:a16="http://schemas.microsoft.com/office/drawing/2014/main" id="{56E0FD2E-76B2-4784-9100-0D7C228563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66" name="Text Box 15">
          <a:extLst>
            <a:ext uri="{FF2B5EF4-FFF2-40B4-BE49-F238E27FC236}">
              <a16:creationId xmlns:a16="http://schemas.microsoft.com/office/drawing/2014/main" id="{26FDBBC4-E7F5-44F3-B091-DE48AFDEA1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67" name="Text Box 15">
          <a:extLst>
            <a:ext uri="{FF2B5EF4-FFF2-40B4-BE49-F238E27FC236}">
              <a16:creationId xmlns:a16="http://schemas.microsoft.com/office/drawing/2014/main" id="{31E898F0-C9E9-400D-B186-FFF9372D821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68" name="Text Box 15">
          <a:extLst>
            <a:ext uri="{FF2B5EF4-FFF2-40B4-BE49-F238E27FC236}">
              <a16:creationId xmlns:a16="http://schemas.microsoft.com/office/drawing/2014/main" id="{4085BBA8-2C47-4787-91C8-5260E6A09F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69" name="Text Box 15">
          <a:extLst>
            <a:ext uri="{FF2B5EF4-FFF2-40B4-BE49-F238E27FC236}">
              <a16:creationId xmlns:a16="http://schemas.microsoft.com/office/drawing/2014/main" id="{659997E3-CC56-4B75-9149-434BC80FDC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70" name="Text Box 15">
          <a:extLst>
            <a:ext uri="{FF2B5EF4-FFF2-40B4-BE49-F238E27FC236}">
              <a16:creationId xmlns:a16="http://schemas.microsoft.com/office/drawing/2014/main" id="{6151CAC1-5C15-434E-94C7-B62BF491B2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71" name="Text Box 15">
          <a:extLst>
            <a:ext uri="{FF2B5EF4-FFF2-40B4-BE49-F238E27FC236}">
              <a16:creationId xmlns:a16="http://schemas.microsoft.com/office/drawing/2014/main" id="{DF0647C9-4FA5-4474-921F-4AD9916894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72" name="Text Box 15">
          <a:extLst>
            <a:ext uri="{FF2B5EF4-FFF2-40B4-BE49-F238E27FC236}">
              <a16:creationId xmlns:a16="http://schemas.microsoft.com/office/drawing/2014/main" id="{8B9BC72E-BE4C-460E-AED9-5246DC9C16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73" name="Text Box 15">
          <a:extLst>
            <a:ext uri="{FF2B5EF4-FFF2-40B4-BE49-F238E27FC236}">
              <a16:creationId xmlns:a16="http://schemas.microsoft.com/office/drawing/2014/main" id="{7E9FBB83-3C56-421F-9E3C-31E90E7ED9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74" name="Text Box 15">
          <a:extLst>
            <a:ext uri="{FF2B5EF4-FFF2-40B4-BE49-F238E27FC236}">
              <a16:creationId xmlns:a16="http://schemas.microsoft.com/office/drawing/2014/main" id="{B7A9878D-8D46-49D4-B55A-911874BA5FD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75" name="Text Box 15">
          <a:extLst>
            <a:ext uri="{FF2B5EF4-FFF2-40B4-BE49-F238E27FC236}">
              <a16:creationId xmlns:a16="http://schemas.microsoft.com/office/drawing/2014/main" id="{95C5BE62-02AA-4184-AD95-C781D88076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76" name="Text Box 15">
          <a:extLst>
            <a:ext uri="{FF2B5EF4-FFF2-40B4-BE49-F238E27FC236}">
              <a16:creationId xmlns:a16="http://schemas.microsoft.com/office/drawing/2014/main" id="{F7B93B57-F4A7-4B46-BBCF-CA76D33809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77" name="Text Box 15">
          <a:extLst>
            <a:ext uri="{FF2B5EF4-FFF2-40B4-BE49-F238E27FC236}">
              <a16:creationId xmlns:a16="http://schemas.microsoft.com/office/drawing/2014/main" id="{BB6CC7E3-F049-4175-A97F-1CA8DFC0029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78" name="Text Box 15">
          <a:extLst>
            <a:ext uri="{FF2B5EF4-FFF2-40B4-BE49-F238E27FC236}">
              <a16:creationId xmlns:a16="http://schemas.microsoft.com/office/drawing/2014/main" id="{77086CFE-7393-4402-A919-F5A7ECA435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79" name="Text Box 15">
          <a:extLst>
            <a:ext uri="{FF2B5EF4-FFF2-40B4-BE49-F238E27FC236}">
              <a16:creationId xmlns:a16="http://schemas.microsoft.com/office/drawing/2014/main" id="{D01B5C3F-F360-4A7E-A0AF-35755059DE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0" name="Text Box 15">
          <a:extLst>
            <a:ext uri="{FF2B5EF4-FFF2-40B4-BE49-F238E27FC236}">
              <a16:creationId xmlns:a16="http://schemas.microsoft.com/office/drawing/2014/main" id="{0A942FC0-B5C5-42BD-8B4C-CBDB88DD26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1" name="Text Box 15">
          <a:extLst>
            <a:ext uri="{FF2B5EF4-FFF2-40B4-BE49-F238E27FC236}">
              <a16:creationId xmlns:a16="http://schemas.microsoft.com/office/drawing/2014/main" id="{C06E432C-BDBE-41BF-AA72-718262408F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2" name="Text Box 15">
          <a:extLst>
            <a:ext uri="{FF2B5EF4-FFF2-40B4-BE49-F238E27FC236}">
              <a16:creationId xmlns:a16="http://schemas.microsoft.com/office/drawing/2014/main" id="{C80970FA-EC03-421B-9A1D-769D8D3DD1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3" name="Text Box 15">
          <a:extLst>
            <a:ext uri="{FF2B5EF4-FFF2-40B4-BE49-F238E27FC236}">
              <a16:creationId xmlns:a16="http://schemas.microsoft.com/office/drawing/2014/main" id="{DAA36E82-81D0-4DE5-92B1-A8CD6F0B7E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4" name="Text Box 15">
          <a:extLst>
            <a:ext uri="{FF2B5EF4-FFF2-40B4-BE49-F238E27FC236}">
              <a16:creationId xmlns:a16="http://schemas.microsoft.com/office/drawing/2014/main" id="{E5E9A396-B46F-4F6F-B115-F4BCE047DF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5" name="Text Box 15">
          <a:extLst>
            <a:ext uri="{FF2B5EF4-FFF2-40B4-BE49-F238E27FC236}">
              <a16:creationId xmlns:a16="http://schemas.microsoft.com/office/drawing/2014/main" id="{55E7385D-6DF8-4948-A715-4065416B6B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6" name="Text Box 15">
          <a:extLst>
            <a:ext uri="{FF2B5EF4-FFF2-40B4-BE49-F238E27FC236}">
              <a16:creationId xmlns:a16="http://schemas.microsoft.com/office/drawing/2014/main" id="{F028BF29-F7FC-4B7B-B614-5D966B6B8FC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7" name="Text Box 15">
          <a:extLst>
            <a:ext uri="{FF2B5EF4-FFF2-40B4-BE49-F238E27FC236}">
              <a16:creationId xmlns:a16="http://schemas.microsoft.com/office/drawing/2014/main" id="{51B89A59-23D5-4040-9898-D9079F00AE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8" name="Text Box 15">
          <a:extLst>
            <a:ext uri="{FF2B5EF4-FFF2-40B4-BE49-F238E27FC236}">
              <a16:creationId xmlns:a16="http://schemas.microsoft.com/office/drawing/2014/main" id="{E11B8AB0-9E34-4043-B663-A9DC9D77A6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9" name="Text Box 15">
          <a:extLst>
            <a:ext uri="{FF2B5EF4-FFF2-40B4-BE49-F238E27FC236}">
              <a16:creationId xmlns:a16="http://schemas.microsoft.com/office/drawing/2014/main" id="{A301E660-79B7-4410-994B-B4956FBDFF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90" name="Text Box 15">
          <a:extLst>
            <a:ext uri="{FF2B5EF4-FFF2-40B4-BE49-F238E27FC236}">
              <a16:creationId xmlns:a16="http://schemas.microsoft.com/office/drawing/2014/main" id="{C6E2069C-A2B6-43CE-8EA1-2BA0133388F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91" name="Text Box 15">
          <a:extLst>
            <a:ext uri="{FF2B5EF4-FFF2-40B4-BE49-F238E27FC236}">
              <a16:creationId xmlns:a16="http://schemas.microsoft.com/office/drawing/2014/main" id="{C40AC741-37AC-48DD-9B98-0BB17EF44E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92" name="Text Box 15">
          <a:extLst>
            <a:ext uri="{FF2B5EF4-FFF2-40B4-BE49-F238E27FC236}">
              <a16:creationId xmlns:a16="http://schemas.microsoft.com/office/drawing/2014/main" id="{6131A15A-2D98-4E12-8BE3-21C80A6F2D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93" name="Text Box 15">
          <a:extLst>
            <a:ext uri="{FF2B5EF4-FFF2-40B4-BE49-F238E27FC236}">
              <a16:creationId xmlns:a16="http://schemas.microsoft.com/office/drawing/2014/main" id="{BEA537AE-3D46-4012-9738-3C5FC3002CB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94" name="Text Box 15">
          <a:extLst>
            <a:ext uri="{FF2B5EF4-FFF2-40B4-BE49-F238E27FC236}">
              <a16:creationId xmlns:a16="http://schemas.microsoft.com/office/drawing/2014/main" id="{AEDF3A50-284C-4B27-85D2-59E95D75A6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95" name="Text Box 15">
          <a:extLst>
            <a:ext uri="{FF2B5EF4-FFF2-40B4-BE49-F238E27FC236}">
              <a16:creationId xmlns:a16="http://schemas.microsoft.com/office/drawing/2014/main" id="{5FD1AAF7-2178-4581-A892-24ACCFE64A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96" name="Text Box 15">
          <a:extLst>
            <a:ext uri="{FF2B5EF4-FFF2-40B4-BE49-F238E27FC236}">
              <a16:creationId xmlns:a16="http://schemas.microsoft.com/office/drawing/2014/main" id="{798EBA32-18EA-4730-8A3A-0F0BAD7428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97" name="Text Box 15">
          <a:extLst>
            <a:ext uri="{FF2B5EF4-FFF2-40B4-BE49-F238E27FC236}">
              <a16:creationId xmlns:a16="http://schemas.microsoft.com/office/drawing/2014/main" id="{C1837FDA-10D8-4A22-B9AB-6D8EE1683A8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98" name="Text Box 15">
          <a:extLst>
            <a:ext uri="{FF2B5EF4-FFF2-40B4-BE49-F238E27FC236}">
              <a16:creationId xmlns:a16="http://schemas.microsoft.com/office/drawing/2014/main" id="{D02B5CB6-CF34-44F9-8845-825A2FF9A24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99" name="Text Box 15">
          <a:extLst>
            <a:ext uri="{FF2B5EF4-FFF2-40B4-BE49-F238E27FC236}">
              <a16:creationId xmlns:a16="http://schemas.microsoft.com/office/drawing/2014/main" id="{3D423ED9-3648-4DD2-BB96-055435962C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00" name="Text Box 15">
          <a:extLst>
            <a:ext uri="{FF2B5EF4-FFF2-40B4-BE49-F238E27FC236}">
              <a16:creationId xmlns:a16="http://schemas.microsoft.com/office/drawing/2014/main" id="{A71081F1-90AD-42D0-8DB3-A020F663FEB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01" name="Text Box 15">
          <a:extLst>
            <a:ext uri="{FF2B5EF4-FFF2-40B4-BE49-F238E27FC236}">
              <a16:creationId xmlns:a16="http://schemas.microsoft.com/office/drawing/2014/main" id="{F82A5CE9-75C9-4DF0-A43E-1DDD2F39B5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02" name="Text Box 15">
          <a:extLst>
            <a:ext uri="{FF2B5EF4-FFF2-40B4-BE49-F238E27FC236}">
              <a16:creationId xmlns:a16="http://schemas.microsoft.com/office/drawing/2014/main" id="{118C7FAF-3735-4371-83B9-61FCD7F71E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03" name="Text Box 15">
          <a:extLst>
            <a:ext uri="{FF2B5EF4-FFF2-40B4-BE49-F238E27FC236}">
              <a16:creationId xmlns:a16="http://schemas.microsoft.com/office/drawing/2014/main" id="{E9C8CD6A-CE8D-4ED5-9A0B-C37BC70A0F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04" name="Text Box 15">
          <a:extLst>
            <a:ext uri="{FF2B5EF4-FFF2-40B4-BE49-F238E27FC236}">
              <a16:creationId xmlns:a16="http://schemas.microsoft.com/office/drawing/2014/main" id="{C27E2B0F-02DB-4BBA-9C33-DF5C7846DB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05" name="Text Box 15">
          <a:extLst>
            <a:ext uri="{FF2B5EF4-FFF2-40B4-BE49-F238E27FC236}">
              <a16:creationId xmlns:a16="http://schemas.microsoft.com/office/drawing/2014/main" id="{3282C1E6-B633-4823-BC6E-92C4F341E1B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06" name="Text Box 15">
          <a:extLst>
            <a:ext uri="{FF2B5EF4-FFF2-40B4-BE49-F238E27FC236}">
              <a16:creationId xmlns:a16="http://schemas.microsoft.com/office/drawing/2014/main" id="{7971262E-3DF7-418B-ACCE-DB024916EA4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07" name="Text Box 15">
          <a:extLst>
            <a:ext uri="{FF2B5EF4-FFF2-40B4-BE49-F238E27FC236}">
              <a16:creationId xmlns:a16="http://schemas.microsoft.com/office/drawing/2014/main" id="{C68173E6-510F-4567-BEA6-A648B97516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08" name="Text Box 15">
          <a:extLst>
            <a:ext uri="{FF2B5EF4-FFF2-40B4-BE49-F238E27FC236}">
              <a16:creationId xmlns:a16="http://schemas.microsoft.com/office/drawing/2014/main" id="{5D458FE5-9666-43B4-8E12-95CC9B3A42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09" name="Text Box 15">
          <a:extLst>
            <a:ext uri="{FF2B5EF4-FFF2-40B4-BE49-F238E27FC236}">
              <a16:creationId xmlns:a16="http://schemas.microsoft.com/office/drawing/2014/main" id="{5C495D42-E5E2-43F9-85D5-12540580DA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0" name="Text Box 15">
          <a:extLst>
            <a:ext uri="{FF2B5EF4-FFF2-40B4-BE49-F238E27FC236}">
              <a16:creationId xmlns:a16="http://schemas.microsoft.com/office/drawing/2014/main" id="{1E7EA7E0-6FC2-403A-B5CD-0490B42B95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1" name="Text Box 15">
          <a:extLst>
            <a:ext uri="{FF2B5EF4-FFF2-40B4-BE49-F238E27FC236}">
              <a16:creationId xmlns:a16="http://schemas.microsoft.com/office/drawing/2014/main" id="{0DBD1921-8470-4737-B331-2D6E175788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2" name="Text Box 15">
          <a:extLst>
            <a:ext uri="{FF2B5EF4-FFF2-40B4-BE49-F238E27FC236}">
              <a16:creationId xmlns:a16="http://schemas.microsoft.com/office/drawing/2014/main" id="{0C2B6D45-F6CD-446D-94A6-1AE7992DFA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3" name="Text Box 15">
          <a:extLst>
            <a:ext uri="{FF2B5EF4-FFF2-40B4-BE49-F238E27FC236}">
              <a16:creationId xmlns:a16="http://schemas.microsoft.com/office/drawing/2014/main" id="{68247B09-3798-4727-A2D1-451E71DD1D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4" name="Text Box 15">
          <a:extLst>
            <a:ext uri="{FF2B5EF4-FFF2-40B4-BE49-F238E27FC236}">
              <a16:creationId xmlns:a16="http://schemas.microsoft.com/office/drawing/2014/main" id="{FAD1432D-389E-45D0-B968-EC1403E241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5" name="Text Box 15">
          <a:extLst>
            <a:ext uri="{FF2B5EF4-FFF2-40B4-BE49-F238E27FC236}">
              <a16:creationId xmlns:a16="http://schemas.microsoft.com/office/drawing/2014/main" id="{EDD8E10E-4061-48A9-A737-33AEB6A1BC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6" name="Text Box 15">
          <a:extLst>
            <a:ext uri="{FF2B5EF4-FFF2-40B4-BE49-F238E27FC236}">
              <a16:creationId xmlns:a16="http://schemas.microsoft.com/office/drawing/2014/main" id="{33C61AF2-4AEF-4B16-B8E1-24DB550772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7" name="Text Box 15">
          <a:extLst>
            <a:ext uri="{FF2B5EF4-FFF2-40B4-BE49-F238E27FC236}">
              <a16:creationId xmlns:a16="http://schemas.microsoft.com/office/drawing/2014/main" id="{4F707E43-B6B5-42A0-A5D8-DD07D601A4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8" name="Text Box 15">
          <a:extLst>
            <a:ext uri="{FF2B5EF4-FFF2-40B4-BE49-F238E27FC236}">
              <a16:creationId xmlns:a16="http://schemas.microsoft.com/office/drawing/2014/main" id="{C24A0B95-1E85-4134-A447-71D4E15095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9" name="Text Box 15">
          <a:extLst>
            <a:ext uri="{FF2B5EF4-FFF2-40B4-BE49-F238E27FC236}">
              <a16:creationId xmlns:a16="http://schemas.microsoft.com/office/drawing/2014/main" id="{559F3FAA-77CA-4182-92D2-8F0FE8EA5A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20" name="Text Box 15">
          <a:extLst>
            <a:ext uri="{FF2B5EF4-FFF2-40B4-BE49-F238E27FC236}">
              <a16:creationId xmlns:a16="http://schemas.microsoft.com/office/drawing/2014/main" id="{10A733CC-18D6-4AF9-AC9C-9C89E04E1A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21" name="Text Box 15">
          <a:extLst>
            <a:ext uri="{FF2B5EF4-FFF2-40B4-BE49-F238E27FC236}">
              <a16:creationId xmlns:a16="http://schemas.microsoft.com/office/drawing/2014/main" id="{C61D2B8A-F14A-4672-8708-85E88C407C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22" name="Text Box 15">
          <a:extLst>
            <a:ext uri="{FF2B5EF4-FFF2-40B4-BE49-F238E27FC236}">
              <a16:creationId xmlns:a16="http://schemas.microsoft.com/office/drawing/2014/main" id="{8F577107-9F19-469F-A351-2536027CE2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3" name="Text Box 15">
          <a:extLst>
            <a:ext uri="{FF2B5EF4-FFF2-40B4-BE49-F238E27FC236}">
              <a16:creationId xmlns:a16="http://schemas.microsoft.com/office/drawing/2014/main" id="{5704B334-CD3A-4EC0-83BB-DCF2C91615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4" name="Text Box 15">
          <a:extLst>
            <a:ext uri="{FF2B5EF4-FFF2-40B4-BE49-F238E27FC236}">
              <a16:creationId xmlns:a16="http://schemas.microsoft.com/office/drawing/2014/main" id="{0D5B8CBA-983B-4DDC-A099-E59496E89F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5" name="Text Box 15">
          <a:extLst>
            <a:ext uri="{FF2B5EF4-FFF2-40B4-BE49-F238E27FC236}">
              <a16:creationId xmlns:a16="http://schemas.microsoft.com/office/drawing/2014/main" id="{1BC13110-2912-4576-B05A-47C074B822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6" name="Text Box 15">
          <a:extLst>
            <a:ext uri="{FF2B5EF4-FFF2-40B4-BE49-F238E27FC236}">
              <a16:creationId xmlns:a16="http://schemas.microsoft.com/office/drawing/2014/main" id="{2A8622C7-284D-411E-AE66-8D0F18A9C4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7" name="Text Box 15">
          <a:extLst>
            <a:ext uri="{FF2B5EF4-FFF2-40B4-BE49-F238E27FC236}">
              <a16:creationId xmlns:a16="http://schemas.microsoft.com/office/drawing/2014/main" id="{22688F75-5944-4AC9-9F67-B88C007190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8" name="Text Box 15">
          <a:extLst>
            <a:ext uri="{FF2B5EF4-FFF2-40B4-BE49-F238E27FC236}">
              <a16:creationId xmlns:a16="http://schemas.microsoft.com/office/drawing/2014/main" id="{925C1B92-326B-4C4C-BD8D-C3910FFF8C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9" name="Text Box 15">
          <a:extLst>
            <a:ext uri="{FF2B5EF4-FFF2-40B4-BE49-F238E27FC236}">
              <a16:creationId xmlns:a16="http://schemas.microsoft.com/office/drawing/2014/main" id="{A57A1B82-AA3A-4C67-9B4D-A52CB27234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30" name="Text Box 15">
          <a:extLst>
            <a:ext uri="{FF2B5EF4-FFF2-40B4-BE49-F238E27FC236}">
              <a16:creationId xmlns:a16="http://schemas.microsoft.com/office/drawing/2014/main" id="{A5ABC1B8-DF22-4DBC-84E2-A2ABF0A6C6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31" name="Text Box 15">
          <a:extLst>
            <a:ext uri="{FF2B5EF4-FFF2-40B4-BE49-F238E27FC236}">
              <a16:creationId xmlns:a16="http://schemas.microsoft.com/office/drawing/2014/main" id="{D846EB6C-B86A-459E-9244-6206FEB355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32" name="Text Box 15">
          <a:extLst>
            <a:ext uri="{FF2B5EF4-FFF2-40B4-BE49-F238E27FC236}">
              <a16:creationId xmlns:a16="http://schemas.microsoft.com/office/drawing/2014/main" id="{8A2C7E85-C7B8-4718-B5A6-92227C1EAF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33" name="Text Box 15">
          <a:extLst>
            <a:ext uri="{FF2B5EF4-FFF2-40B4-BE49-F238E27FC236}">
              <a16:creationId xmlns:a16="http://schemas.microsoft.com/office/drawing/2014/main" id="{6D6BBEA2-FEC1-47BA-A5CF-7717E0EDF7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34" name="Text Box 15">
          <a:extLst>
            <a:ext uri="{FF2B5EF4-FFF2-40B4-BE49-F238E27FC236}">
              <a16:creationId xmlns:a16="http://schemas.microsoft.com/office/drawing/2014/main" id="{EC889AEB-1DC3-4061-A61A-569BFC2D1B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35" name="Text Box 15">
          <a:extLst>
            <a:ext uri="{FF2B5EF4-FFF2-40B4-BE49-F238E27FC236}">
              <a16:creationId xmlns:a16="http://schemas.microsoft.com/office/drawing/2014/main" id="{A7F85C19-EFCC-4C78-A705-17B3117AA2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36" name="Text Box 15">
          <a:extLst>
            <a:ext uri="{FF2B5EF4-FFF2-40B4-BE49-F238E27FC236}">
              <a16:creationId xmlns:a16="http://schemas.microsoft.com/office/drawing/2014/main" id="{BCFE86A1-8E80-4983-B15D-08D531F581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37" name="Text Box 15">
          <a:extLst>
            <a:ext uri="{FF2B5EF4-FFF2-40B4-BE49-F238E27FC236}">
              <a16:creationId xmlns:a16="http://schemas.microsoft.com/office/drawing/2014/main" id="{4443CC1C-3503-4873-A23D-1A03050CE0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38" name="Text Box 15">
          <a:extLst>
            <a:ext uri="{FF2B5EF4-FFF2-40B4-BE49-F238E27FC236}">
              <a16:creationId xmlns:a16="http://schemas.microsoft.com/office/drawing/2014/main" id="{5499719E-EE25-4B3F-9CBD-328A99AD8A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39" name="Text Box 15">
          <a:extLst>
            <a:ext uri="{FF2B5EF4-FFF2-40B4-BE49-F238E27FC236}">
              <a16:creationId xmlns:a16="http://schemas.microsoft.com/office/drawing/2014/main" id="{55708D91-2143-4E80-B0ED-DD57B7E1E7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0" name="Text Box 15">
          <a:extLst>
            <a:ext uri="{FF2B5EF4-FFF2-40B4-BE49-F238E27FC236}">
              <a16:creationId xmlns:a16="http://schemas.microsoft.com/office/drawing/2014/main" id="{0969C418-BF26-4436-8745-2E8BC43FEF0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1" name="Text Box 15">
          <a:extLst>
            <a:ext uri="{FF2B5EF4-FFF2-40B4-BE49-F238E27FC236}">
              <a16:creationId xmlns:a16="http://schemas.microsoft.com/office/drawing/2014/main" id="{75C06F2F-A769-44B3-8EBD-97B8C72548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2" name="Text Box 15">
          <a:extLst>
            <a:ext uri="{FF2B5EF4-FFF2-40B4-BE49-F238E27FC236}">
              <a16:creationId xmlns:a16="http://schemas.microsoft.com/office/drawing/2014/main" id="{3065B198-8538-452D-BB7D-B5CE1A8DC7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3" name="Text Box 15">
          <a:extLst>
            <a:ext uri="{FF2B5EF4-FFF2-40B4-BE49-F238E27FC236}">
              <a16:creationId xmlns:a16="http://schemas.microsoft.com/office/drawing/2014/main" id="{3993E202-949F-4E79-BC9B-0087DDDFC9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4" name="Text Box 15">
          <a:extLst>
            <a:ext uri="{FF2B5EF4-FFF2-40B4-BE49-F238E27FC236}">
              <a16:creationId xmlns:a16="http://schemas.microsoft.com/office/drawing/2014/main" id="{EEA94D7F-BE6C-42D0-9D9B-BB380815B5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5" name="Text Box 15">
          <a:extLst>
            <a:ext uri="{FF2B5EF4-FFF2-40B4-BE49-F238E27FC236}">
              <a16:creationId xmlns:a16="http://schemas.microsoft.com/office/drawing/2014/main" id="{E4F44376-0A4A-4FC0-9550-7C1FCD4818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6" name="Text Box 15">
          <a:extLst>
            <a:ext uri="{FF2B5EF4-FFF2-40B4-BE49-F238E27FC236}">
              <a16:creationId xmlns:a16="http://schemas.microsoft.com/office/drawing/2014/main" id="{F2B93411-FC51-40FD-90B4-3B34EA24C9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7" name="Text Box 15">
          <a:extLst>
            <a:ext uri="{FF2B5EF4-FFF2-40B4-BE49-F238E27FC236}">
              <a16:creationId xmlns:a16="http://schemas.microsoft.com/office/drawing/2014/main" id="{4D6E7CB8-D1E8-43F9-AA5B-E3915B3968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48" name="Text Box 15">
          <a:extLst>
            <a:ext uri="{FF2B5EF4-FFF2-40B4-BE49-F238E27FC236}">
              <a16:creationId xmlns:a16="http://schemas.microsoft.com/office/drawing/2014/main" id="{8BA25B2F-E1FD-4728-AE52-00CD8E58F7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49" name="Text Box 15">
          <a:extLst>
            <a:ext uri="{FF2B5EF4-FFF2-40B4-BE49-F238E27FC236}">
              <a16:creationId xmlns:a16="http://schemas.microsoft.com/office/drawing/2014/main" id="{8BCBC6BC-08CC-4871-870F-DFA2AD67EB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50" name="Text Box 15">
          <a:extLst>
            <a:ext uri="{FF2B5EF4-FFF2-40B4-BE49-F238E27FC236}">
              <a16:creationId xmlns:a16="http://schemas.microsoft.com/office/drawing/2014/main" id="{CCD473C3-BD29-412A-ABA6-F7261B4C66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51" name="Text Box 15">
          <a:extLst>
            <a:ext uri="{FF2B5EF4-FFF2-40B4-BE49-F238E27FC236}">
              <a16:creationId xmlns:a16="http://schemas.microsoft.com/office/drawing/2014/main" id="{5BAF7475-3607-47CC-AE87-ECC1F03B37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52" name="Text Box 15">
          <a:extLst>
            <a:ext uri="{FF2B5EF4-FFF2-40B4-BE49-F238E27FC236}">
              <a16:creationId xmlns:a16="http://schemas.microsoft.com/office/drawing/2014/main" id="{1EA612DE-0A37-41AE-B15A-39F1792C23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3" name="Text Box 15">
          <a:extLst>
            <a:ext uri="{FF2B5EF4-FFF2-40B4-BE49-F238E27FC236}">
              <a16:creationId xmlns:a16="http://schemas.microsoft.com/office/drawing/2014/main" id="{56D2CF90-A5C6-4623-8404-89F769C9E0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4" name="Text Box 15">
          <a:extLst>
            <a:ext uri="{FF2B5EF4-FFF2-40B4-BE49-F238E27FC236}">
              <a16:creationId xmlns:a16="http://schemas.microsoft.com/office/drawing/2014/main" id="{F4594B0C-E3E2-402C-91BC-66DA4E9938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5" name="Text Box 15">
          <a:extLst>
            <a:ext uri="{FF2B5EF4-FFF2-40B4-BE49-F238E27FC236}">
              <a16:creationId xmlns:a16="http://schemas.microsoft.com/office/drawing/2014/main" id="{4BB29D69-E5EF-40B7-B932-71896F2DC1D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6" name="Text Box 15">
          <a:extLst>
            <a:ext uri="{FF2B5EF4-FFF2-40B4-BE49-F238E27FC236}">
              <a16:creationId xmlns:a16="http://schemas.microsoft.com/office/drawing/2014/main" id="{319F7D15-2D7E-46AD-B411-ED4C92823B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7" name="Text Box 15">
          <a:extLst>
            <a:ext uri="{FF2B5EF4-FFF2-40B4-BE49-F238E27FC236}">
              <a16:creationId xmlns:a16="http://schemas.microsoft.com/office/drawing/2014/main" id="{9B0553C9-3D5D-4293-9E10-184C850F503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8" name="Text Box 15">
          <a:extLst>
            <a:ext uri="{FF2B5EF4-FFF2-40B4-BE49-F238E27FC236}">
              <a16:creationId xmlns:a16="http://schemas.microsoft.com/office/drawing/2014/main" id="{25A58982-4D21-4D7A-B4C5-52D7BA2590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9" name="Text Box 15">
          <a:extLst>
            <a:ext uri="{FF2B5EF4-FFF2-40B4-BE49-F238E27FC236}">
              <a16:creationId xmlns:a16="http://schemas.microsoft.com/office/drawing/2014/main" id="{60CA1B0B-A247-4F15-A2A9-1AD4509BEB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60" name="Text Box 15">
          <a:extLst>
            <a:ext uri="{FF2B5EF4-FFF2-40B4-BE49-F238E27FC236}">
              <a16:creationId xmlns:a16="http://schemas.microsoft.com/office/drawing/2014/main" id="{49F5FC67-8E08-4E96-9110-BD1B2287BD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61" name="Text Box 15">
          <a:extLst>
            <a:ext uri="{FF2B5EF4-FFF2-40B4-BE49-F238E27FC236}">
              <a16:creationId xmlns:a16="http://schemas.microsoft.com/office/drawing/2014/main" id="{221BA12A-AFE3-45C1-9DE5-72262C1087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62" name="Text Box 15">
          <a:extLst>
            <a:ext uri="{FF2B5EF4-FFF2-40B4-BE49-F238E27FC236}">
              <a16:creationId xmlns:a16="http://schemas.microsoft.com/office/drawing/2014/main" id="{5AE35777-6C72-435F-8F7E-9F06B9C8F5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63" name="Text Box 15">
          <a:extLst>
            <a:ext uri="{FF2B5EF4-FFF2-40B4-BE49-F238E27FC236}">
              <a16:creationId xmlns:a16="http://schemas.microsoft.com/office/drawing/2014/main" id="{076F6F66-4553-42A2-ABCE-CAEF13E06D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64" name="Text Box 15">
          <a:extLst>
            <a:ext uri="{FF2B5EF4-FFF2-40B4-BE49-F238E27FC236}">
              <a16:creationId xmlns:a16="http://schemas.microsoft.com/office/drawing/2014/main" id="{7707E01B-2EC9-4A5C-A436-845BFF8FD3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65" name="Text Box 15">
          <a:extLst>
            <a:ext uri="{FF2B5EF4-FFF2-40B4-BE49-F238E27FC236}">
              <a16:creationId xmlns:a16="http://schemas.microsoft.com/office/drawing/2014/main" id="{630EB964-7B55-44FB-B8E3-68AE1F7788F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66" name="Text Box 15">
          <a:extLst>
            <a:ext uri="{FF2B5EF4-FFF2-40B4-BE49-F238E27FC236}">
              <a16:creationId xmlns:a16="http://schemas.microsoft.com/office/drawing/2014/main" id="{0CE31465-3E26-4A2E-B49D-71AEBA4578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67" name="Text Box 15">
          <a:extLst>
            <a:ext uri="{FF2B5EF4-FFF2-40B4-BE49-F238E27FC236}">
              <a16:creationId xmlns:a16="http://schemas.microsoft.com/office/drawing/2014/main" id="{32E38BA8-5383-4BC7-B680-E9436863BC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68" name="Text Box 15">
          <a:extLst>
            <a:ext uri="{FF2B5EF4-FFF2-40B4-BE49-F238E27FC236}">
              <a16:creationId xmlns:a16="http://schemas.microsoft.com/office/drawing/2014/main" id="{81A3C87E-531B-4C5F-BC02-6A36D43952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69" name="Text Box 15">
          <a:extLst>
            <a:ext uri="{FF2B5EF4-FFF2-40B4-BE49-F238E27FC236}">
              <a16:creationId xmlns:a16="http://schemas.microsoft.com/office/drawing/2014/main" id="{E1818A21-EE75-4C82-B84D-FE42EF795A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0" name="Text Box 15">
          <a:extLst>
            <a:ext uri="{FF2B5EF4-FFF2-40B4-BE49-F238E27FC236}">
              <a16:creationId xmlns:a16="http://schemas.microsoft.com/office/drawing/2014/main" id="{F4B99C10-1673-491B-A550-FAAF2F91A23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1" name="Text Box 15">
          <a:extLst>
            <a:ext uri="{FF2B5EF4-FFF2-40B4-BE49-F238E27FC236}">
              <a16:creationId xmlns:a16="http://schemas.microsoft.com/office/drawing/2014/main" id="{E1017574-A692-4C71-B1D3-9EA6677327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2" name="Text Box 15">
          <a:extLst>
            <a:ext uri="{FF2B5EF4-FFF2-40B4-BE49-F238E27FC236}">
              <a16:creationId xmlns:a16="http://schemas.microsoft.com/office/drawing/2014/main" id="{AE9ABCF0-F3DF-4CA6-81FB-B9B29268E0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3" name="Text Box 15">
          <a:extLst>
            <a:ext uri="{FF2B5EF4-FFF2-40B4-BE49-F238E27FC236}">
              <a16:creationId xmlns:a16="http://schemas.microsoft.com/office/drawing/2014/main" id="{43B071CB-492C-4294-877D-F43577542A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4" name="Text Box 15">
          <a:extLst>
            <a:ext uri="{FF2B5EF4-FFF2-40B4-BE49-F238E27FC236}">
              <a16:creationId xmlns:a16="http://schemas.microsoft.com/office/drawing/2014/main" id="{09321551-91DE-4FA2-9AEE-CDF42365ED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5" name="Text Box 15">
          <a:extLst>
            <a:ext uri="{FF2B5EF4-FFF2-40B4-BE49-F238E27FC236}">
              <a16:creationId xmlns:a16="http://schemas.microsoft.com/office/drawing/2014/main" id="{F504BD05-790B-4BB6-A923-59C6F2FB04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6" name="Text Box 15">
          <a:extLst>
            <a:ext uri="{FF2B5EF4-FFF2-40B4-BE49-F238E27FC236}">
              <a16:creationId xmlns:a16="http://schemas.microsoft.com/office/drawing/2014/main" id="{DC9E0AA3-4E0B-4C86-96FF-720C25A4D6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7" name="Text Box 15">
          <a:extLst>
            <a:ext uri="{FF2B5EF4-FFF2-40B4-BE49-F238E27FC236}">
              <a16:creationId xmlns:a16="http://schemas.microsoft.com/office/drawing/2014/main" id="{8755857A-2030-4A25-ACB2-E520BE2E6C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78" name="Text Box 15">
          <a:extLst>
            <a:ext uri="{FF2B5EF4-FFF2-40B4-BE49-F238E27FC236}">
              <a16:creationId xmlns:a16="http://schemas.microsoft.com/office/drawing/2014/main" id="{AF61A5AF-9E1B-44D3-B66C-1DDBD3BC9F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79" name="Text Box 15">
          <a:extLst>
            <a:ext uri="{FF2B5EF4-FFF2-40B4-BE49-F238E27FC236}">
              <a16:creationId xmlns:a16="http://schemas.microsoft.com/office/drawing/2014/main" id="{30C11FFF-B958-4C53-88F5-FB0B6AD0AB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80" name="Text Box 15">
          <a:extLst>
            <a:ext uri="{FF2B5EF4-FFF2-40B4-BE49-F238E27FC236}">
              <a16:creationId xmlns:a16="http://schemas.microsoft.com/office/drawing/2014/main" id="{84241F80-286F-4D3F-8D7E-D078514FA5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81" name="Text Box 15">
          <a:extLst>
            <a:ext uri="{FF2B5EF4-FFF2-40B4-BE49-F238E27FC236}">
              <a16:creationId xmlns:a16="http://schemas.microsoft.com/office/drawing/2014/main" id="{54A9E058-A4DB-4609-967C-4D74F909F6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82" name="Text Box 15">
          <a:extLst>
            <a:ext uri="{FF2B5EF4-FFF2-40B4-BE49-F238E27FC236}">
              <a16:creationId xmlns:a16="http://schemas.microsoft.com/office/drawing/2014/main" id="{4D4CB9F1-A514-48F3-87D6-0D8FF507BB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3" name="Text Box 15">
          <a:extLst>
            <a:ext uri="{FF2B5EF4-FFF2-40B4-BE49-F238E27FC236}">
              <a16:creationId xmlns:a16="http://schemas.microsoft.com/office/drawing/2014/main" id="{3B8A2237-BC76-402F-B61E-2529EB83F7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4" name="Text Box 15">
          <a:extLst>
            <a:ext uri="{FF2B5EF4-FFF2-40B4-BE49-F238E27FC236}">
              <a16:creationId xmlns:a16="http://schemas.microsoft.com/office/drawing/2014/main" id="{3CE0E918-D6A1-41B8-818B-46467EE21B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5" name="Text Box 15">
          <a:extLst>
            <a:ext uri="{FF2B5EF4-FFF2-40B4-BE49-F238E27FC236}">
              <a16:creationId xmlns:a16="http://schemas.microsoft.com/office/drawing/2014/main" id="{F7EF636A-F424-4003-8F11-EA5E8B72EA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6" name="Text Box 15">
          <a:extLst>
            <a:ext uri="{FF2B5EF4-FFF2-40B4-BE49-F238E27FC236}">
              <a16:creationId xmlns:a16="http://schemas.microsoft.com/office/drawing/2014/main" id="{C8BE0F45-22D1-4ACF-9AD5-1DBCC946E2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7" name="Text Box 15">
          <a:extLst>
            <a:ext uri="{FF2B5EF4-FFF2-40B4-BE49-F238E27FC236}">
              <a16:creationId xmlns:a16="http://schemas.microsoft.com/office/drawing/2014/main" id="{07B75E9C-8D4E-40E0-B6E3-95F387B2FFC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8" name="Text Box 15">
          <a:extLst>
            <a:ext uri="{FF2B5EF4-FFF2-40B4-BE49-F238E27FC236}">
              <a16:creationId xmlns:a16="http://schemas.microsoft.com/office/drawing/2014/main" id="{40600160-B36B-4B64-A239-B8A69CEF73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9" name="Text Box 15">
          <a:extLst>
            <a:ext uri="{FF2B5EF4-FFF2-40B4-BE49-F238E27FC236}">
              <a16:creationId xmlns:a16="http://schemas.microsoft.com/office/drawing/2014/main" id="{B3B075D1-77EE-42C1-8595-9C2BB671A0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90" name="Text Box 15">
          <a:extLst>
            <a:ext uri="{FF2B5EF4-FFF2-40B4-BE49-F238E27FC236}">
              <a16:creationId xmlns:a16="http://schemas.microsoft.com/office/drawing/2014/main" id="{3FD1A7DC-09B9-49A3-BFD1-97EC3164D7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91" name="Text Box 15">
          <a:extLst>
            <a:ext uri="{FF2B5EF4-FFF2-40B4-BE49-F238E27FC236}">
              <a16:creationId xmlns:a16="http://schemas.microsoft.com/office/drawing/2014/main" id="{1542FDFB-D637-4E7D-BBCA-2DB812D195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92" name="Text Box 15">
          <a:extLst>
            <a:ext uri="{FF2B5EF4-FFF2-40B4-BE49-F238E27FC236}">
              <a16:creationId xmlns:a16="http://schemas.microsoft.com/office/drawing/2014/main" id="{D48EB0B0-6A3B-471A-9DF0-BE23C587E5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93" name="Text Box 15">
          <a:extLst>
            <a:ext uri="{FF2B5EF4-FFF2-40B4-BE49-F238E27FC236}">
              <a16:creationId xmlns:a16="http://schemas.microsoft.com/office/drawing/2014/main" id="{E9B945D8-8959-4B48-AD15-AA1444BB9C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94" name="Text Box 15">
          <a:extLst>
            <a:ext uri="{FF2B5EF4-FFF2-40B4-BE49-F238E27FC236}">
              <a16:creationId xmlns:a16="http://schemas.microsoft.com/office/drawing/2014/main" id="{44A35B7A-126A-45C7-9506-FEA709943C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95" name="Text Box 15">
          <a:extLst>
            <a:ext uri="{FF2B5EF4-FFF2-40B4-BE49-F238E27FC236}">
              <a16:creationId xmlns:a16="http://schemas.microsoft.com/office/drawing/2014/main" id="{83E1FCF9-3181-41AE-973D-DD8E6C6606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96" name="Text Box 15">
          <a:extLst>
            <a:ext uri="{FF2B5EF4-FFF2-40B4-BE49-F238E27FC236}">
              <a16:creationId xmlns:a16="http://schemas.microsoft.com/office/drawing/2014/main" id="{6B915BF3-5816-495D-968A-E8208A2D88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97" name="Text Box 15">
          <a:extLst>
            <a:ext uri="{FF2B5EF4-FFF2-40B4-BE49-F238E27FC236}">
              <a16:creationId xmlns:a16="http://schemas.microsoft.com/office/drawing/2014/main" id="{FB17D9DE-7EB7-462D-86B6-E9C3207267A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98" name="Text Box 15">
          <a:extLst>
            <a:ext uri="{FF2B5EF4-FFF2-40B4-BE49-F238E27FC236}">
              <a16:creationId xmlns:a16="http://schemas.microsoft.com/office/drawing/2014/main" id="{A576E023-C11B-4DB9-8B14-4008F60FA2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99" name="Text Box 15">
          <a:extLst>
            <a:ext uri="{FF2B5EF4-FFF2-40B4-BE49-F238E27FC236}">
              <a16:creationId xmlns:a16="http://schemas.microsoft.com/office/drawing/2014/main" id="{33CC8F67-F8E4-44B5-A607-E8402F5BBE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0" name="Text Box 15">
          <a:extLst>
            <a:ext uri="{FF2B5EF4-FFF2-40B4-BE49-F238E27FC236}">
              <a16:creationId xmlns:a16="http://schemas.microsoft.com/office/drawing/2014/main" id="{5A271DA2-D350-4DB4-8F84-1204615A1EE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1" name="Text Box 15">
          <a:extLst>
            <a:ext uri="{FF2B5EF4-FFF2-40B4-BE49-F238E27FC236}">
              <a16:creationId xmlns:a16="http://schemas.microsoft.com/office/drawing/2014/main" id="{9B1C1C4A-CF63-43B0-B3AC-AAA49C9D77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2" name="Text Box 15">
          <a:extLst>
            <a:ext uri="{FF2B5EF4-FFF2-40B4-BE49-F238E27FC236}">
              <a16:creationId xmlns:a16="http://schemas.microsoft.com/office/drawing/2014/main" id="{C08C337C-37A4-4485-953F-7F22D27FC0B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3" name="Text Box 15">
          <a:extLst>
            <a:ext uri="{FF2B5EF4-FFF2-40B4-BE49-F238E27FC236}">
              <a16:creationId xmlns:a16="http://schemas.microsoft.com/office/drawing/2014/main" id="{C1DFE555-4B4D-48B1-8641-7076393A6B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4" name="Text Box 15">
          <a:extLst>
            <a:ext uri="{FF2B5EF4-FFF2-40B4-BE49-F238E27FC236}">
              <a16:creationId xmlns:a16="http://schemas.microsoft.com/office/drawing/2014/main" id="{6B2E3EF5-19B2-49AC-B4B6-C613659537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5" name="Text Box 15">
          <a:extLst>
            <a:ext uri="{FF2B5EF4-FFF2-40B4-BE49-F238E27FC236}">
              <a16:creationId xmlns:a16="http://schemas.microsoft.com/office/drawing/2014/main" id="{0C2C1197-C224-4204-AD80-8208B6B6A1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6" name="Text Box 15">
          <a:extLst>
            <a:ext uri="{FF2B5EF4-FFF2-40B4-BE49-F238E27FC236}">
              <a16:creationId xmlns:a16="http://schemas.microsoft.com/office/drawing/2014/main" id="{D17C167E-F202-4A13-9225-ED6C1EF0384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7" name="Text Box 15">
          <a:extLst>
            <a:ext uri="{FF2B5EF4-FFF2-40B4-BE49-F238E27FC236}">
              <a16:creationId xmlns:a16="http://schemas.microsoft.com/office/drawing/2014/main" id="{C3AD759D-0B0E-4675-B929-B5BBD95E99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08" name="Text Box 15">
          <a:extLst>
            <a:ext uri="{FF2B5EF4-FFF2-40B4-BE49-F238E27FC236}">
              <a16:creationId xmlns:a16="http://schemas.microsoft.com/office/drawing/2014/main" id="{5F8C9079-6085-4618-BD62-630B9433DE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09" name="Text Box 15">
          <a:extLst>
            <a:ext uri="{FF2B5EF4-FFF2-40B4-BE49-F238E27FC236}">
              <a16:creationId xmlns:a16="http://schemas.microsoft.com/office/drawing/2014/main" id="{8C6DF48A-031C-4EDE-A450-369B32E53F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10" name="Text Box 15">
          <a:extLst>
            <a:ext uri="{FF2B5EF4-FFF2-40B4-BE49-F238E27FC236}">
              <a16:creationId xmlns:a16="http://schemas.microsoft.com/office/drawing/2014/main" id="{E34599CF-69C4-407E-AFC4-DF596BBF22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1" name="Text Box 15">
          <a:extLst>
            <a:ext uri="{FF2B5EF4-FFF2-40B4-BE49-F238E27FC236}">
              <a16:creationId xmlns:a16="http://schemas.microsoft.com/office/drawing/2014/main" id="{13A7108E-9FEF-4847-A4EE-88674D7474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2" name="Text Box 15">
          <a:extLst>
            <a:ext uri="{FF2B5EF4-FFF2-40B4-BE49-F238E27FC236}">
              <a16:creationId xmlns:a16="http://schemas.microsoft.com/office/drawing/2014/main" id="{A61BA2A4-B29D-414D-BFC5-36289625FD9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3" name="Text Box 15">
          <a:extLst>
            <a:ext uri="{FF2B5EF4-FFF2-40B4-BE49-F238E27FC236}">
              <a16:creationId xmlns:a16="http://schemas.microsoft.com/office/drawing/2014/main" id="{8ED8F878-39B5-46C3-85E4-AC38708060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4" name="Text Box 15">
          <a:extLst>
            <a:ext uri="{FF2B5EF4-FFF2-40B4-BE49-F238E27FC236}">
              <a16:creationId xmlns:a16="http://schemas.microsoft.com/office/drawing/2014/main" id="{6CD4BCF0-377B-49E0-A14B-3FAB339454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5" name="Text Box 15">
          <a:extLst>
            <a:ext uri="{FF2B5EF4-FFF2-40B4-BE49-F238E27FC236}">
              <a16:creationId xmlns:a16="http://schemas.microsoft.com/office/drawing/2014/main" id="{E0240103-63B6-46E8-9923-86A2B9F1A3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6" name="Text Box 15">
          <a:extLst>
            <a:ext uri="{FF2B5EF4-FFF2-40B4-BE49-F238E27FC236}">
              <a16:creationId xmlns:a16="http://schemas.microsoft.com/office/drawing/2014/main" id="{B9246A04-263D-4B4B-AD65-F4FC8F304F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7" name="Text Box 15">
          <a:extLst>
            <a:ext uri="{FF2B5EF4-FFF2-40B4-BE49-F238E27FC236}">
              <a16:creationId xmlns:a16="http://schemas.microsoft.com/office/drawing/2014/main" id="{7B94E8CA-9CE8-4644-A0B5-DF4FA0B90C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8" name="Text Box 15">
          <a:extLst>
            <a:ext uri="{FF2B5EF4-FFF2-40B4-BE49-F238E27FC236}">
              <a16:creationId xmlns:a16="http://schemas.microsoft.com/office/drawing/2014/main" id="{A1C6C01A-6AB6-42AF-B000-D1CB047F2D6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9" name="Text Box 15">
          <a:extLst>
            <a:ext uri="{FF2B5EF4-FFF2-40B4-BE49-F238E27FC236}">
              <a16:creationId xmlns:a16="http://schemas.microsoft.com/office/drawing/2014/main" id="{E9053B55-BC2E-44BD-8D68-9404DA3462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20" name="Text Box 15">
          <a:extLst>
            <a:ext uri="{FF2B5EF4-FFF2-40B4-BE49-F238E27FC236}">
              <a16:creationId xmlns:a16="http://schemas.microsoft.com/office/drawing/2014/main" id="{F2C1C81A-C938-4A1F-A211-03B41681D3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21" name="Text Box 15">
          <a:extLst>
            <a:ext uri="{FF2B5EF4-FFF2-40B4-BE49-F238E27FC236}">
              <a16:creationId xmlns:a16="http://schemas.microsoft.com/office/drawing/2014/main" id="{31C4A915-3642-4B5D-831B-50BBAE526B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22" name="Text Box 15">
          <a:extLst>
            <a:ext uri="{FF2B5EF4-FFF2-40B4-BE49-F238E27FC236}">
              <a16:creationId xmlns:a16="http://schemas.microsoft.com/office/drawing/2014/main" id="{27C252B3-C81B-440A-B8E5-C0A11AA4A57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23" name="Text Box 15">
          <a:extLst>
            <a:ext uri="{FF2B5EF4-FFF2-40B4-BE49-F238E27FC236}">
              <a16:creationId xmlns:a16="http://schemas.microsoft.com/office/drawing/2014/main" id="{4323C32C-D6B4-4EB7-AAB6-8E9F372AC3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24" name="Text Box 15">
          <a:extLst>
            <a:ext uri="{FF2B5EF4-FFF2-40B4-BE49-F238E27FC236}">
              <a16:creationId xmlns:a16="http://schemas.microsoft.com/office/drawing/2014/main" id="{F77EC6D1-4116-4898-8F3C-B6B8C2B0CD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25" name="Text Box 15">
          <a:extLst>
            <a:ext uri="{FF2B5EF4-FFF2-40B4-BE49-F238E27FC236}">
              <a16:creationId xmlns:a16="http://schemas.microsoft.com/office/drawing/2014/main" id="{45DCAA60-76E2-464A-A980-D9900BAC67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26" name="Text Box 15">
          <a:extLst>
            <a:ext uri="{FF2B5EF4-FFF2-40B4-BE49-F238E27FC236}">
              <a16:creationId xmlns:a16="http://schemas.microsoft.com/office/drawing/2014/main" id="{7827C6D3-DC21-47BB-B2E4-5B27285E5E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27" name="Text Box 15">
          <a:extLst>
            <a:ext uri="{FF2B5EF4-FFF2-40B4-BE49-F238E27FC236}">
              <a16:creationId xmlns:a16="http://schemas.microsoft.com/office/drawing/2014/main" id="{6C83110E-673C-4EAD-B741-59A815885A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28" name="Text Box 15">
          <a:extLst>
            <a:ext uri="{FF2B5EF4-FFF2-40B4-BE49-F238E27FC236}">
              <a16:creationId xmlns:a16="http://schemas.microsoft.com/office/drawing/2014/main" id="{92B3AA57-8673-46F2-B03A-002AF66D16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29" name="Text Box 15">
          <a:extLst>
            <a:ext uri="{FF2B5EF4-FFF2-40B4-BE49-F238E27FC236}">
              <a16:creationId xmlns:a16="http://schemas.microsoft.com/office/drawing/2014/main" id="{B9680CF5-CD3F-4542-9FD4-7DE04751D1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0" name="Text Box 15">
          <a:extLst>
            <a:ext uri="{FF2B5EF4-FFF2-40B4-BE49-F238E27FC236}">
              <a16:creationId xmlns:a16="http://schemas.microsoft.com/office/drawing/2014/main" id="{B9281A57-2FAA-4220-92B6-FD85C250A8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1" name="Text Box 15">
          <a:extLst>
            <a:ext uri="{FF2B5EF4-FFF2-40B4-BE49-F238E27FC236}">
              <a16:creationId xmlns:a16="http://schemas.microsoft.com/office/drawing/2014/main" id="{67F27024-0CDA-4C05-8B8D-5504BEEC70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2" name="Text Box 15">
          <a:extLst>
            <a:ext uri="{FF2B5EF4-FFF2-40B4-BE49-F238E27FC236}">
              <a16:creationId xmlns:a16="http://schemas.microsoft.com/office/drawing/2014/main" id="{BF9B2658-BA60-4E5F-A0D4-1DE05DD8500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3" name="Text Box 15">
          <a:extLst>
            <a:ext uri="{FF2B5EF4-FFF2-40B4-BE49-F238E27FC236}">
              <a16:creationId xmlns:a16="http://schemas.microsoft.com/office/drawing/2014/main" id="{17699F31-3611-4284-961E-8B1E0A1BAB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4" name="Text Box 15">
          <a:extLst>
            <a:ext uri="{FF2B5EF4-FFF2-40B4-BE49-F238E27FC236}">
              <a16:creationId xmlns:a16="http://schemas.microsoft.com/office/drawing/2014/main" id="{E0985023-E52E-45F0-87C9-23AE545BC5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5" name="Text Box 15">
          <a:extLst>
            <a:ext uri="{FF2B5EF4-FFF2-40B4-BE49-F238E27FC236}">
              <a16:creationId xmlns:a16="http://schemas.microsoft.com/office/drawing/2014/main" id="{077291DB-0B59-40E0-8548-8BBACE1526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36" name="Text Box 15">
          <a:extLst>
            <a:ext uri="{FF2B5EF4-FFF2-40B4-BE49-F238E27FC236}">
              <a16:creationId xmlns:a16="http://schemas.microsoft.com/office/drawing/2014/main" id="{60E55806-8F55-44A2-A33E-E71AA4DF5B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37" name="Text Box 15">
          <a:extLst>
            <a:ext uri="{FF2B5EF4-FFF2-40B4-BE49-F238E27FC236}">
              <a16:creationId xmlns:a16="http://schemas.microsoft.com/office/drawing/2014/main" id="{09B88192-A1EA-4F83-ACA7-B7EDF8F9681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38" name="Text Box 15">
          <a:extLst>
            <a:ext uri="{FF2B5EF4-FFF2-40B4-BE49-F238E27FC236}">
              <a16:creationId xmlns:a16="http://schemas.microsoft.com/office/drawing/2014/main" id="{0592C1C2-F21E-4408-B651-D7C28C6257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39" name="Text Box 15">
          <a:extLst>
            <a:ext uri="{FF2B5EF4-FFF2-40B4-BE49-F238E27FC236}">
              <a16:creationId xmlns:a16="http://schemas.microsoft.com/office/drawing/2014/main" id="{242B4437-B6C0-48F7-99D2-1C2CE7F488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40" name="Text Box 15">
          <a:extLst>
            <a:ext uri="{FF2B5EF4-FFF2-40B4-BE49-F238E27FC236}">
              <a16:creationId xmlns:a16="http://schemas.microsoft.com/office/drawing/2014/main" id="{71E53470-13BC-49CE-BC26-4032E05007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1" name="Text Box 15">
          <a:extLst>
            <a:ext uri="{FF2B5EF4-FFF2-40B4-BE49-F238E27FC236}">
              <a16:creationId xmlns:a16="http://schemas.microsoft.com/office/drawing/2014/main" id="{2D977E87-31C1-4C31-ADBE-08DB3289EE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2" name="Text Box 15">
          <a:extLst>
            <a:ext uri="{FF2B5EF4-FFF2-40B4-BE49-F238E27FC236}">
              <a16:creationId xmlns:a16="http://schemas.microsoft.com/office/drawing/2014/main" id="{C76FD817-75F4-4CE0-B28B-E3D90009C7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3" name="Text Box 15">
          <a:extLst>
            <a:ext uri="{FF2B5EF4-FFF2-40B4-BE49-F238E27FC236}">
              <a16:creationId xmlns:a16="http://schemas.microsoft.com/office/drawing/2014/main" id="{CE9459EC-E9A0-4085-A046-21A7013E9C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4" name="Text Box 15">
          <a:extLst>
            <a:ext uri="{FF2B5EF4-FFF2-40B4-BE49-F238E27FC236}">
              <a16:creationId xmlns:a16="http://schemas.microsoft.com/office/drawing/2014/main" id="{DF14B97D-7A34-403E-9BCD-F16D522C7C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5" name="Text Box 15">
          <a:extLst>
            <a:ext uri="{FF2B5EF4-FFF2-40B4-BE49-F238E27FC236}">
              <a16:creationId xmlns:a16="http://schemas.microsoft.com/office/drawing/2014/main" id="{09F93BDF-250D-4183-B0F5-4D0DD053C8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6" name="Text Box 15">
          <a:extLst>
            <a:ext uri="{FF2B5EF4-FFF2-40B4-BE49-F238E27FC236}">
              <a16:creationId xmlns:a16="http://schemas.microsoft.com/office/drawing/2014/main" id="{CD5188C1-D5E4-4307-B0AE-1D7C21C08B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7" name="Text Box 15">
          <a:extLst>
            <a:ext uri="{FF2B5EF4-FFF2-40B4-BE49-F238E27FC236}">
              <a16:creationId xmlns:a16="http://schemas.microsoft.com/office/drawing/2014/main" id="{35D70318-5A74-4927-893B-348C039313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8" name="Text Box 15">
          <a:extLst>
            <a:ext uri="{FF2B5EF4-FFF2-40B4-BE49-F238E27FC236}">
              <a16:creationId xmlns:a16="http://schemas.microsoft.com/office/drawing/2014/main" id="{C427163D-089A-4415-8F86-8313A5E938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9" name="Text Box 15">
          <a:extLst>
            <a:ext uri="{FF2B5EF4-FFF2-40B4-BE49-F238E27FC236}">
              <a16:creationId xmlns:a16="http://schemas.microsoft.com/office/drawing/2014/main" id="{64F1D6D1-01D3-45CB-85CC-4156E7681A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50" name="Text Box 15">
          <a:extLst>
            <a:ext uri="{FF2B5EF4-FFF2-40B4-BE49-F238E27FC236}">
              <a16:creationId xmlns:a16="http://schemas.microsoft.com/office/drawing/2014/main" id="{F71C968A-1066-4279-A8A0-9A44A71418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51" name="Text Box 15">
          <a:extLst>
            <a:ext uri="{FF2B5EF4-FFF2-40B4-BE49-F238E27FC236}">
              <a16:creationId xmlns:a16="http://schemas.microsoft.com/office/drawing/2014/main" id="{F841C8FB-B9A4-4C48-95A4-A4F4615F0D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52" name="Text Box 15">
          <a:extLst>
            <a:ext uri="{FF2B5EF4-FFF2-40B4-BE49-F238E27FC236}">
              <a16:creationId xmlns:a16="http://schemas.microsoft.com/office/drawing/2014/main" id="{454C7E0D-2734-4C06-AAF7-2CD9E3B4CE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53" name="Text Box 15">
          <a:extLst>
            <a:ext uri="{FF2B5EF4-FFF2-40B4-BE49-F238E27FC236}">
              <a16:creationId xmlns:a16="http://schemas.microsoft.com/office/drawing/2014/main" id="{BF8528A0-2CBB-4026-A7CB-2081849DE3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54" name="Text Box 15">
          <a:extLst>
            <a:ext uri="{FF2B5EF4-FFF2-40B4-BE49-F238E27FC236}">
              <a16:creationId xmlns:a16="http://schemas.microsoft.com/office/drawing/2014/main" id="{60C9CF17-9889-488D-A4D7-1AC7CA7F8F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55" name="Text Box 15">
          <a:extLst>
            <a:ext uri="{FF2B5EF4-FFF2-40B4-BE49-F238E27FC236}">
              <a16:creationId xmlns:a16="http://schemas.microsoft.com/office/drawing/2014/main" id="{14FBB2EC-E011-4A77-BFE0-B23906DA537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56" name="Text Box 15">
          <a:extLst>
            <a:ext uri="{FF2B5EF4-FFF2-40B4-BE49-F238E27FC236}">
              <a16:creationId xmlns:a16="http://schemas.microsoft.com/office/drawing/2014/main" id="{71723EB5-ED4B-4921-83CA-D43C190C55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57" name="Text Box 15">
          <a:extLst>
            <a:ext uri="{FF2B5EF4-FFF2-40B4-BE49-F238E27FC236}">
              <a16:creationId xmlns:a16="http://schemas.microsoft.com/office/drawing/2014/main" id="{A07645FB-2874-4CBA-86D2-23BE74BE2D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58" name="Text Box 15">
          <a:extLst>
            <a:ext uri="{FF2B5EF4-FFF2-40B4-BE49-F238E27FC236}">
              <a16:creationId xmlns:a16="http://schemas.microsoft.com/office/drawing/2014/main" id="{BE711032-5916-43DE-8DF7-87071D1AA7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59" name="Text Box 15">
          <a:extLst>
            <a:ext uri="{FF2B5EF4-FFF2-40B4-BE49-F238E27FC236}">
              <a16:creationId xmlns:a16="http://schemas.microsoft.com/office/drawing/2014/main" id="{815E35FB-1155-439B-B603-459BE421C2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0" name="Text Box 15">
          <a:extLst>
            <a:ext uri="{FF2B5EF4-FFF2-40B4-BE49-F238E27FC236}">
              <a16:creationId xmlns:a16="http://schemas.microsoft.com/office/drawing/2014/main" id="{10CEC68C-9942-4A6F-8AF7-FF66FB2436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1" name="Text Box 15">
          <a:extLst>
            <a:ext uri="{FF2B5EF4-FFF2-40B4-BE49-F238E27FC236}">
              <a16:creationId xmlns:a16="http://schemas.microsoft.com/office/drawing/2014/main" id="{08DE2FD8-004A-43AB-AEEA-68DBDE37BD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2" name="Text Box 15">
          <a:extLst>
            <a:ext uri="{FF2B5EF4-FFF2-40B4-BE49-F238E27FC236}">
              <a16:creationId xmlns:a16="http://schemas.microsoft.com/office/drawing/2014/main" id="{2DA95C54-0046-42F1-9EC9-EE3A33F9DD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3" name="Text Box 15">
          <a:extLst>
            <a:ext uri="{FF2B5EF4-FFF2-40B4-BE49-F238E27FC236}">
              <a16:creationId xmlns:a16="http://schemas.microsoft.com/office/drawing/2014/main" id="{FEDD69F7-A4B6-4161-9CEE-5398F634CD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4" name="Text Box 15">
          <a:extLst>
            <a:ext uri="{FF2B5EF4-FFF2-40B4-BE49-F238E27FC236}">
              <a16:creationId xmlns:a16="http://schemas.microsoft.com/office/drawing/2014/main" id="{A6FAA748-FA17-4280-BBD9-F2F21ABEC6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5" name="Text Box 15">
          <a:extLst>
            <a:ext uri="{FF2B5EF4-FFF2-40B4-BE49-F238E27FC236}">
              <a16:creationId xmlns:a16="http://schemas.microsoft.com/office/drawing/2014/main" id="{BB447E27-49F0-447A-B595-F07AABE51F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66" name="Text Box 15">
          <a:extLst>
            <a:ext uri="{FF2B5EF4-FFF2-40B4-BE49-F238E27FC236}">
              <a16:creationId xmlns:a16="http://schemas.microsoft.com/office/drawing/2014/main" id="{B2A7B0BB-8D5B-4CED-8B56-B0D022B85E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67" name="Text Box 15">
          <a:extLst>
            <a:ext uri="{FF2B5EF4-FFF2-40B4-BE49-F238E27FC236}">
              <a16:creationId xmlns:a16="http://schemas.microsoft.com/office/drawing/2014/main" id="{A0A46D0F-C47E-4635-9B26-7A74D1DE58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68" name="Text Box 15">
          <a:extLst>
            <a:ext uri="{FF2B5EF4-FFF2-40B4-BE49-F238E27FC236}">
              <a16:creationId xmlns:a16="http://schemas.microsoft.com/office/drawing/2014/main" id="{6C51CA93-CDC0-4786-BE80-C822399E78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69" name="Text Box 15">
          <a:extLst>
            <a:ext uri="{FF2B5EF4-FFF2-40B4-BE49-F238E27FC236}">
              <a16:creationId xmlns:a16="http://schemas.microsoft.com/office/drawing/2014/main" id="{2A13B8F0-85C6-46D5-8C7F-5B02A2C42A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70" name="Text Box 15">
          <a:extLst>
            <a:ext uri="{FF2B5EF4-FFF2-40B4-BE49-F238E27FC236}">
              <a16:creationId xmlns:a16="http://schemas.microsoft.com/office/drawing/2014/main" id="{55492C12-B6B1-4D13-82D9-B869713275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1" name="Text Box 15">
          <a:extLst>
            <a:ext uri="{FF2B5EF4-FFF2-40B4-BE49-F238E27FC236}">
              <a16:creationId xmlns:a16="http://schemas.microsoft.com/office/drawing/2014/main" id="{FC8A4E05-A0BB-47DD-A32B-50253935A4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2" name="Text Box 15">
          <a:extLst>
            <a:ext uri="{FF2B5EF4-FFF2-40B4-BE49-F238E27FC236}">
              <a16:creationId xmlns:a16="http://schemas.microsoft.com/office/drawing/2014/main" id="{BAA85A74-702B-4D86-A9EC-3F5F93F5DA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3" name="Text Box 15">
          <a:extLst>
            <a:ext uri="{FF2B5EF4-FFF2-40B4-BE49-F238E27FC236}">
              <a16:creationId xmlns:a16="http://schemas.microsoft.com/office/drawing/2014/main" id="{B519B6B5-F06B-42C4-9BAE-B665925EE3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4" name="Text Box 15">
          <a:extLst>
            <a:ext uri="{FF2B5EF4-FFF2-40B4-BE49-F238E27FC236}">
              <a16:creationId xmlns:a16="http://schemas.microsoft.com/office/drawing/2014/main" id="{6727A9C8-D474-4374-BD85-1006856E7D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5" name="Text Box 15">
          <a:extLst>
            <a:ext uri="{FF2B5EF4-FFF2-40B4-BE49-F238E27FC236}">
              <a16:creationId xmlns:a16="http://schemas.microsoft.com/office/drawing/2014/main" id="{322E7252-5F2C-4B8D-B2D1-A62572D80FD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6" name="Text Box 15">
          <a:extLst>
            <a:ext uri="{FF2B5EF4-FFF2-40B4-BE49-F238E27FC236}">
              <a16:creationId xmlns:a16="http://schemas.microsoft.com/office/drawing/2014/main" id="{1F74726A-54BE-448F-A60F-5218570CAC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7" name="Text Box 15">
          <a:extLst>
            <a:ext uri="{FF2B5EF4-FFF2-40B4-BE49-F238E27FC236}">
              <a16:creationId xmlns:a16="http://schemas.microsoft.com/office/drawing/2014/main" id="{D8700B5C-EC11-4EE2-A866-66B9AFAAF4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8" name="Text Box 15">
          <a:extLst>
            <a:ext uri="{FF2B5EF4-FFF2-40B4-BE49-F238E27FC236}">
              <a16:creationId xmlns:a16="http://schemas.microsoft.com/office/drawing/2014/main" id="{989B2671-9F37-43FC-816B-8A491D5031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9" name="Text Box 15">
          <a:extLst>
            <a:ext uri="{FF2B5EF4-FFF2-40B4-BE49-F238E27FC236}">
              <a16:creationId xmlns:a16="http://schemas.microsoft.com/office/drawing/2014/main" id="{118726C6-FAAB-4146-BD39-ADA54E10DF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80" name="Text Box 15">
          <a:extLst>
            <a:ext uri="{FF2B5EF4-FFF2-40B4-BE49-F238E27FC236}">
              <a16:creationId xmlns:a16="http://schemas.microsoft.com/office/drawing/2014/main" id="{B05E3F8D-6C31-4D84-9A3F-5517153489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81" name="Text Box 15">
          <a:extLst>
            <a:ext uri="{FF2B5EF4-FFF2-40B4-BE49-F238E27FC236}">
              <a16:creationId xmlns:a16="http://schemas.microsoft.com/office/drawing/2014/main" id="{B150A0C9-BD63-432A-921D-8A94A760298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82" name="Text Box 15">
          <a:extLst>
            <a:ext uri="{FF2B5EF4-FFF2-40B4-BE49-F238E27FC236}">
              <a16:creationId xmlns:a16="http://schemas.microsoft.com/office/drawing/2014/main" id="{9EC1DE73-B5C2-4E44-AEAD-41CDEC5886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83" name="Text Box 15">
          <a:extLst>
            <a:ext uri="{FF2B5EF4-FFF2-40B4-BE49-F238E27FC236}">
              <a16:creationId xmlns:a16="http://schemas.microsoft.com/office/drawing/2014/main" id="{A8F01F85-AFAD-44F1-922D-7FBD127703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84" name="Text Box 15">
          <a:extLst>
            <a:ext uri="{FF2B5EF4-FFF2-40B4-BE49-F238E27FC236}">
              <a16:creationId xmlns:a16="http://schemas.microsoft.com/office/drawing/2014/main" id="{DFCD5E56-2893-4952-8EDD-596F2E9EC2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85" name="Text Box 15">
          <a:extLst>
            <a:ext uri="{FF2B5EF4-FFF2-40B4-BE49-F238E27FC236}">
              <a16:creationId xmlns:a16="http://schemas.microsoft.com/office/drawing/2014/main" id="{736E7C87-ACA1-42F9-B44D-072AF56B69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86" name="Text Box 15">
          <a:extLst>
            <a:ext uri="{FF2B5EF4-FFF2-40B4-BE49-F238E27FC236}">
              <a16:creationId xmlns:a16="http://schemas.microsoft.com/office/drawing/2014/main" id="{F8F79ACB-3644-4DB2-9A4E-A86048E018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87" name="Text Box 15">
          <a:extLst>
            <a:ext uri="{FF2B5EF4-FFF2-40B4-BE49-F238E27FC236}">
              <a16:creationId xmlns:a16="http://schemas.microsoft.com/office/drawing/2014/main" id="{B123493E-9143-4180-A174-21737FFB37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88" name="Text Box 15">
          <a:extLst>
            <a:ext uri="{FF2B5EF4-FFF2-40B4-BE49-F238E27FC236}">
              <a16:creationId xmlns:a16="http://schemas.microsoft.com/office/drawing/2014/main" id="{F0744FF2-229F-4D10-80A8-71F3CC3216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89" name="Text Box 15">
          <a:extLst>
            <a:ext uri="{FF2B5EF4-FFF2-40B4-BE49-F238E27FC236}">
              <a16:creationId xmlns:a16="http://schemas.microsoft.com/office/drawing/2014/main" id="{580DC1D1-38F9-43B6-8C87-50086A741F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0" name="Text Box 15">
          <a:extLst>
            <a:ext uri="{FF2B5EF4-FFF2-40B4-BE49-F238E27FC236}">
              <a16:creationId xmlns:a16="http://schemas.microsoft.com/office/drawing/2014/main" id="{5FBAF6F0-B289-4A1C-BE05-C696AC2353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1" name="Text Box 15">
          <a:extLst>
            <a:ext uri="{FF2B5EF4-FFF2-40B4-BE49-F238E27FC236}">
              <a16:creationId xmlns:a16="http://schemas.microsoft.com/office/drawing/2014/main" id="{1242ECF7-2458-43CF-9BD1-402AF53EA70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2" name="Text Box 15">
          <a:extLst>
            <a:ext uri="{FF2B5EF4-FFF2-40B4-BE49-F238E27FC236}">
              <a16:creationId xmlns:a16="http://schemas.microsoft.com/office/drawing/2014/main" id="{D651B664-4E98-4FA6-8E00-016A05B877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3" name="Text Box 15">
          <a:extLst>
            <a:ext uri="{FF2B5EF4-FFF2-40B4-BE49-F238E27FC236}">
              <a16:creationId xmlns:a16="http://schemas.microsoft.com/office/drawing/2014/main" id="{FAA79374-1ABA-4D91-A7E8-A927D4243A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4" name="Text Box 15">
          <a:extLst>
            <a:ext uri="{FF2B5EF4-FFF2-40B4-BE49-F238E27FC236}">
              <a16:creationId xmlns:a16="http://schemas.microsoft.com/office/drawing/2014/main" id="{C4414686-7FDD-4EA9-AFF8-8A407DE2F4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5" name="Text Box 15">
          <a:extLst>
            <a:ext uri="{FF2B5EF4-FFF2-40B4-BE49-F238E27FC236}">
              <a16:creationId xmlns:a16="http://schemas.microsoft.com/office/drawing/2014/main" id="{ED55B895-55BC-468A-9E59-0F804508C1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6" name="Text Box 15">
          <a:extLst>
            <a:ext uri="{FF2B5EF4-FFF2-40B4-BE49-F238E27FC236}">
              <a16:creationId xmlns:a16="http://schemas.microsoft.com/office/drawing/2014/main" id="{E7415E64-851A-40CC-94D0-A549C1EE1A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7" name="Text Box 15">
          <a:extLst>
            <a:ext uri="{FF2B5EF4-FFF2-40B4-BE49-F238E27FC236}">
              <a16:creationId xmlns:a16="http://schemas.microsoft.com/office/drawing/2014/main" id="{378689FC-5937-45AF-A71A-ACC53DF346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8" name="Text Box 15">
          <a:extLst>
            <a:ext uri="{FF2B5EF4-FFF2-40B4-BE49-F238E27FC236}">
              <a16:creationId xmlns:a16="http://schemas.microsoft.com/office/drawing/2014/main" id="{5ACDC83F-3083-42EC-8098-E63956E90C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9" name="Text Box 15">
          <a:extLst>
            <a:ext uri="{FF2B5EF4-FFF2-40B4-BE49-F238E27FC236}">
              <a16:creationId xmlns:a16="http://schemas.microsoft.com/office/drawing/2014/main" id="{FA831225-9683-499A-82D9-9615AD1C88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0" name="Text Box 15">
          <a:extLst>
            <a:ext uri="{FF2B5EF4-FFF2-40B4-BE49-F238E27FC236}">
              <a16:creationId xmlns:a16="http://schemas.microsoft.com/office/drawing/2014/main" id="{F94A5918-ED77-478E-B3B8-D2DEFAFA42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1" name="Text Box 15">
          <a:extLst>
            <a:ext uri="{FF2B5EF4-FFF2-40B4-BE49-F238E27FC236}">
              <a16:creationId xmlns:a16="http://schemas.microsoft.com/office/drawing/2014/main" id="{7AE9411F-24DA-4D3C-AD6A-21D952D68A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2" name="Text Box 15">
          <a:extLst>
            <a:ext uri="{FF2B5EF4-FFF2-40B4-BE49-F238E27FC236}">
              <a16:creationId xmlns:a16="http://schemas.microsoft.com/office/drawing/2014/main" id="{06A17729-C39C-4856-BB89-FB265A3ACE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3" name="Text Box 15">
          <a:extLst>
            <a:ext uri="{FF2B5EF4-FFF2-40B4-BE49-F238E27FC236}">
              <a16:creationId xmlns:a16="http://schemas.microsoft.com/office/drawing/2014/main" id="{ADD33A99-B303-4B21-9209-6086063482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4" name="Text Box 15">
          <a:extLst>
            <a:ext uri="{FF2B5EF4-FFF2-40B4-BE49-F238E27FC236}">
              <a16:creationId xmlns:a16="http://schemas.microsoft.com/office/drawing/2014/main" id="{438681BE-7575-459B-8BC2-49C44C1F877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5" name="Text Box 15">
          <a:extLst>
            <a:ext uri="{FF2B5EF4-FFF2-40B4-BE49-F238E27FC236}">
              <a16:creationId xmlns:a16="http://schemas.microsoft.com/office/drawing/2014/main" id="{F05A5F20-1EDA-4AF1-A101-B15FDB037C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6" name="Text Box 15">
          <a:extLst>
            <a:ext uri="{FF2B5EF4-FFF2-40B4-BE49-F238E27FC236}">
              <a16:creationId xmlns:a16="http://schemas.microsoft.com/office/drawing/2014/main" id="{362A1796-C076-41AF-8974-18BDC96D65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7" name="Text Box 15">
          <a:extLst>
            <a:ext uri="{FF2B5EF4-FFF2-40B4-BE49-F238E27FC236}">
              <a16:creationId xmlns:a16="http://schemas.microsoft.com/office/drawing/2014/main" id="{570A4678-6DB0-478C-812C-CB41893819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8" name="Text Box 15">
          <a:extLst>
            <a:ext uri="{FF2B5EF4-FFF2-40B4-BE49-F238E27FC236}">
              <a16:creationId xmlns:a16="http://schemas.microsoft.com/office/drawing/2014/main" id="{379FE77E-2961-4E52-9B98-59647BAB59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9" name="Text Box 15">
          <a:extLst>
            <a:ext uri="{FF2B5EF4-FFF2-40B4-BE49-F238E27FC236}">
              <a16:creationId xmlns:a16="http://schemas.microsoft.com/office/drawing/2014/main" id="{187A9375-F377-4C82-BE83-F8FC516CBB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0" name="Text Box 15">
          <a:extLst>
            <a:ext uri="{FF2B5EF4-FFF2-40B4-BE49-F238E27FC236}">
              <a16:creationId xmlns:a16="http://schemas.microsoft.com/office/drawing/2014/main" id="{FA53BADD-EFDF-4390-93CB-51D97A850F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1" name="Text Box 15">
          <a:extLst>
            <a:ext uri="{FF2B5EF4-FFF2-40B4-BE49-F238E27FC236}">
              <a16:creationId xmlns:a16="http://schemas.microsoft.com/office/drawing/2014/main" id="{71A3C062-7C8D-42EF-8755-305DC45F9A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2" name="Text Box 15">
          <a:extLst>
            <a:ext uri="{FF2B5EF4-FFF2-40B4-BE49-F238E27FC236}">
              <a16:creationId xmlns:a16="http://schemas.microsoft.com/office/drawing/2014/main" id="{DAD99B67-D669-4B37-912C-833CA14A9F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3" name="Text Box 15">
          <a:extLst>
            <a:ext uri="{FF2B5EF4-FFF2-40B4-BE49-F238E27FC236}">
              <a16:creationId xmlns:a16="http://schemas.microsoft.com/office/drawing/2014/main" id="{8BA138CB-BC11-4912-8CE9-8033C1DECD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4" name="Text Box 15">
          <a:extLst>
            <a:ext uri="{FF2B5EF4-FFF2-40B4-BE49-F238E27FC236}">
              <a16:creationId xmlns:a16="http://schemas.microsoft.com/office/drawing/2014/main" id="{9A223F1E-65ED-4CC8-AAAD-92B3C85470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5" name="Text Box 15">
          <a:extLst>
            <a:ext uri="{FF2B5EF4-FFF2-40B4-BE49-F238E27FC236}">
              <a16:creationId xmlns:a16="http://schemas.microsoft.com/office/drawing/2014/main" id="{7383F12E-2380-4E99-A887-7D922CC69B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6" name="Text Box 15">
          <a:extLst>
            <a:ext uri="{FF2B5EF4-FFF2-40B4-BE49-F238E27FC236}">
              <a16:creationId xmlns:a16="http://schemas.microsoft.com/office/drawing/2014/main" id="{E491C5F7-721E-44D8-97C2-935DC6834D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7" name="Text Box 15">
          <a:extLst>
            <a:ext uri="{FF2B5EF4-FFF2-40B4-BE49-F238E27FC236}">
              <a16:creationId xmlns:a16="http://schemas.microsoft.com/office/drawing/2014/main" id="{79BDA7B2-4B52-4A8F-B61D-787DD0943A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8" name="Text Box 15">
          <a:extLst>
            <a:ext uri="{FF2B5EF4-FFF2-40B4-BE49-F238E27FC236}">
              <a16:creationId xmlns:a16="http://schemas.microsoft.com/office/drawing/2014/main" id="{8471EEBE-9CA4-4819-8DEC-94DF243A52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9" name="Text Box 15">
          <a:extLst>
            <a:ext uri="{FF2B5EF4-FFF2-40B4-BE49-F238E27FC236}">
              <a16:creationId xmlns:a16="http://schemas.microsoft.com/office/drawing/2014/main" id="{74AF3B40-EB21-454D-92A9-29ADAD9A0E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0" name="Text Box 15">
          <a:extLst>
            <a:ext uri="{FF2B5EF4-FFF2-40B4-BE49-F238E27FC236}">
              <a16:creationId xmlns:a16="http://schemas.microsoft.com/office/drawing/2014/main" id="{537F81F1-1BB4-40A4-A39B-F5D38389F0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1" name="Text Box 15">
          <a:extLst>
            <a:ext uri="{FF2B5EF4-FFF2-40B4-BE49-F238E27FC236}">
              <a16:creationId xmlns:a16="http://schemas.microsoft.com/office/drawing/2014/main" id="{0EB508AE-86FE-4B48-BF76-DF56B1379A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2" name="Text Box 15">
          <a:extLst>
            <a:ext uri="{FF2B5EF4-FFF2-40B4-BE49-F238E27FC236}">
              <a16:creationId xmlns:a16="http://schemas.microsoft.com/office/drawing/2014/main" id="{EDC4FF8F-8D17-467E-A711-3CFFF9D00C6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3" name="Text Box 15">
          <a:extLst>
            <a:ext uri="{FF2B5EF4-FFF2-40B4-BE49-F238E27FC236}">
              <a16:creationId xmlns:a16="http://schemas.microsoft.com/office/drawing/2014/main" id="{0C0AD59C-E5F2-4576-81B8-ED5C9E29C8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4" name="Text Box 15">
          <a:extLst>
            <a:ext uri="{FF2B5EF4-FFF2-40B4-BE49-F238E27FC236}">
              <a16:creationId xmlns:a16="http://schemas.microsoft.com/office/drawing/2014/main" id="{6FC0EA59-D471-499D-84A1-49D8FF94A5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5" name="Text Box 15">
          <a:extLst>
            <a:ext uri="{FF2B5EF4-FFF2-40B4-BE49-F238E27FC236}">
              <a16:creationId xmlns:a16="http://schemas.microsoft.com/office/drawing/2014/main" id="{57E91433-B103-4034-9FD7-5512C5CA20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6" name="Text Box 15">
          <a:extLst>
            <a:ext uri="{FF2B5EF4-FFF2-40B4-BE49-F238E27FC236}">
              <a16:creationId xmlns:a16="http://schemas.microsoft.com/office/drawing/2014/main" id="{6A0366AE-6E8C-4219-A748-182C53A3E18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7" name="Text Box 15">
          <a:extLst>
            <a:ext uri="{FF2B5EF4-FFF2-40B4-BE49-F238E27FC236}">
              <a16:creationId xmlns:a16="http://schemas.microsoft.com/office/drawing/2014/main" id="{25A56219-1F86-4227-9CB4-A9BAF7A7615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8" name="Text Box 15">
          <a:extLst>
            <a:ext uri="{FF2B5EF4-FFF2-40B4-BE49-F238E27FC236}">
              <a16:creationId xmlns:a16="http://schemas.microsoft.com/office/drawing/2014/main" id="{F0A55664-896E-4FCC-9AC4-AE4F172EA9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9" name="Text Box 15">
          <a:extLst>
            <a:ext uri="{FF2B5EF4-FFF2-40B4-BE49-F238E27FC236}">
              <a16:creationId xmlns:a16="http://schemas.microsoft.com/office/drawing/2014/main" id="{86FD23BA-1209-41C6-971D-89EBA3EF9F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0" name="Text Box 15">
          <a:extLst>
            <a:ext uri="{FF2B5EF4-FFF2-40B4-BE49-F238E27FC236}">
              <a16:creationId xmlns:a16="http://schemas.microsoft.com/office/drawing/2014/main" id="{765E40A1-E878-4E85-AD35-4CC94D693C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1" name="Text Box 15">
          <a:extLst>
            <a:ext uri="{FF2B5EF4-FFF2-40B4-BE49-F238E27FC236}">
              <a16:creationId xmlns:a16="http://schemas.microsoft.com/office/drawing/2014/main" id="{7C4D4733-E5B0-4D34-AE2F-DA76241DAA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2" name="Text Box 15">
          <a:extLst>
            <a:ext uri="{FF2B5EF4-FFF2-40B4-BE49-F238E27FC236}">
              <a16:creationId xmlns:a16="http://schemas.microsoft.com/office/drawing/2014/main" id="{1696B6B9-A9FC-4351-8208-330B65CDC16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3" name="Text Box 15">
          <a:extLst>
            <a:ext uri="{FF2B5EF4-FFF2-40B4-BE49-F238E27FC236}">
              <a16:creationId xmlns:a16="http://schemas.microsoft.com/office/drawing/2014/main" id="{E581AFBD-6F9F-4986-B510-4EFA6C505B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4" name="Text Box 15">
          <a:extLst>
            <a:ext uri="{FF2B5EF4-FFF2-40B4-BE49-F238E27FC236}">
              <a16:creationId xmlns:a16="http://schemas.microsoft.com/office/drawing/2014/main" id="{5EFA7CBC-3C80-4062-9184-341FCD45AA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5" name="Text Box 15">
          <a:extLst>
            <a:ext uri="{FF2B5EF4-FFF2-40B4-BE49-F238E27FC236}">
              <a16:creationId xmlns:a16="http://schemas.microsoft.com/office/drawing/2014/main" id="{1CC8D8EA-6D90-4512-BBD2-5F82567E15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6" name="Text Box 15">
          <a:extLst>
            <a:ext uri="{FF2B5EF4-FFF2-40B4-BE49-F238E27FC236}">
              <a16:creationId xmlns:a16="http://schemas.microsoft.com/office/drawing/2014/main" id="{A7917182-20AE-403F-9BB8-17CFB1F8E8E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7" name="Text Box 15">
          <a:extLst>
            <a:ext uri="{FF2B5EF4-FFF2-40B4-BE49-F238E27FC236}">
              <a16:creationId xmlns:a16="http://schemas.microsoft.com/office/drawing/2014/main" id="{6A6F8D42-BCD2-4D1B-A313-ABBE8B8C99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8" name="Text Box 15">
          <a:extLst>
            <a:ext uri="{FF2B5EF4-FFF2-40B4-BE49-F238E27FC236}">
              <a16:creationId xmlns:a16="http://schemas.microsoft.com/office/drawing/2014/main" id="{CE2E837D-6C08-4CDC-A3DE-48D40A72FF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9" name="Text Box 15">
          <a:extLst>
            <a:ext uri="{FF2B5EF4-FFF2-40B4-BE49-F238E27FC236}">
              <a16:creationId xmlns:a16="http://schemas.microsoft.com/office/drawing/2014/main" id="{F9D8DA32-DED6-4D3E-A337-80523CD05D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0" name="Text Box 15">
          <a:extLst>
            <a:ext uri="{FF2B5EF4-FFF2-40B4-BE49-F238E27FC236}">
              <a16:creationId xmlns:a16="http://schemas.microsoft.com/office/drawing/2014/main" id="{833871F4-A31F-404D-9507-7CE415F968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1" name="Text Box 15">
          <a:extLst>
            <a:ext uri="{FF2B5EF4-FFF2-40B4-BE49-F238E27FC236}">
              <a16:creationId xmlns:a16="http://schemas.microsoft.com/office/drawing/2014/main" id="{49EB6864-8ACA-4721-862F-B5DB040C91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2" name="Text Box 15">
          <a:extLst>
            <a:ext uri="{FF2B5EF4-FFF2-40B4-BE49-F238E27FC236}">
              <a16:creationId xmlns:a16="http://schemas.microsoft.com/office/drawing/2014/main" id="{D96F6B9D-97FF-444C-8F1C-B2A15B537F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3" name="Text Box 15">
          <a:extLst>
            <a:ext uri="{FF2B5EF4-FFF2-40B4-BE49-F238E27FC236}">
              <a16:creationId xmlns:a16="http://schemas.microsoft.com/office/drawing/2014/main" id="{CDCE1437-EA52-432F-9A44-84486168B9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4" name="Text Box 15">
          <a:extLst>
            <a:ext uri="{FF2B5EF4-FFF2-40B4-BE49-F238E27FC236}">
              <a16:creationId xmlns:a16="http://schemas.microsoft.com/office/drawing/2014/main" id="{F0EB5816-9C8E-4DC6-83F8-269756A892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5" name="Text Box 15">
          <a:extLst>
            <a:ext uri="{FF2B5EF4-FFF2-40B4-BE49-F238E27FC236}">
              <a16:creationId xmlns:a16="http://schemas.microsoft.com/office/drawing/2014/main" id="{6F90B544-BB5B-4BF8-BA4B-60A38EC4EE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6" name="Text Box 15">
          <a:extLst>
            <a:ext uri="{FF2B5EF4-FFF2-40B4-BE49-F238E27FC236}">
              <a16:creationId xmlns:a16="http://schemas.microsoft.com/office/drawing/2014/main" id="{0BEAF1E7-DD85-4B31-8C67-0E5672B3A2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7" name="Text Box 15">
          <a:extLst>
            <a:ext uri="{FF2B5EF4-FFF2-40B4-BE49-F238E27FC236}">
              <a16:creationId xmlns:a16="http://schemas.microsoft.com/office/drawing/2014/main" id="{50629B0C-96D4-48FF-9E67-C59DB4FDB3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8" name="Text Box 15">
          <a:extLst>
            <a:ext uri="{FF2B5EF4-FFF2-40B4-BE49-F238E27FC236}">
              <a16:creationId xmlns:a16="http://schemas.microsoft.com/office/drawing/2014/main" id="{18B0A283-AFE6-48E0-B7DD-1E438D3C10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9" name="Text Box 15">
          <a:extLst>
            <a:ext uri="{FF2B5EF4-FFF2-40B4-BE49-F238E27FC236}">
              <a16:creationId xmlns:a16="http://schemas.microsoft.com/office/drawing/2014/main" id="{9E6874D1-216B-49D6-85F2-F94D54CFF8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50" name="Text Box 15">
          <a:extLst>
            <a:ext uri="{FF2B5EF4-FFF2-40B4-BE49-F238E27FC236}">
              <a16:creationId xmlns:a16="http://schemas.microsoft.com/office/drawing/2014/main" id="{E347A3BE-E81C-47D1-995B-DE254F2359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51" name="Text Box 15">
          <a:extLst>
            <a:ext uri="{FF2B5EF4-FFF2-40B4-BE49-F238E27FC236}">
              <a16:creationId xmlns:a16="http://schemas.microsoft.com/office/drawing/2014/main" id="{DDC36E19-670A-48D2-A2D9-927B086EC8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52" name="Text Box 15">
          <a:extLst>
            <a:ext uri="{FF2B5EF4-FFF2-40B4-BE49-F238E27FC236}">
              <a16:creationId xmlns:a16="http://schemas.microsoft.com/office/drawing/2014/main" id="{27B69896-C2E5-43E4-A2FA-8331E97805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53" name="Text Box 15">
          <a:extLst>
            <a:ext uri="{FF2B5EF4-FFF2-40B4-BE49-F238E27FC236}">
              <a16:creationId xmlns:a16="http://schemas.microsoft.com/office/drawing/2014/main" id="{0A277956-AA4C-4192-8705-7375403B3D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4" name="Text Box 15">
          <a:extLst>
            <a:ext uri="{FF2B5EF4-FFF2-40B4-BE49-F238E27FC236}">
              <a16:creationId xmlns:a16="http://schemas.microsoft.com/office/drawing/2014/main" id="{90550BFE-8DA8-4E7E-B417-D831152A3C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5" name="Text Box 15">
          <a:extLst>
            <a:ext uri="{FF2B5EF4-FFF2-40B4-BE49-F238E27FC236}">
              <a16:creationId xmlns:a16="http://schemas.microsoft.com/office/drawing/2014/main" id="{AE792B84-6FE3-4661-B236-1FEFA0844D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6" name="Text Box 15">
          <a:extLst>
            <a:ext uri="{FF2B5EF4-FFF2-40B4-BE49-F238E27FC236}">
              <a16:creationId xmlns:a16="http://schemas.microsoft.com/office/drawing/2014/main" id="{11EADB9C-7B28-47A4-B81F-034D69D3A4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7" name="Text Box 15">
          <a:extLst>
            <a:ext uri="{FF2B5EF4-FFF2-40B4-BE49-F238E27FC236}">
              <a16:creationId xmlns:a16="http://schemas.microsoft.com/office/drawing/2014/main" id="{83C68ADC-2673-4F9F-9431-DF52F65084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8" name="Text Box 15">
          <a:extLst>
            <a:ext uri="{FF2B5EF4-FFF2-40B4-BE49-F238E27FC236}">
              <a16:creationId xmlns:a16="http://schemas.microsoft.com/office/drawing/2014/main" id="{6C5D86B3-975A-421F-9501-23E87591A4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9" name="Text Box 15">
          <a:extLst>
            <a:ext uri="{FF2B5EF4-FFF2-40B4-BE49-F238E27FC236}">
              <a16:creationId xmlns:a16="http://schemas.microsoft.com/office/drawing/2014/main" id="{7FE917BE-F7E4-4A87-9D79-6041A0BBF8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60" name="Text Box 15">
          <a:extLst>
            <a:ext uri="{FF2B5EF4-FFF2-40B4-BE49-F238E27FC236}">
              <a16:creationId xmlns:a16="http://schemas.microsoft.com/office/drawing/2014/main" id="{A918E2E1-2209-4816-A7ED-9BDE908521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61" name="Text Box 15">
          <a:extLst>
            <a:ext uri="{FF2B5EF4-FFF2-40B4-BE49-F238E27FC236}">
              <a16:creationId xmlns:a16="http://schemas.microsoft.com/office/drawing/2014/main" id="{06D910C2-A172-4808-8EE2-F7AE581F87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62" name="Text Box 15">
          <a:extLst>
            <a:ext uri="{FF2B5EF4-FFF2-40B4-BE49-F238E27FC236}">
              <a16:creationId xmlns:a16="http://schemas.microsoft.com/office/drawing/2014/main" id="{19BEB28D-0C9F-4D72-8ACD-FAD49AACBA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63" name="Text Box 15">
          <a:extLst>
            <a:ext uri="{FF2B5EF4-FFF2-40B4-BE49-F238E27FC236}">
              <a16:creationId xmlns:a16="http://schemas.microsoft.com/office/drawing/2014/main" id="{AED2346C-A07F-43DC-9169-07A65969F8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64" name="Text Box 15">
          <a:extLst>
            <a:ext uri="{FF2B5EF4-FFF2-40B4-BE49-F238E27FC236}">
              <a16:creationId xmlns:a16="http://schemas.microsoft.com/office/drawing/2014/main" id="{2725770D-CF4D-4893-AC4B-764CF4A4FE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65" name="Text Box 15">
          <a:extLst>
            <a:ext uri="{FF2B5EF4-FFF2-40B4-BE49-F238E27FC236}">
              <a16:creationId xmlns:a16="http://schemas.microsoft.com/office/drawing/2014/main" id="{CB008C6F-C9E1-43AB-83DB-101161D733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66" name="Text Box 15">
          <a:extLst>
            <a:ext uri="{FF2B5EF4-FFF2-40B4-BE49-F238E27FC236}">
              <a16:creationId xmlns:a16="http://schemas.microsoft.com/office/drawing/2014/main" id="{DD7F5668-C929-4BFD-9E65-2DE0FE5705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67" name="Text Box 15">
          <a:extLst>
            <a:ext uri="{FF2B5EF4-FFF2-40B4-BE49-F238E27FC236}">
              <a16:creationId xmlns:a16="http://schemas.microsoft.com/office/drawing/2014/main" id="{131F675B-6504-42EB-8F9E-8AFFBBAC24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68" name="Text Box 15">
          <a:extLst>
            <a:ext uri="{FF2B5EF4-FFF2-40B4-BE49-F238E27FC236}">
              <a16:creationId xmlns:a16="http://schemas.microsoft.com/office/drawing/2014/main" id="{785288DA-2F69-47A1-9DD2-1FF4C68438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69" name="Text Box 15">
          <a:extLst>
            <a:ext uri="{FF2B5EF4-FFF2-40B4-BE49-F238E27FC236}">
              <a16:creationId xmlns:a16="http://schemas.microsoft.com/office/drawing/2014/main" id="{475A0DE9-5816-4FA5-B769-9FEDD977E1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0" name="Text Box 15">
          <a:extLst>
            <a:ext uri="{FF2B5EF4-FFF2-40B4-BE49-F238E27FC236}">
              <a16:creationId xmlns:a16="http://schemas.microsoft.com/office/drawing/2014/main" id="{137AEB0C-072C-4C30-BF23-CCFC8F63CB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1" name="Text Box 15">
          <a:extLst>
            <a:ext uri="{FF2B5EF4-FFF2-40B4-BE49-F238E27FC236}">
              <a16:creationId xmlns:a16="http://schemas.microsoft.com/office/drawing/2014/main" id="{5ED46A28-0645-470C-AC93-E508EACFB4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2" name="Text Box 15">
          <a:extLst>
            <a:ext uri="{FF2B5EF4-FFF2-40B4-BE49-F238E27FC236}">
              <a16:creationId xmlns:a16="http://schemas.microsoft.com/office/drawing/2014/main" id="{6BD84628-55DD-4DFE-BF62-19CDBB6385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3" name="Text Box 15">
          <a:extLst>
            <a:ext uri="{FF2B5EF4-FFF2-40B4-BE49-F238E27FC236}">
              <a16:creationId xmlns:a16="http://schemas.microsoft.com/office/drawing/2014/main" id="{ED072266-F52F-41DD-9632-BCA6B09F41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4" name="Text Box 15">
          <a:extLst>
            <a:ext uri="{FF2B5EF4-FFF2-40B4-BE49-F238E27FC236}">
              <a16:creationId xmlns:a16="http://schemas.microsoft.com/office/drawing/2014/main" id="{AA41BFF0-AAD1-42F5-AFF5-B99B1213B5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5" name="Text Box 15">
          <a:extLst>
            <a:ext uri="{FF2B5EF4-FFF2-40B4-BE49-F238E27FC236}">
              <a16:creationId xmlns:a16="http://schemas.microsoft.com/office/drawing/2014/main" id="{0CA5C51A-6D52-4D54-B53D-93CD133006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6" name="Text Box 15">
          <a:extLst>
            <a:ext uri="{FF2B5EF4-FFF2-40B4-BE49-F238E27FC236}">
              <a16:creationId xmlns:a16="http://schemas.microsoft.com/office/drawing/2014/main" id="{77293C25-1675-41F3-91B4-5FD3BA6AAD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7" name="Text Box 15">
          <a:extLst>
            <a:ext uri="{FF2B5EF4-FFF2-40B4-BE49-F238E27FC236}">
              <a16:creationId xmlns:a16="http://schemas.microsoft.com/office/drawing/2014/main" id="{7EF59F19-4A19-4729-B285-0DC2465813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8" name="Text Box 15">
          <a:extLst>
            <a:ext uri="{FF2B5EF4-FFF2-40B4-BE49-F238E27FC236}">
              <a16:creationId xmlns:a16="http://schemas.microsoft.com/office/drawing/2014/main" id="{F1FF398E-727C-4F32-968C-E2C7CF63D0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79" name="Text Box 15">
          <a:extLst>
            <a:ext uri="{FF2B5EF4-FFF2-40B4-BE49-F238E27FC236}">
              <a16:creationId xmlns:a16="http://schemas.microsoft.com/office/drawing/2014/main" id="{5175C8DE-C9A4-4C52-840E-D4E641FD6E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80" name="Text Box 15">
          <a:extLst>
            <a:ext uri="{FF2B5EF4-FFF2-40B4-BE49-F238E27FC236}">
              <a16:creationId xmlns:a16="http://schemas.microsoft.com/office/drawing/2014/main" id="{F71F6E57-53BF-44CE-A327-47D9E19012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81" name="Text Box 15">
          <a:extLst>
            <a:ext uri="{FF2B5EF4-FFF2-40B4-BE49-F238E27FC236}">
              <a16:creationId xmlns:a16="http://schemas.microsoft.com/office/drawing/2014/main" id="{C4346781-EC3C-4ACB-9BF4-91842922DA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82" name="Text Box 15">
          <a:extLst>
            <a:ext uri="{FF2B5EF4-FFF2-40B4-BE49-F238E27FC236}">
              <a16:creationId xmlns:a16="http://schemas.microsoft.com/office/drawing/2014/main" id="{2B66334D-EAA0-4E33-9927-D3407A2017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83" name="Text Box 15">
          <a:extLst>
            <a:ext uri="{FF2B5EF4-FFF2-40B4-BE49-F238E27FC236}">
              <a16:creationId xmlns:a16="http://schemas.microsoft.com/office/drawing/2014/main" id="{90B786DF-E108-4455-9D5F-0D14756A5A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4" name="Text Box 15">
          <a:extLst>
            <a:ext uri="{FF2B5EF4-FFF2-40B4-BE49-F238E27FC236}">
              <a16:creationId xmlns:a16="http://schemas.microsoft.com/office/drawing/2014/main" id="{EBB0DA9C-FC8B-4601-A87C-A08214E250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5" name="Text Box 15">
          <a:extLst>
            <a:ext uri="{FF2B5EF4-FFF2-40B4-BE49-F238E27FC236}">
              <a16:creationId xmlns:a16="http://schemas.microsoft.com/office/drawing/2014/main" id="{5AD5C71C-79A4-4392-9708-DB4A9CAE97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6" name="Text Box 15">
          <a:extLst>
            <a:ext uri="{FF2B5EF4-FFF2-40B4-BE49-F238E27FC236}">
              <a16:creationId xmlns:a16="http://schemas.microsoft.com/office/drawing/2014/main" id="{FEC001F4-6211-40F4-BE18-F1722D40AE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7" name="Text Box 15">
          <a:extLst>
            <a:ext uri="{FF2B5EF4-FFF2-40B4-BE49-F238E27FC236}">
              <a16:creationId xmlns:a16="http://schemas.microsoft.com/office/drawing/2014/main" id="{E4BA099B-89C5-47A3-B454-EAC366D2F2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8" name="Text Box 15">
          <a:extLst>
            <a:ext uri="{FF2B5EF4-FFF2-40B4-BE49-F238E27FC236}">
              <a16:creationId xmlns:a16="http://schemas.microsoft.com/office/drawing/2014/main" id="{75DB0B64-941A-43E8-B7FD-036FC259CB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9" name="Text Box 15">
          <a:extLst>
            <a:ext uri="{FF2B5EF4-FFF2-40B4-BE49-F238E27FC236}">
              <a16:creationId xmlns:a16="http://schemas.microsoft.com/office/drawing/2014/main" id="{B5D304CC-9589-4318-9514-977B8E85E0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90" name="Text Box 15">
          <a:extLst>
            <a:ext uri="{FF2B5EF4-FFF2-40B4-BE49-F238E27FC236}">
              <a16:creationId xmlns:a16="http://schemas.microsoft.com/office/drawing/2014/main" id="{3E720878-639D-4D34-8795-D5CC309162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91" name="Text Box 15">
          <a:extLst>
            <a:ext uri="{FF2B5EF4-FFF2-40B4-BE49-F238E27FC236}">
              <a16:creationId xmlns:a16="http://schemas.microsoft.com/office/drawing/2014/main" id="{3636F24A-14BF-46A4-9E44-451D00C25F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92" name="Text Box 15">
          <a:extLst>
            <a:ext uri="{FF2B5EF4-FFF2-40B4-BE49-F238E27FC236}">
              <a16:creationId xmlns:a16="http://schemas.microsoft.com/office/drawing/2014/main" id="{C9B69DDE-93A5-46EF-9665-601220E819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93" name="Text Box 15">
          <a:extLst>
            <a:ext uri="{FF2B5EF4-FFF2-40B4-BE49-F238E27FC236}">
              <a16:creationId xmlns:a16="http://schemas.microsoft.com/office/drawing/2014/main" id="{B36A0CAC-BB9C-4ECA-8127-8E0480D2BE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94" name="Text Box 15">
          <a:extLst>
            <a:ext uri="{FF2B5EF4-FFF2-40B4-BE49-F238E27FC236}">
              <a16:creationId xmlns:a16="http://schemas.microsoft.com/office/drawing/2014/main" id="{3F63F07A-7D21-49AE-8B65-46A8A57A28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95" name="Text Box 15">
          <a:extLst>
            <a:ext uri="{FF2B5EF4-FFF2-40B4-BE49-F238E27FC236}">
              <a16:creationId xmlns:a16="http://schemas.microsoft.com/office/drawing/2014/main" id="{B9D0F587-B3DD-4E34-BEF7-D8FF5097FB7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96" name="Text Box 15">
          <a:extLst>
            <a:ext uri="{FF2B5EF4-FFF2-40B4-BE49-F238E27FC236}">
              <a16:creationId xmlns:a16="http://schemas.microsoft.com/office/drawing/2014/main" id="{E59B4649-6534-4F24-91DE-E32D188B15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97" name="Text Box 15">
          <a:extLst>
            <a:ext uri="{FF2B5EF4-FFF2-40B4-BE49-F238E27FC236}">
              <a16:creationId xmlns:a16="http://schemas.microsoft.com/office/drawing/2014/main" id="{654D7C01-FE97-4CC5-AC11-8AC5507E38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98" name="Text Box 15">
          <a:extLst>
            <a:ext uri="{FF2B5EF4-FFF2-40B4-BE49-F238E27FC236}">
              <a16:creationId xmlns:a16="http://schemas.microsoft.com/office/drawing/2014/main" id="{E30979E3-EF6B-4A2D-8FAF-3875CF3AB1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99" name="Text Box 15">
          <a:extLst>
            <a:ext uri="{FF2B5EF4-FFF2-40B4-BE49-F238E27FC236}">
              <a16:creationId xmlns:a16="http://schemas.microsoft.com/office/drawing/2014/main" id="{44D11296-0097-4E1A-A7D8-CB75B081EB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0" name="Text Box 15">
          <a:extLst>
            <a:ext uri="{FF2B5EF4-FFF2-40B4-BE49-F238E27FC236}">
              <a16:creationId xmlns:a16="http://schemas.microsoft.com/office/drawing/2014/main" id="{C870F9E4-F813-432C-AE24-CB59A97109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1" name="Text Box 15">
          <a:extLst>
            <a:ext uri="{FF2B5EF4-FFF2-40B4-BE49-F238E27FC236}">
              <a16:creationId xmlns:a16="http://schemas.microsoft.com/office/drawing/2014/main" id="{B889201E-FD92-47DD-91B6-B5066EC1E3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2" name="Text Box 15">
          <a:extLst>
            <a:ext uri="{FF2B5EF4-FFF2-40B4-BE49-F238E27FC236}">
              <a16:creationId xmlns:a16="http://schemas.microsoft.com/office/drawing/2014/main" id="{95280D92-D43C-4189-B718-D703864400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3" name="Text Box 15">
          <a:extLst>
            <a:ext uri="{FF2B5EF4-FFF2-40B4-BE49-F238E27FC236}">
              <a16:creationId xmlns:a16="http://schemas.microsoft.com/office/drawing/2014/main" id="{186C8AF5-703D-4249-93F7-C43FF8346C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4" name="Text Box 15">
          <a:extLst>
            <a:ext uri="{FF2B5EF4-FFF2-40B4-BE49-F238E27FC236}">
              <a16:creationId xmlns:a16="http://schemas.microsoft.com/office/drawing/2014/main" id="{93F00E63-7217-4356-8C50-BA475D7A99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5" name="Text Box 15">
          <a:extLst>
            <a:ext uri="{FF2B5EF4-FFF2-40B4-BE49-F238E27FC236}">
              <a16:creationId xmlns:a16="http://schemas.microsoft.com/office/drawing/2014/main" id="{C8A49307-9333-432A-8144-651999EF7C9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6" name="Text Box 15">
          <a:extLst>
            <a:ext uri="{FF2B5EF4-FFF2-40B4-BE49-F238E27FC236}">
              <a16:creationId xmlns:a16="http://schemas.microsoft.com/office/drawing/2014/main" id="{81A4C9B7-AEF3-4ACF-BC63-EBE4C72A9A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7" name="Text Box 15">
          <a:extLst>
            <a:ext uri="{FF2B5EF4-FFF2-40B4-BE49-F238E27FC236}">
              <a16:creationId xmlns:a16="http://schemas.microsoft.com/office/drawing/2014/main" id="{9B40D1C9-C3AD-4F78-843C-6F93893469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8" name="Text Box 15">
          <a:extLst>
            <a:ext uri="{FF2B5EF4-FFF2-40B4-BE49-F238E27FC236}">
              <a16:creationId xmlns:a16="http://schemas.microsoft.com/office/drawing/2014/main" id="{6221E649-3EC1-41C1-ADCC-E8D99EA1E8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09" name="Text Box 15">
          <a:extLst>
            <a:ext uri="{FF2B5EF4-FFF2-40B4-BE49-F238E27FC236}">
              <a16:creationId xmlns:a16="http://schemas.microsoft.com/office/drawing/2014/main" id="{FCB16090-F113-4506-A3E3-BFAD03415C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10" name="Text Box 15">
          <a:extLst>
            <a:ext uri="{FF2B5EF4-FFF2-40B4-BE49-F238E27FC236}">
              <a16:creationId xmlns:a16="http://schemas.microsoft.com/office/drawing/2014/main" id="{449243EA-66C6-42CB-A4B2-64BA75CCEC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11" name="Text Box 15">
          <a:extLst>
            <a:ext uri="{FF2B5EF4-FFF2-40B4-BE49-F238E27FC236}">
              <a16:creationId xmlns:a16="http://schemas.microsoft.com/office/drawing/2014/main" id="{F67F8469-CF47-4CF2-8335-7BFED24BE5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12" name="Text Box 15">
          <a:extLst>
            <a:ext uri="{FF2B5EF4-FFF2-40B4-BE49-F238E27FC236}">
              <a16:creationId xmlns:a16="http://schemas.microsoft.com/office/drawing/2014/main" id="{4F446517-ABB5-4D8C-BA10-47E46C3223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13" name="Text Box 15">
          <a:extLst>
            <a:ext uri="{FF2B5EF4-FFF2-40B4-BE49-F238E27FC236}">
              <a16:creationId xmlns:a16="http://schemas.microsoft.com/office/drawing/2014/main" id="{2933EC30-55C7-4A8E-9ED9-88DB40BA6D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4" name="Text Box 15">
          <a:extLst>
            <a:ext uri="{FF2B5EF4-FFF2-40B4-BE49-F238E27FC236}">
              <a16:creationId xmlns:a16="http://schemas.microsoft.com/office/drawing/2014/main" id="{4C7C8CE4-1430-4FAE-A5A4-5BDC92FA0E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5" name="Text Box 15">
          <a:extLst>
            <a:ext uri="{FF2B5EF4-FFF2-40B4-BE49-F238E27FC236}">
              <a16:creationId xmlns:a16="http://schemas.microsoft.com/office/drawing/2014/main" id="{0B9D0F50-D271-4CCD-B20C-A613DF8A623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6" name="Text Box 15">
          <a:extLst>
            <a:ext uri="{FF2B5EF4-FFF2-40B4-BE49-F238E27FC236}">
              <a16:creationId xmlns:a16="http://schemas.microsoft.com/office/drawing/2014/main" id="{79703F2B-9C71-4D6B-817F-68151358A9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7" name="Text Box 15">
          <a:extLst>
            <a:ext uri="{FF2B5EF4-FFF2-40B4-BE49-F238E27FC236}">
              <a16:creationId xmlns:a16="http://schemas.microsoft.com/office/drawing/2014/main" id="{109702C6-C7A4-454C-9873-C0485BCF83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8" name="Text Box 15">
          <a:extLst>
            <a:ext uri="{FF2B5EF4-FFF2-40B4-BE49-F238E27FC236}">
              <a16:creationId xmlns:a16="http://schemas.microsoft.com/office/drawing/2014/main" id="{2F33DFA9-FE37-4568-9396-485940529F0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9" name="Text Box 15">
          <a:extLst>
            <a:ext uri="{FF2B5EF4-FFF2-40B4-BE49-F238E27FC236}">
              <a16:creationId xmlns:a16="http://schemas.microsoft.com/office/drawing/2014/main" id="{0DA8AA8F-F451-417D-9E98-F1F500A2720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20" name="Text Box 15">
          <a:extLst>
            <a:ext uri="{FF2B5EF4-FFF2-40B4-BE49-F238E27FC236}">
              <a16:creationId xmlns:a16="http://schemas.microsoft.com/office/drawing/2014/main" id="{8756D0DF-EA8D-45A6-BB15-6A8C19B071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21" name="Text Box 15">
          <a:extLst>
            <a:ext uri="{FF2B5EF4-FFF2-40B4-BE49-F238E27FC236}">
              <a16:creationId xmlns:a16="http://schemas.microsoft.com/office/drawing/2014/main" id="{A6937FDD-5595-435A-8819-4D0202CBB3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22" name="Text Box 15">
          <a:extLst>
            <a:ext uri="{FF2B5EF4-FFF2-40B4-BE49-F238E27FC236}">
              <a16:creationId xmlns:a16="http://schemas.microsoft.com/office/drawing/2014/main" id="{C3A156F4-FBFD-4153-9885-BBA36CECFF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23" name="Text Box 15">
          <a:extLst>
            <a:ext uri="{FF2B5EF4-FFF2-40B4-BE49-F238E27FC236}">
              <a16:creationId xmlns:a16="http://schemas.microsoft.com/office/drawing/2014/main" id="{1DA5C522-07FA-4FC2-980D-E9490CED6E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24" name="Text Box 15">
          <a:extLst>
            <a:ext uri="{FF2B5EF4-FFF2-40B4-BE49-F238E27FC236}">
              <a16:creationId xmlns:a16="http://schemas.microsoft.com/office/drawing/2014/main" id="{C50AE12C-052A-4E85-82CB-803331B41F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25" name="Text Box 15">
          <a:extLst>
            <a:ext uri="{FF2B5EF4-FFF2-40B4-BE49-F238E27FC236}">
              <a16:creationId xmlns:a16="http://schemas.microsoft.com/office/drawing/2014/main" id="{E50F121B-D85D-42BC-A695-83D4FCE1F6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26" name="Text Box 15">
          <a:extLst>
            <a:ext uri="{FF2B5EF4-FFF2-40B4-BE49-F238E27FC236}">
              <a16:creationId xmlns:a16="http://schemas.microsoft.com/office/drawing/2014/main" id="{94031D7B-3F47-4CD9-8365-A5A5530DAB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27" name="Text Box 15">
          <a:extLst>
            <a:ext uri="{FF2B5EF4-FFF2-40B4-BE49-F238E27FC236}">
              <a16:creationId xmlns:a16="http://schemas.microsoft.com/office/drawing/2014/main" id="{03F40E9A-5DB7-48F6-ABDC-0AC8F507937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28" name="Text Box 15">
          <a:extLst>
            <a:ext uri="{FF2B5EF4-FFF2-40B4-BE49-F238E27FC236}">
              <a16:creationId xmlns:a16="http://schemas.microsoft.com/office/drawing/2014/main" id="{9F038ED7-6819-4759-BA93-8D70E6222E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29" name="Text Box 15">
          <a:extLst>
            <a:ext uri="{FF2B5EF4-FFF2-40B4-BE49-F238E27FC236}">
              <a16:creationId xmlns:a16="http://schemas.microsoft.com/office/drawing/2014/main" id="{B29DCC6C-82A0-46E3-872A-8AC9CE39F1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0" name="Text Box 15">
          <a:extLst>
            <a:ext uri="{FF2B5EF4-FFF2-40B4-BE49-F238E27FC236}">
              <a16:creationId xmlns:a16="http://schemas.microsoft.com/office/drawing/2014/main" id="{E90AE71C-6410-47EA-9A3B-F621C3C3BB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1" name="Text Box 15">
          <a:extLst>
            <a:ext uri="{FF2B5EF4-FFF2-40B4-BE49-F238E27FC236}">
              <a16:creationId xmlns:a16="http://schemas.microsoft.com/office/drawing/2014/main" id="{3E02D084-9E19-41EA-A42F-9AA466A922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2" name="Text Box 15">
          <a:extLst>
            <a:ext uri="{FF2B5EF4-FFF2-40B4-BE49-F238E27FC236}">
              <a16:creationId xmlns:a16="http://schemas.microsoft.com/office/drawing/2014/main" id="{B2659967-EE18-421F-81F2-534762AF8DD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3" name="Text Box 15">
          <a:extLst>
            <a:ext uri="{FF2B5EF4-FFF2-40B4-BE49-F238E27FC236}">
              <a16:creationId xmlns:a16="http://schemas.microsoft.com/office/drawing/2014/main" id="{03F2BE98-A0F0-4670-96D8-B5FFE52526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4" name="Text Box 15">
          <a:extLst>
            <a:ext uri="{FF2B5EF4-FFF2-40B4-BE49-F238E27FC236}">
              <a16:creationId xmlns:a16="http://schemas.microsoft.com/office/drawing/2014/main" id="{A0AF5B22-3A9B-4B8D-BB76-ECC4297A5ED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5" name="Text Box 15">
          <a:extLst>
            <a:ext uri="{FF2B5EF4-FFF2-40B4-BE49-F238E27FC236}">
              <a16:creationId xmlns:a16="http://schemas.microsoft.com/office/drawing/2014/main" id="{DBFFF587-A24F-44B4-AE09-7ECA10A338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6" name="Text Box 15">
          <a:extLst>
            <a:ext uri="{FF2B5EF4-FFF2-40B4-BE49-F238E27FC236}">
              <a16:creationId xmlns:a16="http://schemas.microsoft.com/office/drawing/2014/main" id="{05863CB8-4D47-446A-AEF1-DE7EAEFC789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7" name="Text Box 15">
          <a:extLst>
            <a:ext uri="{FF2B5EF4-FFF2-40B4-BE49-F238E27FC236}">
              <a16:creationId xmlns:a16="http://schemas.microsoft.com/office/drawing/2014/main" id="{9904B792-3DEA-4324-92AE-C29925C4BA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8" name="Text Box 15">
          <a:extLst>
            <a:ext uri="{FF2B5EF4-FFF2-40B4-BE49-F238E27FC236}">
              <a16:creationId xmlns:a16="http://schemas.microsoft.com/office/drawing/2014/main" id="{07588BD3-7E6A-45F1-9A64-1309801E8B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39" name="Text Box 15">
          <a:extLst>
            <a:ext uri="{FF2B5EF4-FFF2-40B4-BE49-F238E27FC236}">
              <a16:creationId xmlns:a16="http://schemas.microsoft.com/office/drawing/2014/main" id="{835199C3-A103-48AC-B6A4-612F7B8847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0" name="Text Box 15">
          <a:extLst>
            <a:ext uri="{FF2B5EF4-FFF2-40B4-BE49-F238E27FC236}">
              <a16:creationId xmlns:a16="http://schemas.microsoft.com/office/drawing/2014/main" id="{D51A1FC7-E9BE-48D1-B495-A83477A2AF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1" name="Text Box 15">
          <a:extLst>
            <a:ext uri="{FF2B5EF4-FFF2-40B4-BE49-F238E27FC236}">
              <a16:creationId xmlns:a16="http://schemas.microsoft.com/office/drawing/2014/main" id="{1FFFC194-D6A2-46C5-9D66-A70B89662A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2" name="Text Box 15">
          <a:extLst>
            <a:ext uri="{FF2B5EF4-FFF2-40B4-BE49-F238E27FC236}">
              <a16:creationId xmlns:a16="http://schemas.microsoft.com/office/drawing/2014/main" id="{D22D22F3-0F20-4B56-8506-2A1C4450DA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3" name="Text Box 15">
          <a:extLst>
            <a:ext uri="{FF2B5EF4-FFF2-40B4-BE49-F238E27FC236}">
              <a16:creationId xmlns:a16="http://schemas.microsoft.com/office/drawing/2014/main" id="{58F5AD13-6038-4986-8921-64E8E27FF9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4" name="Text Box 15">
          <a:extLst>
            <a:ext uri="{FF2B5EF4-FFF2-40B4-BE49-F238E27FC236}">
              <a16:creationId xmlns:a16="http://schemas.microsoft.com/office/drawing/2014/main" id="{1DF345F7-8390-4F07-A20A-EF4751C8104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5" name="Text Box 15">
          <a:extLst>
            <a:ext uri="{FF2B5EF4-FFF2-40B4-BE49-F238E27FC236}">
              <a16:creationId xmlns:a16="http://schemas.microsoft.com/office/drawing/2014/main" id="{5CD6A7D0-42B4-4912-9888-CDDC1EA195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6" name="Text Box 15">
          <a:extLst>
            <a:ext uri="{FF2B5EF4-FFF2-40B4-BE49-F238E27FC236}">
              <a16:creationId xmlns:a16="http://schemas.microsoft.com/office/drawing/2014/main" id="{224616E8-EDEB-45D2-94CB-5A5B8ED454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7" name="Text Box 15">
          <a:extLst>
            <a:ext uri="{FF2B5EF4-FFF2-40B4-BE49-F238E27FC236}">
              <a16:creationId xmlns:a16="http://schemas.microsoft.com/office/drawing/2014/main" id="{C34D061B-C559-4433-9BD2-E6C73B749E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8" name="Text Box 15">
          <a:extLst>
            <a:ext uri="{FF2B5EF4-FFF2-40B4-BE49-F238E27FC236}">
              <a16:creationId xmlns:a16="http://schemas.microsoft.com/office/drawing/2014/main" id="{5F0DD16A-AED1-4781-B4F3-A975348AB1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9" name="Text Box 15">
          <a:extLst>
            <a:ext uri="{FF2B5EF4-FFF2-40B4-BE49-F238E27FC236}">
              <a16:creationId xmlns:a16="http://schemas.microsoft.com/office/drawing/2014/main" id="{7974CC72-6CC3-4D44-8D69-2D4F396C75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0" name="Text Box 15">
          <a:extLst>
            <a:ext uri="{FF2B5EF4-FFF2-40B4-BE49-F238E27FC236}">
              <a16:creationId xmlns:a16="http://schemas.microsoft.com/office/drawing/2014/main" id="{A28570DF-8AAB-4B0D-B187-4CAA5CF86F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1" name="Text Box 15">
          <a:extLst>
            <a:ext uri="{FF2B5EF4-FFF2-40B4-BE49-F238E27FC236}">
              <a16:creationId xmlns:a16="http://schemas.microsoft.com/office/drawing/2014/main" id="{47BCDF0A-9A41-47D6-BAC5-E22F9BFD3D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2" name="Text Box 15">
          <a:extLst>
            <a:ext uri="{FF2B5EF4-FFF2-40B4-BE49-F238E27FC236}">
              <a16:creationId xmlns:a16="http://schemas.microsoft.com/office/drawing/2014/main" id="{BEC38A2A-B02B-4474-8AE5-87F7DFC783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3" name="Text Box 15">
          <a:extLst>
            <a:ext uri="{FF2B5EF4-FFF2-40B4-BE49-F238E27FC236}">
              <a16:creationId xmlns:a16="http://schemas.microsoft.com/office/drawing/2014/main" id="{BAB2D356-69E6-4B7C-89C2-BBC37503E3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4" name="Text Box 15">
          <a:extLst>
            <a:ext uri="{FF2B5EF4-FFF2-40B4-BE49-F238E27FC236}">
              <a16:creationId xmlns:a16="http://schemas.microsoft.com/office/drawing/2014/main" id="{B04A182A-1725-4A10-A0F2-AA0CC8EF6E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5" name="Text Box 15">
          <a:extLst>
            <a:ext uri="{FF2B5EF4-FFF2-40B4-BE49-F238E27FC236}">
              <a16:creationId xmlns:a16="http://schemas.microsoft.com/office/drawing/2014/main" id="{10A57DE2-C9AF-4B83-A608-D0A8CC012B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6" name="Text Box 15">
          <a:extLst>
            <a:ext uri="{FF2B5EF4-FFF2-40B4-BE49-F238E27FC236}">
              <a16:creationId xmlns:a16="http://schemas.microsoft.com/office/drawing/2014/main" id="{D52E77A7-A9FE-41FE-BACB-C06D987B92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7" name="Text Box 15">
          <a:extLst>
            <a:ext uri="{FF2B5EF4-FFF2-40B4-BE49-F238E27FC236}">
              <a16:creationId xmlns:a16="http://schemas.microsoft.com/office/drawing/2014/main" id="{D1EC5578-A982-4591-B468-7A73050DD4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8" name="Text Box 15">
          <a:extLst>
            <a:ext uri="{FF2B5EF4-FFF2-40B4-BE49-F238E27FC236}">
              <a16:creationId xmlns:a16="http://schemas.microsoft.com/office/drawing/2014/main" id="{45F55775-1F79-41B6-A2CC-E329D6041D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9" name="Text Box 15">
          <a:extLst>
            <a:ext uri="{FF2B5EF4-FFF2-40B4-BE49-F238E27FC236}">
              <a16:creationId xmlns:a16="http://schemas.microsoft.com/office/drawing/2014/main" id="{5A476B22-B76B-4936-B1C0-F52060179D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0" name="Text Box 15">
          <a:extLst>
            <a:ext uri="{FF2B5EF4-FFF2-40B4-BE49-F238E27FC236}">
              <a16:creationId xmlns:a16="http://schemas.microsoft.com/office/drawing/2014/main" id="{6DCCD0BB-5016-4BFB-9149-D6A50406C0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1" name="Text Box 15">
          <a:extLst>
            <a:ext uri="{FF2B5EF4-FFF2-40B4-BE49-F238E27FC236}">
              <a16:creationId xmlns:a16="http://schemas.microsoft.com/office/drawing/2014/main" id="{B93F4852-B5F9-4455-ACE4-2B98F8B2C6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2" name="Text Box 15">
          <a:extLst>
            <a:ext uri="{FF2B5EF4-FFF2-40B4-BE49-F238E27FC236}">
              <a16:creationId xmlns:a16="http://schemas.microsoft.com/office/drawing/2014/main" id="{23424D38-9FF2-46D4-8AE1-1BD9ADA474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3" name="Text Box 15">
          <a:extLst>
            <a:ext uri="{FF2B5EF4-FFF2-40B4-BE49-F238E27FC236}">
              <a16:creationId xmlns:a16="http://schemas.microsoft.com/office/drawing/2014/main" id="{53BF4AD9-E008-421D-8DE0-09839CFF284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4" name="Text Box 15">
          <a:extLst>
            <a:ext uri="{FF2B5EF4-FFF2-40B4-BE49-F238E27FC236}">
              <a16:creationId xmlns:a16="http://schemas.microsoft.com/office/drawing/2014/main" id="{71B102AD-468D-4F19-8F5C-0D453C388E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5" name="Text Box 15">
          <a:extLst>
            <a:ext uri="{FF2B5EF4-FFF2-40B4-BE49-F238E27FC236}">
              <a16:creationId xmlns:a16="http://schemas.microsoft.com/office/drawing/2014/main" id="{C66C44DE-F672-468E-997D-5FEF54AA0B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6" name="Text Box 15">
          <a:extLst>
            <a:ext uri="{FF2B5EF4-FFF2-40B4-BE49-F238E27FC236}">
              <a16:creationId xmlns:a16="http://schemas.microsoft.com/office/drawing/2014/main" id="{0C9416E3-DA86-4B2B-B2C2-0684E37A36A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7" name="Text Box 15">
          <a:extLst>
            <a:ext uri="{FF2B5EF4-FFF2-40B4-BE49-F238E27FC236}">
              <a16:creationId xmlns:a16="http://schemas.microsoft.com/office/drawing/2014/main" id="{96DDE8E8-95F5-43FB-A74B-98AA00E79C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8" name="Text Box 15">
          <a:extLst>
            <a:ext uri="{FF2B5EF4-FFF2-40B4-BE49-F238E27FC236}">
              <a16:creationId xmlns:a16="http://schemas.microsoft.com/office/drawing/2014/main" id="{8ABADC6E-7097-4905-91CD-9FF1CD35941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9" name="Text Box 15">
          <a:extLst>
            <a:ext uri="{FF2B5EF4-FFF2-40B4-BE49-F238E27FC236}">
              <a16:creationId xmlns:a16="http://schemas.microsoft.com/office/drawing/2014/main" id="{105D3432-77D5-40F3-93BC-BD7D846524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0" name="Text Box 15">
          <a:extLst>
            <a:ext uri="{FF2B5EF4-FFF2-40B4-BE49-F238E27FC236}">
              <a16:creationId xmlns:a16="http://schemas.microsoft.com/office/drawing/2014/main" id="{9D9CEFAD-7735-4E5A-AA35-0F6DAE0E14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1" name="Text Box 15">
          <a:extLst>
            <a:ext uri="{FF2B5EF4-FFF2-40B4-BE49-F238E27FC236}">
              <a16:creationId xmlns:a16="http://schemas.microsoft.com/office/drawing/2014/main" id="{31F7A20E-6D84-4D98-9D99-BC356359A1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2" name="Text Box 15">
          <a:extLst>
            <a:ext uri="{FF2B5EF4-FFF2-40B4-BE49-F238E27FC236}">
              <a16:creationId xmlns:a16="http://schemas.microsoft.com/office/drawing/2014/main" id="{B2E77384-B09D-47A5-ACA7-566F40DDB1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3" name="Text Box 15">
          <a:extLst>
            <a:ext uri="{FF2B5EF4-FFF2-40B4-BE49-F238E27FC236}">
              <a16:creationId xmlns:a16="http://schemas.microsoft.com/office/drawing/2014/main" id="{309A200F-B48E-4D4E-98C0-735F289FA0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4" name="Text Box 15">
          <a:extLst>
            <a:ext uri="{FF2B5EF4-FFF2-40B4-BE49-F238E27FC236}">
              <a16:creationId xmlns:a16="http://schemas.microsoft.com/office/drawing/2014/main" id="{D509C997-E339-4CA6-B1AE-12E28557FCC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5" name="Text Box 15">
          <a:extLst>
            <a:ext uri="{FF2B5EF4-FFF2-40B4-BE49-F238E27FC236}">
              <a16:creationId xmlns:a16="http://schemas.microsoft.com/office/drawing/2014/main" id="{9896A480-26F5-4F71-AF61-F9D1E058F7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6" name="Text Box 15">
          <a:extLst>
            <a:ext uri="{FF2B5EF4-FFF2-40B4-BE49-F238E27FC236}">
              <a16:creationId xmlns:a16="http://schemas.microsoft.com/office/drawing/2014/main" id="{181DC79A-5BCF-4781-869A-F351FC68F09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7" name="Text Box 15">
          <a:extLst>
            <a:ext uri="{FF2B5EF4-FFF2-40B4-BE49-F238E27FC236}">
              <a16:creationId xmlns:a16="http://schemas.microsoft.com/office/drawing/2014/main" id="{3EFE3D84-B761-4033-9E64-3C2A7DCFA3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8" name="Text Box 15">
          <a:extLst>
            <a:ext uri="{FF2B5EF4-FFF2-40B4-BE49-F238E27FC236}">
              <a16:creationId xmlns:a16="http://schemas.microsoft.com/office/drawing/2014/main" id="{441F218E-8986-4DDB-B4E8-5A7286D6F3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9" name="Text Box 15">
          <a:extLst>
            <a:ext uri="{FF2B5EF4-FFF2-40B4-BE49-F238E27FC236}">
              <a16:creationId xmlns:a16="http://schemas.microsoft.com/office/drawing/2014/main" id="{626AF0D9-4BC8-40C6-9CD3-C1322263A3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0" name="Text Box 15">
          <a:extLst>
            <a:ext uri="{FF2B5EF4-FFF2-40B4-BE49-F238E27FC236}">
              <a16:creationId xmlns:a16="http://schemas.microsoft.com/office/drawing/2014/main" id="{71B1C931-4029-4CF2-8FD2-1082186396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1" name="Text Box 15">
          <a:extLst>
            <a:ext uri="{FF2B5EF4-FFF2-40B4-BE49-F238E27FC236}">
              <a16:creationId xmlns:a16="http://schemas.microsoft.com/office/drawing/2014/main" id="{1C0C38B6-8356-4511-8725-03588508AC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2" name="Text Box 15">
          <a:extLst>
            <a:ext uri="{FF2B5EF4-FFF2-40B4-BE49-F238E27FC236}">
              <a16:creationId xmlns:a16="http://schemas.microsoft.com/office/drawing/2014/main" id="{A90467C3-BA97-4B57-BA41-9F11C69614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3" name="Text Box 15">
          <a:extLst>
            <a:ext uri="{FF2B5EF4-FFF2-40B4-BE49-F238E27FC236}">
              <a16:creationId xmlns:a16="http://schemas.microsoft.com/office/drawing/2014/main" id="{8BA69000-9380-43B9-A914-AF61DFBE454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4" name="Text Box 15">
          <a:extLst>
            <a:ext uri="{FF2B5EF4-FFF2-40B4-BE49-F238E27FC236}">
              <a16:creationId xmlns:a16="http://schemas.microsoft.com/office/drawing/2014/main" id="{ED396505-3B57-43AA-809C-C9FB3ACEDF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5" name="Text Box 15">
          <a:extLst>
            <a:ext uri="{FF2B5EF4-FFF2-40B4-BE49-F238E27FC236}">
              <a16:creationId xmlns:a16="http://schemas.microsoft.com/office/drawing/2014/main" id="{C72B3FBE-7380-4C8E-888B-9D6EAEA6C8A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6" name="Text Box 15">
          <a:extLst>
            <a:ext uri="{FF2B5EF4-FFF2-40B4-BE49-F238E27FC236}">
              <a16:creationId xmlns:a16="http://schemas.microsoft.com/office/drawing/2014/main" id="{D4BD2F8F-FD63-4AF3-91B7-EC3A396A65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7" name="Text Box 15">
          <a:extLst>
            <a:ext uri="{FF2B5EF4-FFF2-40B4-BE49-F238E27FC236}">
              <a16:creationId xmlns:a16="http://schemas.microsoft.com/office/drawing/2014/main" id="{172955E0-D7BA-4C4C-B227-83F9C0738E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8" name="Text Box 15">
          <a:extLst>
            <a:ext uri="{FF2B5EF4-FFF2-40B4-BE49-F238E27FC236}">
              <a16:creationId xmlns:a16="http://schemas.microsoft.com/office/drawing/2014/main" id="{CE28D92E-83C7-4CFB-8C1E-296ADA8F806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9" name="Text Box 15">
          <a:extLst>
            <a:ext uri="{FF2B5EF4-FFF2-40B4-BE49-F238E27FC236}">
              <a16:creationId xmlns:a16="http://schemas.microsoft.com/office/drawing/2014/main" id="{29A085CB-BDF1-4BCC-AC02-1D73F461FA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0" name="Text Box 15">
          <a:extLst>
            <a:ext uri="{FF2B5EF4-FFF2-40B4-BE49-F238E27FC236}">
              <a16:creationId xmlns:a16="http://schemas.microsoft.com/office/drawing/2014/main" id="{7CAD453E-AFE7-4114-AA11-6C48A592DD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1" name="Text Box 15">
          <a:extLst>
            <a:ext uri="{FF2B5EF4-FFF2-40B4-BE49-F238E27FC236}">
              <a16:creationId xmlns:a16="http://schemas.microsoft.com/office/drawing/2014/main" id="{6048B967-68A6-469C-ABAC-9EDD0EF0F9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2" name="Text Box 15">
          <a:extLst>
            <a:ext uri="{FF2B5EF4-FFF2-40B4-BE49-F238E27FC236}">
              <a16:creationId xmlns:a16="http://schemas.microsoft.com/office/drawing/2014/main" id="{D19BCB57-68A4-418F-8EA6-1EF9A792ED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3" name="Text Box 15">
          <a:extLst>
            <a:ext uri="{FF2B5EF4-FFF2-40B4-BE49-F238E27FC236}">
              <a16:creationId xmlns:a16="http://schemas.microsoft.com/office/drawing/2014/main" id="{8F6A351F-E668-4FD9-8437-3740D7422E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4" name="Text Box 15">
          <a:extLst>
            <a:ext uri="{FF2B5EF4-FFF2-40B4-BE49-F238E27FC236}">
              <a16:creationId xmlns:a16="http://schemas.microsoft.com/office/drawing/2014/main" id="{CB55F180-CE29-43FB-93F3-18B1C77497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5" name="Text Box 15">
          <a:extLst>
            <a:ext uri="{FF2B5EF4-FFF2-40B4-BE49-F238E27FC236}">
              <a16:creationId xmlns:a16="http://schemas.microsoft.com/office/drawing/2014/main" id="{816807F8-6304-41C1-8C95-6C65D494D9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6" name="Text Box 15">
          <a:extLst>
            <a:ext uri="{FF2B5EF4-FFF2-40B4-BE49-F238E27FC236}">
              <a16:creationId xmlns:a16="http://schemas.microsoft.com/office/drawing/2014/main" id="{672BBCAD-16CE-4998-AC27-F3C2BF4E10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7" name="Text Box 15">
          <a:extLst>
            <a:ext uri="{FF2B5EF4-FFF2-40B4-BE49-F238E27FC236}">
              <a16:creationId xmlns:a16="http://schemas.microsoft.com/office/drawing/2014/main" id="{98B55AD5-F920-4A18-AE0B-8B7FAB5F99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8" name="Text Box 15">
          <a:extLst>
            <a:ext uri="{FF2B5EF4-FFF2-40B4-BE49-F238E27FC236}">
              <a16:creationId xmlns:a16="http://schemas.microsoft.com/office/drawing/2014/main" id="{592C07CD-B9C3-4133-9351-2555892762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9" name="Text Box 15">
          <a:extLst>
            <a:ext uri="{FF2B5EF4-FFF2-40B4-BE49-F238E27FC236}">
              <a16:creationId xmlns:a16="http://schemas.microsoft.com/office/drawing/2014/main" id="{A46A45EC-2F82-4CC6-A06E-157138CBB86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0" name="Text Box 15">
          <a:extLst>
            <a:ext uri="{FF2B5EF4-FFF2-40B4-BE49-F238E27FC236}">
              <a16:creationId xmlns:a16="http://schemas.microsoft.com/office/drawing/2014/main" id="{4B63CB4B-0400-439B-9ECC-8A9C20E2A0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1" name="Text Box 15">
          <a:extLst>
            <a:ext uri="{FF2B5EF4-FFF2-40B4-BE49-F238E27FC236}">
              <a16:creationId xmlns:a16="http://schemas.microsoft.com/office/drawing/2014/main" id="{9F0E3C27-192A-4E76-9636-A4FBBF37D6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2" name="Text Box 15">
          <a:extLst>
            <a:ext uri="{FF2B5EF4-FFF2-40B4-BE49-F238E27FC236}">
              <a16:creationId xmlns:a16="http://schemas.microsoft.com/office/drawing/2014/main" id="{F08100B7-9D23-415A-A2C4-AD991322C2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3" name="Text Box 15">
          <a:extLst>
            <a:ext uri="{FF2B5EF4-FFF2-40B4-BE49-F238E27FC236}">
              <a16:creationId xmlns:a16="http://schemas.microsoft.com/office/drawing/2014/main" id="{7C516B4D-E810-4AA0-A8F2-3B981F578A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4" name="Text Box 15">
          <a:extLst>
            <a:ext uri="{FF2B5EF4-FFF2-40B4-BE49-F238E27FC236}">
              <a16:creationId xmlns:a16="http://schemas.microsoft.com/office/drawing/2014/main" id="{CA872C71-383D-4066-A6DA-76AF5B17DA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5" name="Text Box 15">
          <a:extLst>
            <a:ext uri="{FF2B5EF4-FFF2-40B4-BE49-F238E27FC236}">
              <a16:creationId xmlns:a16="http://schemas.microsoft.com/office/drawing/2014/main" id="{D3EF1991-60C8-47EF-955F-81C581947E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6" name="Text Box 15">
          <a:extLst>
            <a:ext uri="{FF2B5EF4-FFF2-40B4-BE49-F238E27FC236}">
              <a16:creationId xmlns:a16="http://schemas.microsoft.com/office/drawing/2014/main" id="{D2402C97-7A99-47B0-83C2-DC58017A2C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7" name="Text Box 15">
          <a:extLst>
            <a:ext uri="{FF2B5EF4-FFF2-40B4-BE49-F238E27FC236}">
              <a16:creationId xmlns:a16="http://schemas.microsoft.com/office/drawing/2014/main" id="{73D9038D-57F2-4B27-817B-E598704CA4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8" name="Text Box 15">
          <a:extLst>
            <a:ext uri="{FF2B5EF4-FFF2-40B4-BE49-F238E27FC236}">
              <a16:creationId xmlns:a16="http://schemas.microsoft.com/office/drawing/2014/main" id="{06A0A2CC-8459-4591-AA40-F3ED856CF8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9" name="Text Box 15">
          <a:extLst>
            <a:ext uri="{FF2B5EF4-FFF2-40B4-BE49-F238E27FC236}">
              <a16:creationId xmlns:a16="http://schemas.microsoft.com/office/drawing/2014/main" id="{51B0CBCF-AD60-4946-AB70-1EC1D63927C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0" name="Text Box 15">
          <a:extLst>
            <a:ext uri="{FF2B5EF4-FFF2-40B4-BE49-F238E27FC236}">
              <a16:creationId xmlns:a16="http://schemas.microsoft.com/office/drawing/2014/main" id="{378BBE9B-B2E2-42F2-8DB7-5CB420895F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1" name="Text Box 15">
          <a:extLst>
            <a:ext uri="{FF2B5EF4-FFF2-40B4-BE49-F238E27FC236}">
              <a16:creationId xmlns:a16="http://schemas.microsoft.com/office/drawing/2014/main" id="{BFCEB328-5B51-46AE-8971-D8514F7DBC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2" name="Text Box 15">
          <a:extLst>
            <a:ext uri="{FF2B5EF4-FFF2-40B4-BE49-F238E27FC236}">
              <a16:creationId xmlns:a16="http://schemas.microsoft.com/office/drawing/2014/main" id="{64A4CFAC-15BD-4515-8A59-D7BE2A12616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3" name="Text Box 15">
          <a:extLst>
            <a:ext uri="{FF2B5EF4-FFF2-40B4-BE49-F238E27FC236}">
              <a16:creationId xmlns:a16="http://schemas.microsoft.com/office/drawing/2014/main" id="{49508717-A340-43FE-92AC-788383A0DB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4" name="Text Box 15">
          <a:extLst>
            <a:ext uri="{FF2B5EF4-FFF2-40B4-BE49-F238E27FC236}">
              <a16:creationId xmlns:a16="http://schemas.microsoft.com/office/drawing/2014/main" id="{087C26DE-F9EC-4099-A842-ED77E01192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5" name="Text Box 15">
          <a:extLst>
            <a:ext uri="{FF2B5EF4-FFF2-40B4-BE49-F238E27FC236}">
              <a16:creationId xmlns:a16="http://schemas.microsoft.com/office/drawing/2014/main" id="{BFAC391D-FD9E-44D0-964B-4B9CEC694C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6" name="Text Box 15">
          <a:extLst>
            <a:ext uri="{FF2B5EF4-FFF2-40B4-BE49-F238E27FC236}">
              <a16:creationId xmlns:a16="http://schemas.microsoft.com/office/drawing/2014/main" id="{7EBA16E9-2FBD-47ED-816A-2C87E73355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7" name="Text Box 15">
          <a:extLst>
            <a:ext uri="{FF2B5EF4-FFF2-40B4-BE49-F238E27FC236}">
              <a16:creationId xmlns:a16="http://schemas.microsoft.com/office/drawing/2014/main" id="{71F767D2-CE55-4676-BBC3-AC37A8B37B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8" name="Text Box 15">
          <a:extLst>
            <a:ext uri="{FF2B5EF4-FFF2-40B4-BE49-F238E27FC236}">
              <a16:creationId xmlns:a16="http://schemas.microsoft.com/office/drawing/2014/main" id="{662DC8A9-BBF8-4773-8011-914DA25424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9" name="Text Box 15">
          <a:extLst>
            <a:ext uri="{FF2B5EF4-FFF2-40B4-BE49-F238E27FC236}">
              <a16:creationId xmlns:a16="http://schemas.microsoft.com/office/drawing/2014/main" id="{1A175523-5EF9-41B2-99E1-0291DD996A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0" name="Text Box 15">
          <a:extLst>
            <a:ext uri="{FF2B5EF4-FFF2-40B4-BE49-F238E27FC236}">
              <a16:creationId xmlns:a16="http://schemas.microsoft.com/office/drawing/2014/main" id="{EEC9D34B-4D8A-41BF-811A-D3CFEC1F65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1" name="Text Box 15">
          <a:extLst>
            <a:ext uri="{FF2B5EF4-FFF2-40B4-BE49-F238E27FC236}">
              <a16:creationId xmlns:a16="http://schemas.microsoft.com/office/drawing/2014/main" id="{F7057B4F-4178-4D11-B662-B3A5820B36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2" name="Text Box 15">
          <a:extLst>
            <a:ext uri="{FF2B5EF4-FFF2-40B4-BE49-F238E27FC236}">
              <a16:creationId xmlns:a16="http://schemas.microsoft.com/office/drawing/2014/main" id="{182B5D84-883A-4C98-A0A8-264FCBFF18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3" name="Text Box 15">
          <a:extLst>
            <a:ext uri="{FF2B5EF4-FFF2-40B4-BE49-F238E27FC236}">
              <a16:creationId xmlns:a16="http://schemas.microsoft.com/office/drawing/2014/main" id="{B21C373E-04F5-4376-B024-AA5F6CB670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4" name="Text Box 15">
          <a:extLst>
            <a:ext uri="{FF2B5EF4-FFF2-40B4-BE49-F238E27FC236}">
              <a16:creationId xmlns:a16="http://schemas.microsoft.com/office/drawing/2014/main" id="{4FF10BE2-128B-40EF-849A-31CB03BB28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5" name="Text Box 15">
          <a:extLst>
            <a:ext uri="{FF2B5EF4-FFF2-40B4-BE49-F238E27FC236}">
              <a16:creationId xmlns:a16="http://schemas.microsoft.com/office/drawing/2014/main" id="{5CD5509A-D154-4E3C-9328-BC30F5CE6B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6" name="Text Box 15">
          <a:extLst>
            <a:ext uri="{FF2B5EF4-FFF2-40B4-BE49-F238E27FC236}">
              <a16:creationId xmlns:a16="http://schemas.microsoft.com/office/drawing/2014/main" id="{08DD7155-8F69-4A11-97E9-1DE41C2546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7" name="Text Box 15">
          <a:extLst>
            <a:ext uri="{FF2B5EF4-FFF2-40B4-BE49-F238E27FC236}">
              <a16:creationId xmlns:a16="http://schemas.microsoft.com/office/drawing/2014/main" id="{47C17011-00DF-4A42-AD76-96E87E4821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8" name="Text Box 15">
          <a:extLst>
            <a:ext uri="{FF2B5EF4-FFF2-40B4-BE49-F238E27FC236}">
              <a16:creationId xmlns:a16="http://schemas.microsoft.com/office/drawing/2014/main" id="{E5600D7F-DC06-4F2E-8B91-F588964F6C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9" name="Text Box 15">
          <a:extLst>
            <a:ext uri="{FF2B5EF4-FFF2-40B4-BE49-F238E27FC236}">
              <a16:creationId xmlns:a16="http://schemas.microsoft.com/office/drawing/2014/main" id="{14EB2825-4ED9-4372-9D91-0EFF202DF0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0" name="Text Box 15">
          <a:extLst>
            <a:ext uri="{FF2B5EF4-FFF2-40B4-BE49-F238E27FC236}">
              <a16:creationId xmlns:a16="http://schemas.microsoft.com/office/drawing/2014/main" id="{54609004-3B89-416C-AD89-CF07B8499F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1" name="Text Box 15">
          <a:extLst>
            <a:ext uri="{FF2B5EF4-FFF2-40B4-BE49-F238E27FC236}">
              <a16:creationId xmlns:a16="http://schemas.microsoft.com/office/drawing/2014/main" id="{4427B6E0-A53E-4CF8-A2E3-EB153AAB36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2" name="Text Box 15">
          <a:extLst>
            <a:ext uri="{FF2B5EF4-FFF2-40B4-BE49-F238E27FC236}">
              <a16:creationId xmlns:a16="http://schemas.microsoft.com/office/drawing/2014/main" id="{4E860CF0-5BEE-4A6E-93C7-D6920F6781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3" name="Text Box 15">
          <a:extLst>
            <a:ext uri="{FF2B5EF4-FFF2-40B4-BE49-F238E27FC236}">
              <a16:creationId xmlns:a16="http://schemas.microsoft.com/office/drawing/2014/main" id="{D3B8B274-9012-429F-8C56-1396B470EA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4" name="Text Box 15">
          <a:extLst>
            <a:ext uri="{FF2B5EF4-FFF2-40B4-BE49-F238E27FC236}">
              <a16:creationId xmlns:a16="http://schemas.microsoft.com/office/drawing/2014/main" id="{C59BC87E-0CC9-4608-9770-EACA250109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5" name="Text Box 15">
          <a:extLst>
            <a:ext uri="{FF2B5EF4-FFF2-40B4-BE49-F238E27FC236}">
              <a16:creationId xmlns:a16="http://schemas.microsoft.com/office/drawing/2014/main" id="{75B3A8AD-6D59-4C6B-8FA8-C427160C55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6" name="Text Box 15">
          <a:extLst>
            <a:ext uri="{FF2B5EF4-FFF2-40B4-BE49-F238E27FC236}">
              <a16:creationId xmlns:a16="http://schemas.microsoft.com/office/drawing/2014/main" id="{178719BE-DC46-4623-A2E5-2B57AE72F4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7" name="Text Box 15">
          <a:extLst>
            <a:ext uri="{FF2B5EF4-FFF2-40B4-BE49-F238E27FC236}">
              <a16:creationId xmlns:a16="http://schemas.microsoft.com/office/drawing/2014/main" id="{15302FEE-8AC6-4C0D-9EF8-C894F3B1CDC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8" name="Text Box 15">
          <a:extLst>
            <a:ext uri="{FF2B5EF4-FFF2-40B4-BE49-F238E27FC236}">
              <a16:creationId xmlns:a16="http://schemas.microsoft.com/office/drawing/2014/main" id="{972CE9A2-01A1-4801-AD52-F12FD12811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9" name="Text Box 15">
          <a:extLst>
            <a:ext uri="{FF2B5EF4-FFF2-40B4-BE49-F238E27FC236}">
              <a16:creationId xmlns:a16="http://schemas.microsoft.com/office/drawing/2014/main" id="{E71CCE5D-ED26-4051-B5B9-99256327F0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0" name="Text Box 15">
          <a:extLst>
            <a:ext uri="{FF2B5EF4-FFF2-40B4-BE49-F238E27FC236}">
              <a16:creationId xmlns:a16="http://schemas.microsoft.com/office/drawing/2014/main" id="{A60C8E31-8152-4247-A182-F781F6D9CF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1" name="Text Box 15">
          <a:extLst>
            <a:ext uri="{FF2B5EF4-FFF2-40B4-BE49-F238E27FC236}">
              <a16:creationId xmlns:a16="http://schemas.microsoft.com/office/drawing/2014/main" id="{9B2447B4-12E2-46E3-9788-B475CBEAD4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2" name="Text Box 15">
          <a:extLst>
            <a:ext uri="{FF2B5EF4-FFF2-40B4-BE49-F238E27FC236}">
              <a16:creationId xmlns:a16="http://schemas.microsoft.com/office/drawing/2014/main" id="{B917A1D3-A4B3-40E8-873E-0C2BDE2399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3" name="Text Box 15">
          <a:extLst>
            <a:ext uri="{FF2B5EF4-FFF2-40B4-BE49-F238E27FC236}">
              <a16:creationId xmlns:a16="http://schemas.microsoft.com/office/drawing/2014/main" id="{E47BDFF5-C754-401A-A92C-7FA3E92B6C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4" name="Text Box 15">
          <a:extLst>
            <a:ext uri="{FF2B5EF4-FFF2-40B4-BE49-F238E27FC236}">
              <a16:creationId xmlns:a16="http://schemas.microsoft.com/office/drawing/2014/main" id="{A72C7363-120F-48C2-A489-208209FFB0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5" name="Text Box 15">
          <a:extLst>
            <a:ext uri="{FF2B5EF4-FFF2-40B4-BE49-F238E27FC236}">
              <a16:creationId xmlns:a16="http://schemas.microsoft.com/office/drawing/2014/main" id="{76DD954C-DE16-482A-A616-C7B82772BDA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6" name="Text Box 15">
          <a:extLst>
            <a:ext uri="{FF2B5EF4-FFF2-40B4-BE49-F238E27FC236}">
              <a16:creationId xmlns:a16="http://schemas.microsoft.com/office/drawing/2014/main" id="{6C0D48AC-D233-4EC7-939D-BF1B8C989B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7" name="Text Box 15">
          <a:extLst>
            <a:ext uri="{FF2B5EF4-FFF2-40B4-BE49-F238E27FC236}">
              <a16:creationId xmlns:a16="http://schemas.microsoft.com/office/drawing/2014/main" id="{7CF5DB87-60B5-4793-B12F-36DDD354C5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8" name="Text Box 15">
          <a:extLst>
            <a:ext uri="{FF2B5EF4-FFF2-40B4-BE49-F238E27FC236}">
              <a16:creationId xmlns:a16="http://schemas.microsoft.com/office/drawing/2014/main" id="{240B83E4-67C4-45D1-90E3-541FB186F9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9" name="Text Box 15">
          <a:extLst>
            <a:ext uri="{FF2B5EF4-FFF2-40B4-BE49-F238E27FC236}">
              <a16:creationId xmlns:a16="http://schemas.microsoft.com/office/drawing/2014/main" id="{896AA2C7-6817-4216-B3BE-795004728E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0" name="Text Box 15">
          <a:extLst>
            <a:ext uri="{FF2B5EF4-FFF2-40B4-BE49-F238E27FC236}">
              <a16:creationId xmlns:a16="http://schemas.microsoft.com/office/drawing/2014/main" id="{0602B4CE-03E0-4545-BE47-11E028C179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1" name="Text Box 15">
          <a:extLst>
            <a:ext uri="{FF2B5EF4-FFF2-40B4-BE49-F238E27FC236}">
              <a16:creationId xmlns:a16="http://schemas.microsoft.com/office/drawing/2014/main" id="{C0EDBB09-6830-4B1A-9A3B-F71D835B93A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2" name="Text Box 15">
          <a:extLst>
            <a:ext uri="{FF2B5EF4-FFF2-40B4-BE49-F238E27FC236}">
              <a16:creationId xmlns:a16="http://schemas.microsoft.com/office/drawing/2014/main" id="{A7B9C280-F9B4-4AC1-B7C1-CB15DE1383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3" name="Text Box 15">
          <a:extLst>
            <a:ext uri="{FF2B5EF4-FFF2-40B4-BE49-F238E27FC236}">
              <a16:creationId xmlns:a16="http://schemas.microsoft.com/office/drawing/2014/main" id="{024D5103-3BFC-4841-B068-B16320AD65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4" name="Text Box 15">
          <a:extLst>
            <a:ext uri="{FF2B5EF4-FFF2-40B4-BE49-F238E27FC236}">
              <a16:creationId xmlns:a16="http://schemas.microsoft.com/office/drawing/2014/main" id="{A168E2F9-85A3-4A04-A291-35E31D25E2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5" name="Text Box 15">
          <a:extLst>
            <a:ext uri="{FF2B5EF4-FFF2-40B4-BE49-F238E27FC236}">
              <a16:creationId xmlns:a16="http://schemas.microsoft.com/office/drawing/2014/main" id="{8DD447E5-C54E-4550-A30C-80D702F7CAA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6" name="Text Box 15">
          <a:extLst>
            <a:ext uri="{FF2B5EF4-FFF2-40B4-BE49-F238E27FC236}">
              <a16:creationId xmlns:a16="http://schemas.microsoft.com/office/drawing/2014/main" id="{F5279354-EAB4-44C2-9F77-22AC1B04C8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7" name="Text Box 15">
          <a:extLst>
            <a:ext uri="{FF2B5EF4-FFF2-40B4-BE49-F238E27FC236}">
              <a16:creationId xmlns:a16="http://schemas.microsoft.com/office/drawing/2014/main" id="{C1CB8542-65EB-4D44-A322-5F66118705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8" name="Text Box 15">
          <a:extLst>
            <a:ext uri="{FF2B5EF4-FFF2-40B4-BE49-F238E27FC236}">
              <a16:creationId xmlns:a16="http://schemas.microsoft.com/office/drawing/2014/main" id="{C0330C2A-F7D3-4EF1-8D10-4A1EDA4722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9" name="Text Box 15">
          <a:extLst>
            <a:ext uri="{FF2B5EF4-FFF2-40B4-BE49-F238E27FC236}">
              <a16:creationId xmlns:a16="http://schemas.microsoft.com/office/drawing/2014/main" id="{57041DDB-D98D-4D17-8723-DAEE89E08B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0" name="Text Box 15">
          <a:extLst>
            <a:ext uri="{FF2B5EF4-FFF2-40B4-BE49-F238E27FC236}">
              <a16:creationId xmlns:a16="http://schemas.microsoft.com/office/drawing/2014/main" id="{F9ECF580-A436-4E09-A8A8-BE6BBF5294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1" name="Text Box 15">
          <a:extLst>
            <a:ext uri="{FF2B5EF4-FFF2-40B4-BE49-F238E27FC236}">
              <a16:creationId xmlns:a16="http://schemas.microsoft.com/office/drawing/2014/main" id="{861E49FC-B87E-4AB4-A5B5-68EC9A925B2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2" name="Text Box 15">
          <a:extLst>
            <a:ext uri="{FF2B5EF4-FFF2-40B4-BE49-F238E27FC236}">
              <a16:creationId xmlns:a16="http://schemas.microsoft.com/office/drawing/2014/main" id="{4D01021B-DC1B-4432-B207-D9E4D61FAC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3" name="Text Box 15">
          <a:extLst>
            <a:ext uri="{FF2B5EF4-FFF2-40B4-BE49-F238E27FC236}">
              <a16:creationId xmlns:a16="http://schemas.microsoft.com/office/drawing/2014/main" id="{8ECB3976-2A6B-46B7-9343-849E72A799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4" name="Text Box 15">
          <a:extLst>
            <a:ext uri="{FF2B5EF4-FFF2-40B4-BE49-F238E27FC236}">
              <a16:creationId xmlns:a16="http://schemas.microsoft.com/office/drawing/2014/main" id="{904C9D31-DAC5-4194-BBA5-7CF0568ED5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5" name="Text Box 15">
          <a:extLst>
            <a:ext uri="{FF2B5EF4-FFF2-40B4-BE49-F238E27FC236}">
              <a16:creationId xmlns:a16="http://schemas.microsoft.com/office/drawing/2014/main" id="{F4E116A1-50DC-41BA-8572-03A5F36D19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6" name="Text Box 15">
          <a:extLst>
            <a:ext uri="{FF2B5EF4-FFF2-40B4-BE49-F238E27FC236}">
              <a16:creationId xmlns:a16="http://schemas.microsoft.com/office/drawing/2014/main" id="{2F8C7210-5E36-49E0-A25C-E2CC4CE928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7" name="Text Box 15">
          <a:extLst>
            <a:ext uri="{FF2B5EF4-FFF2-40B4-BE49-F238E27FC236}">
              <a16:creationId xmlns:a16="http://schemas.microsoft.com/office/drawing/2014/main" id="{BAED78DB-5E4C-45F8-952F-3B1D7AAE25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8" name="Text Box 15">
          <a:extLst>
            <a:ext uri="{FF2B5EF4-FFF2-40B4-BE49-F238E27FC236}">
              <a16:creationId xmlns:a16="http://schemas.microsoft.com/office/drawing/2014/main" id="{CCC1F046-2E15-4A6F-A8CB-732D353CC8C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9" name="Text Box 15">
          <a:extLst>
            <a:ext uri="{FF2B5EF4-FFF2-40B4-BE49-F238E27FC236}">
              <a16:creationId xmlns:a16="http://schemas.microsoft.com/office/drawing/2014/main" id="{4EB1E816-C6E4-41E0-A7E0-A310692037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0" name="Text Box 15">
          <a:extLst>
            <a:ext uri="{FF2B5EF4-FFF2-40B4-BE49-F238E27FC236}">
              <a16:creationId xmlns:a16="http://schemas.microsoft.com/office/drawing/2014/main" id="{D03ACB1C-3F5C-40B2-BCF6-48C007BD83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1" name="Text Box 15">
          <a:extLst>
            <a:ext uri="{FF2B5EF4-FFF2-40B4-BE49-F238E27FC236}">
              <a16:creationId xmlns:a16="http://schemas.microsoft.com/office/drawing/2014/main" id="{7136F627-FC96-476D-B827-20A4007B8F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2" name="Text Box 15">
          <a:extLst>
            <a:ext uri="{FF2B5EF4-FFF2-40B4-BE49-F238E27FC236}">
              <a16:creationId xmlns:a16="http://schemas.microsoft.com/office/drawing/2014/main" id="{24C23ADF-EF5F-4076-98DF-3A70E8D878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3" name="Text Box 15">
          <a:extLst>
            <a:ext uri="{FF2B5EF4-FFF2-40B4-BE49-F238E27FC236}">
              <a16:creationId xmlns:a16="http://schemas.microsoft.com/office/drawing/2014/main" id="{BDFE80BC-56D4-444E-9982-BDAD0E0E39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4" name="Text Box 15">
          <a:extLst>
            <a:ext uri="{FF2B5EF4-FFF2-40B4-BE49-F238E27FC236}">
              <a16:creationId xmlns:a16="http://schemas.microsoft.com/office/drawing/2014/main" id="{113D93D7-96C0-421B-8F87-8907ED49D1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5" name="Text Box 15">
          <a:extLst>
            <a:ext uri="{FF2B5EF4-FFF2-40B4-BE49-F238E27FC236}">
              <a16:creationId xmlns:a16="http://schemas.microsoft.com/office/drawing/2014/main" id="{BE91D864-2DFC-46DE-AE54-216C3D9708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6" name="Text Box 15">
          <a:extLst>
            <a:ext uri="{FF2B5EF4-FFF2-40B4-BE49-F238E27FC236}">
              <a16:creationId xmlns:a16="http://schemas.microsoft.com/office/drawing/2014/main" id="{E97399E0-60AF-4A8D-96E4-5079D9564A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7" name="Text Box 15">
          <a:extLst>
            <a:ext uri="{FF2B5EF4-FFF2-40B4-BE49-F238E27FC236}">
              <a16:creationId xmlns:a16="http://schemas.microsoft.com/office/drawing/2014/main" id="{CD67A1E3-55D5-40FF-9721-DF0F6E4ACE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8" name="Text Box 15">
          <a:extLst>
            <a:ext uri="{FF2B5EF4-FFF2-40B4-BE49-F238E27FC236}">
              <a16:creationId xmlns:a16="http://schemas.microsoft.com/office/drawing/2014/main" id="{53D9F8B2-411F-46B0-97B1-C89C1DBB51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9" name="Text Box 15">
          <a:extLst>
            <a:ext uri="{FF2B5EF4-FFF2-40B4-BE49-F238E27FC236}">
              <a16:creationId xmlns:a16="http://schemas.microsoft.com/office/drawing/2014/main" id="{BB269811-17E0-419B-8DE1-A67967EE2E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0" name="Text Box 15">
          <a:extLst>
            <a:ext uri="{FF2B5EF4-FFF2-40B4-BE49-F238E27FC236}">
              <a16:creationId xmlns:a16="http://schemas.microsoft.com/office/drawing/2014/main" id="{346EC79A-3434-497D-BC18-F67A98C0760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1" name="Text Box 15">
          <a:extLst>
            <a:ext uri="{FF2B5EF4-FFF2-40B4-BE49-F238E27FC236}">
              <a16:creationId xmlns:a16="http://schemas.microsoft.com/office/drawing/2014/main" id="{74512EBA-1568-451A-99FB-D6E80C49FF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2" name="Text Box 15">
          <a:extLst>
            <a:ext uri="{FF2B5EF4-FFF2-40B4-BE49-F238E27FC236}">
              <a16:creationId xmlns:a16="http://schemas.microsoft.com/office/drawing/2014/main" id="{517B4CA8-BEA8-445B-A50E-64D6F1F33E1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3" name="Text Box 15">
          <a:extLst>
            <a:ext uri="{FF2B5EF4-FFF2-40B4-BE49-F238E27FC236}">
              <a16:creationId xmlns:a16="http://schemas.microsoft.com/office/drawing/2014/main" id="{7F816B6A-F66E-493A-8F5C-B16F5F17AF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4" name="Text Box 15">
          <a:extLst>
            <a:ext uri="{FF2B5EF4-FFF2-40B4-BE49-F238E27FC236}">
              <a16:creationId xmlns:a16="http://schemas.microsoft.com/office/drawing/2014/main" id="{BF374557-8251-49FE-ADAE-DE6E0579D3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5" name="Text Box 15">
          <a:extLst>
            <a:ext uri="{FF2B5EF4-FFF2-40B4-BE49-F238E27FC236}">
              <a16:creationId xmlns:a16="http://schemas.microsoft.com/office/drawing/2014/main" id="{C6EDF18A-D33C-4BC6-B1E8-E924F3A05E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6" name="Text Box 15">
          <a:extLst>
            <a:ext uri="{FF2B5EF4-FFF2-40B4-BE49-F238E27FC236}">
              <a16:creationId xmlns:a16="http://schemas.microsoft.com/office/drawing/2014/main" id="{8ADFE68E-A859-4191-92AD-DA086A7363C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7" name="Text Box 15">
          <a:extLst>
            <a:ext uri="{FF2B5EF4-FFF2-40B4-BE49-F238E27FC236}">
              <a16:creationId xmlns:a16="http://schemas.microsoft.com/office/drawing/2014/main" id="{3ECE03A5-E353-4BDA-988E-197217DA9A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8" name="Text Box 15">
          <a:extLst>
            <a:ext uri="{FF2B5EF4-FFF2-40B4-BE49-F238E27FC236}">
              <a16:creationId xmlns:a16="http://schemas.microsoft.com/office/drawing/2014/main" id="{3234FD98-FE8A-4C63-BAC3-BC946B61206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9" name="Text Box 15">
          <a:extLst>
            <a:ext uri="{FF2B5EF4-FFF2-40B4-BE49-F238E27FC236}">
              <a16:creationId xmlns:a16="http://schemas.microsoft.com/office/drawing/2014/main" id="{53C0EE3C-9755-4536-8D07-5CA4656B4DD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0" name="Text Box 15">
          <a:extLst>
            <a:ext uri="{FF2B5EF4-FFF2-40B4-BE49-F238E27FC236}">
              <a16:creationId xmlns:a16="http://schemas.microsoft.com/office/drawing/2014/main" id="{68734D8A-40F5-4052-8148-9137072158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1" name="Text Box 15">
          <a:extLst>
            <a:ext uri="{FF2B5EF4-FFF2-40B4-BE49-F238E27FC236}">
              <a16:creationId xmlns:a16="http://schemas.microsoft.com/office/drawing/2014/main" id="{914A6484-84BF-4859-B4F1-B6B4254562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2" name="Text Box 15">
          <a:extLst>
            <a:ext uri="{FF2B5EF4-FFF2-40B4-BE49-F238E27FC236}">
              <a16:creationId xmlns:a16="http://schemas.microsoft.com/office/drawing/2014/main" id="{C02E6E32-54F1-46F0-9445-4BD013543E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3" name="Text Box 15">
          <a:extLst>
            <a:ext uri="{FF2B5EF4-FFF2-40B4-BE49-F238E27FC236}">
              <a16:creationId xmlns:a16="http://schemas.microsoft.com/office/drawing/2014/main" id="{EDAF1F9B-D417-4022-BA2B-4C98C0219C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4" name="Text Box 15">
          <a:extLst>
            <a:ext uri="{FF2B5EF4-FFF2-40B4-BE49-F238E27FC236}">
              <a16:creationId xmlns:a16="http://schemas.microsoft.com/office/drawing/2014/main" id="{9EF747A9-9623-4915-BB3A-830F29B3B8E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5" name="Text Box 15">
          <a:extLst>
            <a:ext uri="{FF2B5EF4-FFF2-40B4-BE49-F238E27FC236}">
              <a16:creationId xmlns:a16="http://schemas.microsoft.com/office/drawing/2014/main" id="{6137FA07-C2CE-4FD0-AAFE-B8B2EC7C43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6" name="Text Box 15">
          <a:extLst>
            <a:ext uri="{FF2B5EF4-FFF2-40B4-BE49-F238E27FC236}">
              <a16:creationId xmlns:a16="http://schemas.microsoft.com/office/drawing/2014/main" id="{7785C48F-9DB1-424D-B784-2E115109D3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7" name="Text Box 15">
          <a:extLst>
            <a:ext uri="{FF2B5EF4-FFF2-40B4-BE49-F238E27FC236}">
              <a16:creationId xmlns:a16="http://schemas.microsoft.com/office/drawing/2014/main" id="{51604857-3562-4336-8930-964BD87436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8" name="Text Box 15">
          <a:extLst>
            <a:ext uri="{FF2B5EF4-FFF2-40B4-BE49-F238E27FC236}">
              <a16:creationId xmlns:a16="http://schemas.microsoft.com/office/drawing/2014/main" id="{5C50BC48-CBB4-4CDF-94B5-968894F271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9" name="Text Box 15">
          <a:extLst>
            <a:ext uri="{FF2B5EF4-FFF2-40B4-BE49-F238E27FC236}">
              <a16:creationId xmlns:a16="http://schemas.microsoft.com/office/drawing/2014/main" id="{75BC2065-134A-4F63-8E4F-33AA768ECF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0" name="Text Box 15">
          <a:extLst>
            <a:ext uri="{FF2B5EF4-FFF2-40B4-BE49-F238E27FC236}">
              <a16:creationId xmlns:a16="http://schemas.microsoft.com/office/drawing/2014/main" id="{A25E84B4-012F-40C3-932E-F67F475BFD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1" name="Text Box 15">
          <a:extLst>
            <a:ext uri="{FF2B5EF4-FFF2-40B4-BE49-F238E27FC236}">
              <a16:creationId xmlns:a16="http://schemas.microsoft.com/office/drawing/2014/main" id="{A345B8DE-CE53-4BD6-B7C4-7CAA7518E8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2" name="Text Box 15">
          <a:extLst>
            <a:ext uri="{FF2B5EF4-FFF2-40B4-BE49-F238E27FC236}">
              <a16:creationId xmlns:a16="http://schemas.microsoft.com/office/drawing/2014/main" id="{37B176C9-7E27-4BED-9621-0451F66447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3" name="Text Box 15">
          <a:extLst>
            <a:ext uri="{FF2B5EF4-FFF2-40B4-BE49-F238E27FC236}">
              <a16:creationId xmlns:a16="http://schemas.microsoft.com/office/drawing/2014/main" id="{E8CF2F1D-7D52-4D06-A712-B06C7D51F1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4" name="Text Box 15">
          <a:extLst>
            <a:ext uri="{FF2B5EF4-FFF2-40B4-BE49-F238E27FC236}">
              <a16:creationId xmlns:a16="http://schemas.microsoft.com/office/drawing/2014/main" id="{65D76BC1-E338-4004-A41B-AB463DD996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5" name="Text Box 15">
          <a:extLst>
            <a:ext uri="{FF2B5EF4-FFF2-40B4-BE49-F238E27FC236}">
              <a16:creationId xmlns:a16="http://schemas.microsoft.com/office/drawing/2014/main" id="{0EAF06BF-25F0-483A-BB33-A3E8E57FEB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6" name="Text Box 15">
          <a:extLst>
            <a:ext uri="{FF2B5EF4-FFF2-40B4-BE49-F238E27FC236}">
              <a16:creationId xmlns:a16="http://schemas.microsoft.com/office/drawing/2014/main" id="{2ACEE8E7-F2BE-4307-88F2-1C7559D54C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7" name="Text Box 15">
          <a:extLst>
            <a:ext uri="{FF2B5EF4-FFF2-40B4-BE49-F238E27FC236}">
              <a16:creationId xmlns:a16="http://schemas.microsoft.com/office/drawing/2014/main" id="{F81F8651-9DE4-4BC1-8A82-542A924F41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8" name="Text Box 15">
          <a:extLst>
            <a:ext uri="{FF2B5EF4-FFF2-40B4-BE49-F238E27FC236}">
              <a16:creationId xmlns:a16="http://schemas.microsoft.com/office/drawing/2014/main" id="{B39BD233-5AA6-416B-9235-C61811AB55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9" name="Text Box 15">
          <a:extLst>
            <a:ext uri="{FF2B5EF4-FFF2-40B4-BE49-F238E27FC236}">
              <a16:creationId xmlns:a16="http://schemas.microsoft.com/office/drawing/2014/main" id="{EFC9CB5F-E8BF-4076-B261-05257FA7FF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0" name="Text Box 15">
          <a:extLst>
            <a:ext uri="{FF2B5EF4-FFF2-40B4-BE49-F238E27FC236}">
              <a16:creationId xmlns:a16="http://schemas.microsoft.com/office/drawing/2014/main" id="{D85321C7-E51D-485F-9E6F-9757A2E8233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1" name="Text Box 15">
          <a:extLst>
            <a:ext uri="{FF2B5EF4-FFF2-40B4-BE49-F238E27FC236}">
              <a16:creationId xmlns:a16="http://schemas.microsoft.com/office/drawing/2014/main" id="{CF6E76B2-EE26-4FCE-87D3-1E262FBD3D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2" name="Text Box 15">
          <a:extLst>
            <a:ext uri="{FF2B5EF4-FFF2-40B4-BE49-F238E27FC236}">
              <a16:creationId xmlns:a16="http://schemas.microsoft.com/office/drawing/2014/main" id="{25F6A53E-A864-4106-80A0-FEF4FDA06E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3" name="Text Box 15">
          <a:extLst>
            <a:ext uri="{FF2B5EF4-FFF2-40B4-BE49-F238E27FC236}">
              <a16:creationId xmlns:a16="http://schemas.microsoft.com/office/drawing/2014/main" id="{7C02F77B-D572-4ECD-9B20-E2CD546337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4" name="Text Box 15">
          <a:extLst>
            <a:ext uri="{FF2B5EF4-FFF2-40B4-BE49-F238E27FC236}">
              <a16:creationId xmlns:a16="http://schemas.microsoft.com/office/drawing/2014/main" id="{211366DD-AC27-4444-BC77-620ED1B63A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5" name="Text Box 15">
          <a:extLst>
            <a:ext uri="{FF2B5EF4-FFF2-40B4-BE49-F238E27FC236}">
              <a16:creationId xmlns:a16="http://schemas.microsoft.com/office/drawing/2014/main" id="{1A650E42-9848-4E94-8F5D-2E948560FA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6" name="Text Box 15">
          <a:extLst>
            <a:ext uri="{FF2B5EF4-FFF2-40B4-BE49-F238E27FC236}">
              <a16:creationId xmlns:a16="http://schemas.microsoft.com/office/drawing/2014/main" id="{457C1C47-B250-4362-AF60-2EF047EE63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7" name="Text Box 15">
          <a:extLst>
            <a:ext uri="{FF2B5EF4-FFF2-40B4-BE49-F238E27FC236}">
              <a16:creationId xmlns:a16="http://schemas.microsoft.com/office/drawing/2014/main" id="{439D221F-557B-46D9-B58F-3E479D4ECD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8" name="Text Box 15">
          <a:extLst>
            <a:ext uri="{FF2B5EF4-FFF2-40B4-BE49-F238E27FC236}">
              <a16:creationId xmlns:a16="http://schemas.microsoft.com/office/drawing/2014/main" id="{D0226C72-14BB-400F-BF51-A60E98EDD7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9" name="Text Box 15">
          <a:extLst>
            <a:ext uri="{FF2B5EF4-FFF2-40B4-BE49-F238E27FC236}">
              <a16:creationId xmlns:a16="http://schemas.microsoft.com/office/drawing/2014/main" id="{4DF440D5-808B-4343-81D4-44531F5C2F9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0" name="Text Box 15">
          <a:extLst>
            <a:ext uri="{FF2B5EF4-FFF2-40B4-BE49-F238E27FC236}">
              <a16:creationId xmlns:a16="http://schemas.microsoft.com/office/drawing/2014/main" id="{660F42D9-E0ED-4EEB-B8CC-5AF8D790F0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1" name="Text Box 15">
          <a:extLst>
            <a:ext uri="{FF2B5EF4-FFF2-40B4-BE49-F238E27FC236}">
              <a16:creationId xmlns:a16="http://schemas.microsoft.com/office/drawing/2014/main" id="{54791AD1-6AA6-4031-8639-10EC3231547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2" name="Text Box 15">
          <a:extLst>
            <a:ext uri="{FF2B5EF4-FFF2-40B4-BE49-F238E27FC236}">
              <a16:creationId xmlns:a16="http://schemas.microsoft.com/office/drawing/2014/main" id="{2E8DFA04-8508-421F-A474-4C258EB947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3" name="Text Box 15">
          <a:extLst>
            <a:ext uri="{FF2B5EF4-FFF2-40B4-BE49-F238E27FC236}">
              <a16:creationId xmlns:a16="http://schemas.microsoft.com/office/drawing/2014/main" id="{640A206E-42A9-4CDD-8242-D10FAF609F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4" name="Text Box 15">
          <a:extLst>
            <a:ext uri="{FF2B5EF4-FFF2-40B4-BE49-F238E27FC236}">
              <a16:creationId xmlns:a16="http://schemas.microsoft.com/office/drawing/2014/main" id="{3CC0F816-F82C-480D-BE2B-E2D885D365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5" name="Text Box 15">
          <a:extLst>
            <a:ext uri="{FF2B5EF4-FFF2-40B4-BE49-F238E27FC236}">
              <a16:creationId xmlns:a16="http://schemas.microsoft.com/office/drawing/2014/main" id="{8C8DE1B3-4ADA-4EA4-8943-BE7F70DD92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6" name="Text Box 15">
          <a:extLst>
            <a:ext uri="{FF2B5EF4-FFF2-40B4-BE49-F238E27FC236}">
              <a16:creationId xmlns:a16="http://schemas.microsoft.com/office/drawing/2014/main" id="{D1761380-BECE-40E6-968D-ABB0CBB138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7" name="Text Box 15">
          <a:extLst>
            <a:ext uri="{FF2B5EF4-FFF2-40B4-BE49-F238E27FC236}">
              <a16:creationId xmlns:a16="http://schemas.microsoft.com/office/drawing/2014/main" id="{4472B5F7-D66A-4B6B-89ED-7DEB56FF82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8" name="Text Box 15">
          <a:extLst>
            <a:ext uri="{FF2B5EF4-FFF2-40B4-BE49-F238E27FC236}">
              <a16:creationId xmlns:a16="http://schemas.microsoft.com/office/drawing/2014/main" id="{6FE50664-214A-4F91-9E1A-565337B32F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9" name="Text Box 15">
          <a:extLst>
            <a:ext uri="{FF2B5EF4-FFF2-40B4-BE49-F238E27FC236}">
              <a16:creationId xmlns:a16="http://schemas.microsoft.com/office/drawing/2014/main" id="{46C08A92-CA5E-405C-9E78-B211C52CBD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0" name="Text Box 15">
          <a:extLst>
            <a:ext uri="{FF2B5EF4-FFF2-40B4-BE49-F238E27FC236}">
              <a16:creationId xmlns:a16="http://schemas.microsoft.com/office/drawing/2014/main" id="{3EC037F5-225D-4978-8F86-A2A5642FE4E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1" name="Text Box 15">
          <a:extLst>
            <a:ext uri="{FF2B5EF4-FFF2-40B4-BE49-F238E27FC236}">
              <a16:creationId xmlns:a16="http://schemas.microsoft.com/office/drawing/2014/main" id="{ABA4BFF7-21AF-4328-A208-AC41AE6F38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2" name="Text Box 15">
          <a:extLst>
            <a:ext uri="{FF2B5EF4-FFF2-40B4-BE49-F238E27FC236}">
              <a16:creationId xmlns:a16="http://schemas.microsoft.com/office/drawing/2014/main" id="{5E87390B-865B-4DEA-B5F0-3B483030F0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3" name="Text Box 15">
          <a:extLst>
            <a:ext uri="{FF2B5EF4-FFF2-40B4-BE49-F238E27FC236}">
              <a16:creationId xmlns:a16="http://schemas.microsoft.com/office/drawing/2014/main" id="{AA590112-AD32-43DE-B25A-40FB5E8CED1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4" name="Text Box 15">
          <a:extLst>
            <a:ext uri="{FF2B5EF4-FFF2-40B4-BE49-F238E27FC236}">
              <a16:creationId xmlns:a16="http://schemas.microsoft.com/office/drawing/2014/main" id="{BE6FF2EF-AC9F-466A-B2CE-81652130326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5" name="Text Box 15">
          <a:extLst>
            <a:ext uri="{FF2B5EF4-FFF2-40B4-BE49-F238E27FC236}">
              <a16:creationId xmlns:a16="http://schemas.microsoft.com/office/drawing/2014/main" id="{FEE55509-3A37-4DC1-8080-2A64F4DE86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6" name="Text Box 15">
          <a:extLst>
            <a:ext uri="{FF2B5EF4-FFF2-40B4-BE49-F238E27FC236}">
              <a16:creationId xmlns:a16="http://schemas.microsoft.com/office/drawing/2014/main" id="{4BA9AF7E-6A95-43B3-8AC4-B9969A5CD8F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7" name="Text Box 15">
          <a:extLst>
            <a:ext uri="{FF2B5EF4-FFF2-40B4-BE49-F238E27FC236}">
              <a16:creationId xmlns:a16="http://schemas.microsoft.com/office/drawing/2014/main" id="{1F69AB9F-5132-4CF4-A2B6-BA27B9D15D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8" name="Text Box 15">
          <a:extLst>
            <a:ext uri="{FF2B5EF4-FFF2-40B4-BE49-F238E27FC236}">
              <a16:creationId xmlns:a16="http://schemas.microsoft.com/office/drawing/2014/main" id="{A954B4A6-A465-4F33-8CCE-C4074B7BC7C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9" name="Text Box 15">
          <a:extLst>
            <a:ext uri="{FF2B5EF4-FFF2-40B4-BE49-F238E27FC236}">
              <a16:creationId xmlns:a16="http://schemas.microsoft.com/office/drawing/2014/main" id="{390E488C-FC8C-4078-BDCB-6AA3AB31D6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0" name="Text Box 15">
          <a:extLst>
            <a:ext uri="{FF2B5EF4-FFF2-40B4-BE49-F238E27FC236}">
              <a16:creationId xmlns:a16="http://schemas.microsoft.com/office/drawing/2014/main" id="{399E572B-9EF7-4A13-9B65-207AAD527E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1" name="Text Box 15">
          <a:extLst>
            <a:ext uri="{FF2B5EF4-FFF2-40B4-BE49-F238E27FC236}">
              <a16:creationId xmlns:a16="http://schemas.microsoft.com/office/drawing/2014/main" id="{9099F583-7FBD-4F4C-8604-8091DF7996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2" name="Text Box 15">
          <a:extLst>
            <a:ext uri="{FF2B5EF4-FFF2-40B4-BE49-F238E27FC236}">
              <a16:creationId xmlns:a16="http://schemas.microsoft.com/office/drawing/2014/main" id="{96C0F311-D34A-404F-BC2C-95CCD64DA8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3" name="Text Box 15">
          <a:extLst>
            <a:ext uri="{FF2B5EF4-FFF2-40B4-BE49-F238E27FC236}">
              <a16:creationId xmlns:a16="http://schemas.microsoft.com/office/drawing/2014/main" id="{68D9C5E5-F5F1-44A5-9A32-BF989C224E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4" name="Text Box 15">
          <a:extLst>
            <a:ext uri="{FF2B5EF4-FFF2-40B4-BE49-F238E27FC236}">
              <a16:creationId xmlns:a16="http://schemas.microsoft.com/office/drawing/2014/main" id="{D53CE9C1-06FC-4398-9737-0012093405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5" name="Text Box 15">
          <a:extLst>
            <a:ext uri="{FF2B5EF4-FFF2-40B4-BE49-F238E27FC236}">
              <a16:creationId xmlns:a16="http://schemas.microsoft.com/office/drawing/2014/main" id="{E78EE773-64F7-43A9-B106-2AEC01812FA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6" name="Text Box 15">
          <a:extLst>
            <a:ext uri="{FF2B5EF4-FFF2-40B4-BE49-F238E27FC236}">
              <a16:creationId xmlns:a16="http://schemas.microsoft.com/office/drawing/2014/main" id="{7EDB2526-E710-4D5D-B05E-6A2C5526F7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7" name="Text Box 15">
          <a:extLst>
            <a:ext uri="{FF2B5EF4-FFF2-40B4-BE49-F238E27FC236}">
              <a16:creationId xmlns:a16="http://schemas.microsoft.com/office/drawing/2014/main" id="{F66958F5-E886-4369-B279-EADDF7D2D1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8" name="Text Box 15">
          <a:extLst>
            <a:ext uri="{FF2B5EF4-FFF2-40B4-BE49-F238E27FC236}">
              <a16:creationId xmlns:a16="http://schemas.microsoft.com/office/drawing/2014/main" id="{9BD7D620-23EB-4FD4-9F7D-0611AFC4CE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9" name="Text Box 15">
          <a:extLst>
            <a:ext uri="{FF2B5EF4-FFF2-40B4-BE49-F238E27FC236}">
              <a16:creationId xmlns:a16="http://schemas.microsoft.com/office/drawing/2014/main" id="{266E69ED-EC81-45B8-9FF2-18B5725C64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0" name="Text Box 15">
          <a:extLst>
            <a:ext uri="{FF2B5EF4-FFF2-40B4-BE49-F238E27FC236}">
              <a16:creationId xmlns:a16="http://schemas.microsoft.com/office/drawing/2014/main" id="{EC6F582C-4F69-44F0-8510-AC8B9675F5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1" name="Text Box 15">
          <a:extLst>
            <a:ext uri="{FF2B5EF4-FFF2-40B4-BE49-F238E27FC236}">
              <a16:creationId xmlns:a16="http://schemas.microsoft.com/office/drawing/2014/main" id="{79175E5A-27F1-4C4D-A27E-D08D87AFF1F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2" name="Text Box 15">
          <a:extLst>
            <a:ext uri="{FF2B5EF4-FFF2-40B4-BE49-F238E27FC236}">
              <a16:creationId xmlns:a16="http://schemas.microsoft.com/office/drawing/2014/main" id="{D60F7447-0B81-4860-B885-032EA6909F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3" name="Text Box 15">
          <a:extLst>
            <a:ext uri="{FF2B5EF4-FFF2-40B4-BE49-F238E27FC236}">
              <a16:creationId xmlns:a16="http://schemas.microsoft.com/office/drawing/2014/main" id="{344FF235-3FCB-44B9-A6AD-E9A9764420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4" name="Text Box 15">
          <a:extLst>
            <a:ext uri="{FF2B5EF4-FFF2-40B4-BE49-F238E27FC236}">
              <a16:creationId xmlns:a16="http://schemas.microsoft.com/office/drawing/2014/main" id="{ED9F3D69-CB5C-43C8-869C-69BA8756E7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5" name="Text Box 15">
          <a:extLst>
            <a:ext uri="{FF2B5EF4-FFF2-40B4-BE49-F238E27FC236}">
              <a16:creationId xmlns:a16="http://schemas.microsoft.com/office/drawing/2014/main" id="{75273309-A7D4-47E1-813C-81ACD9553E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6" name="Text Box 15">
          <a:extLst>
            <a:ext uri="{FF2B5EF4-FFF2-40B4-BE49-F238E27FC236}">
              <a16:creationId xmlns:a16="http://schemas.microsoft.com/office/drawing/2014/main" id="{DD11AE96-EA9F-4411-9205-8CB2BC0425E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7" name="Text Box 15">
          <a:extLst>
            <a:ext uri="{FF2B5EF4-FFF2-40B4-BE49-F238E27FC236}">
              <a16:creationId xmlns:a16="http://schemas.microsoft.com/office/drawing/2014/main" id="{B7A6770B-9C9C-4B85-B97F-B7935F33BAF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8" name="Text Box 15">
          <a:extLst>
            <a:ext uri="{FF2B5EF4-FFF2-40B4-BE49-F238E27FC236}">
              <a16:creationId xmlns:a16="http://schemas.microsoft.com/office/drawing/2014/main" id="{EC1266B3-2A47-4F81-95C8-B65C30E641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9" name="Text Box 15">
          <a:extLst>
            <a:ext uri="{FF2B5EF4-FFF2-40B4-BE49-F238E27FC236}">
              <a16:creationId xmlns:a16="http://schemas.microsoft.com/office/drawing/2014/main" id="{68ADE217-B7D3-4424-A63A-780E121517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0" name="Text Box 15">
          <a:extLst>
            <a:ext uri="{FF2B5EF4-FFF2-40B4-BE49-F238E27FC236}">
              <a16:creationId xmlns:a16="http://schemas.microsoft.com/office/drawing/2014/main" id="{1AE3A66C-DE69-40AB-B796-ECC04FA698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1" name="Text Box 15">
          <a:extLst>
            <a:ext uri="{FF2B5EF4-FFF2-40B4-BE49-F238E27FC236}">
              <a16:creationId xmlns:a16="http://schemas.microsoft.com/office/drawing/2014/main" id="{C3C9FDCC-DDFB-4980-8332-BFAD8FF8BD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2" name="Text Box 15">
          <a:extLst>
            <a:ext uri="{FF2B5EF4-FFF2-40B4-BE49-F238E27FC236}">
              <a16:creationId xmlns:a16="http://schemas.microsoft.com/office/drawing/2014/main" id="{1005F749-3BB8-4812-9DCA-E662552268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3" name="Text Box 15">
          <a:extLst>
            <a:ext uri="{FF2B5EF4-FFF2-40B4-BE49-F238E27FC236}">
              <a16:creationId xmlns:a16="http://schemas.microsoft.com/office/drawing/2014/main" id="{C54598DB-015E-4BAE-A349-AC03C717B7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4" name="Text Box 15">
          <a:extLst>
            <a:ext uri="{FF2B5EF4-FFF2-40B4-BE49-F238E27FC236}">
              <a16:creationId xmlns:a16="http://schemas.microsoft.com/office/drawing/2014/main" id="{3E44BD5B-BC03-44FC-8C1A-7CC4EB9DD7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5" name="Text Box 15">
          <a:extLst>
            <a:ext uri="{FF2B5EF4-FFF2-40B4-BE49-F238E27FC236}">
              <a16:creationId xmlns:a16="http://schemas.microsoft.com/office/drawing/2014/main" id="{A84BDAE9-5A72-45E2-A7F8-43645D4098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6" name="Text Box 15">
          <a:extLst>
            <a:ext uri="{FF2B5EF4-FFF2-40B4-BE49-F238E27FC236}">
              <a16:creationId xmlns:a16="http://schemas.microsoft.com/office/drawing/2014/main" id="{6022861E-6F5B-4655-876A-0BAA3E42E9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7" name="Text Box 15">
          <a:extLst>
            <a:ext uri="{FF2B5EF4-FFF2-40B4-BE49-F238E27FC236}">
              <a16:creationId xmlns:a16="http://schemas.microsoft.com/office/drawing/2014/main" id="{0A27EAD8-34BE-43F5-A3A4-861CBCC312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8" name="Text Box 15">
          <a:extLst>
            <a:ext uri="{FF2B5EF4-FFF2-40B4-BE49-F238E27FC236}">
              <a16:creationId xmlns:a16="http://schemas.microsoft.com/office/drawing/2014/main" id="{FB9A9680-EF1D-4051-9436-594E03C841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9" name="Text Box 15">
          <a:extLst>
            <a:ext uri="{FF2B5EF4-FFF2-40B4-BE49-F238E27FC236}">
              <a16:creationId xmlns:a16="http://schemas.microsoft.com/office/drawing/2014/main" id="{99780AA3-FA21-4BF3-A5C9-C81CAA246C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70" name="Text Box 15">
          <a:extLst>
            <a:ext uri="{FF2B5EF4-FFF2-40B4-BE49-F238E27FC236}">
              <a16:creationId xmlns:a16="http://schemas.microsoft.com/office/drawing/2014/main" id="{B624FD3D-22A9-44B7-BB2D-1203850BB8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71" name="Text Box 15">
          <a:extLst>
            <a:ext uri="{FF2B5EF4-FFF2-40B4-BE49-F238E27FC236}">
              <a16:creationId xmlns:a16="http://schemas.microsoft.com/office/drawing/2014/main" id="{A5BF263C-5B84-4705-8F2D-CD57627F212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72" name="Text Box 15">
          <a:extLst>
            <a:ext uri="{FF2B5EF4-FFF2-40B4-BE49-F238E27FC236}">
              <a16:creationId xmlns:a16="http://schemas.microsoft.com/office/drawing/2014/main" id="{73AF138D-7533-40B9-B348-167CD33939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73" name="Text Box 15">
          <a:extLst>
            <a:ext uri="{FF2B5EF4-FFF2-40B4-BE49-F238E27FC236}">
              <a16:creationId xmlns:a16="http://schemas.microsoft.com/office/drawing/2014/main" id="{1B8930BB-5737-4362-B737-DCB4275BD9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74" name="Text Box 15">
          <a:extLst>
            <a:ext uri="{FF2B5EF4-FFF2-40B4-BE49-F238E27FC236}">
              <a16:creationId xmlns:a16="http://schemas.microsoft.com/office/drawing/2014/main" id="{B17DCA62-3A92-4609-81E5-C6F06685E9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75" name="Text Box 15">
          <a:extLst>
            <a:ext uri="{FF2B5EF4-FFF2-40B4-BE49-F238E27FC236}">
              <a16:creationId xmlns:a16="http://schemas.microsoft.com/office/drawing/2014/main" id="{32685203-62F2-4545-91B3-7689EE84DA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76" name="Text Box 15">
          <a:extLst>
            <a:ext uri="{FF2B5EF4-FFF2-40B4-BE49-F238E27FC236}">
              <a16:creationId xmlns:a16="http://schemas.microsoft.com/office/drawing/2014/main" id="{75C882E6-AC2D-4A93-B24F-CF898F7356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77" name="Text Box 15">
          <a:extLst>
            <a:ext uri="{FF2B5EF4-FFF2-40B4-BE49-F238E27FC236}">
              <a16:creationId xmlns:a16="http://schemas.microsoft.com/office/drawing/2014/main" id="{A2F359AB-4F6D-4902-ABBC-FC8A410D2F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78" name="Text Box 15">
          <a:extLst>
            <a:ext uri="{FF2B5EF4-FFF2-40B4-BE49-F238E27FC236}">
              <a16:creationId xmlns:a16="http://schemas.microsoft.com/office/drawing/2014/main" id="{CC0E1719-D90E-4367-8C68-F3D4930B8AD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79" name="Text Box 15">
          <a:extLst>
            <a:ext uri="{FF2B5EF4-FFF2-40B4-BE49-F238E27FC236}">
              <a16:creationId xmlns:a16="http://schemas.microsoft.com/office/drawing/2014/main" id="{BE596126-F0B9-4CC9-971E-4739BC5D20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0" name="Text Box 15">
          <a:extLst>
            <a:ext uri="{FF2B5EF4-FFF2-40B4-BE49-F238E27FC236}">
              <a16:creationId xmlns:a16="http://schemas.microsoft.com/office/drawing/2014/main" id="{88FB0730-43C4-4986-A8C2-2D1001A910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1" name="Text Box 15">
          <a:extLst>
            <a:ext uri="{FF2B5EF4-FFF2-40B4-BE49-F238E27FC236}">
              <a16:creationId xmlns:a16="http://schemas.microsoft.com/office/drawing/2014/main" id="{9992BCD1-17A4-43D6-B647-2FFE371403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2" name="Text Box 15">
          <a:extLst>
            <a:ext uri="{FF2B5EF4-FFF2-40B4-BE49-F238E27FC236}">
              <a16:creationId xmlns:a16="http://schemas.microsoft.com/office/drawing/2014/main" id="{D3D42E20-72CD-43B4-B1CD-4AFD750C636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3" name="Text Box 15">
          <a:extLst>
            <a:ext uri="{FF2B5EF4-FFF2-40B4-BE49-F238E27FC236}">
              <a16:creationId xmlns:a16="http://schemas.microsoft.com/office/drawing/2014/main" id="{EA954CC5-CC06-47EA-A879-2EB8243977A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4" name="Text Box 15">
          <a:extLst>
            <a:ext uri="{FF2B5EF4-FFF2-40B4-BE49-F238E27FC236}">
              <a16:creationId xmlns:a16="http://schemas.microsoft.com/office/drawing/2014/main" id="{25051C3B-0430-45E7-828A-58BA9B749B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5" name="Text Box 15">
          <a:extLst>
            <a:ext uri="{FF2B5EF4-FFF2-40B4-BE49-F238E27FC236}">
              <a16:creationId xmlns:a16="http://schemas.microsoft.com/office/drawing/2014/main" id="{4DAF44C7-E49D-44B0-9771-E222F5CEFD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6" name="Text Box 15">
          <a:extLst>
            <a:ext uri="{FF2B5EF4-FFF2-40B4-BE49-F238E27FC236}">
              <a16:creationId xmlns:a16="http://schemas.microsoft.com/office/drawing/2014/main" id="{82BC5CFC-0D2C-48E3-A727-1FDF922948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7" name="Text Box 15">
          <a:extLst>
            <a:ext uri="{FF2B5EF4-FFF2-40B4-BE49-F238E27FC236}">
              <a16:creationId xmlns:a16="http://schemas.microsoft.com/office/drawing/2014/main" id="{BFECD86E-DA64-486C-8C84-FBC593DAEB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88" name="Text Box 15">
          <a:extLst>
            <a:ext uri="{FF2B5EF4-FFF2-40B4-BE49-F238E27FC236}">
              <a16:creationId xmlns:a16="http://schemas.microsoft.com/office/drawing/2014/main" id="{838B076D-7FA4-4EF8-89E8-99EB58F341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89" name="Text Box 15">
          <a:extLst>
            <a:ext uri="{FF2B5EF4-FFF2-40B4-BE49-F238E27FC236}">
              <a16:creationId xmlns:a16="http://schemas.microsoft.com/office/drawing/2014/main" id="{20C5E391-D8BE-471A-A70C-56CA33F5BA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90" name="Text Box 15">
          <a:extLst>
            <a:ext uri="{FF2B5EF4-FFF2-40B4-BE49-F238E27FC236}">
              <a16:creationId xmlns:a16="http://schemas.microsoft.com/office/drawing/2014/main" id="{C4EB833A-632D-4ABF-96A2-CDE9371844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91" name="Text Box 15">
          <a:extLst>
            <a:ext uri="{FF2B5EF4-FFF2-40B4-BE49-F238E27FC236}">
              <a16:creationId xmlns:a16="http://schemas.microsoft.com/office/drawing/2014/main" id="{37514439-A063-495B-977B-1BD793FC74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92" name="Text Box 15">
          <a:extLst>
            <a:ext uri="{FF2B5EF4-FFF2-40B4-BE49-F238E27FC236}">
              <a16:creationId xmlns:a16="http://schemas.microsoft.com/office/drawing/2014/main" id="{6F8C92BD-1118-499B-981A-8549CE7FBD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3" name="Text Box 15">
          <a:extLst>
            <a:ext uri="{FF2B5EF4-FFF2-40B4-BE49-F238E27FC236}">
              <a16:creationId xmlns:a16="http://schemas.microsoft.com/office/drawing/2014/main" id="{841CA4C3-BCE3-423C-9F9D-C5E1D1D7AA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4" name="Text Box 15">
          <a:extLst>
            <a:ext uri="{FF2B5EF4-FFF2-40B4-BE49-F238E27FC236}">
              <a16:creationId xmlns:a16="http://schemas.microsoft.com/office/drawing/2014/main" id="{24F6D532-A59C-4C25-BCE0-01B8C51892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5" name="Text Box 15">
          <a:extLst>
            <a:ext uri="{FF2B5EF4-FFF2-40B4-BE49-F238E27FC236}">
              <a16:creationId xmlns:a16="http://schemas.microsoft.com/office/drawing/2014/main" id="{81F8ACE3-F567-4974-8601-5B302ABF81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6" name="Text Box 15">
          <a:extLst>
            <a:ext uri="{FF2B5EF4-FFF2-40B4-BE49-F238E27FC236}">
              <a16:creationId xmlns:a16="http://schemas.microsoft.com/office/drawing/2014/main" id="{405CA8C2-F5C3-4660-A7CC-86CB74A856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7" name="Text Box 15">
          <a:extLst>
            <a:ext uri="{FF2B5EF4-FFF2-40B4-BE49-F238E27FC236}">
              <a16:creationId xmlns:a16="http://schemas.microsoft.com/office/drawing/2014/main" id="{646FE32D-E08D-43CF-AE1E-1E99C5ED0F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8" name="Text Box 15">
          <a:extLst>
            <a:ext uri="{FF2B5EF4-FFF2-40B4-BE49-F238E27FC236}">
              <a16:creationId xmlns:a16="http://schemas.microsoft.com/office/drawing/2014/main" id="{24E9277F-CE1B-4E05-8A7F-9B5D3CC453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9" name="Text Box 15">
          <a:extLst>
            <a:ext uri="{FF2B5EF4-FFF2-40B4-BE49-F238E27FC236}">
              <a16:creationId xmlns:a16="http://schemas.microsoft.com/office/drawing/2014/main" id="{64E25E8E-9265-48AF-B1E8-3D3945696E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00" name="Text Box 15">
          <a:extLst>
            <a:ext uri="{FF2B5EF4-FFF2-40B4-BE49-F238E27FC236}">
              <a16:creationId xmlns:a16="http://schemas.microsoft.com/office/drawing/2014/main" id="{7093657C-8DC4-435B-88FA-576A38AAAA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01" name="Text Box 15">
          <a:extLst>
            <a:ext uri="{FF2B5EF4-FFF2-40B4-BE49-F238E27FC236}">
              <a16:creationId xmlns:a16="http://schemas.microsoft.com/office/drawing/2014/main" id="{B5774E30-A064-42F4-B370-036DBE4446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02" name="Text Box 15">
          <a:extLst>
            <a:ext uri="{FF2B5EF4-FFF2-40B4-BE49-F238E27FC236}">
              <a16:creationId xmlns:a16="http://schemas.microsoft.com/office/drawing/2014/main" id="{1FF4DB42-D1E3-4293-9101-97F05F4E1A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03" name="Text Box 15">
          <a:extLst>
            <a:ext uri="{FF2B5EF4-FFF2-40B4-BE49-F238E27FC236}">
              <a16:creationId xmlns:a16="http://schemas.microsoft.com/office/drawing/2014/main" id="{6F32DC1C-FB4F-4805-913A-CEFBB1F37A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04" name="Text Box 15">
          <a:extLst>
            <a:ext uri="{FF2B5EF4-FFF2-40B4-BE49-F238E27FC236}">
              <a16:creationId xmlns:a16="http://schemas.microsoft.com/office/drawing/2014/main" id="{D59FD4F7-C2C2-4571-A4B5-633D0EE1BD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05" name="Text Box 15">
          <a:extLst>
            <a:ext uri="{FF2B5EF4-FFF2-40B4-BE49-F238E27FC236}">
              <a16:creationId xmlns:a16="http://schemas.microsoft.com/office/drawing/2014/main" id="{FFDC871A-3618-4B12-A049-9B0AFC774B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06" name="Text Box 15">
          <a:extLst>
            <a:ext uri="{FF2B5EF4-FFF2-40B4-BE49-F238E27FC236}">
              <a16:creationId xmlns:a16="http://schemas.microsoft.com/office/drawing/2014/main" id="{31CDEEFE-42E1-4C5E-AAB6-6EFCFD5ABA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07" name="Text Box 15">
          <a:extLst>
            <a:ext uri="{FF2B5EF4-FFF2-40B4-BE49-F238E27FC236}">
              <a16:creationId xmlns:a16="http://schemas.microsoft.com/office/drawing/2014/main" id="{A56E564D-6802-42D9-8255-417233A4AA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08" name="Text Box 15">
          <a:extLst>
            <a:ext uri="{FF2B5EF4-FFF2-40B4-BE49-F238E27FC236}">
              <a16:creationId xmlns:a16="http://schemas.microsoft.com/office/drawing/2014/main" id="{2E7CDF45-1BD6-4DB1-94DE-CDF1BB1823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09" name="Text Box 15">
          <a:extLst>
            <a:ext uri="{FF2B5EF4-FFF2-40B4-BE49-F238E27FC236}">
              <a16:creationId xmlns:a16="http://schemas.microsoft.com/office/drawing/2014/main" id="{A93F2346-96A7-4425-915C-23EB6FDF87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0" name="Text Box 15">
          <a:extLst>
            <a:ext uri="{FF2B5EF4-FFF2-40B4-BE49-F238E27FC236}">
              <a16:creationId xmlns:a16="http://schemas.microsoft.com/office/drawing/2014/main" id="{D0378DDA-2CEC-43EC-9593-16E994BD04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1" name="Text Box 15">
          <a:extLst>
            <a:ext uri="{FF2B5EF4-FFF2-40B4-BE49-F238E27FC236}">
              <a16:creationId xmlns:a16="http://schemas.microsoft.com/office/drawing/2014/main" id="{7D995223-1403-4CF0-B57D-07BE8E196D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2" name="Text Box 15">
          <a:extLst>
            <a:ext uri="{FF2B5EF4-FFF2-40B4-BE49-F238E27FC236}">
              <a16:creationId xmlns:a16="http://schemas.microsoft.com/office/drawing/2014/main" id="{27E177CC-296B-43F8-B3EC-9AF672914C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3" name="Text Box 15">
          <a:extLst>
            <a:ext uri="{FF2B5EF4-FFF2-40B4-BE49-F238E27FC236}">
              <a16:creationId xmlns:a16="http://schemas.microsoft.com/office/drawing/2014/main" id="{03D7B5A1-6D9B-48BF-BBF5-0206254EBD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4" name="Text Box 15">
          <a:extLst>
            <a:ext uri="{FF2B5EF4-FFF2-40B4-BE49-F238E27FC236}">
              <a16:creationId xmlns:a16="http://schemas.microsoft.com/office/drawing/2014/main" id="{6ABBB1E3-3174-454E-A394-F06F992555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5" name="Text Box 15">
          <a:extLst>
            <a:ext uri="{FF2B5EF4-FFF2-40B4-BE49-F238E27FC236}">
              <a16:creationId xmlns:a16="http://schemas.microsoft.com/office/drawing/2014/main" id="{20335430-5B74-4241-B82B-A962ECF4E5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6" name="Text Box 15">
          <a:extLst>
            <a:ext uri="{FF2B5EF4-FFF2-40B4-BE49-F238E27FC236}">
              <a16:creationId xmlns:a16="http://schemas.microsoft.com/office/drawing/2014/main" id="{9919706C-43AA-48E4-A85B-18D18B3725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7" name="Text Box 15">
          <a:extLst>
            <a:ext uri="{FF2B5EF4-FFF2-40B4-BE49-F238E27FC236}">
              <a16:creationId xmlns:a16="http://schemas.microsoft.com/office/drawing/2014/main" id="{4221C7B8-A956-4AE0-B3C2-BF1DF57EB1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18" name="Text Box 15">
          <a:extLst>
            <a:ext uri="{FF2B5EF4-FFF2-40B4-BE49-F238E27FC236}">
              <a16:creationId xmlns:a16="http://schemas.microsoft.com/office/drawing/2014/main" id="{98E6948A-8DEA-4CF7-92B2-9ACACD766B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19" name="Text Box 15">
          <a:extLst>
            <a:ext uri="{FF2B5EF4-FFF2-40B4-BE49-F238E27FC236}">
              <a16:creationId xmlns:a16="http://schemas.microsoft.com/office/drawing/2014/main" id="{23FE1268-BFF0-4DEC-83EE-890323597F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20" name="Text Box 15">
          <a:extLst>
            <a:ext uri="{FF2B5EF4-FFF2-40B4-BE49-F238E27FC236}">
              <a16:creationId xmlns:a16="http://schemas.microsoft.com/office/drawing/2014/main" id="{AE405144-13E5-48BB-9A92-75183BD4B2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21" name="Text Box 15">
          <a:extLst>
            <a:ext uri="{FF2B5EF4-FFF2-40B4-BE49-F238E27FC236}">
              <a16:creationId xmlns:a16="http://schemas.microsoft.com/office/drawing/2014/main" id="{155CF70C-893C-4556-A45F-236D87AF22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22" name="Text Box 15">
          <a:extLst>
            <a:ext uri="{FF2B5EF4-FFF2-40B4-BE49-F238E27FC236}">
              <a16:creationId xmlns:a16="http://schemas.microsoft.com/office/drawing/2014/main" id="{11F410C4-8197-4754-9AE6-BC74984762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3" name="Text Box 15">
          <a:extLst>
            <a:ext uri="{FF2B5EF4-FFF2-40B4-BE49-F238E27FC236}">
              <a16:creationId xmlns:a16="http://schemas.microsoft.com/office/drawing/2014/main" id="{18FD11BE-06C9-4D92-BD43-5BF1A58AA7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4" name="Text Box 15">
          <a:extLst>
            <a:ext uri="{FF2B5EF4-FFF2-40B4-BE49-F238E27FC236}">
              <a16:creationId xmlns:a16="http://schemas.microsoft.com/office/drawing/2014/main" id="{93E4989D-FCED-475C-ABCF-3FE7098570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5" name="Text Box 15">
          <a:extLst>
            <a:ext uri="{FF2B5EF4-FFF2-40B4-BE49-F238E27FC236}">
              <a16:creationId xmlns:a16="http://schemas.microsoft.com/office/drawing/2014/main" id="{69915227-0948-4942-B51D-FAE9B195262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6" name="Text Box 15">
          <a:extLst>
            <a:ext uri="{FF2B5EF4-FFF2-40B4-BE49-F238E27FC236}">
              <a16:creationId xmlns:a16="http://schemas.microsoft.com/office/drawing/2014/main" id="{BB673880-6D19-47A5-98E8-966ED9BE86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7" name="Text Box 15">
          <a:extLst>
            <a:ext uri="{FF2B5EF4-FFF2-40B4-BE49-F238E27FC236}">
              <a16:creationId xmlns:a16="http://schemas.microsoft.com/office/drawing/2014/main" id="{E50FAF17-E005-4E96-8677-D7E8F4BE7F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8" name="Text Box 15">
          <a:extLst>
            <a:ext uri="{FF2B5EF4-FFF2-40B4-BE49-F238E27FC236}">
              <a16:creationId xmlns:a16="http://schemas.microsoft.com/office/drawing/2014/main" id="{0A5F8375-E564-449F-9F0C-EB3BBFCCB1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9" name="Text Box 15">
          <a:extLst>
            <a:ext uri="{FF2B5EF4-FFF2-40B4-BE49-F238E27FC236}">
              <a16:creationId xmlns:a16="http://schemas.microsoft.com/office/drawing/2014/main" id="{890F4F30-289D-471D-B39B-727DAA48B0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30" name="Text Box 15">
          <a:extLst>
            <a:ext uri="{FF2B5EF4-FFF2-40B4-BE49-F238E27FC236}">
              <a16:creationId xmlns:a16="http://schemas.microsoft.com/office/drawing/2014/main" id="{BD1E1399-F9A2-4B23-9304-47918E1DC7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31" name="Text Box 15">
          <a:extLst>
            <a:ext uri="{FF2B5EF4-FFF2-40B4-BE49-F238E27FC236}">
              <a16:creationId xmlns:a16="http://schemas.microsoft.com/office/drawing/2014/main" id="{91F64294-6148-4400-A431-3F0E75548E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32" name="Text Box 15">
          <a:extLst>
            <a:ext uri="{FF2B5EF4-FFF2-40B4-BE49-F238E27FC236}">
              <a16:creationId xmlns:a16="http://schemas.microsoft.com/office/drawing/2014/main" id="{6D1E4CC7-79F1-4352-97B6-9F268AD4E4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33" name="Text Box 15">
          <a:extLst>
            <a:ext uri="{FF2B5EF4-FFF2-40B4-BE49-F238E27FC236}">
              <a16:creationId xmlns:a16="http://schemas.microsoft.com/office/drawing/2014/main" id="{A636A6FA-7F53-4102-8041-096D68BC35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34" name="Text Box 15">
          <a:extLst>
            <a:ext uri="{FF2B5EF4-FFF2-40B4-BE49-F238E27FC236}">
              <a16:creationId xmlns:a16="http://schemas.microsoft.com/office/drawing/2014/main" id="{C813581A-807A-4AC3-8033-F9A52847B8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35" name="Text Box 15">
          <a:extLst>
            <a:ext uri="{FF2B5EF4-FFF2-40B4-BE49-F238E27FC236}">
              <a16:creationId xmlns:a16="http://schemas.microsoft.com/office/drawing/2014/main" id="{37BA92F4-3731-4E35-B916-B178EDE1E3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36" name="Text Box 15">
          <a:extLst>
            <a:ext uri="{FF2B5EF4-FFF2-40B4-BE49-F238E27FC236}">
              <a16:creationId xmlns:a16="http://schemas.microsoft.com/office/drawing/2014/main" id="{F44771BA-0F6F-4EA7-A3D7-EB6C625CA3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37" name="Text Box 15">
          <a:extLst>
            <a:ext uri="{FF2B5EF4-FFF2-40B4-BE49-F238E27FC236}">
              <a16:creationId xmlns:a16="http://schemas.microsoft.com/office/drawing/2014/main" id="{01E8D1D9-3DFF-4A18-828E-FF9453F095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38" name="Text Box 15">
          <a:extLst>
            <a:ext uri="{FF2B5EF4-FFF2-40B4-BE49-F238E27FC236}">
              <a16:creationId xmlns:a16="http://schemas.microsoft.com/office/drawing/2014/main" id="{65A62242-8851-4860-BCAB-6842F37968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39" name="Text Box 15">
          <a:extLst>
            <a:ext uri="{FF2B5EF4-FFF2-40B4-BE49-F238E27FC236}">
              <a16:creationId xmlns:a16="http://schemas.microsoft.com/office/drawing/2014/main" id="{AA4E8526-5673-4BBF-BDD9-5B1B34B351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0" name="Text Box 15">
          <a:extLst>
            <a:ext uri="{FF2B5EF4-FFF2-40B4-BE49-F238E27FC236}">
              <a16:creationId xmlns:a16="http://schemas.microsoft.com/office/drawing/2014/main" id="{B5718E78-40CE-424C-8035-9A99538302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1" name="Text Box 15">
          <a:extLst>
            <a:ext uri="{FF2B5EF4-FFF2-40B4-BE49-F238E27FC236}">
              <a16:creationId xmlns:a16="http://schemas.microsoft.com/office/drawing/2014/main" id="{B3C306A9-5171-4F6B-BB0A-76969B144F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2" name="Text Box 15">
          <a:extLst>
            <a:ext uri="{FF2B5EF4-FFF2-40B4-BE49-F238E27FC236}">
              <a16:creationId xmlns:a16="http://schemas.microsoft.com/office/drawing/2014/main" id="{07B60992-242F-4947-9FD6-383D59F631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3" name="Text Box 15">
          <a:extLst>
            <a:ext uri="{FF2B5EF4-FFF2-40B4-BE49-F238E27FC236}">
              <a16:creationId xmlns:a16="http://schemas.microsoft.com/office/drawing/2014/main" id="{87E82FF5-7DCA-44F9-BC82-76BA570E53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4" name="Text Box 15">
          <a:extLst>
            <a:ext uri="{FF2B5EF4-FFF2-40B4-BE49-F238E27FC236}">
              <a16:creationId xmlns:a16="http://schemas.microsoft.com/office/drawing/2014/main" id="{0878FADB-D4AD-4CE9-BCED-AA6781E3B29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5" name="Text Box 15">
          <a:extLst>
            <a:ext uri="{FF2B5EF4-FFF2-40B4-BE49-F238E27FC236}">
              <a16:creationId xmlns:a16="http://schemas.microsoft.com/office/drawing/2014/main" id="{ACB402BB-A4AF-42F7-AEC3-AB29B2D58C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6" name="Text Box 15">
          <a:extLst>
            <a:ext uri="{FF2B5EF4-FFF2-40B4-BE49-F238E27FC236}">
              <a16:creationId xmlns:a16="http://schemas.microsoft.com/office/drawing/2014/main" id="{2680B705-F0D8-4E4A-B85B-36D392F707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7" name="Text Box 15">
          <a:extLst>
            <a:ext uri="{FF2B5EF4-FFF2-40B4-BE49-F238E27FC236}">
              <a16:creationId xmlns:a16="http://schemas.microsoft.com/office/drawing/2014/main" id="{80A85D53-A167-4432-8A6A-84A66E2276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48" name="Text Box 15">
          <a:extLst>
            <a:ext uri="{FF2B5EF4-FFF2-40B4-BE49-F238E27FC236}">
              <a16:creationId xmlns:a16="http://schemas.microsoft.com/office/drawing/2014/main" id="{3667B9B7-2E28-4DF7-8EAF-407B59C446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49" name="Text Box 15">
          <a:extLst>
            <a:ext uri="{FF2B5EF4-FFF2-40B4-BE49-F238E27FC236}">
              <a16:creationId xmlns:a16="http://schemas.microsoft.com/office/drawing/2014/main" id="{71AE2EF7-E3B1-45F6-B465-2E3E216892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50" name="Text Box 15">
          <a:extLst>
            <a:ext uri="{FF2B5EF4-FFF2-40B4-BE49-F238E27FC236}">
              <a16:creationId xmlns:a16="http://schemas.microsoft.com/office/drawing/2014/main" id="{E3590CB6-E873-4F9F-9671-32162FC7C0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51" name="Text Box 15">
          <a:extLst>
            <a:ext uri="{FF2B5EF4-FFF2-40B4-BE49-F238E27FC236}">
              <a16:creationId xmlns:a16="http://schemas.microsoft.com/office/drawing/2014/main" id="{00640503-4E4A-4739-9C44-B6304BE43F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52" name="Text Box 15">
          <a:extLst>
            <a:ext uri="{FF2B5EF4-FFF2-40B4-BE49-F238E27FC236}">
              <a16:creationId xmlns:a16="http://schemas.microsoft.com/office/drawing/2014/main" id="{3B3ABBC5-5355-4758-95D9-D82F3F7163F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3" name="Text Box 15">
          <a:extLst>
            <a:ext uri="{FF2B5EF4-FFF2-40B4-BE49-F238E27FC236}">
              <a16:creationId xmlns:a16="http://schemas.microsoft.com/office/drawing/2014/main" id="{324B43A7-55CC-4A75-98A3-76346DE21AD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4" name="Text Box 15">
          <a:extLst>
            <a:ext uri="{FF2B5EF4-FFF2-40B4-BE49-F238E27FC236}">
              <a16:creationId xmlns:a16="http://schemas.microsoft.com/office/drawing/2014/main" id="{9A2674E8-AAEB-417D-8EFF-A4DF489B75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5" name="Text Box 15">
          <a:extLst>
            <a:ext uri="{FF2B5EF4-FFF2-40B4-BE49-F238E27FC236}">
              <a16:creationId xmlns:a16="http://schemas.microsoft.com/office/drawing/2014/main" id="{B34073BB-CECF-44B7-8958-D5EA090BB8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6" name="Text Box 15">
          <a:extLst>
            <a:ext uri="{FF2B5EF4-FFF2-40B4-BE49-F238E27FC236}">
              <a16:creationId xmlns:a16="http://schemas.microsoft.com/office/drawing/2014/main" id="{D3C7878F-6EB4-4DA3-B048-CDDCB05998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7" name="Text Box 15">
          <a:extLst>
            <a:ext uri="{FF2B5EF4-FFF2-40B4-BE49-F238E27FC236}">
              <a16:creationId xmlns:a16="http://schemas.microsoft.com/office/drawing/2014/main" id="{CA8CC2F1-0D4E-47C5-A5F8-1465C33590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8" name="Text Box 15">
          <a:extLst>
            <a:ext uri="{FF2B5EF4-FFF2-40B4-BE49-F238E27FC236}">
              <a16:creationId xmlns:a16="http://schemas.microsoft.com/office/drawing/2014/main" id="{043E2861-A0B4-458C-85DB-0B28295810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9" name="Text Box 15">
          <a:extLst>
            <a:ext uri="{FF2B5EF4-FFF2-40B4-BE49-F238E27FC236}">
              <a16:creationId xmlns:a16="http://schemas.microsoft.com/office/drawing/2014/main" id="{3E4B6C8B-84A1-4145-9024-238A27EE9B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60" name="Text Box 15">
          <a:extLst>
            <a:ext uri="{FF2B5EF4-FFF2-40B4-BE49-F238E27FC236}">
              <a16:creationId xmlns:a16="http://schemas.microsoft.com/office/drawing/2014/main" id="{751899D1-A5B3-46DE-B618-E2CEA23D9F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61" name="Text Box 15">
          <a:extLst>
            <a:ext uri="{FF2B5EF4-FFF2-40B4-BE49-F238E27FC236}">
              <a16:creationId xmlns:a16="http://schemas.microsoft.com/office/drawing/2014/main" id="{3811860B-1292-4958-A3FD-1A6D0A749C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62" name="Text Box 15">
          <a:extLst>
            <a:ext uri="{FF2B5EF4-FFF2-40B4-BE49-F238E27FC236}">
              <a16:creationId xmlns:a16="http://schemas.microsoft.com/office/drawing/2014/main" id="{A420E07F-4DFE-46B6-86FD-9AEFDCF7C4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3" name="Text Box 15">
          <a:extLst>
            <a:ext uri="{FF2B5EF4-FFF2-40B4-BE49-F238E27FC236}">
              <a16:creationId xmlns:a16="http://schemas.microsoft.com/office/drawing/2014/main" id="{D062521F-397D-41A5-A714-73C1384D49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4" name="Text Box 15">
          <a:extLst>
            <a:ext uri="{FF2B5EF4-FFF2-40B4-BE49-F238E27FC236}">
              <a16:creationId xmlns:a16="http://schemas.microsoft.com/office/drawing/2014/main" id="{D51872BD-C989-45F6-BAEB-DEF8E6246DC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5" name="Text Box 15">
          <a:extLst>
            <a:ext uri="{FF2B5EF4-FFF2-40B4-BE49-F238E27FC236}">
              <a16:creationId xmlns:a16="http://schemas.microsoft.com/office/drawing/2014/main" id="{3AEEB655-478C-49FD-82CD-CB2AFDE9D0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6" name="Text Box 15">
          <a:extLst>
            <a:ext uri="{FF2B5EF4-FFF2-40B4-BE49-F238E27FC236}">
              <a16:creationId xmlns:a16="http://schemas.microsoft.com/office/drawing/2014/main" id="{F7A73D54-D886-4913-85D9-E8E4814CFE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7" name="Text Box 15">
          <a:extLst>
            <a:ext uri="{FF2B5EF4-FFF2-40B4-BE49-F238E27FC236}">
              <a16:creationId xmlns:a16="http://schemas.microsoft.com/office/drawing/2014/main" id="{A1400CDD-5C87-47A5-AC77-DB2C44B7C6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8" name="Text Box 15">
          <a:extLst>
            <a:ext uri="{FF2B5EF4-FFF2-40B4-BE49-F238E27FC236}">
              <a16:creationId xmlns:a16="http://schemas.microsoft.com/office/drawing/2014/main" id="{A400D391-5DFA-46ED-8318-DBB2FED78E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9" name="Text Box 15">
          <a:extLst>
            <a:ext uri="{FF2B5EF4-FFF2-40B4-BE49-F238E27FC236}">
              <a16:creationId xmlns:a16="http://schemas.microsoft.com/office/drawing/2014/main" id="{B2E956A5-2463-40EF-87D0-198D8E5795E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0" name="Text Box 15">
          <a:extLst>
            <a:ext uri="{FF2B5EF4-FFF2-40B4-BE49-F238E27FC236}">
              <a16:creationId xmlns:a16="http://schemas.microsoft.com/office/drawing/2014/main" id="{C1BFDA94-E7B3-40A8-BFDD-BA5C24D31E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1" name="Text Box 15">
          <a:extLst>
            <a:ext uri="{FF2B5EF4-FFF2-40B4-BE49-F238E27FC236}">
              <a16:creationId xmlns:a16="http://schemas.microsoft.com/office/drawing/2014/main" id="{13636B10-1184-4061-A622-AFA4556B60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2" name="Text Box 15">
          <a:extLst>
            <a:ext uri="{FF2B5EF4-FFF2-40B4-BE49-F238E27FC236}">
              <a16:creationId xmlns:a16="http://schemas.microsoft.com/office/drawing/2014/main" id="{B754CF41-24AA-48A3-B607-2BBB472AC05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3" name="Text Box 15">
          <a:extLst>
            <a:ext uri="{FF2B5EF4-FFF2-40B4-BE49-F238E27FC236}">
              <a16:creationId xmlns:a16="http://schemas.microsoft.com/office/drawing/2014/main" id="{725F498A-F9DF-48BF-834B-6ECC748BBD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4" name="Text Box 15">
          <a:extLst>
            <a:ext uri="{FF2B5EF4-FFF2-40B4-BE49-F238E27FC236}">
              <a16:creationId xmlns:a16="http://schemas.microsoft.com/office/drawing/2014/main" id="{8A196005-A3D2-4540-A508-DDAA6E62AE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5" name="Text Box 15">
          <a:extLst>
            <a:ext uri="{FF2B5EF4-FFF2-40B4-BE49-F238E27FC236}">
              <a16:creationId xmlns:a16="http://schemas.microsoft.com/office/drawing/2014/main" id="{24FD8217-1445-46A0-BCC6-4DE91EA0F6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6" name="Text Box 15">
          <a:extLst>
            <a:ext uri="{FF2B5EF4-FFF2-40B4-BE49-F238E27FC236}">
              <a16:creationId xmlns:a16="http://schemas.microsoft.com/office/drawing/2014/main" id="{49576220-8B66-4E8B-8A29-B8FD6B1983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7" name="Text Box 15">
          <a:extLst>
            <a:ext uri="{FF2B5EF4-FFF2-40B4-BE49-F238E27FC236}">
              <a16:creationId xmlns:a16="http://schemas.microsoft.com/office/drawing/2014/main" id="{9D238D03-C025-4782-A775-A96C613DCC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8" name="Text Box 15">
          <a:extLst>
            <a:ext uri="{FF2B5EF4-FFF2-40B4-BE49-F238E27FC236}">
              <a16:creationId xmlns:a16="http://schemas.microsoft.com/office/drawing/2014/main" id="{F3F0A35C-49C0-49F1-8CD3-DD21CE9F4E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9" name="Text Box 15">
          <a:extLst>
            <a:ext uri="{FF2B5EF4-FFF2-40B4-BE49-F238E27FC236}">
              <a16:creationId xmlns:a16="http://schemas.microsoft.com/office/drawing/2014/main" id="{7A83445E-F214-4F08-AB20-B9017030FCB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0" name="Text Box 15">
          <a:extLst>
            <a:ext uri="{FF2B5EF4-FFF2-40B4-BE49-F238E27FC236}">
              <a16:creationId xmlns:a16="http://schemas.microsoft.com/office/drawing/2014/main" id="{E8311EB8-6F6B-4AF1-A845-3178F06FC6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1" name="Text Box 15">
          <a:extLst>
            <a:ext uri="{FF2B5EF4-FFF2-40B4-BE49-F238E27FC236}">
              <a16:creationId xmlns:a16="http://schemas.microsoft.com/office/drawing/2014/main" id="{F2E1EDEB-7543-41C5-8F6C-DFB1AB8E29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2" name="Text Box 15">
          <a:extLst>
            <a:ext uri="{FF2B5EF4-FFF2-40B4-BE49-F238E27FC236}">
              <a16:creationId xmlns:a16="http://schemas.microsoft.com/office/drawing/2014/main" id="{307C73B9-2C29-4AE5-9271-1E00245C35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3" name="Text Box 15">
          <a:extLst>
            <a:ext uri="{FF2B5EF4-FFF2-40B4-BE49-F238E27FC236}">
              <a16:creationId xmlns:a16="http://schemas.microsoft.com/office/drawing/2014/main" id="{B039D4FB-0A53-43B3-A527-AEA9D1BA5D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4" name="Text Box 15">
          <a:extLst>
            <a:ext uri="{FF2B5EF4-FFF2-40B4-BE49-F238E27FC236}">
              <a16:creationId xmlns:a16="http://schemas.microsoft.com/office/drawing/2014/main" id="{837292F4-8D99-48D9-B64E-42675DBD42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5" name="Text Box 15">
          <a:extLst>
            <a:ext uri="{FF2B5EF4-FFF2-40B4-BE49-F238E27FC236}">
              <a16:creationId xmlns:a16="http://schemas.microsoft.com/office/drawing/2014/main" id="{F2F2E175-7D33-4C0C-9A7E-40BBCD79E0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6" name="Text Box 15">
          <a:extLst>
            <a:ext uri="{FF2B5EF4-FFF2-40B4-BE49-F238E27FC236}">
              <a16:creationId xmlns:a16="http://schemas.microsoft.com/office/drawing/2014/main" id="{C299FCF2-9700-4048-83AB-4A145A33C5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7" name="Text Box 15">
          <a:extLst>
            <a:ext uri="{FF2B5EF4-FFF2-40B4-BE49-F238E27FC236}">
              <a16:creationId xmlns:a16="http://schemas.microsoft.com/office/drawing/2014/main" id="{662790AF-3BFF-4CA7-9678-66CD4BD625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8" name="Text Box 15">
          <a:extLst>
            <a:ext uri="{FF2B5EF4-FFF2-40B4-BE49-F238E27FC236}">
              <a16:creationId xmlns:a16="http://schemas.microsoft.com/office/drawing/2014/main" id="{1FCD2603-11C2-40A8-A24F-F1F790ED78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9" name="Text Box 15">
          <a:extLst>
            <a:ext uri="{FF2B5EF4-FFF2-40B4-BE49-F238E27FC236}">
              <a16:creationId xmlns:a16="http://schemas.microsoft.com/office/drawing/2014/main" id="{7722DDE7-029E-448B-93B8-D0D925CFFB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0" name="Text Box 15">
          <a:extLst>
            <a:ext uri="{FF2B5EF4-FFF2-40B4-BE49-F238E27FC236}">
              <a16:creationId xmlns:a16="http://schemas.microsoft.com/office/drawing/2014/main" id="{508B339B-DC1D-4170-82FE-7D8BC3C220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1" name="Text Box 15">
          <a:extLst>
            <a:ext uri="{FF2B5EF4-FFF2-40B4-BE49-F238E27FC236}">
              <a16:creationId xmlns:a16="http://schemas.microsoft.com/office/drawing/2014/main" id="{EDADC8F2-0314-431D-B2F5-D7F9CF0C38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2" name="Text Box 15">
          <a:extLst>
            <a:ext uri="{FF2B5EF4-FFF2-40B4-BE49-F238E27FC236}">
              <a16:creationId xmlns:a16="http://schemas.microsoft.com/office/drawing/2014/main" id="{9393C04E-587F-4314-AC97-CE8FFAEFA61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3" name="Text Box 15">
          <a:extLst>
            <a:ext uri="{FF2B5EF4-FFF2-40B4-BE49-F238E27FC236}">
              <a16:creationId xmlns:a16="http://schemas.microsoft.com/office/drawing/2014/main" id="{06D91A83-0B89-4A6D-AE4A-99FEA4AB07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4" name="Text Box 15">
          <a:extLst>
            <a:ext uri="{FF2B5EF4-FFF2-40B4-BE49-F238E27FC236}">
              <a16:creationId xmlns:a16="http://schemas.microsoft.com/office/drawing/2014/main" id="{578C3B9B-D826-46F9-AB39-5A882561D0F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5" name="Text Box 15">
          <a:extLst>
            <a:ext uri="{FF2B5EF4-FFF2-40B4-BE49-F238E27FC236}">
              <a16:creationId xmlns:a16="http://schemas.microsoft.com/office/drawing/2014/main" id="{B485335F-70DF-49F4-9B8B-4BDAE91FC4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6" name="Text Box 15">
          <a:extLst>
            <a:ext uri="{FF2B5EF4-FFF2-40B4-BE49-F238E27FC236}">
              <a16:creationId xmlns:a16="http://schemas.microsoft.com/office/drawing/2014/main" id="{F49AAAAB-95B8-4719-A8A4-FA22D71832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7" name="Text Box 15">
          <a:extLst>
            <a:ext uri="{FF2B5EF4-FFF2-40B4-BE49-F238E27FC236}">
              <a16:creationId xmlns:a16="http://schemas.microsoft.com/office/drawing/2014/main" id="{504BAC1F-7BE2-4553-A7CF-63B376F163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8" name="Text Box 15">
          <a:extLst>
            <a:ext uri="{FF2B5EF4-FFF2-40B4-BE49-F238E27FC236}">
              <a16:creationId xmlns:a16="http://schemas.microsoft.com/office/drawing/2014/main" id="{23B13BBB-EF4F-4225-B4C6-E2CA39DD4C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9" name="Text Box 15">
          <a:extLst>
            <a:ext uri="{FF2B5EF4-FFF2-40B4-BE49-F238E27FC236}">
              <a16:creationId xmlns:a16="http://schemas.microsoft.com/office/drawing/2014/main" id="{0D1DB01E-D879-42ED-9944-65FAE82685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0" name="Text Box 15">
          <a:extLst>
            <a:ext uri="{FF2B5EF4-FFF2-40B4-BE49-F238E27FC236}">
              <a16:creationId xmlns:a16="http://schemas.microsoft.com/office/drawing/2014/main" id="{0FD284E9-AFC5-4B78-9E83-1D74DB1EA7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1" name="Text Box 15">
          <a:extLst>
            <a:ext uri="{FF2B5EF4-FFF2-40B4-BE49-F238E27FC236}">
              <a16:creationId xmlns:a16="http://schemas.microsoft.com/office/drawing/2014/main" id="{95FA2534-9E4A-450A-93C6-E8AD7D52F0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2" name="Text Box 15">
          <a:extLst>
            <a:ext uri="{FF2B5EF4-FFF2-40B4-BE49-F238E27FC236}">
              <a16:creationId xmlns:a16="http://schemas.microsoft.com/office/drawing/2014/main" id="{41CA5800-9E4E-489C-978A-63720FA1A8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3" name="Text Box 15">
          <a:extLst>
            <a:ext uri="{FF2B5EF4-FFF2-40B4-BE49-F238E27FC236}">
              <a16:creationId xmlns:a16="http://schemas.microsoft.com/office/drawing/2014/main" id="{B789DE1F-61C5-4A41-A866-019CDC816C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4" name="Text Box 15">
          <a:extLst>
            <a:ext uri="{FF2B5EF4-FFF2-40B4-BE49-F238E27FC236}">
              <a16:creationId xmlns:a16="http://schemas.microsoft.com/office/drawing/2014/main" id="{876ACA0F-AFE0-4A37-9DBB-19A9D91FA3D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5" name="Text Box 15">
          <a:extLst>
            <a:ext uri="{FF2B5EF4-FFF2-40B4-BE49-F238E27FC236}">
              <a16:creationId xmlns:a16="http://schemas.microsoft.com/office/drawing/2014/main" id="{228EE7BD-B64A-4CC6-AFE4-05212D11F5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6" name="Text Box 15">
          <a:extLst>
            <a:ext uri="{FF2B5EF4-FFF2-40B4-BE49-F238E27FC236}">
              <a16:creationId xmlns:a16="http://schemas.microsoft.com/office/drawing/2014/main" id="{32F6EDEF-5F60-4C12-8DB5-5DD02A7E9C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7" name="Text Box 15">
          <a:extLst>
            <a:ext uri="{FF2B5EF4-FFF2-40B4-BE49-F238E27FC236}">
              <a16:creationId xmlns:a16="http://schemas.microsoft.com/office/drawing/2014/main" id="{AA236E1F-BD6D-48DD-A702-6271B94576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8" name="Text Box 15">
          <a:extLst>
            <a:ext uri="{FF2B5EF4-FFF2-40B4-BE49-F238E27FC236}">
              <a16:creationId xmlns:a16="http://schemas.microsoft.com/office/drawing/2014/main" id="{0795D5C3-41A1-47C2-BBD9-880E001F81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9" name="Text Box 15">
          <a:extLst>
            <a:ext uri="{FF2B5EF4-FFF2-40B4-BE49-F238E27FC236}">
              <a16:creationId xmlns:a16="http://schemas.microsoft.com/office/drawing/2014/main" id="{A2A0EF7E-ADBC-4828-9484-FA244CC5C0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0" name="Text Box 15">
          <a:extLst>
            <a:ext uri="{FF2B5EF4-FFF2-40B4-BE49-F238E27FC236}">
              <a16:creationId xmlns:a16="http://schemas.microsoft.com/office/drawing/2014/main" id="{BB7E2D98-4682-4561-AA6D-7281EC9661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1" name="Text Box 15">
          <a:extLst>
            <a:ext uri="{FF2B5EF4-FFF2-40B4-BE49-F238E27FC236}">
              <a16:creationId xmlns:a16="http://schemas.microsoft.com/office/drawing/2014/main" id="{AFDE405E-C2A7-4E4C-BB71-56623DDC72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2" name="Text Box 15">
          <a:extLst>
            <a:ext uri="{FF2B5EF4-FFF2-40B4-BE49-F238E27FC236}">
              <a16:creationId xmlns:a16="http://schemas.microsoft.com/office/drawing/2014/main" id="{56021050-99D9-409D-A801-901C761875D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3" name="Text Box 15">
          <a:extLst>
            <a:ext uri="{FF2B5EF4-FFF2-40B4-BE49-F238E27FC236}">
              <a16:creationId xmlns:a16="http://schemas.microsoft.com/office/drawing/2014/main" id="{465F098A-7BEA-4C8C-A758-5DA6E73763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4" name="Text Box 15">
          <a:extLst>
            <a:ext uri="{FF2B5EF4-FFF2-40B4-BE49-F238E27FC236}">
              <a16:creationId xmlns:a16="http://schemas.microsoft.com/office/drawing/2014/main" id="{72398539-49B0-421E-943F-76FE533D28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5" name="Text Box 15">
          <a:extLst>
            <a:ext uri="{FF2B5EF4-FFF2-40B4-BE49-F238E27FC236}">
              <a16:creationId xmlns:a16="http://schemas.microsoft.com/office/drawing/2014/main" id="{78D32577-CC97-452C-9B9B-AC184D212A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6" name="Text Box 15">
          <a:extLst>
            <a:ext uri="{FF2B5EF4-FFF2-40B4-BE49-F238E27FC236}">
              <a16:creationId xmlns:a16="http://schemas.microsoft.com/office/drawing/2014/main" id="{ECDFF094-0922-4D40-9924-27E86077083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7" name="Text Box 15">
          <a:extLst>
            <a:ext uri="{FF2B5EF4-FFF2-40B4-BE49-F238E27FC236}">
              <a16:creationId xmlns:a16="http://schemas.microsoft.com/office/drawing/2014/main" id="{884765F4-C446-471C-9B4B-D1CCD3BFD2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8" name="Text Box 15">
          <a:extLst>
            <a:ext uri="{FF2B5EF4-FFF2-40B4-BE49-F238E27FC236}">
              <a16:creationId xmlns:a16="http://schemas.microsoft.com/office/drawing/2014/main" id="{97075332-E23B-450D-ACFD-C4375A0AA3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9" name="Text Box 15">
          <a:extLst>
            <a:ext uri="{FF2B5EF4-FFF2-40B4-BE49-F238E27FC236}">
              <a16:creationId xmlns:a16="http://schemas.microsoft.com/office/drawing/2014/main" id="{0ADF4F1E-583C-4D2E-82DA-62785538B2A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0" name="Text Box 15">
          <a:extLst>
            <a:ext uri="{FF2B5EF4-FFF2-40B4-BE49-F238E27FC236}">
              <a16:creationId xmlns:a16="http://schemas.microsoft.com/office/drawing/2014/main" id="{56BF36A1-B46F-4FC9-A388-2081E4905E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1" name="Text Box 15">
          <a:extLst>
            <a:ext uri="{FF2B5EF4-FFF2-40B4-BE49-F238E27FC236}">
              <a16:creationId xmlns:a16="http://schemas.microsoft.com/office/drawing/2014/main" id="{B2AB0B43-625A-496A-89DE-A3BA1DD1E4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2" name="Text Box 15">
          <a:extLst>
            <a:ext uri="{FF2B5EF4-FFF2-40B4-BE49-F238E27FC236}">
              <a16:creationId xmlns:a16="http://schemas.microsoft.com/office/drawing/2014/main" id="{1F8C3BFB-58CC-4DC9-9487-8244DB4BCC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3" name="Text Box 15">
          <a:extLst>
            <a:ext uri="{FF2B5EF4-FFF2-40B4-BE49-F238E27FC236}">
              <a16:creationId xmlns:a16="http://schemas.microsoft.com/office/drawing/2014/main" id="{7203E192-95C7-4106-9205-56584F5377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4" name="Text Box 15">
          <a:extLst>
            <a:ext uri="{FF2B5EF4-FFF2-40B4-BE49-F238E27FC236}">
              <a16:creationId xmlns:a16="http://schemas.microsoft.com/office/drawing/2014/main" id="{11A61F3F-8D23-4120-B722-57573DAA7B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5" name="Text Box 15">
          <a:extLst>
            <a:ext uri="{FF2B5EF4-FFF2-40B4-BE49-F238E27FC236}">
              <a16:creationId xmlns:a16="http://schemas.microsoft.com/office/drawing/2014/main" id="{FE1A6C14-D422-4D8A-A887-3DDA793797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6" name="Text Box 15">
          <a:extLst>
            <a:ext uri="{FF2B5EF4-FFF2-40B4-BE49-F238E27FC236}">
              <a16:creationId xmlns:a16="http://schemas.microsoft.com/office/drawing/2014/main" id="{E93BB853-3607-4D30-98E6-33A6A94B63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7" name="Text Box 15">
          <a:extLst>
            <a:ext uri="{FF2B5EF4-FFF2-40B4-BE49-F238E27FC236}">
              <a16:creationId xmlns:a16="http://schemas.microsoft.com/office/drawing/2014/main" id="{027B6F36-285F-4311-83F1-A5BD22659D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8" name="Text Box 15">
          <a:extLst>
            <a:ext uri="{FF2B5EF4-FFF2-40B4-BE49-F238E27FC236}">
              <a16:creationId xmlns:a16="http://schemas.microsoft.com/office/drawing/2014/main" id="{C29EADE8-97BD-4C4A-BBF9-D589546E63C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9" name="Text Box 15">
          <a:extLst>
            <a:ext uri="{FF2B5EF4-FFF2-40B4-BE49-F238E27FC236}">
              <a16:creationId xmlns:a16="http://schemas.microsoft.com/office/drawing/2014/main" id="{4AB7F6CE-F400-4913-B278-2696F2CDE4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0" name="Text Box 15">
          <a:extLst>
            <a:ext uri="{FF2B5EF4-FFF2-40B4-BE49-F238E27FC236}">
              <a16:creationId xmlns:a16="http://schemas.microsoft.com/office/drawing/2014/main" id="{6E98CBBB-2362-4CE1-9FBF-191BBCA01F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1" name="Text Box 15">
          <a:extLst>
            <a:ext uri="{FF2B5EF4-FFF2-40B4-BE49-F238E27FC236}">
              <a16:creationId xmlns:a16="http://schemas.microsoft.com/office/drawing/2014/main" id="{E51BE9BC-8739-4304-A285-ED0BBFADA34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2" name="Text Box 15">
          <a:extLst>
            <a:ext uri="{FF2B5EF4-FFF2-40B4-BE49-F238E27FC236}">
              <a16:creationId xmlns:a16="http://schemas.microsoft.com/office/drawing/2014/main" id="{ED3F30D9-27CE-479C-9CC0-EF1D3B51C5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3" name="Text Box 15">
          <a:extLst>
            <a:ext uri="{FF2B5EF4-FFF2-40B4-BE49-F238E27FC236}">
              <a16:creationId xmlns:a16="http://schemas.microsoft.com/office/drawing/2014/main" id="{27017BD3-6967-474C-BAD8-451272953E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4" name="Text Box 15">
          <a:extLst>
            <a:ext uri="{FF2B5EF4-FFF2-40B4-BE49-F238E27FC236}">
              <a16:creationId xmlns:a16="http://schemas.microsoft.com/office/drawing/2014/main" id="{F35972F4-0C1C-4767-AB02-B9C72CCB583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5" name="Text Box 15">
          <a:extLst>
            <a:ext uri="{FF2B5EF4-FFF2-40B4-BE49-F238E27FC236}">
              <a16:creationId xmlns:a16="http://schemas.microsoft.com/office/drawing/2014/main" id="{8B9B7564-8BCE-4F72-8865-EC15DF33D0D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6" name="Text Box 15">
          <a:extLst>
            <a:ext uri="{FF2B5EF4-FFF2-40B4-BE49-F238E27FC236}">
              <a16:creationId xmlns:a16="http://schemas.microsoft.com/office/drawing/2014/main" id="{451A2B41-C4C0-46CC-A5B5-C111C481451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7" name="Text Box 15">
          <a:extLst>
            <a:ext uri="{FF2B5EF4-FFF2-40B4-BE49-F238E27FC236}">
              <a16:creationId xmlns:a16="http://schemas.microsoft.com/office/drawing/2014/main" id="{5F5E4B68-63FE-4C8F-BAB6-EC42D4F77F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8" name="Text Box 15">
          <a:extLst>
            <a:ext uri="{FF2B5EF4-FFF2-40B4-BE49-F238E27FC236}">
              <a16:creationId xmlns:a16="http://schemas.microsoft.com/office/drawing/2014/main" id="{5C83CB2E-10B6-44D9-BEE0-8FB7913AAA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9" name="Text Box 15">
          <a:extLst>
            <a:ext uri="{FF2B5EF4-FFF2-40B4-BE49-F238E27FC236}">
              <a16:creationId xmlns:a16="http://schemas.microsoft.com/office/drawing/2014/main" id="{A5172BC7-0426-4137-9B0F-A045D0FAFE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0" name="Text Box 15">
          <a:extLst>
            <a:ext uri="{FF2B5EF4-FFF2-40B4-BE49-F238E27FC236}">
              <a16:creationId xmlns:a16="http://schemas.microsoft.com/office/drawing/2014/main" id="{BBF49EAC-D213-4A34-B835-0E8694FCA9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1" name="Text Box 15">
          <a:extLst>
            <a:ext uri="{FF2B5EF4-FFF2-40B4-BE49-F238E27FC236}">
              <a16:creationId xmlns:a16="http://schemas.microsoft.com/office/drawing/2014/main" id="{3E55688F-336D-4FBF-8E46-24ED180044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2" name="Text Box 15">
          <a:extLst>
            <a:ext uri="{FF2B5EF4-FFF2-40B4-BE49-F238E27FC236}">
              <a16:creationId xmlns:a16="http://schemas.microsoft.com/office/drawing/2014/main" id="{8B7EFBF9-466D-42D7-AEDE-BC2AB80FAA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3" name="Text Box 15">
          <a:extLst>
            <a:ext uri="{FF2B5EF4-FFF2-40B4-BE49-F238E27FC236}">
              <a16:creationId xmlns:a16="http://schemas.microsoft.com/office/drawing/2014/main" id="{F120E76B-72F0-433F-83FB-2F08C0BEBE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4" name="Text Box 15">
          <a:extLst>
            <a:ext uri="{FF2B5EF4-FFF2-40B4-BE49-F238E27FC236}">
              <a16:creationId xmlns:a16="http://schemas.microsoft.com/office/drawing/2014/main" id="{AD12C601-F5D3-4383-BD1E-BDD4484819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5" name="Text Box 15">
          <a:extLst>
            <a:ext uri="{FF2B5EF4-FFF2-40B4-BE49-F238E27FC236}">
              <a16:creationId xmlns:a16="http://schemas.microsoft.com/office/drawing/2014/main" id="{E6E008D3-68A7-4BBA-9060-0A87EFAB0B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6" name="Text Box 15">
          <a:extLst>
            <a:ext uri="{FF2B5EF4-FFF2-40B4-BE49-F238E27FC236}">
              <a16:creationId xmlns:a16="http://schemas.microsoft.com/office/drawing/2014/main" id="{FB2BE33F-BECA-457E-9475-08C7664447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7" name="Text Box 15">
          <a:extLst>
            <a:ext uri="{FF2B5EF4-FFF2-40B4-BE49-F238E27FC236}">
              <a16:creationId xmlns:a16="http://schemas.microsoft.com/office/drawing/2014/main" id="{5591BEF7-8605-4FD0-9AE9-292EC1661D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8" name="Text Box 15">
          <a:extLst>
            <a:ext uri="{FF2B5EF4-FFF2-40B4-BE49-F238E27FC236}">
              <a16:creationId xmlns:a16="http://schemas.microsoft.com/office/drawing/2014/main" id="{7A08DA75-F667-4FF7-9BB1-8B34D10746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9" name="Text Box 15">
          <a:extLst>
            <a:ext uri="{FF2B5EF4-FFF2-40B4-BE49-F238E27FC236}">
              <a16:creationId xmlns:a16="http://schemas.microsoft.com/office/drawing/2014/main" id="{C813FCDD-F136-4818-BDBC-45D3134D39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0" name="Text Box 15">
          <a:extLst>
            <a:ext uri="{FF2B5EF4-FFF2-40B4-BE49-F238E27FC236}">
              <a16:creationId xmlns:a16="http://schemas.microsoft.com/office/drawing/2014/main" id="{8E8F458C-B527-411C-94BD-4A5C6174FC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1" name="Text Box 15">
          <a:extLst>
            <a:ext uri="{FF2B5EF4-FFF2-40B4-BE49-F238E27FC236}">
              <a16:creationId xmlns:a16="http://schemas.microsoft.com/office/drawing/2014/main" id="{0A076639-4852-4D4C-9352-8379AEE9185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2" name="Text Box 15">
          <a:extLst>
            <a:ext uri="{FF2B5EF4-FFF2-40B4-BE49-F238E27FC236}">
              <a16:creationId xmlns:a16="http://schemas.microsoft.com/office/drawing/2014/main" id="{7DB467A6-9FE8-42D4-B92A-CDFF347521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3" name="Text Box 15">
          <a:extLst>
            <a:ext uri="{FF2B5EF4-FFF2-40B4-BE49-F238E27FC236}">
              <a16:creationId xmlns:a16="http://schemas.microsoft.com/office/drawing/2014/main" id="{64CD94DC-7C87-45DE-8E33-44BDFA56A1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4" name="Text Box 15">
          <a:extLst>
            <a:ext uri="{FF2B5EF4-FFF2-40B4-BE49-F238E27FC236}">
              <a16:creationId xmlns:a16="http://schemas.microsoft.com/office/drawing/2014/main" id="{F6CFD06D-0B8E-407E-8F17-CC2D05CF803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5" name="Text Box 15">
          <a:extLst>
            <a:ext uri="{FF2B5EF4-FFF2-40B4-BE49-F238E27FC236}">
              <a16:creationId xmlns:a16="http://schemas.microsoft.com/office/drawing/2014/main" id="{9B380301-E123-45D5-99CC-11B31BAAA1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6" name="Text Box 15">
          <a:extLst>
            <a:ext uri="{FF2B5EF4-FFF2-40B4-BE49-F238E27FC236}">
              <a16:creationId xmlns:a16="http://schemas.microsoft.com/office/drawing/2014/main" id="{FEF5EFF2-46CE-4640-BA15-546B5B9F63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7" name="Text Box 15">
          <a:extLst>
            <a:ext uri="{FF2B5EF4-FFF2-40B4-BE49-F238E27FC236}">
              <a16:creationId xmlns:a16="http://schemas.microsoft.com/office/drawing/2014/main" id="{866D1098-69F2-4232-83DB-653937BAEB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8" name="Text Box 15">
          <a:extLst>
            <a:ext uri="{FF2B5EF4-FFF2-40B4-BE49-F238E27FC236}">
              <a16:creationId xmlns:a16="http://schemas.microsoft.com/office/drawing/2014/main" id="{D4A51A2B-612B-4830-A457-2381ACECDC1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9" name="Text Box 15">
          <a:extLst>
            <a:ext uri="{FF2B5EF4-FFF2-40B4-BE49-F238E27FC236}">
              <a16:creationId xmlns:a16="http://schemas.microsoft.com/office/drawing/2014/main" id="{E5C4CB52-D7C9-4AFD-9C9B-92ECB6355E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0" name="Text Box 15">
          <a:extLst>
            <a:ext uri="{FF2B5EF4-FFF2-40B4-BE49-F238E27FC236}">
              <a16:creationId xmlns:a16="http://schemas.microsoft.com/office/drawing/2014/main" id="{F24A067D-9071-417A-9376-3F8BA37A7D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1" name="Text Box 15">
          <a:extLst>
            <a:ext uri="{FF2B5EF4-FFF2-40B4-BE49-F238E27FC236}">
              <a16:creationId xmlns:a16="http://schemas.microsoft.com/office/drawing/2014/main" id="{84F468F3-ECDB-4936-9984-EF38B503E6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2" name="Text Box 15">
          <a:extLst>
            <a:ext uri="{FF2B5EF4-FFF2-40B4-BE49-F238E27FC236}">
              <a16:creationId xmlns:a16="http://schemas.microsoft.com/office/drawing/2014/main" id="{EFA776C5-A7F6-40AF-80F3-F2530CCDE8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3" name="Text Box 15">
          <a:extLst>
            <a:ext uri="{FF2B5EF4-FFF2-40B4-BE49-F238E27FC236}">
              <a16:creationId xmlns:a16="http://schemas.microsoft.com/office/drawing/2014/main" id="{745D8D6C-EE31-44D7-91FC-6A23096FFFA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4" name="Text Box 15">
          <a:extLst>
            <a:ext uri="{FF2B5EF4-FFF2-40B4-BE49-F238E27FC236}">
              <a16:creationId xmlns:a16="http://schemas.microsoft.com/office/drawing/2014/main" id="{3BDCB972-E6E2-49F0-9064-D5F6CAF763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5" name="Text Box 15">
          <a:extLst>
            <a:ext uri="{FF2B5EF4-FFF2-40B4-BE49-F238E27FC236}">
              <a16:creationId xmlns:a16="http://schemas.microsoft.com/office/drawing/2014/main" id="{4D9D491C-AE9D-4637-9996-7283E39885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6" name="Text Box 15">
          <a:extLst>
            <a:ext uri="{FF2B5EF4-FFF2-40B4-BE49-F238E27FC236}">
              <a16:creationId xmlns:a16="http://schemas.microsoft.com/office/drawing/2014/main" id="{B0B71140-8DF7-41D2-9994-C3C647D0C6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7" name="Text Box 15">
          <a:extLst>
            <a:ext uri="{FF2B5EF4-FFF2-40B4-BE49-F238E27FC236}">
              <a16:creationId xmlns:a16="http://schemas.microsoft.com/office/drawing/2014/main" id="{022FE4DB-5C4D-49A0-8202-78A0BA3B4E4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8" name="Text Box 15">
          <a:extLst>
            <a:ext uri="{FF2B5EF4-FFF2-40B4-BE49-F238E27FC236}">
              <a16:creationId xmlns:a16="http://schemas.microsoft.com/office/drawing/2014/main" id="{BA4C757A-60BA-4ECD-9828-F384B5B554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9" name="Text Box 15">
          <a:extLst>
            <a:ext uri="{FF2B5EF4-FFF2-40B4-BE49-F238E27FC236}">
              <a16:creationId xmlns:a16="http://schemas.microsoft.com/office/drawing/2014/main" id="{7D8C7DC0-6BEE-4708-8A08-FC4383724BB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0" name="Text Box 15">
          <a:extLst>
            <a:ext uri="{FF2B5EF4-FFF2-40B4-BE49-F238E27FC236}">
              <a16:creationId xmlns:a16="http://schemas.microsoft.com/office/drawing/2014/main" id="{4779CA26-9BEC-4DF7-8677-6E792C32F9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1" name="Text Box 15">
          <a:extLst>
            <a:ext uri="{FF2B5EF4-FFF2-40B4-BE49-F238E27FC236}">
              <a16:creationId xmlns:a16="http://schemas.microsoft.com/office/drawing/2014/main" id="{822F15DB-B8BE-4F39-BC82-3C87140010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2" name="Text Box 15">
          <a:extLst>
            <a:ext uri="{FF2B5EF4-FFF2-40B4-BE49-F238E27FC236}">
              <a16:creationId xmlns:a16="http://schemas.microsoft.com/office/drawing/2014/main" id="{69A3D756-5738-4334-97EB-9648A7554E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3" name="Text Box 15">
          <a:extLst>
            <a:ext uri="{FF2B5EF4-FFF2-40B4-BE49-F238E27FC236}">
              <a16:creationId xmlns:a16="http://schemas.microsoft.com/office/drawing/2014/main" id="{6E61F5B4-8C8A-4B92-ABD6-535DCFE2A2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4" name="Text Box 15">
          <a:extLst>
            <a:ext uri="{FF2B5EF4-FFF2-40B4-BE49-F238E27FC236}">
              <a16:creationId xmlns:a16="http://schemas.microsoft.com/office/drawing/2014/main" id="{87E4EAF1-2E58-4A26-9E32-C98233A376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5" name="Text Box 15">
          <a:extLst>
            <a:ext uri="{FF2B5EF4-FFF2-40B4-BE49-F238E27FC236}">
              <a16:creationId xmlns:a16="http://schemas.microsoft.com/office/drawing/2014/main" id="{772EDC6D-7E54-4781-BF77-F92F814006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6" name="Text Box 15">
          <a:extLst>
            <a:ext uri="{FF2B5EF4-FFF2-40B4-BE49-F238E27FC236}">
              <a16:creationId xmlns:a16="http://schemas.microsoft.com/office/drawing/2014/main" id="{B7DF8D05-B57C-4916-BEB8-94AB34BF64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7" name="Text Box 15">
          <a:extLst>
            <a:ext uri="{FF2B5EF4-FFF2-40B4-BE49-F238E27FC236}">
              <a16:creationId xmlns:a16="http://schemas.microsoft.com/office/drawing/2014/main" id="{20F93E00-052C-454F-8116-DB27E20C08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8" name="Text Box 15">
          <a:extLst>
            <a:ext uri="{FF2B5EF4-FFF2-40B4-BE49-F238E27FC236}">
              <a16:creationId xmlns:a16="http://schemas.microsoft.com/office/drawing/2014/main" id="{FEE61F08-10C4-43DA-8EA1-6DD90E33599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9" name="Text Box 15">
          <a:extLst>
            <a:ext uri="{FF2B5EF4-FFF2-40B4-BE49-F238E27FC236}">
              <a16:creationId xmlns:a16="http://schemas.microsoft.com/office/drawing/2014/main" id="{3BE1286D-4373-45AE-AB49-7801D8FD47D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0" name="Text Box 15">
          <a:extLst>
            <a:ext uri="{FF2B5EF4-FFF2-40B4-BE49-F238E27FC236}">
              <a16:creationId xmlns:a16="http://schemas.microsoft.com/office/drawing/2014/main" id="{B15D4F23-35FC-4148-974E-F655889AF5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1" name="Text Box 15">
          <a:extLst>
            <a:ext uri="{FF2B5EF4-FFF2-40B4-BE49-F238E27FC236}">
              <a16:creationId xmlns:a16="http://schemas.microsoft.com/office/drawing/2014/main" id="{95E9E043-15C6-4A48-B6B4-4F1503CCF4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2" name="Text Box 15">
          <a:extLst>
            <a:ext uri="{FF2B5EF4-FFF2-40B4-BE49-F238E27FC236}">
              <a16:creationId xmlns:a16="http://schemas.microsoft.com/office/drawing/2014/main" id="{BB507077-AC34-40CF-8EC4-95EA00EC67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3" name="Text Box 15">
          <a:extLst>
            <a:ext uri="{FF2B5EF4-FFF2-40B4-BE49-F238E27FC236}">
              <a16:creationId xmlns:a16="http://schemas.microsoft.com/office/drawing/2014/main" id="{24FAC125-C729-4B87-8338-048B549AEF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4" name="Text Box 15">
          <a:extLst>
            <a:ext uri="{FF2B5EF4-FFF2-40B4-BE49-F238E27FC236}">
              <a16:creationId xmlns:a16="http://schemas.microsoft.com/office/drawing/2014/main" id="{75DD6781-9CA1-475B-BBDD-1F81C484F9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5" name="Text Box 15">
          <a:extLst>
            <a:ext uri="{FF2B5EF4-FFF2-40B4-BE49-F238E27FC236}">
              <a16:creationId xmlns:a16="http://schemas.microsoft.com/office/drawing/2014/main" id="{B988416C-83DE-45CE-A934-2232C64045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6" name="Text Box 15">
          <a:extLst>
            <a:ext uri="{FF2B5EF4-FFF2-40B4-BE49-F238E27FC236}">
              <a16:creationId xmlns:a16="http://schemas.microsoft.com/office/drawing/2014/main" id="{27F55B4C-A6B3-4257-B866-8C7B364CE5F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7" name="Text Box 15">
          <a:extLst>
            <a:ext uri="{FF2B5EF4-FFF2-40B4-BE49-F238E27FC236}">
              <a16:creationId xmlns:a16="http://schemas.microsoft.com/office/drawing/2014/main" id="{FF0E5D2A-F65C-49FC-A58D-7F5F675BE3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8" name="Text Box 15">
          <a:extLst>
            <a:ext uri="{FF2B5EF4-FFF2-40B4-BE49-F238E27FC236}">
              <a16:creationId xmlns:a16="http://schemas.microsoft.com/office/drawing/2014/main" id="{25BBB7B8-620A-41EC-AA9D-89989D0C7C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9" name="Text Box 15">
          <a:extLst>
            <a:ext uri="{FF2B5EF4-FFF2-40B4-BE49-F238E27FC236}">
              <a16:creationId xmlns:a16="http://schemas.microsoft.com/office/drawing/2014/main" id="{10FDB77A-ACB0-49D7-81E2-A0C6553A88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0" name="Text Box 15">
          <a:extLst>
            <a:ext uri="{FF2B5EF4-FFF2-40B4-BE49-F238E27FC236}">
              <a16:creationId xmlns:a16="http://schemas.microsoft.com/office/drawing/2014/main" id="{1055005F-7A74-4FBA-B529-0944D9F57C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1" name="Text Box 15">
          <a:extLst>
            <a:ext uri="{FF2B5EF4-FFF2-40B4-BE49-F238E27FC236}">
              <a16:creationId xmlns:a16="http://schemas.microsoft.com/office/drawing/2014/main" id="{23F199CC-8617-42B1-8B02-5B360C584B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2" name="Text Box 15">
          <a:extLst>
            <a:ext uri="{FF2B5EF4-FFF2-40B4-BE49-F238E27FC236}">
              <a16:creationId xmlns:a16="http://schemas.microsoft.com/office/drawing/2014/main" id="{123F0F08-CCD9-4271-AB64-8474A93A67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3" name="Text Box 15">
          <a:extLst>
            <a:ext uri="{FF2B5EF4-FFF2-40B4-BE49-F238E27FC236}">
              <a16:creationId xmlns:a16="http://schemas.microsoft.com/office/drawing/2014/main" id="{BE8E4E68-C348-4044-8181-A8AAD20F18A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4" name="Text Box 15">
          <a:extLst>
            <a:ext uri="{FF2B5EF4-FFF2-40B4-BE49-F238E27FC236}">
              <a16:creationId xmlns:a16="http://schemas.microsoft.com/office/drawing/2014/main" id="{C5BE8A01-7D4E-4D41-9C62-65EAF94F20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5" name="Text Box 15">
          <a:extLst>
            <a:ext uri="{FF2B5EF4-FFF2-40B4-BE49-F238E27FC236}">
              <a16:creationId xmlns:a16="http://schemas.microsoft.com/office/drawing/2014/main" id="{50AD970B-1FE9-4812-9772-1406EC3EE3D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6" name="Text Box 15">
          <a:extLst>
            <a:ext uri="{FF2B5EF4-FFF2-40B4-BE49-F238E27FC236}">
              <a16:creationId xmlns:a16="http://schemas.microsoft.com/office/drawing/2014/main" id="{2C7D048E-F3FE-4811-BD7F-133FDA013A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7" name="Text Box 15">
          <a:extLst>
            <a:ext uri="{FF2B5EF4-FFF2-40B4-BE49-F238E27FC236}">
              <a16:creationId xmlns:a16="http://schemas.microsoft.com/office/drawing/2014/main" id="{B331D6D0-1E3D-4D8D-8F6B-9BACFC5A56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8" name="Text Box 15">
          <a:extLst>
            <a:ext uri="{FF2B5EF4-FFF2-40B4-BE49-F238E27FC236}">
              <a16:creationId xmlns:a16="http://schemas.microsoft.com/office/drawing/2014/main" id="{6F4B17E4-8E7D-4369-8040-6D484C35EF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9" name="Text Box 15">
          <a:extLst>
            <a:ext uri="{FF2B5EF4-FFF2-40B4-BE49-F238E27FC236}">
              <a16:creationId xmlns:a16="http://schemas.microsoft.com/office/drawing/2014/main" id="{325F133E-29D8-467C-97E1-0C7102485A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0" name="Text Box 15">
          <a:extLst>
            <a:ext uri="{FF2B5EF4-FFF2-40B4-BE49-F238E27FC236}">
              <a16:creationId xmlns:a16="http://schemas.microsoft.com/office/drawing/2014/main" id="{7C753440-6263-4A8A-BE52-F09EFE738B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1" name="Text Box 15">
          <a:extLst>
            <a:ext uri="{FF2B5EF4-FFF2-40B4-BE49-F238E27FC236}">
              <a16:creationId xmlns:a16="http://schemas.microsoft.com/office/drawing/2014/main" id="{ADC79AFB-13EB-49B6-B7A1-4AA33512EF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2" name="Text Box 15">
          <a:extLst>
            <a:ext uri="{FF2B5EF4-FFF2-40B4-BE49-F238E27FC236}">
              <a16:creationId xmlns:a16="http://schemas.microsoft.com/office/drawing/2014/main" id="{AE2D67DD-D593-4A3F-854C-71CECCD69E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3" name="Text Box 15">
          <a:extLst>
            <a:ext uri="{FF2B5EF4-FFF2-40B4-BE49-F238E27FC236}">
              <a16:creationId xmlns:a16="http://schemas.microsoft.com/office/drawing/2014/main" id="{A1D42C76-FBC7-438F-AB77-70A4EDF92C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4" name="Text Box 15">
          <a:extLst>
            <a:ext uri="{FF2B5EF4-FFF2-40B4-BE49-F238E27FC236}">
              <a16:creationId xmlns:a16="http://schemas.microsoft.com/office/drawing/2014/main" id="{3358775F-FE61-46A7-8347-43FA1AC67A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5" name="Text Box 15">
          <a:extLst>
            <a:ext uri="{FF2B5EF4-FFF2-40B4-BE49-F238E27FC236}">
              <a16:creationId xmlns:a16="http://schemas.microsoft.com/office/drawing/2014/main" id="{C1A9F958-41EB-4D06-8B99-6838FBAA36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6" name="Text Box 15">
          <a:extLst>
            <a:ext uri="{FF2B5EF4-FFF2-40B4-BE49-F238E27FC236}">
              <a16:creationId xmlns:a16="http://schemas.microsoft.com/office/drawing/2014/main" id="{D2715BD5-0359-4C6D-A958-F6045303BC2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7" name="Text Box 15">
          <a:extLst>
            <a:ext uri="{FF2B5EF4-FFF2-40B4-BE49-F238E27FC236}">
              <a16:creationId xmlns:a16="http://schemas.microsoft.com/office/drawing/2014/main" id="{A2A5BDF5-5A46-4D71-9EE3-2C41EE4F3E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8" name="Text Box 15">
          <a:extLst>
            <a:ext uri="{FF2B5EF4-FFF2-40B4-BE49-F238E27FC236}">
              <a16:creationId xmlns:a16="http://schemas.microsoft.com/office/drawing/2014/main" id="{30711DBA-AF7E-4058-88FD-5D66CD1B995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9" name="Text Box 15">
          <a:extLst>
            <a:ext uri="{FF2B5EF4-FFF2-40B4-BE49-F238E27FC236}">
              <a16:creationId xmlns:a16="http://schemas.microsoft.com/office/drawing/2014/main" id="{F9777B79-21D5-4CBE-9B8B-8D79C816E8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0" name="Text Box 15">
          <a:extLst>
            <a:ext uri="{FF2B5EF4-FFF2-40B4-BE49-F238E27FC236}">
              <a16:creationId xmlns:a16="http://schemas.microsoft.com/office/drawing/2014/main" id="{5EC487DC-B118-437E-BFD6-FCEB6BE5CF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1" name="Text Box 15">
          <a:extLst>
            <a:ext uri="{FF2B5EF4-FFF2-40B4-BE49-F238E27FC236}">
              <a16:creationId xmlns:a16="http://schemas.microsoft.com/office/drawing/2014/main" id="{BCCAF273-71D7-415A-991F-D9D670DCF0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2" name="Text Box 15">
          <a:extLst>
            <a:ext uri="{FF2B5EF4-FFF2-40B4-BE49-F238E27FC236}">
              <a16:creationId xmlns:a16="http://schemas.microsoft.com/office/drawing/2014/main" id="{9DB0F562-EC60-4D7C-98C7-880F09641A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3" name="Text Box 15">
          <a:extLst>
            <a:ext uri="{FF2B5EF4-FFF2-40B4-BE49-F238E27FC236}">
              <a16:creationId xmlns:a16="http://schemas.microsoft.com/office/drawing/2014/main" id="{5F327001-56DA-445C-B431-533C5C3C4E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4" name="Text Box 15">
          <a:extLst>
            <a:ext uri="{FF2B5EF4-FFF2-40B4-BE49-F238E27FC236}">
              <a16:creationId xmlns:a16="http://schemas.microsoft.com/office/drawing/2014/main" id="{58C5C4AD-629C-4B75-A60F-8206E7BA8D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5" name="Text Box 15">
          <a:extLst>
            <a:ext uri="{FF2B5EF4-FFF2-40B4-BE49-F238E27FC236}">
              <a16:creationId xmlns:a16="http://schemas.microsoft.com/office/drawing/2014/main" id="{22DB7A47-1547-47C7-B5D8-3B5DD3F249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6" name="Text Box 15">
          <a:extLst>
            <a:ext uri="{FF2B5EF4-FFF2-40B4-BE49-F238E27FC236}">
              <a16:creationId xmlns:a16="http://schemas.microsoft.com/office/drawing/2014/main" id="{4BFF077E-EF23-4E41-B24D-FEA325C7A5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7" name="Text Box 15">
          <a:extLst>
            <a:ext uri="{FF2B5EF4-FFF2-40B4-BE49-F238E27FC236}">
              <a16:creationId xmlns:a16="http://schemas.microsoft.com/office/drawing/2014/main" id="{3045B2AE-E5ED-4E44-BB84-C1EDEE8018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8" name="Text Box 15">
          <a:extLst>
            <a:ext uri="{FF2B5EF4-FFF2-40B4-BE49-F238E27FC236}">
              <a16:creationId xmlns:a16="http://schemas.microsoft.com/office/drawing/2014/main" id="{D073D7ED-24CB-468B-B0B8-D9B24EEB2D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9" name="Text Box 15">
          <a:extLst>
            <a:ext uri="{FF2B5EF4-FFF2-40B4-BE49-F238E27FC236}">
              <a16:creationId xmlns:a16="http://schemas.microsoft.com/office/drawing/2014/main" id="{042DEB83-C52C-4988-9B2A-6CE681B324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0" name="Text Box 15">
          <a:extLst>
            <a:ext uri="{FF2B5EF4-FFF2-40B4-BE49-F238E27FC236}">
              <a16:creationId xmlns:a16="http://schemas.microsoft.com/office/drawing/2014/main" id="{4F8C71D5-C3F5-480D-9447-47E6F53573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1" name="Text Box 15">
          <a:extLst>
            <a:ext uri="{FF2B5EF4-FFF2-40B4-BE49-F238E27FC236}">
              <a16:creationId xmlns:a16="http://schemas.microsoft.com/office/drawing/2014/main" id="{7249CF3F-5ADD-4ECA-A38C-B7E62273C9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2" name="Text Box 15">
          <a:extLst>
            <a:ext uri="{FF2B5EF4-FFF2-40B4-BE49-F238E27FC236}">
              <a16:creationId xmlns:a16="http://schemas.microsoft.com/office/drawing/2014/main" id="{63AE5819-4DFA-4E67-8866-55B8D9EB12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3" name="Text Box 15">
          <a:extLst>
            <a:ext uri="{FF2B5EF4-FFF2-40B4-BE49-F238E27FC236}">
              <a16:creationId xmlns:a16="http://schemas.microsoft.com/office/drawing/2014/main" id="{2458B054-551B-4605-9ED3-6BE0AA2EE2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4" name="Text Box 15">
          <a:extLst>
            <a:ext uri="{FF2B5EF4-FFF2-40B4-BE49-F238E27FC236}">
              <a16:creationId xmlns:a16="http://schemas.microsoft.com/office/drawing/2014/main" id="{CA3F901F-C031-44C8-AC08-1DE570D180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5" name="Text Box 15">
          <a:extLst>
            <a:ext uri="{FF2B5EF4-FFF2-40B4-BE49-F238E27FC236}">
              <a16:creationId xmlns:a16="http://schemas.microsoft.com/office/drawing/2014/main" id="{D0E71A97-071E-4946-8D88-7918EC87C7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6" name="Text Box 15">
          <a:extLst>
            <a:ext uri="{FF2B5EF4-FFF2-40B4-BE49-F238E27FC236}">
              <a16:creationId xmlns:a16="http://schemas.microsoft.com/office/drawing/2014/main" id="{AAD19DC6-1200-4A57-B616-7D140AC2DE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7" name="Text Box 15">
          <a:extLst>
            <a:ext uri="{FF2B5EF4-FFF2-40B4-BE49-F238E27FC236}">
              <a16:creationId xmlns:a16="http://schemas.microsoft.com/office/drawing/2014/main" id="{B459D76F-84F5-4A66-BCD7-CFF314F26A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8" name="Text Box 15">
          <a:extLst>
            <a:ext uri="{FF2B5EF4-FFF2-40B4-BE49-F238E27FC236}">
              <a16:creationId xmlns:a16="http://schemas.microsoft.com/office/drawing/2014/main" id="{A14B1272-6DB7-472D-B243-82F6895F34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9" name="Text Box 15">
          <a:extLst>
            <a:ext uri="{FF2B5EF4-FFF2-40B4-BE49-F238E27FC236}">
              <a16:creationId xmlns:a16="http://schemas.microsoft.com/office/drawing/2014/main" id="{9E2B9D82-4CB8-45D6-B547-F92E4D325C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0" name="Text Box 15">
          <a:extLst>
            <a:ext uri="{FF2B5EF4-FFF2-40B4-BE49-F238E27FC236}">
              <a16:creationId xmlns:a16="http://schemas.microsoft.com/office/drawing/2014/main" id="{6806845C-EF08-4EB9-80A1-5992EDE011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1" name="Text Box 15">
          <a:extLst>
            <a:ext uri="{FF2B5EF4-FFF2-40B4-BE49-F238E27FC236}">
              <a16:creationId xmlns:a16="http://schemas.microsoft.com/office/drawing/2014/main" id="{EBD4E9F8-E5FA-41C7-8726-F1B0E4E0167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2" name="Text Box 15">
          <a:extLst>
            <a:ext uri="{FF2B5EF4-FFF2-40B4-BE49-F238E27FC236}">
              <a16:creationId xmlns:a16="http://schemas.microsoft.com/office/drawing/2014/main" id="{1EDE96C8-BA76-4F63-A378-2847E5AA04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3" name="Text Box 15">
          <a:extLst>
            <a:ext uri="{FF2B5EF4-FFF2-40B4-BE49-F238E27FC236}">
              <a16:creationId xmlns:a16="http://schemas.microsoft.com/office/drawing/2014/main" id="{3DA746A4-F8D0-41AE-953F-C1FFA9C70F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4" name="Text Box 15">
          <a:extLst>
            <a:ext uri="{FF2B5EF4-FFF2-40B4-BE49-F238E27FC236}">
              <a16:creationId xmlns:a16="http://schemas.microsoft.com/office/drawing/2014/main" id="{B57DEF1C-D002-4BA7-8A6D-AE86B15438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5" name="Text Box 15">
          <a:extLst>
            <a:ext uri="{FF2B5EF4-FFF2-40B4-BE49-F238E27FC236}">
              <a16:creationId xmlns:a16="http://schemas.microsoft.com/office/drawing/2014/main" id="{568A1E7D-E73C-44F3-8A9E-AF21E8FAF6F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6" name="Text Box 15">
          <a:extLst>
            <a:ext uri="{FF2B5EF4-FFF2-40B4-BE49-F238E27FC236}">
              <a16:creationId xmlns:a16="http://schemas.microsoft.com/office/drawing/2014/main" id="{DE893548-DB0C-4C57-8820-BF8989E545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37" name="Text Box 3">
          <a:extLst>
            <a:ext uri="{FF2B5EF4-FFF2-40B4-BE49-F238E27FC236}">
              <a16:creationId xmlns:a16="http://schemas.microsoft.com/office/drawing/2014/main" id="{BBA96762-7F15-4A5F-B8B1-DF89C5FC906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38" name="Text Box 32">
          <a:extLst>
            <a:ext uri="{FF2B5EF4-FFF2-40B4-BE49-F238E27FC236}">
              <a16:creationId xmlns:a16="http://schemas.microsoft.com/office/drawing/2014/main" id="{4C3ED0A1-FBBD-4F47-BE4D-D98E0756296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39" name="Text Box 3">
          <a:extLst>
            <a:ext uri="{FF2B5EF4-FFF2-40B4-BE49-F238E27FC236}">
              <a16:creationId xmlns:a16="http://schemas.microsoft.com/office/drawing/2014/main" id="{40E345A6-45B4-4186-8F44-02574357B07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40" name="Text Box 63">
          <a:extLst>
            <a:ext uri="{FF2B5EF4-FFF2-40B4-BE49-F238E27FC236}">
              <a16:creationId xmlns:a16="http://schemas.microsoft.com/office/drawing/2014/main" id="{8D9D1434-2C39-436D-B8CD-D727713AF73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41" name="Text Box 3">
          <a:extLst>
            <a:ext uri="{FF2B5EF4-FFF2-40B4-BE49-F238E27FC236}">
              <a16:creationId xmlns:a16="http://schemas.microsoft.com/office/drawing/2014/main" id="{C8E9EA0E-D515-4090-9454-AE3B79BC799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42" name="Text Box 32">
          <a:extLst>
            <a:ext uri="{FF2B5EF4-FFF2-40B4-BE49-F238E27FC236}">
              <a16:creationId xmlns:a16="http://schemas.microsoft.com/office/drawing/2014/main" id="{1ECABE27-130A-4FD8-A778-D6695177601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43" name="Text Box 3">
          <a:extLst>
            <a:ext uri="{FF2B5EF4-FFF2-40B4-BE49-F238E27FC236}">
              <a16:creationId xmlns:a16="http://schemas.microsoft.com/office/drawing/2014/main" id="{3988AF6F-CD9F-4806-AA1B-21413467403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44" name="Text Box 63">
          <a:extLst>
            <a:ext uri="{FF2B5EF4-FFF2-40B4-BE49-F238E27FC236}">
              <a16:creationId xmlns:a16="http://schemas.microsoft.com/office/drawing/2014/main" id="{E962B548-E545-4225-84D4-B39B417F519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45" name="Text Box 3">
          <a:extLst>
            <a:ext uri="{FF2B5EF4-FFF2-40B4-BE49-F238E27FC236}">
              <a16:creationId xmlns:a16="http://schemas.microsoft.com/office/drawing/2014/main" id="{EB27E914-D5A7-43EE-9D4F-44BEFC061AA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46" name="Text Box 32">
          <a:extLst>
            <a:ext uri="{FF2B5EF4-FFF2-40B4-BE49-F238E27FC236}">
              <a16:creationId xmlns:a16="http://schemas.microsoft.com/office/drawing/2014/main" id="{1E5438B8-778E-4F94-B1BE-7DBA61B5BFE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47" name="Text Box 3">
          <a:extLst>
            <a:ext uri="{FF2B5EF4-FFF2-40B4-BE49-F238E27FC236}">
              <a16:creationId xmlns:a16="http://schemas.microsoft.com/office/drawing/2014/main" id="{82CD95D4-2925-44D7-9047-F80028B969B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48" name="Text Box 63">
          <a:extLst>
            <a:ext uri="{FF2B5EF4-FFF2-40B4-BE49-F238E27FC236}">
              <a16:creationId xmlns:a16="http://schemas.microsoft.com/office/drawing/2014/main" id="{77352B69-94B5-4C8D-B616-0F80E0F41DD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49" name="Text Box 3">
          <a:extLst>
            <a:ext uri="{FF2B5EF4-FFF2-40B4-BE49-F238E27FC236}">
              <a16:creationId xmlns:a16="http://schemas.microsoft.com/office/drawing/2014/main" id="{9E013483-B29B-4773-87EC-0DE4C16C1C7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50" name="Text Box 32">
          <a:extLst>
            <a:ext uri="{FF2B5EF4-FFF2-40B4-BE49-F238E27FC236}">
              <a16:creationId xmlns:a16="http://schemas.microsoft.com/office/drawing/2014/main" id="{F8A121E4-1461-42DC-806D-922571627D3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51" name="Text Box 3">
          <a:extLst>
            <a:ext uri="{FF2B5EF4-FFF2-40B4-BE49-F238E27FC236}">
              <a16:creationId xmlns:a16="http://schemas.microsoft.com/office/drawing/2014/main" id="{CD7623B4-DAD1-4574-8216-4802449E37F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52" name="Text Box 63">
          <a:extLst>
            <a:ext uri="{FF2B5EF4-FFF2-40B4-BE49-F238E27FC236}">
              <a16:creationId xmlns:a16="http://schemas.microsoft.com/office/drawing/2014/main" id="{4458F29D-730A-4064-93DF-263B395419A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53" name="Text Box 3">
          <a:extLst>
            <a:ext uri="{FF2B5EF4-FFF2-40B4-BE49-F238E27FC236}">
              <a16:creationId xmlns:a16="http://schemas.microsoft.com/office/drawing/2014/main" id="{1CA15821-6DD3-4217-8329-6934B671F1A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54" name="Text Box 32">
          <a:extLst>
            <a:ext uri="{FF2B5EF4-FFF2-40B4-BE49-F238E27FC236}">
              <a16:creationId xmlns:a16="http://schemas.microsoft.com/office/drawing/2014/main" id="{D30931C9-BAD3-4452-B85F-1324D1822C6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55" name="Text Box 3">
          <a:extLst>
            <a:ext uri="{FF2B5EF4-FFF2-40B4-BE49-F238E27FC236}">
              <a16:creationId xmlns:a16="http://schemas.microsoft.com/office/drawing/2014/main" id="{62FB91EF-4D91-48FD-AA02-086351EBAD7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56" name="Text Box 63">
          <a:extLst>
            <a:ext uri="{FF2B5EF4-FFF2-40B4-BE49-F238E27FC236}">
              <a16:creationId xmlns:a16="http://schemas.microsoft.com/office/drawing/2014/main" id="{B1570843-D6A4-4E01-A855-0B5B6FFA87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57" name="Text Box 3">
          <a:extLst>
            <a:ext uri="{FF2B5EF4-FFF2-40B4-BE49-F238E27FC236}">
              <a16:creationId xmlns:a16="http://schemas.microsoft.com/office/drawing/2014/main" id="{1A524303-1B82-43C3-902B-3F763999CED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58" name="Text Box 32">
          <a:extLst>
            <a:ext uri="{FF2B5EF4-FFF2-40B4-BE49-F238E27FC236}">
              <a16:creationId xmlns:a16="http://schemas.microsoft.com/office/drawing/2014/main" id="{A0D8BE17-F235-419D-BD3F-DC66C3E4F2D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59" name="Text Box 3">
          <a:extLst>
            <a:ext uri="{FF2B5EF4-FFF2-40B4-BE49-F238E27FC236}">
              <a16:creationId xmlns:a16="http://schemas.microsoft.com/office/drawing/2014/main" id="{A3EF58AF-6D84-400D-99FA-3E66765CE16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60" name="Text Box 63">
          <a:extLst>
            <a:ext uri="{FF2B5EF4-FFF2-40B4-BE49-F238E27FC236}">
              <a16:creationId xmlns:a16="http://schemas.microsoft.com/office/drawing/2014/main" id="{27443250-DE47-4080-985C-95C7FEECF6A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61" name="Text Box 3">
          <a:extLst>
            <a:ext uri="{FF2B5EF4-FFF2-40B4-BE49-F238E27FC236}">
              <a16:creationId xmlns:a16="http://schemas.microsoft.com/office/drawing/2014/main" id="{C338B84A-3840-48A3-8363-B0CFD8CD268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62" name="Text Box 32">
          <a:extLst>
            <a:ext uri="{FF2B5EF4-FFF2-40B4-BE49-F238E27FC236}">
              <a16:creationId xmlns:a16="http://schemas.microsoft.com/office/drawing/2014/main" id="{F2964553-C191-4A08-B9EE-4F143FA3DF3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63" name="Text Box 3">
          <a:extLst>
            <a:ext uri="{FF2B5EF4-FFF2-40B4-BE49-F238E27FC236}">
              <a16:creationId xmlns:a16="http://schemas.microsoft.com/office/drawing/2014/main" id="{013A95C2-5E49-4229-93B0-3D849A4750B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64" name="Text Box 63">
          <a:extLst>
            <a:ext uri="{FF2B5EF4-FFF2-40B4-BE49-F238E27FC236}">
              <a16:creationId xmlns:a16="http://schemas.microsoft.com/office/drawing/2014/main" id="{AC487613-E105-4FC3-B340-A9EDE719002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65" name="Text Box 3">
          <a:extLst>
            <a:ext uri="{FF2B5EF4-FFF2-40B4-BE49-F238E27FC236}">
              <a16:creationId xmlns:a16="http://schemas.microsoft.com/office/drawing/2014/main" id="{541C49D7-F860-4B26-B9F9-F8662E574EF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66" name="Text Box 32">
          <a:extLst>
            <a:ext uri="{FF2B5EF4-FFF2-40B4-BE49-F238E27FC236}">
              <a16:creationId xmlns:a16="http://schemas.microsoft.com/office/drawing/2014/main" id="{0C221EBD-EBFC-421C-902D-FE8242EF24D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67" name="Text Box 3">
          <a:extLst>
            <a:ext uri="{FF2B5EF4-FFF2-40B4-BE49-F238E27FC236}">
              <a16:creationId xmlns:a16="http://schemas.microsoft.com/office/drawing/2014/main" id="{BEEF0E2D-640A-4C58-A421-C9480F33AAC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68" name="Text Box 63">
          <a:extLst>
            <a:ext uri="{FF2B5EF4-FFF2-40B4-BE49-F238E27FC236}">
              <a16:creationId xmlns:a16="http://schemas.microsoft.com/office/drawing/2014/main" id="{3A1CCDF8-8ECD-4621-AB9D-71218D23A76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69" name="Text Box 3">
          <a:extLst>
            <a:ext uri="{FF2B5EF4-FFF2-40B4-BE49-F238E27FC236}">
              <a16:creationId xmlns:a16="http://schemas.microsoft.com/office/drawing/2014/main" id="{751076F4-D0F9-4EF8-B7F8-86A79BA1BD9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70" name="Text Box 32">
          <a:extLst>
            <a:ext uri="{FF2B5EF4-FFF2-40B4-BE49-F238E27FC236}">
              <a16:creationId xmlns:a16="http://schemas.microsoft.com/office/drawing/2014/main" id="{6B7E9EE8-BE16-452C-9D18-195EBD99A36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71" name="Text Box 3">
          <a:extLst>
            <a:ext uri="{FF2B5EF4-FFF2-40B4-BE49-F238E27FC236}">
              <a16:creationId xmlns:a16="http://schemas.microsoft.com/office/drawing/2014/main" id="{81EC0620-43CC-4303-809A-8A213754D5B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72" name="Text Box 63">
          <a:extLst>
            <a:ext uri="{FF2B5EF4-FFF2-40B4-BE49-F238E27FC236}">
              <a16:creationId xmlns:a16="http://schemas.microsoft.com/office/drawing/2014/main" id="{989601F0-54A7-4B12-9DE1-A056F308E4B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73" name="Text Box 3">
          <a:extLst>
            <a:ext uri="{FF2B5EF4-FFF2-40B4-BE49-F238E27FC236}">
              <a16:creationId xmlns:a16="http://schemas.microsoft.com/office/drawing/2014/main" id="{0DD8BCC2-F58F-4BE7-B07F-A91FDF9564D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74" name="Text Box 32">
          <a:extLst>
            <a:ext uri="{FF2B5EF4-FFF2-40B4-BE49-F238E27FC236}">
              <a16:creationId xmlns:a16="http://schemas.microsoft.com/office/drawing/2014/main" id="{0524B6C5-C7C1-4104-9F35-3B96F3B14CB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75" name="Text Box 3">
          <a:extLst>
            <a:ext uri="{FF2B5EF4-FFF2-40B4-BE49-F238E27FC236}">
              <a16:creationId xmlns:a16="http://schemas.microsoft.com/office/drawing/2014/main" id="{4C57A47F-C341-4FA9-8D47-3D62FB1B414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76" name="Text Box 63">
          <a:extLst>
            <a:ext uri="{FF2B5EF4-FFF2-40B4-BE49-F238E27FC236}">
              <a16:creationId xmlns:a16="http://schemas.microsoft.com/office/drawing/2014/main" id="{FB7C313E-8218-4EBB-A758-84E198E409F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77" name="Text Box 3">
          <a:extLst>
            <a:ext uri="{FF2B5EF4-FFF2-40B4-BE49-F238E27FC236}">
              <a16:creationId xmlns:a16="http://schemas.microsoft.com/office/drawing/2014/main" id="{92C1CB95-F6DA-4E05-8813-321162970D3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78" name="Text Box 32">
          <a:extLst>
            <a:ext uri="{FF2B5EF4-FFF2-40B4-BE49-F238E27FC236}">
              <a16:creationId xmlns:a16="http://schemas.microsoft.com/office/drawing/2014/main" id="{9D8656CC-D3EB-4E40-A729-F79976F9F09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79" name="Text Box 3">
          <a:extLst>
            <a:ext uri="{FF2B5EF4-FFF2-40B4-BE49-F238E27FC236}">
              <a16:creationId xmlns:a16="http://schemas.microsoft.com/office/drawing/2014/main" id="{F872F740-90A8-4760-8ED1-EC19521454F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80" name="Text Box 63">
          <a:extLst>
            <a:ext uri="{FF2B5EF4-FFF2-40B4-BE49-F238E27FC236}">
              <a16:creationId xmlns:a16="http://schemas.microsoft.com/office/drawing/2014/main" id="{F3442A06-F461-4B58-BD93-52780CF4398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81" name="Text Box 3">
          <a:extLst>
            <a:ext uri="{FF2B5EF4-FFF2-40B4-BE49-F238E27FC236}">
              <a16:creationId xmlns:a16="http://schemas.microsoft.com/office/drawing/2014/main" id="{93323491-1116-4BF2-9E9E-E9E026CD263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82" name="Text Box 32">
          <a:extLst>
            <a:ext uri="{FF2B5EF4-FFF2-40B4-BE49-F238E27FC236}">
              <a16:creationId xmlns:a16="http://schemas.microsoft.com/office/drawing/2014/main" id="{6B428B52-BA32-4250-B9C6-C965C3249ED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83" name="Text Box 3">
          <a:extLst>
            <a:ext uri="{FF2B5EF4-FFF2-40B4-BE49-F238E27FC236}">
              <a16:creationId xmlns:a16="http://schemas.microsoft.com/office/drawing/2014/main" id="{2EDECEA9-77B2-44E9-A717-729CC785142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84" name="Text Box 63">
          <a:extLst>
            <a:ext uri="{FF2B5EF4-FFF2-40B4-BE49-F238E27FC236}">
              <a16:creationId xmlns:a16="http://schemas.microsoft.com/office/drawing/2014/main" id="{FA415CE1-0A82-4343-8250-ED8D7892279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85" name="Text Box 3">
          <a:extLst>
            <a:ext uri="{FF2B5EF4-FFF2-40B4-BE49-F238E27FC236}">
              <a16:creationId xmlns:a16="http://schemas.microsoft.com/office/drawing/2014/main" id="{CB40448A-D949-4305-A264-44FBE1D9E15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86" name="Text Box 32">
          <a:extLst>
            <a:ext uri="{FF2B5EF4-FFF2-40B4-BE49-F238E27FC236}">
              <a16:creationId xmlns:a16="http://schemas.microsoft.com/office/drawing/2014/main" id="{58EFAF8E-B8D5-4F62-82AE-DC0A8239913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87" name="Text Box 3">
          <a:extLst>
            <a:ext uri="{FF2B5EF4-FFF2-40B4-BE49-F238E27FC236}">
              <a16:creationId xmlns:a16="http://schemas.microsoft.com/office/drawing/2014/main" id="{BAB4DD67-6403-4B4D-B298-207A4AAA728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88" name="Text Box 63">
          <a:extLst>
            <a:ext uri="{FF2B5EF4-FFF2-40B4-BE49-F238E27FC236}">
              <a16:creationId xmlns:a16="http://schemas.microsoft.com/office/drawing/2014/main" id="{1E37031E-A9BF-481B-8B90-BA6B853614C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89" name="Text Box 3">
          <a:extLst>
            <a:ext uri="{FF2B5EF4-FFF2-40B4-BE49-F238E27FC236}">
              <a16:creationId xmlns:a16="http://schemas.microsoft.com/office/drawing/2014/main" id="{AB45C2AF-0662-49D2-ACB7-EC4A9987EDB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90" name="Text Box 32">
          <a:extLst>
            <a:ext uri="{FF2B5EF4-FFF2-40B4-BE49-F238E27FC236}">
              <a16:creationId xmlns:a16="http://schemas.microsoft.com/office/drawing/2014/main" id="{8A2C7914-A9EE-4AEB-B250-3C0BC2CAF00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91" name="Text Box 3">
          <a:extLst>
            <a:ext uri="{FF2B5EF4-FFF2-40B4-BE49-F238E27FC236}">
              <a16:creationId xmlns:a16="http://schemas.microsoft.com/office/drawing/2014/main" id="{8BC37D5A-4096-47CD-AC51-24CD6CE96B3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92" name="Text Box 63">
          <a:extLst>
            <a:ext uri="{FF2B5EF4-FFF2-40B4-BE49-F238E27FC236}">
              <a16:creationId xmlns:a16="http://schemas.microsoft.com/office/drawing/2014/main" id="{33DD654F-5668-476A-80AE-5B4D4C7D5BE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93" name="Text Box 3">
          <a:extLst>
            <a:ext uri="{FF2B5EF4-FFF2-40B4-BE49-F238E27FC236}">
              <a16:creationId xmlns:a16="http://schemas.microsoft.com/office/drawing/2014/main" id="{F997C18D-B3F4-43ED-9889-DAD184C4E2F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94" name="Text Box 32">
          <a:extLst>
            <a:ext uri="{FF2B5EF4-FFF2-40B4-BE49-F238E27FC236}">
              <a16:creationId xmlns:a16="http://schemas.microsoft.com/office/drawing/2014/main" id="{2DBC9802-E156-4677-A7BD-EA37A71BCED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95" name="Text Box 3">
          <a:extLst>
            <a:ext uri="{FF2B5EF4-FFF2-40B4-BE49-F238E27FC236}">
              <a16:creationId xmlns:a16="http://schemas.microsoft.com/office/drawing/2014/main" id="{63DF5CCD-902C-4CB3-9727-70546C43BD0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96" name="Text Box 63">
          <a:extLst>
            <a:ext uri="{FF2B5EF4-FFF2-40B4-BE49-F238E27FC236}">
              <a16:creationId xmlns:a16="http://schemas.microsoft.com/office/drawing/2014/main" id="{F72DE571-4034-4BB0-8803-3D396D59654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97" name="Text Box 3">
          <a:extLst>
            <a:ext uri="{FF2B5EF4-FFF2-40B4-BE49-F238E27FC236}">
              <a16:creationId xmlns:a16="http://schemas.microsoft.com/office/drawing/2014/main" id="{77107418-3E52-415E-8644-420AE6A0B0B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98" name="Text Box 32">
          <a:extLst>
            <a:ext uri="{FF2B5EF4-FFF2-40B4-BE49-F238E27FC236}">
              <a16:creationId xmlns:a16="http://schemas.microsoft.com/office/drawing/2014/main" id="{38AE0414-472F-4BC9-8EB7-0DDCEBBEE0F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99" name="Text Box 3">
          <a:extLst>
            <a:ext uri="{FF2B5EF4-FFF2-40B4-BE49-F238E27FC236}">
              <a16:creationId xmlns:a16="http://schemas.microsoft.com/office/drawing/2014/main" id="{F8078CE6-5043-473E-B4DE-DFEAB41F3ED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00" name="Text Box 63">
          <a:extLst>
            <a:ext uri="{FF2B5EF4-FFF2-40B4-BE49-F238E27FC236}">
              <a16:creationId xmlns:a16="http://schemas.microsoft.com/office/drawing/2014/main" id="{71B79C5E-D0EA-4F32-9077-F58BF989542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01" name="Text Box 3">
          <a:extLst>
            <a:ext uri="{FF2B5EF4-FFF2-40B4-BE49-F238E27FC236}">
              <a16:creationId xmlns:a16="http://schemas.microsoft.com/office/drawing/2014/main" id="{50CAA255-D385-4B77-A469-3FD188F0079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02" name="Text Box 32">
          <a:extLst>
            <a:ext uri="{FF2B5EF4-FFF2-40B4-BE49-F238E27FC236}">
              <a16:creationId xmlns:a16="http://schemas.microsoft.com/office/drawing/2014/main" id="{9E10C8D6-06F0-42B2-A18F-91ABD520EA0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03" name="Text Box 3">
          <a:extLst>
            <a:ext uri="{FF2B5EF4-FFF2-40B4-BE49-F238E27FC236}">
              <a16:creationId xmlns:a16="http://schemas.microsoft.com/office/drawing/2014/main" id="{15402494-233B-44CA-9278-9C26F2B86BD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04" name="Text Box 63">
          <a:extLst>
            <a:ext uri="{FF2B5EF4-FFF2-40B4-BE49-F238E27FC236}">
              <a16:creationId xmlns:a16="http://schemas.microsoft.com/office/drawing/2014/main" id="{43A05927-5F08-424F-88C5-4574510462F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05" name="Text Box 3">
          <a:extLst>
            <a:ext uri="{FF2B5EF4-FFF2-40B4-BE49-F238E27FC236}">
              <a16:creationId xmlns:a16="http://schemas.microsoft.com/office/drawing/2014/main" id="{673834CA-6F0E-4861-9B88-87703C92AA1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06" name="Text Box 32">
          <a:extLst>
            <a:ext uri="{FF2B5EF4-FFF2-40B4-BE49-F238E27FC236}">
              <a16:creationId xmlns:a16="http://schemas.microsoft.com/office/drawing/2014/main" id="{61968F7D-D691-40D0-9670-E093EDCFA16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07" name="Text Box 3">
          <a:extLst>
            <a:ext uri="{FF2B5EF4-FFF2-40B4-BE49-F238E27FC236}">
              <a16:creationId xmlns:a16="http://schemas.microsoft.com/office/drawing/2014/main" id="{6857AFFD-F285-4D73-B625-C8CFA4F33B0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08" name="Text Box 63">
          <a:extLst>
            <a:ext uri="{FF2B5EF4-FFF2-40B4-BE49-F238E27FC236}">
              <a16:creationId xmlns:a16="http://schemas.microsoft.com/office/drawing/2014/main" id="{A5423496-9DE8-420C-975E-4A754992C40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09" name="Text Box 3">
          <a:extLst>
            <a:ext uri="{FF2B5EF4-FFF2-40B4-BE49-F238E27FC236}">
              <a16:creationId xmlns:a16="http://schemas.microsoft.com/office/drawing/2014/main" id="{FAE6F3A3-5617-48B4-8E25-278962A691C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10" name="Text Box 32">
          <a:extLst>
            <a:ext uri="{FF2B5EF4-FFF2-40B4-BE49-F238E27FC236}">
              <a16:creationId xmlns:a16="http://schemas.microsoft.com/office/drawing/2014/main" id="{9239AE3D-465A-484B-88F2-BF6C36645C2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11" name="Text Box 3">
          <a:extLst>
            <a:ext uri="{FF2B5EF4-FFF2-40B4-BE49-F238E27FC236}">
              <a16:creationId xmlns:a16="http://schemas.microsoft.com/office/drawing/2014/main" id="{4C2B6B27-20A7-4915-9CA8-344C1CCADF3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12" name="Text Box 63">
          <a:extLst>
            <a:ext uri="{FF2B5EF4-FFF2-40B4-BE49-F238E27FC236}">
              <a16:creationId xmlns:a16="http://schemas.microsoft.com/office/drawing/2014/main" id="{937BF918-411C-4F9D-A91D-D69E7D98391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13" name="Text Box 3">
          <a:extLst>
            <a:ext uri="{FF2B5EF4-FFF2-40B4-BE49-F238E27FC236}">
              <a16:creationId xmlns:a16="http://schemas.microsoft.com/office/drawing/2014/main" id="{23B180F7-B992-4FD4-BF62-E5EDF39A5F8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14" name="Text Box 32">
          <a:extLst>
            <a:ext uri="{FF2B5EF4-FFF2-40B4-BE49-F238E27FC236}">
              <a16:creationId xmlns:a16="http://schemas.microsoft.com/office/drawing/2014/main" id="{09434D57-4327-48BC-80B4-E7DE2937F03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15" name="Text Box 3">
          <a:extLst>
            <a:ext uri="{FF2B5EF4-FFF2-40B4-BE49-F238E27FC236}">
              <a16:creationId xmlns:a16="http://schemas.microsoft.com/office/drawing/2014/main" id="{8DB03A1E-DF84-4952-9D6F-C0B12C2B53F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16" name="Text Box 63">
          <a:extLst>
            <a:ext uri="{FF2B5EF4-FFF2-40B4-BE49-F238E27FC236}">
              <a16:creationId xmlns:a16="http://schemas.microsoft.com/office/drawing/2014/main" id="{BAD14120-5656-42E8-8877-16DC53FF959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17" name="Text Box 3">
          <a:extLst>
            <a:ext uri="{FF2B5EF4-FFF2-40B4-BE49-F238E27FC236}">
              <a16:creationId xmlns:a16="http://schemas.microsoft.com/office/drawing/2014/main" id="{4C0A6206-2F9F-48CA-BAA7-34B99C6E25C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18" name="Text Box 32">
          <a:extLst>
            <a:ext uri="{FF2B5EF4-FFF2-40B4-BE49-F238E27FC236}">
              <a16:creationId xmlns:a16="http://schemas.microsoft.com/office/drawing/2014/main" id="{7B78E6A8-53AD-41FC-8B82-AE9D452E9B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19" name="Text Box 3">
          <a:extLst>
            <a:ext uri="{FF2B5EF4-FFF2-40B4-BE49-F238E27FC236}">
              <a16:creationId xmlns:a16="http://schemas.microsoft.com/office/drawing/2014/main" id="{C081D390-6DAB-4DB8-B72B-40B4572C9D7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20" name="Text Box 63">
          <a:extLst>
            <a:ext uri="{FF2B5EF4-FFF2-40B4-BE49-F238E27FC236}">
              <a16:creationId xmlns:a16="http://schemas.microsoft.com/office/drawing/2014/main" id="{3D21785B-E933-4284-9287-33CB9FB3547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21" name="Text Box 3">
          <a:extLst>
            <a:ext uri="{FF2B5EF4-FFF2-40B4-BE49-F238E27FC236}">
              <a16:creationId xmlns:a16="http://schemas.microsoft.com/office/drawing/2014/main" id="{0093F70E-1CB9-4743-9B35-710A89473D6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22" name="Text Box 32">
          <a:extLst>
            <a:ext uri="{FF2B5EF4-FFF2-40B4-BE49-F238E27FC236}">
              <a16:creationId xmlns:a16="http://schemas.microsoft.com/office/drawing/2014/main" id="{6D2E5F75-AD16-4967-9415-AA2B4996154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23" name="Text Box 3">
          <a:extLst>
            <a:ext uri="{FF2B5EF4-FFF2-40B4-BE49-F238E27FC236}">
              <a16:creationId xmlns:a16="http://schemas.microsoft.com/office/drawing/2014/main" id="{7E72BE7F-B049-4022-8080-5219A2A5C97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24" name="Text Box 63">
          <a:extLst>
            <a:ext uri="{FF2B5EF4-FFF2-40B4-BE49-F238E27FC236}">
              <a16:creationId xmlns:a16="http://schemas.microsoft.com/office/drawing/2014/main" id="{A9C6C769-7ED0-443A-B9FE-AEB10529CC6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25" name="Text Box 3">
          <a:extLst>
            <a:ext uri="{FF2B5EF4-FFF2-40B4-BE49-F238E27FC236}">
              <a16:creationId xmlns:a16="http://schemas.microsoft.com/office/drawing/2014/main" id="{A6A3EBF6-640B-4D77-9C52-8337CBF5367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26" name="Text Box 32">
          <a:extLst>
            <a:ext uri="{FF2B5EF4-FFF2-40B4-BE49-F238E27FC236}">
              <a16:creationId xmlns:a16="http://schemas.microsoft.com/office/drawing/2014/main" id="{C5289658-D91F-486A-8121-DAA0B26A407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27" name="Text Box 3">
          <a:extLst>
            <a:ext uri="{FF2B5EF4-FFF2-40B4-BE49-F238E27FC236}">
              <a16:creationId xmlns:a16="http://schemas.microsoft.com/office/drawing/2014/main" id="{2D6DE308-FB5D-415E-8C84-24AAFD4A63A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28" name="Text Box 63">
          <a:extLst>
            <a:ext uri="{FF2B5EF4-FFF2-40B4-BE49-F238E27FC236}">
              <a16:creationId xmlns:a16="http://schemas.microsoft.com/office/drawing/2014/main" id="{B5B3678A-27EA-498F-BAEE-D485AADF44F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29" name="Text Box 3">
          <a:extLst>
            <a:ext uri="{FF2B5EF4-FFF2-40B4-BE49-F238E27FC236}">
              <a16:creationId xmlns:a16="http://schemas.microsoft.com/office/drawing/2014/main" id="{FDFC1103-87C4-4448-90FC-422A9ACB222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30" name="Text Box 32">
          <a:extLst>
            <a:ext uri="{FF2B5EF4-FFF2-40B4-BE49-F238E27FC236}">
              <a16:creationId xmlns:a16="http://schemas.microsoft.com/office/drawing/2014/main" id="{784E654C-3AA6-446C-BACB-0A1F03C322D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31" name="Text Box 3">
          <a:extLst>
            <a:ext uri="{FF2B5EF4-FFF2-40B4-BE49-F238E27FC236}">
              <a16:creationId xmlns:a16="http://schemas.microsoft.com/office/drawing/2014/main" id="{B2E1F672-D28B-4653-BAD1-2F3E95567A1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32" name="Text Box 63">
          <a:extLst>
            <a:ext uri="{FF2B5EF4-FFF2-40B4-BE49-F238E27FC236}">
              <a16:creationId xmlns:a16="http://schemas.microsoft.com/office/drawing/2014/main" id="{2388C5D1-CBEE-4C49-82C6-FF69027C47D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33" name="Text Box 3">
          <a:extLst>
            <a:ext uri="{FF2B5EF4-FFF2-40B4-BE49-F238E27FC236}">
              <a16:creationId xmlns:a16="http://schemas.microsoft.com/office/drawing/2014/main" id="{C99F5DAA-C229-43B6-B03A-2173EAD4016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34" name="Text Box 32">
          <a:extLst>
            <a:ext uri="{FF2B5EF4-FFF2-40B4-BE49-F238E27FC236}">
              <a16:creationId xmlns:a16="http://schemas.microsoft.com/office/drawing/2014/main" id="{5C8A835B-F7A4-4420-B149-9B476984B66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35" name="Text Box 3">
          <a:extLst>
            <a:ext uri="{FF2B5EF4-FFF2-40B4-BE49-F238E27FC236}">
              <a16:creationId xmlns:a16="http://schemas.microsoft.com/office/drawing/2014/main" id="{650F9F56-AB6E-41FF-A126-0A9368CBC2B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36" name="Text Box 63">
          <a:extLst>
            <a:ext uri="{FF2B5EF4-FFF2-40B4-BE49-F238E27FC236}">
              <a16:creationId xmlns:a16="http://schemas.microsoft.com/office/drawing/2014/main" id="{2A438A0E-B2AE-4A15-8B21-C484380C96F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37" name="Text Box 3">
          <a:extLst>
            <a:ext uri="{FF2B5EF4-FFF2-40B4-BE49-F238E27FC236}">
              <a16:creationId xmlns:a16="http://schemas.microsoft.com/office/drawing/2014/main" id="{E0278198-28C9-4988-8858-C939A6C1B51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38" name="Text Box 32">
          <a:extLst>
            <a:ext uri="{FF2B5EF4-FFF2-40B4-BE49-F238E27FC236}">
              <a16:creationId xmlns:a16="http://schemas.microsoft.com/office/drawing/2014/main" id="{521E2872-8D18-4F4E-9AE7-74CF7CF0F29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39" name="Text Box 3">
          <a:extLst>
            <a:ext uri="{FF2B5EF4-FFF2-40B4-BE49-F238E27FC236}">
              <a16:creationId xmlns:a16="http://schemas.microsoft.com/office/drawing/2014/main" id="{2C9B3676-ED05-42D9-823A-6FD29DE101D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40" name="Text Box 63">
          <a:extLst>
            <a:ext uri="{FF2B5EF4-FFF2-40B4-BE49-F238E27FC236}">
              <a16:creationId xmlns:a16="http://schemas.microsoft.com/office/drawing/2014/main" id="{4DBB5405-2432-45C1-88C9-F75EFA69C82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41" name="Text Box 3">
          <a:extLst>
            <a:ext uri="{FF2B5EF4-FFF2-40B4-BE49-F238E27FC236}">
              <a16:creationId xmlns:a16="http://schemas.microsoft.com/office/drawing/2014/main" id="{0590661A-131D-43CC-A3C6-4C849499F44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42" name="Text Box 32">
          <a:extLst>
            <a:ext uri="{FF2B5EF4-FFF2-40B4-BE49-F238E27FC236}">
              <a16:creationId xmlns:a16="http://schemas.microsoft.com/office/drawing/2014/main" id="{752DFFC7-BF8A-4390-AD5D-50CE11F07A5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43" name="Text Box 3">
          <a:extLst>
            <a:ext uri="{FF2B5EF4-FFF2-40B4-BE49-F238E27FC236}">
              <a16:creationId xmlns:a16="http://schemas.microsoft.com/office/drawing/2014/main" id="{77444933-E0C0-4C15-846A-5C7320FE42C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44" name="Text Box 63">
          <a:extLst>
            <a:ext uri="{FF2B5EF4-FFF2-40B4-BE49-F238E27FC236}">
              <a16:creationId xmlns:a16="http://schemas.microsoft.com/office/drawing/2014/main" id="{2AE5B341-E5DC-4DF4-8B92-C3D70580508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45" name="Text Box 3">
          <a:extLst>
            <a:ext uri="{FF2B5EF4-FFF2-40B4-BE49-F238E27FC236}">
              <a16:creationId xmlns:a16="http://schemas.microsoft.com/office/drawing/2014/main" id="{A96C91F1-ADE5-46D8-9C1E-F178A79819F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46" name="Text Box 32">
          <a:extLst>
            <a:ext uri="{FF2B5EF4-FFF2-40B4-BE49-F238E27FC236}">
              <a16:creationId xmlns:a16="http://schemas.microsoft.com/office/drawing/2014/main" id="{CC34AFE1-FDD2-4BB2-BC29-50E21628C18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47" name="Text Box 3">
          <a:extLst>
            <a:ext uri="{FF2B5EF4-FFF2-40B4-BE49-F238E27FC236}">
              <a16:creationId xmlns:a16="http://schemas.microsoft.com/office/drawing/2014/main" id="{A1AEE50E-D83F-4B02-8081-35CC7F9A956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48" name="Text Box 63">
          <a:extLst>
            <a:ext uri="{FF2B5EF4-FFF2-40B4-BE49-F238E27FC236}">
              <a16:creationId xmlns:a16="http://schemas.microsoft.com/office/drawing/2014/main" id="{0EA7A35E-A375-484B-83D5-DE661467A76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49" name="Text Box 3">
          <a:extLst>
            <a:ext uri="{FF2B5EF4-FFF2-40B4-BE49-F238E27FC236}">
              <a16:creationId xmlns:a16="http://schemas.microsoft.com/office/drawing/2014/main" id="{5F4240CF-635E-4E00-84E6-C721F697B39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50" name="Text Box 32">
          <a:extLst>
            <a:ext uri="{FF2B5EF4-FFF2-40B4-BE49-F238E27FC236}">
              <a16:creationId xmlns:a16="http://schemas.microsoft.com/office/drawing/2014/main" id="{B3DFBC50-0B61-487D-AF1F-76BEC2CE3F3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51" name="Text Box 3">
          <a:extLst>
            <a:ext uri="{FF2B5EF4-FFF2-40B4-BE49-F238E27FC236}">
              <a16:creationId xmlns:a16="http://schemas.microsoft.com/office/drawing/2014/main" id="{B2FEE5D9-C7A2-4176-8D1D-33A94AB1E1E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52" name="Text Box 63">
          <a:extLst>
            <a:ext uri="{FF2B5EF4-FFF2-40B4-BE49-F238E27FC236}">
              <a16:creationId xmlns:a16="http://schemas.microsoft.com/office/drawing/2014/main" id="{EF0B84A7-5105-4CE3-A525-5411DCC9E3C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53" name="Text Box 3">
          <a:extLst>
            <a:ext uri="{FF2B5EF4-FFF2-40B4-BE49-F238E27FC236}">
              <a16:creationId xmlns:a16="http://schemas.microsoft.com/office/drawing/2014/main" id="{EE990051-A984-43A9-B346-51FB13D8CC6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54" name="Text Box 32">
          <a:extLst>
            <a:ext uri="{FF2B5EF4-FFF2-40B4-BE49-F238E27FC236}">
              <a16:creationId xmlns:a16="http://schemas.microsoft.com/office/drawing/2014/main" id="{0ECFA137-45DB-407A-A6D8-8F7B0BC4C57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55" name="Text Box 3">
          <a:extLst>
            <a:ext uri="{FF2B5EF4-FFF2-40B4-BE49-F238E27FC236}">
              <a16:creationId xmlns:a16="http://schemas.microsoft.com/office/drawing/2014/main" id="{6AF75AB4-5593-415C-BB6D-D706EE2BDC3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56" name="Text Box 63">
          <a:extLst>
            <a:ext uri="{FF2B5EF4-FFF2-40B4-BE49-F238E27FC236}">
              <a16:creationId xmlns:a16="http://schemas.microsoft.com/office/drawing/2014/main" id="{6F73043B-02AE-402D-A5EF-6D10BA06618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57" name="Text Box 3">
          <a:extLst>
            <a:ext uri="{FF2B5EF4-FFF2-40B4-BE49-F238E27FC236}">
              <a16:creationId xmlns:a16="http://schemas.microsoft.com/office/drawing/2014/main" id="{8725E227-ABA6-4CDD-9610-E46FF8AC6E8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58" name="Text Box 32">
          <a:extLst>
            <a:ext uri="{FF2B5EF4-FFF2-40B4-BE49-F238E27FC236}">
              <a16:creationId xmlns:a16="http://schemas.microsoft.com/office/drawing/2014/main" id="{903C0BC1-222B-4782-BAA4-4A83F9F7BE4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59" name="Text Box 3">
          <a:extLst>
            <a:ext uri="{FF2B5EF4-FFF2-40B4-BE49-F238E27FC236}">
              <a16:creationId xmlns:a16="http://schemas.microsoft.com/office/drawing/2014/main" id="{54B43FC7-5687-4334-B753-A1C03746628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0" name="Text Box 63">
          <a:extLst>
            <a:ext uri="{FF2B5EF4-FFF2-40B4-BE49-F238E27FC236}">
              <a16:creationId xmlns:a16="http://schemas.microsoft.com/office/drawing/2014/main" id="{E3BF399A-BA50-48BE-A402-232954999A1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61" name="Text Box 3">
          <a:extLst>
            <a:ext uri="{FF2B5EF4-FFF2-40B4-BE49-F238E27FC236}">
              <a16:creationId xmlns:a16="http://schemas.microsoft.com/office/drawing/2014/main" id="{51897553-F08D-45B6-99F2-996907AD9B2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2" name="Text Box 32">
          <a:extLst>
            <a:ext uri="{FF2B5EF4-FFF2-40B4-BE49-F238E27FC236}">
              <a16:creationId xmlns:a16="http://schemas.microsoft.com/office/drawing/2014/main" id="{2C18ACA9-347D-4CF7-AEA4-3068028AA9C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63" name="Text Box 3">
          <a:extLst>
            <a:ext uri="{FF2B5EF4-FFF2-40B4-BE49-F238E27FC236}">
              <a16:creationId xmlns:a16="http://schemas.microsoft.com/office/drawing/2014/main" id="{AF0B743A-7360-4530-B866-8A6EBD7E2ED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4" name="Text Box 63">
          <a:extLst>
            <a:ext uri="{FF2B5EF4-FFF2-40B4-BE49-F238E27FC236}">
              <a16:creationId xmlns:a16="http://schemas.microsoft.com/office/drawing/2014/main" id="{7EAAC756-9D9A-4B9F-B481-FDCFFEE9846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5" name="Text Box 32">
          <a:extLst>
            <a:ext uri="{FF2B5EF4-FFF2-40B4-BE49-F238E27FC236}">
              <a16:creationId xmlns:a16="http://schemas.microsoft.com/office/drawing/2014/main" id="{636E9C7C-1F8D-48AA-9EDC-ACD3DF3F9D9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66" name="Text Box 3">
          <a:extLst>
            <a:ext uri="{FF2B5EF4-FFF2-40B4-BE49-F238E27FC236}">
              <a16:creationId xmlns:a16="http://schemas.microsoft.com/office/drawing/2014/main" id="{93ADB6FD-915E-4036-81B8-BA2D1D6FDC9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7" name="Text Box 63">
          <a:extLst>
            <a:ext uri="{FF2B5EF4-FFF2-40B4-BE49-F238E27FC236}">
              <a16:creationId xmlns:a16="http://schemas.microsoft.com/office/drawing/2014/main" id="{D4A2AECC-9C01-47AC-B82B-66C4BF2940B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68" name="Text Box 3">
          <a:extLst>
            <a:ext uri="{FF2B5EF4-FFF2-40B4-BE49-F238E27FC236}">
              <a16:creationId xmlns:a16="http://schemas.microsoft.com/office/drawing/2014/main" id="{A93D89C9-8903-4E2E-AC81-2FC6874F073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9" name="Text Box 32">
          <a:extLst>
            <a:ext uri="{FF2B5EF4-FFF2-40B4-BE49-F238E27FC236}">
              <a16:creationId xmlns:a16="http://schemas.microsoft.com/office/drawing/2014/main" id="{1B6DC528-A0ED-4514-91EF-253F700C3A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70" name="Text Box 3">
          <a:extLst>
            <a:ext uri="{FF2B5EF4-FFF2-40B4-BE49-F238E27FC236}">
              <a16:creationId xmlns:a16="http://schemas.microsoft.com/office/drawing/2014/main" id="{17BC95F0-8BC0-4A3B-90D3-737A2E9183C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71" name="Text Box 63">
          <a:extLst>
            <a:ext uri="{FF2B5EF4-FFF2-40B4-BE49-F238E27FC236}">
              <a16:creationId xmlns:a16="http://schemas.microsoft.com/office/drawing/2014/main" id="{1352E315-2293-4DE5-A831-819736E958E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72" name="Text Box 3">
          <a:extLst>
            <a:ext uri="{FF2B5EF4-FFF2-40B4-BE49-F238E27FC236}">
              <a16:creationId xmlns:a16="http://schemas.microsoft.com/office/drawing/2014/main" id="{7BA78701-A0FF-47C1-91A5-9E2E0C46A0C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73" name="Text Box 32">
          <a:extLst>
            <a:ext uri="{FF2B5EF4-FFF2-40B4-BE49-F238E27FC236}">
              <a16:creationId xmlns:a16="http://schemas.microsoft.com/office/drawing/2014/main" id="{9CED1C43-28D8-4B6C-B621-142EA0D872B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74" name="Text Box 3">
          <a:extLst>
            <a:ext uri="{FF2B5EF4-FFF2-40B4-BE49-F238E27FC236}">
              <a16:creationId xmlns:a16="http://schemas.microsoft.com/office/drawing/2014/main" id="{659FC0FC-82DE-4F77-8A35-1C9B9D945B1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75" name="Text Box 63">
          <a:extLst>
            <a:ext uri="{FF2B5EF4-FFF2-40B4-BE49-F238E27FC236}">
              <a16:creationId xmlns:a16="http://schemas.microsoft.com/office/drawing/2014/main" id="{C1D46840-32C7-4E00-9BCE-2A5EB19A463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76" name="Text Box 3">
          <a:extLst>
            <a:ext uri="{FF2B5EF4-FFF2-40B4-BE49-F238E27FC236}">
              <a16:creationId xmlns:a16="http://schemas.microsoft.com/office/drawing/2014/main" id="{92E0CCC7-6E4F-4749-BF64-324DCF3FF6C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77" name="Text Box 32">
          <a:extLst>
            <a:ext uri="{FF2B5EF4-FFF2-40B4-BE49-F238E27FC236}">
              <a16:creationId xmlns:a16="http://schemas.microsoft.com/office/drawing/2014/main" id="{403171B8-EF81-4744-80C1-332358EC9FC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78" name="Text Box 3">
          <a:extLst>
            <a:ext uri="{FF2B5EF4-FFF2-40B4-BE49-F238E27FC236}">
              <a16:creationId xmlns:a16="http://schemas.microsoft.com/office/drawing/2014/main" id="{EB288A09-25D3-41C9-9A59-F997A445CD1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79" name="Text Box 63">
          <a:extLst>
            <a:ext uri="{FF2B5EF4-FFF2-40B4-BE49-F238E27FC236}">
              <a16:creationId xmlns:a16="http://schemas.microsoft.com/office/drawing/2014/main" id="{6A8A4D44-7B48-4BD0-9703-FDED34B6C7C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80" name="Text Box 3">
          <a:extLst>
            <a:ext uri="{FF2B5EF4-FFF2-40B4-BE49-F238E27FC236}">
              <a16:creationId xmlns:a16="http://schemas.microsoft.com/office/drawing/2014/main" id="{E98F4F7B-E7E4-484E-AE8B-F5083CF9743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81" name="Text Box 32">
          <a:extLst>
            <a:ext uri="{FF2B5EF4-FFF2-40B4-BE49-F238E27FC236}">
              <a16:creationId xmlns:a16="http://schemas.microsoft.com/office/drawing/2014/main" id="{DAADB80D-1466-491F-8A29-8C80E24B4E6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82" name="Text Box 3">
          <a:extLst>
            <a:ext uri="{FF2B5EF4-FFF2-40B4-BE49-F238E27FC236}">
              <a16:creationId xmlns:a16="http://schemas.microsoft.com/office/drawing/2014/main" id="{2DBD1FF8-FA91-4D31-9FF4-B4F2E0CF09C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83" name="Text Box 63">
          <a:extLst>
            <a:ext uri="{FF2B5EF4-FFF2-40B4-BE49-F238E27FC236}">
              <a16:creationId xmlns:a16="http://schemas.microsoft.com/office/drawing/2014/main" id="{4F1B72BB-E056-44EB-93A6-308DE8A733D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84" name="Text Box 3">
          <a:extLst>
            <a:ext uri="{FF2B5EF4-FFF2-40B4-BE49-F238E27FC236}">
              <a16:creationId xmlns:a16="http://schemas.microsoft.com/office/drawing/2014/main" id="{7BE05C56-97C8-4E39-972C-B01AF988D0C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85" name="Text Box 32">
          <a:extLst>
            <a:ext uri="{FF2B5EF4-FFF2-40B4-BE49-F238E27FC236}">
              <a16:creationId xmlns:a16="http://schemas.microsoft.com/office/drawing/2014/main" id="{E0DBA85E-9C2A-482A-ACF2-71B380A9FDB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86" name="Text Box 3">
          <a:extLst>
            <a:ext uri="{FF2B5EF4-FFF2-40B4-BE49-F238E27FC236}">
              <a16:creationId xmlns:a16="http://schemas.microsoft.com/office/drawing/2014/main" id="{0390769D-D844-407A-A2D3-D2D026F60A3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87" name="Text Box 63">
          <a:extLst>
            <a:ext uri="{FF2B5EF4-FFF2-40B4-BE49-F238E27FC236}">
              <a16:creationId xmlns:a16="http://schemas.microsoft.com/office/drawing/2014/main" id="{4661AD96-DB06-45D2-9895-9CCA84907F4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88" name="Text Box 3">
          <a:extLst>
            <a:ext uri="{FF2B5EF4-FFF2-40B4-BE49-F238E27FC236}">
              <a16:creationId xmlns:a16="http://schemas.microsoft.com/office/drawing/2014/main" id="{8600EFE5-EE76-48FB-9E3F-675BF25BECB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89" name="Text Box 32">
          <a:extLst>
            <a:ext uri="{FF2B5EF4-FFF2-40B4-BE49-F238E27FC236}">
              <a16:creationId xmlns:a16="http://schemas.microsoft.com/office/drawing/2014/main" id="{A52AA4DF-9172-4483-9356-BF7F3F031B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90" name="Text Box 3">
          <a:extLst>
            <a:ext uri="{FF2B5EF4-FFF2-40B4-BE49-F238E27FC236}">
              <a16:creationId xmlns:a16="http://schemas.microsoft.com/office/drawing/2014/main" id="{272CFA0D-38A3-4CAB-98B1-B3E0C3888F1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91" name="Text Box 63">
          <a:extLst>
            <a:ext uri="{FF2B5EF4-FFF2-40B4-BE49-F238E27FC236}">
              <a16:creationId xmlns:a16="http://schemas.microsoft.com/office/drawing/2014/main" id="{7EEFDEA7-6E83-4420-ACF1-1D38A9CA586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92" name="Text Box 3">
          <a:extLst>
            <a:ext uri="{FF2B5EF4-FFF2-40B4-BE49-F238E27FC236}">
              <a16:creationId xmlns:a16="http://schemas.microsoft.com/office/drawing/2014/main" id="{4F5ECC3A-291E-417D-AA03-0670F36934E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93" name="Text Box 32">
          <a:extLst>
            <a:ext uri="{FF2B5EF4-FFF2-40B4-BE49-F238E27FC236}">
              <a16:creationId xmlns:a16="http://schemas.microsoft.com/office/drawing/2014/main" id="{CDE20BD4-6648-4DC7-9679-1811CC0C29E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94" name="Text Box 3">
          <a:extLst>
            <a:ext uri="{FF2B5EF4-FFF2-40B4-BE49-F238E27FC236}">
              <a16:creationId xmlns:a16="http://schemas.microsoft.com/office/drawing/2014/main" id="{B23AC3B4-8376-4DAB-BB95-460DACE9FD5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95" name="Text Box 63">
          <a:extLst>
            <a:ext uri="{FF2B5EF4-FFF2-40B4-BE49-F238E27FC236}">
              <a16:creationId xmlns:a16="http://schemas.microsoft.com/office/drawing/2014/main" id="{8DB7166C-08EE-4DED-9DA3-68DE68941E6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96" name="Text Box 3">
          <a:extLst>
            <a:ext uri="{FF2B5EF4-FFF2-40B4-BE49-F238E27FC236}">
              <a16:creationId xmlns:a16="http://schemas.microsoft.com/office/drawing/2014/main" id="{060D73F2-6030-4AFE-89BE-2771873BE89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97" name="Text Box 32">
          <a:extLst>
            <a:ext uri="{FF2B5EF4-FFF2-40B4-BE49-F238E27FC236}">
              <a16:creationId xmlns:a16="http://schemas.microsoft.com/office/drawing/2014/main" id="{75B2A543-F4E5-4912-8C5A-A03FF3FC6D4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98" name="Text Box 3">
          <a:extLst>
            <a:ext uri="{FF2B5EF4-FFF2-40B4-BE49-F238E27FC236}">
              <a16:creationId xmlns:a16="http://schemas.microsoft.com/office/drawing/2014/main" id="{79997E71-7AB2-411B-B592-C02DE47FA15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99" name="Text Box 63">
          <a:extLst>
            <a:ext uri="{FF2B5EF4-FFF2-40B4-BE49-F238E27FC236}">
              <a16:creationId xmlns:a16="http://schemas.microsoft.com/office/drawing/2014/main" id="{C8B2E9B5-A4E7-46DD-A19A-C537DAE68E0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00" name="Text Box 3">
          <a:extLst>
            <a:ext uri="{FF2B5EF4-FFF2-40B4-BE49-F238E27FC236}">
              <a16:creationId xmlns:a16="http://schemas.microsoft.com/office/drawing/2014/main" id="{6A250CB1-EC0C-479E-B077-659905C9E71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01" name="Text Box 32">
          <a:extLst>
            <a:ext uri="{FF2B5EF4-FFF2-40B4-BE49-F238E27FC236}">
              <a16:creationId xmlns:a16="http://schemas.microsoft.com/office/drawing/2014/main" id="{0EDD56A1-4048-4A62-81DA-8D94029E03D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02" name="Text Box 3">
          <a:extLst>
            <a:ext uri="{FF2B5EF4-FFF2-40B4-BE49-F238E27FC236}">
              <a16:creationId xmlns:a16="http://schemas.microsoft.com/office/drawing/2014/main" id="{CE345D85-D4E9-47A1-8D8E-AC388D3739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03" name="Text Box 63">
          <a:extLst>
            <a:ext uri="{FF2B5EF4-FFF2-40B4-BE49-F238E27FC236}">
              <a16:creationId xmlns:a16="http://schemas.microsoft.com/office/drawing/2014/main" id="{C9CE08C0-62D8-4B78-B136-05674007DAD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04" name="Text Box 3">
          <a:extLst>
            <a:ext uri="{FF2B5EF4-FFF2-40B4-BE49-F238E27FC236}">
              <a16:creationId xmlns:a16="http://schemas.microsoft.com/office/drawing/2014/main" id="{BB812992-1E18-406D-B5B8-5A7827718EF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05" name="Text Box 32">
          <a:extLst>
            <a:ext uri="{FF2B5EF4-FFF2-40B4-BE49-F238E27FC236}">
              <a16:creationId xmlns:a16="http://schemas.microsoft.com/office/drawing/2014/main" id="{F6CB5897-719C-4315-9ACF-E33445B7AE4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06" name="Text Box 3">
          <a:extLst>
            <a:ext uri="{FF2B5EF4-FFF2-40B4-BE49-F238E27FC236}">
              <a16:creationId xmlns:a16="http://schemas.microsoft.com/office/drawing/2014/main" id="{C9C81A8D-D97E-498E-A149-4EBAF02B286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07" name="Text Box 63">
          <a:extLst>
            <a:ext uri="{FF2B5EF4-FFF2-40B4-BE49-F238E27FC236}">
              <a16:creationId xmlns:a16="http://schemas.microsoft.com/office/drawing/2014/main" id="{8ACE0ECF-C157-4FF0-AFFB-175471B779B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08" name="Text Box 3">
          <a:extLst>
            <a:ext uri="{FF2B5EF4-FFF2-40B4-BE49-F238E27FC236}">
              <a16:creationId xmlns:a16="http://schemas.microsoft.com/office/drawing/2014/main" id="{B95EABAE-6990-421C-9299-FA26A077037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09" name="Text Box 32">
          <a:extLst>
            <a:ext uri="{FF2B5EF4-FFF2-40B4-BE49-F238E27FC236}">
              <a16:creationId xmlns:a16="http://schemas.microsoft.com/office/drawing/2014/main" id="{36988ADE-6A83-4700-B903-31D6A545193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10" name="Text Box 3">
          <a:extLst>
            <a:ext uri="{FF2B5EF4-FFF2-40B4-BE49-F238E27FC236}">
              <a16:creationId xmlns:a16="http://schemas.microsoft.com/office/drawing/2014/main" id="{1C6576B7-7B34-4EE9-B25A-D383F7C60D0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11" name="Text Box 63">
          <a:extLst>
            <a:ext uri="{FF2B5EF4-FFF2-40B4-BE49-F238E27FC236}">
              <a16:creationId xmlns:a16="http://schemas.microsoft.com/office/drawing/2014/main" id="{030D0776-B195-4BC2-9052-25BC1EF1A66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12" name="Text Box 3">
          <a:extLst>
            <a:ext uri="{FF2B5EF4-FFF2-40B4-BE49-F238E27FC236}">
              <a16:creationId xmlns:a16="http://schemas.microsoft.com/office/drawing/2014/main" id="{EC30E428-39BA-4DAB-99D8-4F541FF3CFC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13" name="Text Box 32">
          <a:extLst>
            <a:ext uri="{FF2B5EF4-FFF2-40B4-BE49-F238E27FC236}">
              <a16:creationId xmlns:a16="http://schemas.microsoft.com/office/drawing/2014/main" id="{509FB250-C479-4AC1-855F-05A0FB56C5E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14" name="Text Box 3">
          <a:extLst>
            <a:ext uri="{FF2B5EF4-FFF2-40B4-BE49-F238E27FC236}">
              <a16:creationId xmlns:a16="http://schemas.microsoft.com/office/drawing/2014/main" id="{9410ABB9-F7CD-42C4-8551-96CC5A7CFE2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15" name="Text Box 63">
          <a:extLst>
            <a:ext uri="{FF2B5EF4-FFF2-40B4-BE49-F238E27FC236}">
              <a16:creationId xmlns:a16="http://schemas.microsoft.com/office/drawing/2014/main" id="{3237D100-5BF4-4496-9AB1-5FC3DE1E183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16" name="Text Box 3">
          <a:extLst>
            <a:ext uri="{FF2B5EF4-FFF2-40B4-BE49-F238E27FC236}">
              <a16:creationId xmlns:a16="http://schemas.microsoft.com/office/drawing/2014/main" id="{82BC532B-D41B-4C88-AB78-2B4BB95DCE8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17" name="Text Box 32">
          <a:extLst>
            <a:ext uri="{FF2B5EF4-FFF2-40B4-BE49-F238E27FC236}">
              <a16:creationId xmlns:a16="http://schemas.microsoft.com/office/drawing/2014/main" id="{90729A3F-0AAC-4F99-9D6B-DBA00EDC10B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18" name="Text Box 3">
          <a:extLst>
            <a:ext uri="{FF2B5EF4-FFF2-40B4-BE49-F238E27FC236}">
              <a16:creationId xmlns:a16="http://schemas.microsoft.com/office/drawing/2014/main" id="{20E0D28E-9DEF-4528-B6EC-8C31163DDA8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19" name="Text Box 63">
          <a:extLst>
            <a:ext uri="{FF2B5EF4-FFF2-40B4-BE49-F238E27FC236}">
              <a16:creationId xmlns:a16="http://schemas.microsoft.com/office/drawing/2014/main" id="{59A3B98D-4592-481E-BF26-B41D4958182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20" name="Text Box 3">
          <a:extLst>
            <a:ext uri="{FF2B5EF4-FFF2-40B4-BE49-F238E27FC236}">
              <a16:creationId xmlns:a16="http://schemas.microsoft.com/office/drawing/2014/main" id="{9BA9A13B-CD81-4054-9312-E2EB7B04AFE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21" name="Text Box 32">
          <a:extLst>
            <a:ext uri="{FF2B5EF4-FFF2-40B4-BE49-F238E27FC236}">
              <a16:creationId xmlns:a16="http://schemas.microsoft.com/office/drawing/2014/main" id="{B3B9386B-2CF6-4980-AC92-50FDFE80BD7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22" name="Text Box 3">
          <a:extLst>
            <a:ext uri="{FF2B5EF4-FFF2-40B4-BE49-F238E27FC236}">
              <a16:creationId xmlns:a16="http://schemas.microsoft.com/office/drawing/2014/main" id="{D909013E-C73B-4EA1-AD06-BA01FCD412B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23" name="Text Box 63">
          <a:extLst>
            <a:ext uri="{FF2B5EF4-FFF2-40B4-BE49-F238E27FC236}">
              <a16:creationId xmlns:a16="http://schemas.microsoft.com/office/drawing/2014/main" id="{50D990F0-A368-4300-9919-3CBE92C0F47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24" name="Text Box 3">
          <a:extLst>
            <a:ext uri="{FF2B5EF4-FFF2-40B4-BE49-F238E27FC236}">
              <a16:creationId xmlns:a16="http://schemas.microsoft.com/office/drawing/2014/main" id="{379CA15A-7086-4972-9261-0732FE7FEBF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25" name="Text Box 32">
          <a:extLst>
            <a:ext uri="{FF2B5EF4-FFF2-40B4-BE49-F238E27FC236}">
              <a16:creationId xmlns:a16="http://schemas.microsoft.com/office/drawing/2014/main" id="{7DFE2F4F-D27F-4D1F-8633-13B139FAABA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26" name="Text Box 3">
          <a:extLst>
            <a:ext uri="{FF2B5EF4-FFF2-40B4-BE49-F238E27FC236}">
              <a16:creationId xmlns:a16="http://schemas.microsoft.com/office/drawing/2014/main" id="{BCE408F1-B327-492E-81E2-F6E1FC5EA7F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27" name="Text Box 63">
          <a:extLst>
            <a:ext uri="{FF2B5EF4-FFF2-40B4-BE49-F238E27FC236}">
              <a16:creationId xmlns:a16="http://schemas.microsoft.com/office/drawing/2014/main" id="{26819BE8-FCB8-46A6-900B-965A8644FCB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28" name="Text Box 3">
          <a:extLst>
            <a:ext uri="{FF2B5EF4-FFF2-40B4-BE49-F238E27FC236}">
              <a16:creationId xmlns:a16="http://schemas.microsoft.com/office/drawing/2014/main" id="{E6BC72DF-89FB-47DD-BAEB-F6C3E76FAEA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29" name="Text Box 32">
          <a:extLst>
            <a:ext uri="{FF2B5EF4-FFF2-40B4-BE49-F238E27FC236}">
              <a16:creationId xmlns:a16="http://schemas.microsoft.com/office/drawing/2014/main" id="{32A097F4-F3B7-435B-A81C-4A535AC5410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30" name="Text Box 3">
          <a:extLst>
            <a:ext uri="{FF2B5EF4-FFF2-40B4-BE49-F238E27FC236}">
              <a16:creationId xmlns:a16="http://schemas.microsoft.com/office/drawing/2014/main" id="{87EDD8DE-9D55-4EFC-BC19-9F021C7B962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31" name="Text Box 63">
          <a:extLst>
            <a:ext uri="{FF2B5EF4-FFF2-40B4-BE49-F238E27FC236}">
              <a16:creationId xmlns:a16="http://schemas.microsoft.com/office/drawing/2014/main" id="{AD3A032F-A6D6-454B-917F-820F653466D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32" name="Text Box 3">
          <a:extLst>
            <a:ext uri="{FF2B5EF4-FFF2-40B4-BE49-F238E27FC236}">
              <a16:creationId xmlns:a16="http://schemas.microsoft.com/office/drawing/2014/main" id="{4D1134D4-F91C-42EE-AC4B-F0A0BE2462A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33" name="Text Box 32">
          <a:extLst>
            <a:ext uri="{FF2B5EF4-FFF2-40B4-BE49-F238E27FC236}">
              <a16:creationId xmlns:a16="http://schemas.microsoft.com/office/drawing/2014/main" id="{D9745F3D-1B4C-44F1-9E59-32B4019B6DE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34" name="Text Box 3">
          <a:extLst>
            <a:ext uri="{FF2B5EF4-FFF2-40B4-BE49-F238E27FC236}">
              <a16:creationId xmlns:a16="http://schemas.microsoft.com/office/drawing/2014/main" id="{085FAD3F-1D39-4B44-9E96-57B99C7B88B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35" name="Text Box 63">
          <a:extLst>
            <a:ext uri="{FF2B5EF4-FFF2-40B4-BE49-F238E27FC236}">
              <a16:creationId xmlns:a16="http://schemas.microsoft.com/office/drawing/2014/main" id="{6C723C3F-84BF-43B5-A53F-A6A1C367A60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36" name="Text Box 3">
          <a:extLst>
            <a:ext uri="{FF2B5EF4-FFF2-40B4-BE49-F238E27FC236}">
              <a16:creationId xmlns:a16="http://schemas.microsoft.com/office/drawing/2014/main" id="{31DB0F29-7E7D-4327-AC6A-A36AE5AC8A1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37" name="Text Box 32">
          <a:extLst>
            <a:ext uri="{FF2B5EF4-FFF2-40B4-BE49-F238E27FC236}">
              <a16:creationId xmlns:a16="http://schemas.microsoft.com/office/drawing/2014/main" id="{CDF00FA8-AFD5-44A0-966E-91C404EE544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38" name="Text Box 3">
          <a:extLst>
            <a:ext uri="{FF2B5EF4-FFF2-40B4-BE49-F238E27FC236}">
              <a16:creationId xmlns:a16="http://schemas.microsoft.com/office/drawing/2014/main" id="{E4353AB8-C468-46C4-815F-A080BCCC385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39" name="Text Box 63">
          <a:extLst>
            <a:ext uri="{FF2B5EF4-FFF2-40B4-BE49-F238E27FC236}">
              <a16:creationId xmlns:a16="http://schemas.microsoft.com/office/drawing/2014/main" id="{10F8E128-E855-45D5-A299-FD49A425A36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40" name="Text Box 3">
          <a:extLst>
            <a:ext uri="{FF2B5EF4-FFF2-40B4-BE49-F238E27FC236}">
              <a16:creationId xmlns:a16="http://schemas.microsoft.com/office/drawing/2014/main" id="{23623E72-43A5-4B9E-AA2A-3535B4AA0C1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41" name="Text Box 32">
          <a:extLst>
            <a:ext uri="{FF2B5EF4-FFF2-40B4-BE49-F238E27FC236}">
              <a16:creationId xmlns:a16="http://schemas.microsoft.com/office/drawing/2014/main" id="{9C894B7D-217E-4E58-A458-AA831B0A57E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42" name="Text Box 3">
          <a:extLst>
            <a:ext uri="{FF2B5EF4-FFF2-40B4-BE49-F238E27FC236}">
              <a16:creationId xmlns:a16="http://schemas.microsoft.com/office/drawing/2014/main" id="{140E60A7-737A-4EEC-85ED-56D2AC62FF8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43" name="Text Box 63">
          <a:extLst>
            <a:ext uri="{FF2B5EF4-FFF2-40B4-BE49-F238E27FC236}">
              <a16:creationId xmlns:a16="http://schemas.microsoft.com/office/drawing/2014/main" id="{F64FA9B5-5945-4A21-9C91-E0D8EA75F3C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44" name="Text Box 3">
          <a:extLst>
            <a:ext uri="{FF2B5EF4-FFF2-40B4-BE49-F238E27FC236}">
              <a16:creationId xmlns:a16="http://schemas.microsoft.com/office/drawing/2014/main" id="{FA5B2152-EBAD-438F-B76B-67CBCE25755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45" name="Text Box 32">
          <a:extLst>
            <a:ext uri="{FF2B5EF4-FFF2-40B4-BE49-F238E27FC236}">
              <a16:creationId xmlns:a16="http://schemas.microsoft.com/office/drawing/2014/main" id="{DE9D2C21-6863-43AC-A423-81E920470F9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46" name="Text Box 3">
          <a:extLst>
            <a:ext uri="{FF2B5EF4-FFF2-40B4-BE49-F238E27FC236}">
              <a16:creationId xmlns:a16="http://schemas.microsoft.com/office/drawing/2014/main" id="{EC821544-881F-4E1A-A92A-9CF268A600B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47" name="Text Box 63">
          <a:extLst>
            <a:ext uri="{FF2B5EF4-FFF2-40B4-BE49-F238E27FC236}">
              <a16:creationId xmlns:a16="http://schemas.microsoft.com/office/drawing/2014/main" id="{5D9A1AB1-7AA0-4112-A59D-8FD3AB5A271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48" name="Text Box 3">
          <a:extLst>
            <a:ext uri="{FF2B5EF4-FFF2-40B4-BE49-F238E27FC236}">
              <a16:creationId xmlns:a16="http://schemas.microsoft.com/office/drawing/2014/main" id="{40760764-F28F-4912-B602-58D7A3ABA95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49" name="Text Box 32">
          <a:extLst>
            <a:ext uri="{FF2B5EF4-FFF2-40B4-BE49-F238E27FC236}">
              <a16:creationId xmlns:a16="http://schemas.microsoft.com/office/drawing/2014/main" id="{6E02138C-E47C-4C9C-9485-81C31343177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50" name="Text Box 3">
          <a:extLst>
            <a:ext uri="{FF2B5EF4-FFF2-40B4-BE49-F238E27FC236}">
              <a16:creationId xmlns:a16="http://schemas.microsoft.com/office/drawing/2014/main" id="{1D3AA6FF-67C1-4B30-9D27-45D87FB58C4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51" name="Text Box 63">
          <a:extLst>
            <a:ext uri="{FF2B5EF4-FFF2-40B4-BE49-F238E27FC236}">
              <a16:creationId xmlns:a16="http://schemas.microsoft.com/office/drawing/2014/main" id="{1274269A-8DB1-4DA7-8E4E-7A26C784748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52" name="Text Box 3">
          <a:extLst>
            <a:ext uri="{FF2B5EF4-FFF2-40B4-BE49-F238E27FC236}">
              <a16:creationId xmlns:a16="http://schemas.microsoft.com/office/drawing/2014/main" id="{F0EF6456-F35B-4E11-8CAE-C4E6DF7C66E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53" name="Text Box 32">
          <a:extLst>
            <a:ext uri="{FF2B5EF4-FFF2-40B4-BE49-F238E27FC236}">
              <a16:creationId xmlns:a16="http://schemas.microsoft.com/office/drawing/2014/main" id="{629906E1-8345-4697-9502-1141BB8C1A7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54" name="Text Box 3">
          <a:extLst>
            <a:ext uri="{FF2B5EF4-FFF2-40B4-BE49-F238E27FC236}">
              <a16:creationId xmlns:a16="http://schemas.microsoft.com/office/drawing/2014/main" id="{0D4E73FE-AAA3-4192-AF10-DF2BF938A33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55" name="Text Box 63">
          <a:extLst>
            <a:ext uri="{FF2B5EF4-FFF2-40B4-BE49-F238E27FC236}">
              <a16:creationId xmlns:a16="http://schemas.microsoft.com/office/drawing/2014/main" id="{2658E0EF-0554-4DF1-A0B1-0C91F883EE0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56" name="Text Box 3">
          <a:extLst>
            <a:ext uri="{FF2B5EF4-FFF2-40B4-BE49-F238E27FC236}">
              <a16:creationId xmlns:a16="http://schemas.microsoft.com/office/drawing/2014/main" id="{FB9A5B4D-D91A-4E60-9B64-939F0774FC5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57" name="Text Box 32">
          <a:extLst>
            <a:ext uri="{FF2B5EF4-FFF2-40B4-BE49-F238E27FC236}">
              <a16:creationId xmlns:a16="http://schemas.microsoft.com/office/drawing/2014/main" id="{9E4BE19D-3C9F-4434-B02A-D967C4CFC8A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58" name="Text Box 3">
          <a:extLst>
            <a:ext uri="{FF2B5EF4-FFF2-40B4-BE49-F238E27FC236}">
              <a16:creationId xmlns:a16="http://schemas.microsoft.com/office/drawing/2014/main" id="{5474FD15-881C-44AF-A399-CE108C2C437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59" name="Text Box 63">
          <a:extLst>
            <a:ext uri="{FF2B5EF4-FFF2-40B4-BE49-F238E27FC236}">
              <a16:creationId xmlns:a16="http://schemas.microsoft.com/office/drawing/2014/main" id="{54E06046-1B8B-4336-B7BE-DAB55E2924C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60" name="Text Box 3">
          <a:extLst>
            <a:ext uri="{FF2B5EF4-FFF2-40B4-BE49-F238E27FC236}">
              <a16:creationId xmlns:a16="http://schemas.microsoft.com/office/drawing/2014/main" id="{80120CA7-7A67-47E2-8722-CB52BAC9EFD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61" name="Text Box 32">
          <a:extLst>
            <a:ext uri="{FF2B5EF4-FFF2-40B4-BE49-F238E27FC236}">
              <a16:creationId xmlns:a16="http://schemas.microsoft.com/office/drawing/2014/main" id="{709C9503-8952-443A-B48F-073B95CF014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62" name="Text Box 3">
          <a:extLst>
            <a:ext uri="{FF2B5EF4-FFF2-40B4-BE49-F238E27FC236}">
              <a16:creationId xmlns:a16="http://schemas.microsoft.com/office/drawing/2014/main" id="{B54C9B78-4754-4D24-9CEB-27B01D42069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63" name="Text Box 63">
          <a:extLst>
            <a:ext uri="{FF2B5EF4-FFF2-40B4-BE49-F238E27FC236}">
              <a16:creationId xmlns:a16="http://schemas.microsoft.com/office/drawing/2014/main" id="{A708D5A1-CF7C-405C-B950-EB63E596EB3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64" name="Text Box 3">
          <a:extLst>
            <a:ext uri="{FF2B5EF4-FFF2-40B4-BE49-F238E27FC236}">
              <a16:creationId xmlns:a16="http://schemas.microsoft.com/office/drawing/2014/main" id="{C0E67ECA-8E06-4A64-835A-BA5AC1D0F61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65" name="Text Box 32">
          <a:extLst>
            <a:ext uri="{FF2B5EF4-FFF2-40B4-BE49-F238E27FC236}">
              <a16:creationId xmlns:a16="http://schemas.microsoft.com/office/drawing/2014/main" id="{46055F1C-A0A3-42F9-8ECC-1D79C3C670E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66" name="Text Box 3">
          <a:extLst>
            <a:ext uri="{FF2B5EF4-FFF2-40B4-BE49-F238E27FC236}">
              <a16:creationId xmlns:a16="http://schemas.microsoft.com/office/drawing/2014/main" id="{73B1BB6C-BFD6-42F6-9FC5-B5E6D0B7357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67" name="Text Box 63">
          <a:extLst>
            <a:ext uri="{FF2B5EF4-FFF2-40B4-BE49-F238E27FC236}">
              <a16:creationId xmlns:a16="http://schemas.microsoft.com/office/drawing/2014/main" id="{071D8862-85C8-4B30-AE3B-5702743830C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68" name="Text Box 3">
          <a:extLst>
            <a:ext uri="{FF2B5EF4-FFF2-40B4-BE49-F238E27FC236}">
              <a16:creationId xmlns:a16="http://schemas.microsoft.com/office/drawing/2014/main" id="{F14EE328-471B-4016-9640-30BD6C49570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69" name="Text Box 32">
          <a:extLst>
            <a:ext uri="{FF2B5EF4-FFF2-40B4-BE49-F238E27FC236}">
              <a16:creationId xmlns:a16="http://schemas.microsoft.com/office/drawing/2014/main" id="{5551257E-EBF1-4813-A5D2-2DC7DD3F8CC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70" name="Text Box 3">
          <a:extLst>
            <a:ext uri="{FF2B5EF4-FFF2-40B4-BE49-F238E27FC236}">
              <a16:creationId xmlns:a16="http://schemas.microsoft.com/office/drawing/2014/main" id="{B2D7ECEA-5CA1-41EC-A3EC-4BF51F200D3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71" name="Text Box 63">
          <a:extLst>
            <a:ext uri="{FF2B5EF4-FFF2-40B4-BE49-F238E27FC236}">
              <a16:creationId xmlns:a16="http://schemas.microsoft.com/office/drawing/2014/main" id="{5640DCE4-2E8E-4D68-8670-D9F21D954DA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72" name="Text Box 3">
          <a:extLst>
            <a:ext uri="{FF2B5EF4-FFF2-40B4-BE49-F238E27FC236}">
              <a16:creationId xmlns:a16="http://schemas.microsoft.com/office/drawing/2014/main" id="{0FA1010E-8922-406D-8B76-AC2682688D9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73" name="Text Box 32">
          <a:extLst>
            <a:ext uri="{FF2B5EF4-FFF2-40B4-BE49-F238E27FC236}">
              <a16:creationId xmlns:a16="http://schemas.microsoft.com/office/drawing/2014/main" id="{4345D473-842A-402A-B800-011C49225FE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74" name="Text Box 3">
          <a:extLst>
            <a:ext uri="{FF2B5EF4-FFF2-40B4-BE49-F238E27FC236}">
              <a16:creationId xmlns:a16="http://schemas.microsoft.com/office/drawing/2014/main" id="{ED58BBA1-0388-4123-A168-EABAD36B986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75" name="Text Box 63">
          <a:extLst>
            <a:ext uri="{FF2B5EF4-FFF2-40B4-BE49-F238E27FC236}">
              <a16:creationId xmlns:a16="http://schemas.microsoft.com/office/drawing/2014/main" id="{C939D629-0E25-4387-93B1-B25D086E686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76" name="Text Box 3">
          <a:extLst>
            <a:ext uri="{FF2B5EF4-FFF2-40B4-BE49-F238E27FC236}">
              <a16:creationId xmlns:a16="http://schemas.microsoft.com/office/drawing/2014/main" id="{AF501B4A-3655-4C8B-B767-0DB7FF8495C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77" name="Text Box 32">
          <a:extLst>
            <a:ext uri="{FF2B5EF4-FFF2-40B4-BE49-F238E27FC236}">
              <a16:creationId xmlns:a16="http://schemas.microsoft.com/office/drawing/2014/main" id="{DF707DD1-B958-49C0-9337-9D272BF6BA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78" name="Text Box 3">
          <a:extLst>
            <a:ext uri="{FF2B5EF4-FFF2-40B4-BE49-F238E27FC236}">
              <a16:creationId xmlns:a16="http://schemas.microsoft.com/office/drawing/2014/main" id="{DAB6CE67-F28A-4718-8039-B3C4E7F4793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79" name="Text Box 63">
          <a:extLst>
            <a:ext uri="{FF2B5EF4-FFF2-40B4-BE49-F238E27FC236}">
              <a16:creationId xmlns:a16="http://schemas.microsoft.com/office/drawing/2014/main" id="{9DFAAB4E-18E6-44A2-85AA-B20C4B34A91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80" name="Text Box 3">
          <a:extLst>
            <a:ext uri="{FF2B5EF4-FFF2-40B4-BE49-F238E27FC236}">
              <a16:creationId xmlns:a16="http://schemas.microsoft.com/office/drawing/2014/main" id="{041480CC-A9D9-4B76-8138-9E482B2267E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81" name="Text Box 32">
          <a:extLst>
            <a:ext uri="{FF2B5EF4-FFF2-40B4-BE49-F238E27FC236}">
              <a16:creationId xmlns:a16="http://schemas.microsoft.com/office/drawing/2014/main" id="{76420975-D426-45DD-BD59-BCCED5F5635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82" name="Text Box 3">
          <a:extLst>
            <a:ext uri="{FF2B5EF4-FFF2-40B4-BE49-F238E27FC236}">
              <a16:creationId xmlns:a16="http://schemas.microsoft.com/office/drawing/2014/main" id="{94FF5E78-883E-453C-91F1-80884763810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83" name="Text Box 63">
          <a:extLst>
            <a:ext uri="{FF2B5EF4-FFF2-40B4-BE49-F238E27FC236}">
              <a16:creationId xmlns:a16="http://schemas.microsoft.com/office/drawing/2014/main" id="{BE431147-2815-4FDF-9EF2-AF4A579D2A9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84" name="Text Box 3">
          <a:extLst>
            <a:ext uri="{FF2B5EF4-FFF2-40B4-BE49-F238E27FC236}">
              <a16:creationId xmlns:a16="http://schemas.microsoft.com/office/drawing/2014/main" id="{57DAC65A-2485-4225-AFF6-3B87424E2A1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85" name="Text Box 32">
          <a:extLst>
            <a:ext uri="{FF2B5EF4-FFF2-40B4-BE49-F238E27FC236}">
              <a16:creationId xmlns:a16="http://schemas.microsoft.com/office/drawing/2014/main" id="{E08BA36D-9EFD-4CE4-8407-D6E6F39A729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86" name="Text Box 3">
          <a:extLst>
            <a:ext uri="{FF2B5EF4-FFF2-40B4-BE49-F238E27FC236}">
              <a16:creationId xmlns:a16="http://schemas.microsoft.com/office/drawing/2014/main" id="{4B40B991-F0FA-4322-9846-EC2F7082DD5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87" name="Text Box 63">
          <a:extLst>
            <a:ext uri="{FF2B5EF4-FFF2-40B4-BE49-F238E27FC236}">
              <a16:creationId xmlns:a16="http://schemas.microsoft.com/office/drawing/2014/main" id="{7A354C82-3BE3-482E-A5F8-DB6079C9AE1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88" name="Text Box 3">
          <a:extLst>
            <a:ext uri="{FF2B5EF4-FFF2-40B4-BE49-F238E27FC236}">
              <a16:creationId xmlns:a16="http://schemas.microsoft.com/office/drawing/2014/main" id="{972773A2-351D-402C-8F57-83A83712B58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89" name="Text Box 32">
          <a:extLst>
            <a:ext uri="{FF2B5EF4-FFF2-40B4-BE49-F238E27FC236}">
              <a16:creationId xmlns:a16="http://schemas.microsoft.com/office/drawing/2014/main" id="{B5FC168D-3A0B-450A-A288-2814D657719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90" name="Text Box 3">
          <a:extLst>
            <a:ext uri="{FF2B5EF4-FFF2-40B4-BE49-F238E27FC236}">
              <a16:creationId xmlns:a16="http://schemas.microsoft.com/office/drawing/2014/main" id="{3405E2AE-A0A5-42CA-90BE-721CD8495EA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91" name="Text Box 63">
          <a:extLst>
            <a:ext uri="{FF2B5EF4-FFF2-40B4-BE49-F238E27FC236}">
              <a16:creationId xmlns:a16="http://schemas.microsoft.com/office/drawing/2014/main" id="{275DEC65-145D-4464-8115-AD098B7FD5B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897</xdr:row>
      <xdr:rowOff>0</xdr:rowOff>
    </xdr:from>
    <xdr:to>
      <xdr:col>1</xdr:col>
      <xdr:colOff>0</xdr:colOff>
      <xdr:row>897</xdr:row>
      <xdr:rowOff>152400</xdr:rowOff>
    </xdr:to>
    <xdr:sp macro="" textlink="">
      <xdr:nvSpPr>
        <xdr:cNvPr id="8392" name="Text Box 3">
          <a:extLst>
            <a:ext uri="{FF2B5EF4-FFF2-40B4-BE49-F238E27FC236}">
              <a16:creationId xmlns:a16="http://schemas.microsoft.com/office/drawing/2014/main" id="{244BF040-587E-40AF-A25B-63A10B05BA78}"/>
            </a:ext>
          </a:extLst>
        </xdr:cNvPr>
        <xdr:cNvSpPr txBox="1">
          <a:spLocks noChangeArrowheads="1"/>
        </xdr:cNvSpPr>
      </xdr:nvSpPr>
      <xdr:spPr bwMode="auto">
        <a:xfrm>
          <a:off x="476250" y="71056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na\c\Documents%20and%20Settings\JOEL\Mis%20documentos\Documents%20and%20Settings\Joel%20Francisco\Mis%20documentos\Documents%20and%20Settings\CLAUDIA\Mis%20documentos\TRABAJO%20CLAUDIA\Garibaldy%20Bautista%20(actualizaciones)\analisis%20el%20pino%20junumuc&#250;.xls?8D955B24" TargetMode="External"/><Relationship Id="rId1" Type="http://schemas.openxmlformats.org/officeDocument/2006/relationships/externalLinkPath" Target="file:///\\8D955B24\analisis%20el%20pino%20junumuc&#25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3\C\Documents%20and%20Settings\costos\Mis%20documentos\claudia\Garibaldy%20Bautista%20(Costos)\analisis%20el%20pino%20junumuc&#250;%20(version%201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AN\C\BASE%20DATOS%20PARA%20ANALISIS\BASE%20DATOS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ng.%20Tony%20Hernandez\Escritorio\Comedor%20Juegos%20Regionales%20Bayaguan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OYECTO\IMBERT_PEAD_21abr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analisis%20seopc\Copia%20de%20Analisis%20PARA%20PRESUPUESTO%20OBRAS%20PUBLICA%20df%20enero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158\pc%20elvita\Documents%20and%20Settings\Costos_01\Desktop\LOMA%20CABRRERA\MOD.%20223-09%20TRABAJOS%20faltantes%20AC.%20LOMA%20DE%20CABRER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apa-fs02\HANGAR%20AILI\Hangares%20AILI%2002-09-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Garibaldy%20Bautista%20(actualizaciones)\analisis%20el%20pino%20junumuc&#25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DRE_LAS_CASAS\ANALISIS_TODOS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Inapa-fs02\Documents%20and%20Settings\JOEL\Mis%20documentos\Documents%20and%20Settings\Joel%20Francisco\Mis%20documentos\Documents%20and%20Settings\CLAUDIA\Mis%20documentos\TRABAJO%20CLAUDIA\Garibaldy%20Bautista%20(actualizaciones)\analisis%20el%20pino%20junumuc&#250;.xls?D0C0845F" TargetMode="External"/><Relationship Id="rId1" Type="http://schemas.openxmlformats.org/officeDocument/2006/relationships/externalLinkPath" Target="file:///\\D0C0845F\analisis%20el%20pino%20junumuc&#2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Users\yanel\Documents\PERSONALTRABAJOS\YANEL%200IS0E\YANEL%20FERNANDEZ\ITECO\edf.%20administrativo\PRESUPUESTO%20edificio%20administrativo%20ITEC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3\C\Documents%20and%20Settings\CLAUDIA\Mis%20documentos\TRABAJO%20CLAUDIA\analisis%20seopc\Copia%20de%20Analisis%20PARA%20PRESUPUESTO%20OBRAS%20PUBLICA%20df%20enero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01\Mis%20Documentos%20(Costos)\ADDENDAS%20ABRIL%202004\143-04%20%20ADDENDA%20NO.%201%20AC.%20%20EL%20LIM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CUBICACION-NUEVA-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PROYECTO%20PIEDRA%20BLANCA\JOEL\APC\InaconsaACT\Volumenes%20del%20Presupuesto\bPrimer%20Nivel\CIAceros%201erN.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JOEL\APC\InaconsaACT\Soportes%20Analisis,Presupuestos,Controles\BPreliminar\Soportes%20Grales.Controles%20de%20Obr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Ray\Escritorio\Presupuesto%20Habitacional%20Piedra%20BlancaX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\c\backup%20costos%2003\RECLAMACIONES%202005\ZONA%20II\Documents%20and%20Settings\CLAUDIA\Mis%20documentos\TRABAJO%20CLAUDIA\Garibaldy%20Bautista%20(actualizaciones)\analisis%20el%20pino%20junumuc&#25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BRIAN\D\My%20Documents\Documentos%20En%20Uso\Resort%20Bahia%20Estela%20Caribe\My%20Documents\Brian's%20Documents\RESIDENCIAL%20APARTAMENTOS\ROMANA%20DEL%20OESTE\Plaza%20Columbus\WINPROJ\Cespedes\Fiesta\Fiesta%20Area%20de%20Espectaculo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\My%20Documents\BACKUP%20JULIO\wandel\escritorio%201\PRESUPUESTOS\Peravia\Salinas\PRESUPUESTO%20viviend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ca%20Chica\Oferta%20Economica%20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presupuesto%20donald%202007\DONALD%20PC%20VOL%202\Archivo%20Horacio\Proyectos%20Ingenieria%20Metalica\Concurso%20Mao\Presupuestos\Presupuesto%20genera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Startup" Target="PROYECTO%20PUCMM/BASE%20DATOS%20PARA%20ANALISIS/BASE%20DATOS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Documents%20and%20Settings\FRED\Mis%20documentos\ARCHIVOS%20PERSONALES\FRED\FRANCISCO\PRESUPUESTO%20MELLIZAS_2_NIVELES_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dor\Escritorio\metodologia%20Presupuestos\Analisis%20de%20Edificaciones.xls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lvita\c\Documents%20and%20Settings\JOEL\Mis%20documentos\Documents%20and%20Settings\Joel%20Francisco\Mis%20documentos\Documents%20and%20Settings\CLAUDIA\Mis%20documentos\TRABAJO%20CLAUDIA\analisis%20seopc\Copia%20de%20Analisis%20PARA%20PRESUPUESTO%20OBRAS%20PUBLICA%20df%20enero%202004.xls?22A946DD" TargetMode="External"/><Relationship Id="rId1" Type="http://schemas.openxmlformats.org/officeDocument/2006/relationships/externalLinkPath" Target="file:///\\22A946DD\Copia%20de%20Analisis%20PARA%20PRESUPUESTO%20OBRAS%20PUBLICA%20df%20enero%2020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Backup%20G\Users\ramona.montas\AppData\Local\Microsoft\Windows\Temporary%20Internet%20Files\Content.Outlook\2H869UQ5\FORMATO%20INAPA\BARRIO+MARIA+TRINIDAD+SANCHEZ%20(2)-INAPA.xlsx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servidor%20de%20red%20de%20costos%20(ervita)\carpeta%20de%20maria.morales\2009\SAMANA\Documents%20and%20Settings\Achilles_\My%20Documents\Ampliacion\Estudos%20mar&#231;o-05\Documents%20and%20Settings\Achilles_\My%20Documents\Compartido\Moreno\Plano%20de%20Conta\PROYECTO%20AQN-WC?7B7048AA" TargetMode="External"/><Relationship Id="rId1" Type="http://schemas.openxmlformats.org/officeDocument/2006/relationships/externalLinkPath" Target="file:///\\7B7048AA\PROYECTO%20AQN-WC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einier\e\Documents%20and%20Settings\Ing.%20Tony%20Hernandez\Escritorio\Comedor%20Juegos%20Regionales%20Bayaguan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-costos-14\PC%20Elvita\Documents%20and%20Settings\GERMAN%20NOVA\My%20Documents\Intec\MAESTRIA\Costos\Proyecto%20Final%20(SC)\Documents%20and%20Settings\Lurdes\Desktop\Samuel\Propuesta-Auditoria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BERT_PEAD_21abr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an\c\Mis%20Documentos\Mis%20archivos%20recibidos\VillaVinicioCastillo(1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cuments%20and%20Settings\GLEINIER\Escritorio\Documentos%20Compartidos%20(Donald-Geovanny)\Presupuestos%20TRANSPARENTADOS\Omar%20CD%20System\Presupuesto%20Nave%20Omar%20CD%20VER.%20TECH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BRIAN\D\My%20Documents\Documentos%20En%20Uso\Escuelas%20Publicas\Escuelas%20Armenteros%20Tony%20Hernandez\LOLIN%20NAVE%20PTA%20CAN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estigador\amell%20(d)\DONALD%20EXELL\D'%20DONALD\D'%20RaSol\presupuesto\presupuesto\Pres.%20Cubierta%20Alta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vita\c\backup%20costos%2003\RECLAMACIONES%202006\ZONA%20III\rec%201%20al%2098-05%20terminacion%20ac.%20la%20cueva%20de%20cevicos%202da.%20etapa%20ac.%20mult.%20guanabano-%20cruce%20de%20maguaca%20parte%20b%20y%20guanabano%20como%20ext.%20al%20ac.%20la%20cueva%20de%20cevico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TRABAJOS\Transfer\Costos\Proyectos\Galerias\presup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TO\IMBERT_PEAD_21abr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-costos-05\servidor%20de%20red%20de%20costos%20(ervita)\MIS%20DOCUMENTOS\PROYECTO%20TERMINACION%20SOFTBALL%20COJPD\PRESUPUESTO%20MODIFICADO\PRESUPUESTO_FEDOSA_14NOV20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apa-fs02\Users\Maria%20Isabel%20Morales\Desktop\doc.%20memoria%20feb%2011\higuero%20nuevo\HANGAR%20AILI\pres.%20ampliacion%20y%20construc.%20plataforma%20tanqu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codetel.net.do/Documents%20and%20Settings/Administrator/My%20Documents/PROYECTOS/LICITACION%20011-2006/PROPUESTA/2005%2012%20Dic%20Texto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s-fs-05\docs_compartidos$\Documentos%20Compartidos%20Evaluacion%20y%20Costo\MARIA%20MORALES\2019\ESTIMADOS\PRESUPUESTO%20ALCANTARILLADO%20SANITARIO%20SAN%20JUAN%20DE%20LA%20MAGUANA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Backup%20G\Users\Vicki%20Abreu\Downloads\Copia%20de%20LISTA%20DE%20PARTIDAS%20SANEAMIENTO%20GURABO%20-%20PAISAJISMO%20Y%20VIAS%20(6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-6068a73cbf6\Mis%20documentos\Documents%20and%20Settings\GLEINIER\Escritorio\Documentos%20Compartidos%20(Donald-Geovanny)\Presupuestos%20TRANSPARENTADOS\Omar%20CD%20System\Presupuesto%20Nave%20Omar%20CD%20VER.%20TECH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Backup%20G\Users\Vicki%20Abreu\Downloads\Listado%20de%20partidas%20parte%201_REV%203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Backup%20G\Users\CUBIC03\Desktop\copi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cero%20Estrella\Cotizacion\2010\Proyectos%20Tipo%20A\REMODELACION%20AILA%202010\Licitaci&#243;n%20AILA%20(Remodelaci&#243;n%20terminal%20-%20MAyo%202010)%20(20-agosto-2010)%2022%2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nald\My%20Documents\Documentos%20Compartidos%20(Donald-Geovanny)\Presupuestos%20TRANSPARENTADOS\Omar%20CD%20System\Presupuesto%20Nave%20Omar%20CD%20VER.%20TECH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An&#225;lisis%201,%202,%203\Copia%20de%20Analis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apa-fs02\Documents%20and%20Settings\dell2\Escritorio\Mis%20documentos\presupuestos%202006\85-06%20Reh.%20y%20Ampl.%20Ac.%20Imbert%20(2da.%20alternativa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</sheetNames>
    <sheetDataSet>
      <sheetData sheetId="0">
        <row r="10">
          <cell r="C10">
            <v>578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INS"/>
    </sheetNames>
    <sheetDataSet>
      <sheetData sheetId="0" refreshError="1">
        <row r="9">
          <cell r="C9">
            <v>1525</v>
          </cell>
        </row>
        <row r="10">
          <cell r="C10">
            <v>578</v>
          </cell>
        </row>
        <row r="12">
          <cell r="C12">
            <v>356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TAS"/>
      <sheetName val="TERMINACION DE SUPERFICIE"/>
      <sheetName val="ANALISIS"/>
      <sheetName val="Pisos marmol y Ceram.laticrete"/>
      <sheetName val="ANALISIS DE COSTOS"/>
      <sheetName val="REVESTIMIENTOS"/>
      <sheetName val="techos"/>
      <sheetName val="Sheet1"/>
      <sheetName val="PISO VIBRAZO GRIS"/>
      <sheetName val="GROUTING"/>
      <sheetName val="MORTEROS"/>
      <sheetName val="PISOS"/>
      <sheetName val="REFERENCIAS"/>
      <sheetName val="LISTADO INSUMOS DEL 2000"/>
      <sheetName val="HORMIGON ARMADO, ZAPATA"/>
      <sheetName val="PINTURA"/>
      <sheetName val="TECHO2"/>
      <sheetName val="ADOQUINES"/>
      <sheetName val="Presupuesto @ 1-10-02"/>
      <sheetName val="Mediciones @ 10-9-02"/>
      <sheetName val="Cotizaciones"/>
      <sheetName val="M.O. Plomería (2)"/>
      <sheetName val="Piezas Plomería (2)"/>
      <sheetName val="Mediciones"/>
      <sheetName val="Análisis Complementarios"/>
      <sheetName val="Bloques"/>
      <sheetName val="Otros"/>
      <sheetName val="Pisos &amp; Revestimientos"/>
      <sheetName val="Vigas"/>
      <sheetName val="Cuantía Acero"/>
      <sheetName val="Cotización Acero"/>
      <sheetName val="Cotizaciones Diversas"/>
      <sheetName val="M.O. Plomería"/>
      <sheetName val="Piezas Plomería"/>
      <sheetName val="Insumos"/>
      <sheetName val="M.O."/>
      <sheetName val="Ponderación"/>
      <sheetName val="Hoja Resumen"/>
      <sheetName val="Apto. #1202"/>
      <sheetName val="Apto. #1203"/>
      <sheetName val="Pisos Terraza Penthouse"/>
      <sheetName val="PV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9">
          <cell r="I29">
            <v>277.11900900900901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Anal. horm."/>
      <sheetName val="Volumenes"/>
      <sheetName val="Detalle Acero"/>
      <sheetName val="O.M. y Salarios"/>
      <sheetName val="Materiales"/>
      <sheetName val="Trabajos Generales"/>
      <sheetName val="COSTO INDIRECTO"/>
      <sheetName val="OPERADORES EQUIPOS"/>
      <sheetName val="HORM. Y MORTEROS."/>
      <sheetName val="SALARIOS"/>
      <sheetName val="INS"/>
      <sheetName val="Análisis_de_Precios"/>
      <sheetName val="Presupuesto_Nave_1"/>
      <sheetName val="Presupuesto_Nave_2"/>
      <sheetName val="Cantidades_Nave_1"/>
      <sheetName val="Cantidades_Nave_2"/>
      <sheetName val="Mano_de_Obra"/>
      <sheetName val="Anal__horm_"/>
      <sheetName val="Detalle_Acero"/>
      <sheetName val="O_M__y_Salarios"/>
      <sheetName val="Trabajos_Generales"/>
      <sheetName val="COSTO_INDIRECTO"/>
      <sheetName val="OPERADORES_EQUIPOS"/>
      <sheetName val="HORM__Y_MORTEROS_"/>
      <sheetName val="Análisis_de_Precios1"/>
      <sheetName val="Presupuesto_Nave_11"/>
      <sheetName val="Presupuesto_Nave_21"/>
      <sheetName val="Cantidades_Nave_11"/>
      <sheetName val="Cantidades_Nave_21"/>
      <sheetName val="Mano_de_Obra1"/>
      <sheetName val="Anal__horm_1"/>
      <sheetName val="Detalle_Acero1"/>
      <sheetName val="O_M__y_Salarios1"/>
      <sheetName val="Trabajos_Generales1"/>
      <sheetName val="COSTO_INDIRECTO1"/>
      <sheetName val="OPERADORES_EQUIPOS1"/>
      <sheetName val="HORM__Y_MORTEROS_1"/>
      <sheetName val="Análisis_de_Precios2"/>
      <sheetName val="Presupuesto_Nave_12"/>
      <sheetName val="Presupuesto_Nave_22"/>
      <sheetName val="Cantidades_Nave_12"/>
      <sheetName val="Cantidades_Nave_22"/>
      <sheetName val="Mano_de_Obra2"/>
      <sheetName val="Anal__horm_2"/>
      <sheetName val="Detalle_Acero2"/>
      <sheetName val="O_M__y_Salarios2"/>
      <sheetName val="Trabajos_Generales2"/>
      <sheetName val="COSTO_INDIRECTO2"/>
      <sheetName val="OPERADORES_EQUIPOS2"/>
      <sheetName val="HORM__Y_MORTEROS_2"/>
      <sheetName val="Análisis_de_Precios3"/>
      <sheetName val="Presupuesto_Nave_13"/>
      <sheetName val="Presupuesto_Nave_23"/>
      <sheetName val="Cantidades_Nave_13"/>
      <sheetName val="Cantidades_Nave_23"/>
      <sheetName val="Mano_de_Obra3"/>
      <sheetName val="Anal__horm_3"/>
      <sheetName val="Detalle_Acero3"/>
      <sheetName val="O_M__y_Salarios3"/>
      <sheetName val="Trabajos_Generales3"/>
      <sheetName val="COSTO_INDIRECTO3"/>
      <sheetName val="OPERADORES_EQUIPOS3"/>
      <sheetName val="HORM__Y_MORTEROS_3"/>
      <sheetName val="V.Tierras A"/>
      <sheetName val="materiales (2)"/>
      <sheetName val="Datos"/>
      <sheetName val="ANALISIS STO DGO"/>
      <sheetName val="anal term"/>
      <sheetName val="Ana-Sanit."/>
      <sheetName val="UASD"/>
      <sheetName val="Mat"/>
      <sheetName val="Pu-Sanit."/>
      <sheetName val="Los Ángeles (Fase II)"/>
      <sheetName val="V_Tierras_A"/>
      <sheetName val="V_Tierras_A1"/>
      <sheetName val="materiales_(2)"/>
      <sheetName val="INSU"/>
      <sheetName val="MO"/>
      <sheetName val="Cotz."/>
    </sheetNames>
    <sheetDataSet>
      <sheetData sheetId="0" refreshError="1">
        <row r="6">
          <cell r="B6" t="str">
            <v>Acero 1/2" (  Grado 40  )</v>
          </cell>
          <cell r="C6" t="str">
            <v>QQ</v>
          </cell>
          <cell r="D6">
            <v>275</v>
          </cell>
        </row>
        <row r="7">
          <cell r="B7" t="str">
            <v>Acero 1/4"  (  Grado 40  )</v>
          </cell>
          <cell r="C7" t="str">
            <v>QQ</v>
          </cell>
          <cell r="D7">
            <v>270</v>
          </cell>
        </row>
        <row r="8">
          <cell r="B8" t="str">
            <v>Acero 3/4"-1" (  Grado 40  )</v>
          </cell>
          <cell r="C8" t="str">
            <v>QQ</v>
          </cell>
          <cell r="D8">
            <v>395</v>
          </cell>
        </row>
        <row r="9">
          <cell r="B9" t="str">
            <v>Acero 3/8"  (  Grado 40  )</v>
          </cell>
          <cell r="C9" t="str">
            <v>QQ</v>
          </cell>
          <cell r="D9">
            <v>275</v>
          </cell>
        </row>
        <row r="16">
          <cell r="B16" t="str">
            <v>Arena Gruesa Lavada</v>
          </cell>
          <cell r="C16" t="str">
            <v>M3</v>
          </cell>
          <cell r="D16">
            <v>250</v>
          </cell>
        </row>
        <row r="20">
          <cell r="B20" t="str">
            <v>Alambre No. 18</v>
          </cell>
          <cell r="C20" t="str">
            <v>LBS</v>
          </cell>
          <cell r="D20">
            <v>8</v>
          </cell>
        </row>
        <row r="22">
          <cell r="B22" t="str">
            <v>Bloques de 6"</v>
          </cell>
          <cell r="C22" t="str">
            <v>UD</v>
          </cell>
          <cell r="D22">
            <v>9.52</v>
          </cell>
        </row>
        <row r="23">
          <cell r="B23" t="str">
            <v xml:space="preserve">Bloques de 8" </v>
          </cell>
          <cell r="C23" t="str">
            <v>UD</v>
          </cell>
          <cell r="D23">
            <v>12.48</v>
          </cell>
        </row>
        <row r="77">
          <cell r="B77" t="str">
            <v>M/O Quintal Trabajado</v>
          </cell>
          <cell r="C77" t="str">
            <v>QQ</v>
          </cell>
          <cell r="D77">
            <v>55</v>
          </cell>
        </row>
        <row r="78">
          <cell r="B78" t="str">
            <v>M/O Armadura Columna</v>
          </cell>
          <cell r="C78" t="str">
            <v>ML</v>
          </cell>
          <cell r="D78">
            <v>20</v>
          </cell>
        </row>
        <row r="79">
          <cell r="B79" t="str">
            <v>M/O Armadura Dintel y Viga</v>
          </cell>
          <cell r="C79" t="str">
            <v>ML</v>
          </cell>
          <cell r="D79">
            <v>20</v>
          </cell>
        </row>
        <row r="83">
          <cell r="B83" t="str">
            <v>M/O Fino de Techo Inclinado</v>
          </cell>
          <cell r="C83" t="str">
            <v>M2</v>
          </cell>
          <cell r="D83">
            <v>35</v>
          </cell>
        </row>
        <row r="84">
          <cell r="B84" t="str">
            <v>M/O Fino de Techo Plano</v>
          </cell>
          <cell r="C84" t="str">
            <v>M2</v>
          </cell>
          <cell r="D84">
            <v>30</v>
          </cell>
        </row>
        <row r="86">
          <cell r="B86" t="str">
            <v>M/O Llenado de huecos</v>
          </cell>
          <cell r="C86" t="str">
            <v>UD</v>
          </cell>
          <cell r="D86">
            <v>0.33</v>
          </cell>
        </row>
        <row r="87">
          <cell r="B87" t="str">
            <v>M/O Maestro</v>
          </cell>
          <cell r="C87" t="str">
            <v>DIA</v>
          </cell>
          <cell r="D87">
            <v>500</v>
          </cell>
        </row>
        <row r="91">
          <cell r="B91" t="str">
            <v>M/O Pañete Maestreado Exterior</v>
          </cell>
          <cell r="C91" t="str">
            <v>M2</v>
          </cell>
          <cell r="D91">
            <v>28</v>
          </cell>
        </row>
        <row r="92">
          <cell r="B92" t="str">
            <v>M/O Pañete Maestreado Interior</v>
          </cell>
          <cell r="C92" t="str">
            <v>M2</v>
          </cell>
          <cell r="D92">
            <v>28</v>
          </cell>
        </row>
        <row r="94">
          <cell r="B94" t="str">
            <v>M/O Preparación del Terreno</v>
          </cell>
          <cell r="C94" t="str">
            <v>M2</v>
          </cell>
          <cell r="D94">
            <v>9.6999999999999993</v>
          </cell>
        </row>
        <row r="95">
          <cell r="B95" t="str">
            <v>M/O Subida de Materiales</v>
          </cell>
          <cell r="C95" t="str">
            <v>M3</v>
          </cell>
          <cell r="D95">
            <v>188.27</v>
          </cell>
        </row>
        <row r="96">
          <cell r="B96" t="str">
            <v>M/O Carpintero 2da. Categoría</v>
          </cell>
          <cell r="C96" t="str">
            <v>DIA</v>
          </cell>
          <cell r="D96">
            <v>300</v>
          </cell>
        </row>
        <row r="98">
          <cell r="B98" t="str">
            <v>M/O Zabaletas</v>
          </cell>
          <cell r="C98" t="str">
            <v>ML</v>
          </cell>
          <cell r="D98">
            <v>25</v>
          </cell>
        </row>
        <row r="99">
          <cell r="B99" t="str">
            <v>M/O Cantos</v>
          </cell>
          <cell r="C99" t="str">
            <v>ML</v>
          </cell>
          <cell r="D99">
            <v>13</v>
          </cell>
        </row>
        <row r="102">
          <cell r="B102" t="str">
            <v>M/O Cerámica Italiana en Pared</v>
          </cell>
          <cell r="C102" t="str">
            <v>M2</v>
          </cell>
          <cell r="D102">
            <v>76.319999999999993</v>
          </cell>
        </row>
        <row r="104">
          <cell r="B104" t="str">
            <v>M/O Colocación Adoquines</v>
          </cell>
          <cell r="C104" t="str">
            <v>M2</v>
          </cell>
          <cell r="D104">
            <v>19.77</v>
          </cell>
        </row>
        <row r="105">
          <cell r="B105" t="str">
            <v>M/O Colocación de Bloques de 4"</v>
          </cell>
          <cell r="C105" t="str">
            <v>UD</v>
          </cell>
          <cell r="D105">
            <v>3.75</v>
          </cell>
        </row>
        <row r="106">
          <cell r="B106" t="str">
            <v>M/O Colocación de Bloques de 6"</v>
          </cell>
          <cell r="C106" t="str">
            <v>UD</v>
          </cell>
          <cell r="D106">
            <v>3.75</v>
          </cell>
        </row>
        <row r="107">
          <cell r="B107" t="str">
            <v>M/O Colocación de Bloques de 8"</v>
          </cell>
          <cell r="C107" t="str">
            <v>UD</v>
          </cell>
          <cell r="D107">
            <v>4</v>
          </cell>
        </row>
        <row r="108">
          <cell r="B108" t="str">
            <v xml:space="preserve">M/O Colocación Piso Cerámica Criolla </v>
          </cell>
          <cell r="C108" t="str">
            <v>M2</v>
          </cell>
          <cell r="D108">
            <v>90</v>
          </cell>
        </row>
        <row r="111">
          <cell r="B111" t="str">
            <v>M/O Colocación Piso de Granito 40 X 40</v>
          </cell>
          <cell r="C111" t="str">
            <v>M2</v>
          </cell>
          <cell r="D111">
            <v>53.18</v>
          </cell>
        </row>
        <row r="113">
          <cell r="B113" t="str">
            <v>M/O Colocación Zócalos de Cerámica</v>
          </cell>
          <cell r="C113" t="str">
            <v>ML</v>
          </cell>
          <cell r="D113">
            <v>15</v>
          </cell>
        </row>
        <row r="114">
          <cell r="B114" t="str">
            <v>M/O Colocación Listelos</v>
          </cell>
          <cell r="C114" t="str">
            <v>ML</v>
          </cell>
          <cell r="D114">
            <v>15</v>
          </cell>
        </row>
        <row r="115">
          <cell r="B115" t="str">
            <v>M/O Confección de Andamios</v>
          </cell>
          <cell r="C115" t="str">
            <v>DIA</v>
          </cell>
          <cell r="D115">
            <v>300</v>
          </cell>
        </row>
        <row r="116">
          <cell r="B116" t="str">
            <v>M/O Construcción Acera Frotada y Violinada</v>
          </cell>
          <cell r="C116" t="str">
            <v>M2</v>
          </cell>
          <cell r="D116">
            <v>25</v>
          </cell>
        </row>
        <row r="119">
          <cell r="B119" t="str">
            <v>M/O Corte y Amarre de Varilla</v>
          </cell>
          <cell r="C119" t="str">
            <v>UD</v>
          </cell>
          <cell r="D119">
            <v>0.25</v>
          </cell>
        </row>
        <row r="121">
          <cell r="B121" t="str">
            <v xml:space="preserve">M/O Elaboración Trampa de Grasa  </v>
          </cell>
          <cell r="C121" t="str">
            <v>UD</v>
          </cell>
          <cell r="D121">
            <v>650</v>
          </cell>
        </row>
        <row r="127">
          <cell r="B127" t="str">
            <v>Alq. Madera P/Rampa  (  Incl. M/O  )</v>
          </cell>
          <cell r="C127" t="str">
            <v>UD</v>
          </cell>
          <cell r="D127">
            <v>900</v>
          </cell>
        </row>
        <row r="128">
          <cell r="B128" t="str">
            <v>Alq. Madera P/Viga  (  Incl. M/O  )</v>
          </cell>
          <cell r="C128" t="str">
            <v>ML</v>
          </cell>
          <cell r="D128">
            <v>98</v>
          </cell>
        </row>
        <row r="129">
          <cell r="B129" t="str">
            <v>Alq. Madera P/Vigas y Columnas Amarre (  Incl. M/O  )</v>
          </cell>
          <cell r="C129" t="str">
            <v>ML</v>
          </cell>
          <cell r="D129">
            <v>50</v>
          </cell>
        </row>
        <row r="132">
          <cell r="B132" t="str">
            <v>M/O Regado, Compactación, Mojado, Trasl.Mat. (A/M)</v>
          </cell>
          <cell r="C132" t="str">
            <v>M3</v>
          </cell>
          <cell r="D132">
            <v>44.3</v>
          </cell>
        </row>
        <row r="136">
          <cell r="B136" t="str">
            <v xml:space="preserve">Ligado y Vaciado a Mano  </v>
          </cell>
          <cell r="C136" t="str">
            <v>M3</v>
          </cell>
          <cell r="D136">
            <v>188.27</v>
          </cell>
        </row>
        <row r="149">
          <cell r="B149" t="str">
            <v>M/O Técnico Calificado</v>
          </cell>
          <cell r="C149" t="str">
            <v>DIA</v>
          </cell>
          <cell r="D149">
            <v>175</v>
          </cell>
        </row>
      </sheetData>
      <sheetData sheetId="1" refreshError="1">
        <row r="201">
          <cell r="F201">
            <v>7792.2050656250012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01">
          <cell r="F201">
            <v>7792.2050656250012</v>
          </cell>
        </row>
      </sheetData>
      <sheetData sheetId="28"/>
      <sheetData sheetId="29" refreshError="1"/>
      <sheetData sheetId="30" refreshError="1"/>
      <sheetData sheetId="31" refreshError="1"/>
      <sheetData sheetId="32">
        <row r="201">
          <cell r="F201">
            <v>7792.2050656250012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>
        <row r="201">
          <cell r="F201">
            <v>7792.2050656250012</v>
          </cell>
        </row>
      </sheetData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C.S."/>
      <sheetName val="PRESU"/>
      <sheetName val="ANALISIS "/>
      <sheetName val="analisis basicos"/>
      <sheetName val="Analisis Complementarios "/>
      <sheetName val="COLOCACION DE TUBERIA"/>
      <sheetName val="MOVIMIENTO DE TIERRA"/>
      <sheetName val=" MOVIMIENTO DE TIERRA EQUIPO"/>
      <sheetName val="ANCLAJES DE H.A."/>
      <sheetName val="REGISTROS DE LADRILLOS Y H.A. "/>
      <sheetName val="RECLAMACION 1."/>
      <sheetName val="ANALISIS CASETAS"/>
      <sheetName val="VERJA NUEVA"/>
      <sheetName val="LISTADO INSUMOS DEL 2000"/>
    </sheetNames>
    <sheetDataSet>
      <sheetData sheetId="0" refreshError="1">
        <row r="9">
          <cell r="D9">
            <v>1500</v>
          </cell>
        </row>
        <row r="17">
          <cell r="D17">
            <v>35</v>
          </cell>
        </row>
        <row r="130">
          <cell r="D130">
            <v>45</v>
          </cell>
        </row>
        <row r="131">
          <cell r="D131">
            <v>20</v>
          </cell>
        </row>
        <row r="132">
          <cell r="D132">
            <v>35</v>
          </cell>
        </row>
        <row r="133">
          <cell r="D133">
            <v>1350</v>
          </cell>
        </row>
      </sheetData>
      <sheetData sheetId="1" refreshError="1">
        <row r="11">
          <cell r="B11">
            <v>1.4428531746653097</v>
          </cell>
        </row>
        <row r="247">
          <cell r="B247">
            <v>1.4428531746653097</v>
          </cell>
        </row>
        <row r="256">
          <cell r="B256">
            <v>13.707105159320442</v>
          </cell>
        </row>
        <row r="612">
          <cell r="B612">
            <v>220.75653572379238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RECLAMACION 3"/>
      <sheetName val="INSU"/>
      <sheetName val="MO"/>
      <sheetName val="Ins 2"/>
      <sheetName val="INSUMOS"/>
      <sheetName val="Herram"/>
      <sheetName val="Hoja1"/>
      <sheetName val="Hoja2"/>
      <sheetName val="Hoja3"/>
      <sheetName val="Col.Amarre"/>
      <sheetName val="Escalera"/>
      <sheetName val="Muros"/>
      <sheetName val="Materiales"/>
      <sheetName val="HORM. Y MORTEROS."/>
      <sheetName val="SALARIOS"/>
      <sheetName val="Resumen Precio Equipos"/>
      <sheetName val="O.M. y Salarios"/>
    </sheetNames>
    <sheetDataSet>
      <sheetData sheetId="0">
        <row r="561">
          <cell r="D561">
            <v>36.01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>
        <row r="568">
          <cell r="D568" t="str">
            <v>m3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-10181-3(Rescision)"/>
      <sheetName val="CUB-10181-3(Rescision) (2)"/>
      <sheetName val="CUB-10181-3(Rescision) (3)"/>
      <sheetName val="ANALISIS 2009"/>
      <sheetName val="Módulo1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lisis"/>
      <sheetName val="Sheet3"/>
      <sheetName val="CUBICACION"/>
      <sheetName val="CUB. FORMATO AERODOM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presupuesto"/>
      <sheetName val="analisis basicos"/>
      <sheetName val="ANALISIS "/>
      <sheetName val="COLOCACION DE TUBERIA"/>
      <sheetName val="C.D.C., C.Op. y C.G."/>
      <sheetName val="Malla Ciclónica y Muros Blo "/>
      <sheetName val="Hoja1"/>
      <sheetName val="Hoja2"/>
      <sheetName val="Hoja3"/>
      <sheetName val="RECLAMACION 3"/>
      <sheetName val="via"/>
      <sheetName val="GONZALO"/>
      <sheetName val="MATERIALES LISTADO"/>
      <sheetName val="Insumos"/>
      <sheetName val="Análisis"/>
      <sheetName val="INS"/>
      <sheetName val="M_O_"/>
      <sheetName val="Analisis_(2)"/>
      <sheetName val="analisis_basicos"/>
      <sheetName val="ANALISIS_"/>
      <sheetName val="COLOCACION_DE_TUBERIA"/>
      <sheetName val="C_D_C_,_C_Op__y_C_G_"/>
      <sheetName val="Malla_Ciclónica_y_Muros_Blo_"/>
      <sheetName val="RECLAMACION_3"/>
      <sheetName val="MATERIALES_LISTADO"/>
      <sheetName val="M_O_1"/>
      <sheetName val="Analisis_(2)1"/>
      <sheetName val="analisis_basicos1"/>
      <sheetName val="ANALISIS_1"/>
      <sheetName val="COLOCACION_DE_TUBERIA1"/>
      <sheetName val="C_D_C_,_C_Op__y_C_G_1"/>
      <sheetName val="Malla_Ciclónica_y_Muros_Blo_1"/>
      <sheetName val="RECLAMACION_31"/>
      <sheetName val="MATERIALES_LISTADO1"/>
      <sheetName val="M_O_2"/>
      <sheetName val="Analisis_(2)2"/>
      <sheetName val="analisis_basicos2"/>
      <sheetName val="ANALISIS_2"/>
      <sheetName val="COLOCACION_DE_TUBERIA2"/>
      <sheetName val="C_D_C_,_C_Op__y_C_G_2"/>
      <sheetName val="Malla_Ciclónica_y_Muros_Blo_2"/>
      <sheetName val="RECLAMACION_32"/>
      <sheetName val="MATERIALES_LISTADO2"/>
      <sheetName val="M_O_3"/>
      <sheetName val="Analisis_(2)3"/>
      <sheetName val="analisis_basicos3"/>
      <sheetName val="ANALISIS_3"/>
      <sheetName val="COLOCACION_DE_TUBERIA3"/>
      <sheetName val="C_D_C_,_C_Op__y_C_G_3"/>
      <sheetName val="Malla_Ciclónica_y_Muros_Blo_3"/>
      <sheetName val="RECLAMACION_33"/>
      <sheetName val="MATERIALES_LISTADO3"/>
      <sheetName val="INSU"/>
      <sheetName val="MO"/>
      <sheetName val="Mat"/>
      <sheetName val="anal term"/>
      <sheetName val="Jornal"/>
      <sheetName val="Sheet4"/>
      <sheetName val="Sheet5"/>
      <sheetName val="caseta de planta"/>
      <sheetName val="MATERIALES"/>
      <sheetName val="OBRAMANO"/>
      <sheetName val="EQUIPOS"/>
      <sheetName val="M_O_4"/>
      <sheetName val="Analisis_(2)4"/>
      <sheetName val="analisis_basicos4"/>
      <sheetName val="ANALISIS_4"/>
      <sheetName val="COLOCACION_DE_TUBERIA4"/>
      <sheetName val="C_D_C_,_C_Op__y_C_G_4"/>
      <sheetName val="Malla_Ciclónica_y_Muros_Blo_4"/>
      <sheetName val="RECLAMACION_34"/>
      <sheetName val="MATERIALES_LISTADO4"/>
      <sheetName val="M_O_5"/>
      <sheetName val="Analisis_(2)5"/>
      <sheetName val="analisis_basicos5"/>
      <sheetName val="ANALISIS_5"/>
      <sheetName val="COLOCACION_DE_TUBERIA5"/>
      <sheetName val="C_D_C_,_C_Op__y_C_G_5"/>
      <sheetName val="Malla_Ciclónica_y_Muros_Blo_5"/>
      <sheetName val="RECLAMACION_35"/>
      <sheetName val="MATERIALES_LISTADO5"/>
    </sheetNames>
    <sheetDataSet>
      <sheetData sheetId="0" refreshError="1">
        <row r="9">
          <cell r="C9">
            <v>1525</v>
          </cell>
        </row>
        <row r="12">
          <cell r="C12">
            <v>356</v>
          </cell>
        </row>
      </sheetData>
      <sheetData sheetId="1" refreshError="1"/>
      <sheetData sheetId="2" refreshError="1"/>
      <sheetData sheetId="3" refreshError="1"/>
      <sheetData sheetId="4">
        <row r="9">
          <cell r="C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9">
          <cell r="C9">
            <v>1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9">
          <cell r="C9">
            <v>1525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9">
          <cell r="C9">
            <v>1525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OS"/>
      <sheetName val="MORTEROS Y HR"/>
      <sheetName val="GASTOS INDIR."/>
      <sheetName val="CANAL BOHECHIO"/>
      <sheetName val="COMUNES"/>
      <sheetName val="P CASAS 1"/>
      <sheetName val="P CASA 2"/>
      <sheetName val="MATERIALES LISTADO"/>
      <sheetName val="EQUIPOS LISTADO"/>
      <sheetName val="MANO OBRA LISTADO"/>
      <sheetName val="REMOCION COMPUERTA"/>
      <sheetName val="BOMBAS DE AGUA"/>
      <sheetName val="Análisis"/>
      <sheetName val="Insumos"/>
      <sheetName val="Cabañas Ejecutivas"/>
      <sheetName val="Cabañas Presidenciales "/>
      <sheetName val="Cabañas simple Tipo I"/>
      <sheetName val="Cabañas simple Tipo 2"/>
      <sheetName val="Cabañas simple Tipo 3"/>
      <sheetName val="Cabañas Vice Presidenciales"/>
      <sheetName val="Calles, aceras y contenes"/>
      <sheetName val="Resumen"/>
      <sheetName val="Caseta de planta"/>
      <sheetName val="Edificio Administracion"/>
      <sheetName val="Edificio de Entrada"/>
      <sheetName val="Hoja de presupuesto"/>
      <sheetName val="Precio"/>
      <sheetName val="Sheet4"/>
      <sheetName val="Sheet5"/>
      <sheetName val="análisis de precios"/>
      <sheetName val="MORTEROS_Y_HR"/>
      <sheetName val="GASTOS_INDIR_"/>
      <sheetName val="CANAL_BOHECHIO"/>
      <sheetName val="P_CASAS_1"/>
      <sheetName val="P_CASA_2"/>
      <sheetName val="MATERIALES_LISTADO"/>
      <sheetName val="EQUIPOS_LISTADO"/>
      <sheetName val="MANO_OBRA_LISTADO"/>
      <sheetName val="REMOCION_COMPUERTA"/>
      <sheetName val="BOMBAS_DE_AGUA"/>
      <sheetName val="Cabañas_Ejecutivas"/>
      <sheetName val="Cabañas_Presidenciales_"/>
      <sheetName val="Cabañas_simple_Tipo_I"/>
      <sheetName val="Cabañas_simple_Tipo_2"/>
      <sheetName val="Cabañas_simple_Tipo_3"/>
      <sheetName val="Cabañas_Vice_Presidenciales"/>
      <sheetName val="Calles,_aceras_y_contenes"/>
      <sheetName val="Caseta_de_planta"/>
      <sheetName val="Edificio_Administracion"/>
      <sheetName val="Edificio_de_Entrada"/>
      <sheetName val="Hoja_de_presupuesto"/>
      <sheetName val="análisis_de_precios"/>
      <sheetName val="MORTEROS_Y_HR1"/>
      <sheetName val="GASTOS_INDIR_1"/>
      <sheetName val="CANAL_BOHECHIO1"/>
      <sheetName val="P_CASAS_11"/>
      <sheetName val="P_CASA_21"/>
      <sheetName val="MATERIALES_LISTADO1"/>
      <sheetName val="EQUIPOS_LISTADO1"/>
      <sheetName val="MANO_OBRA_LISTADO1"/>
      <sheetName val="REMOCION_COMPUERTA1"/>
      <sheetName val="BOMBAS_DE_AGUA1"/>
      <sheetName val="Cabañas_Ejecutivas1"/>
      <sheetName val="Cabañas_Presidenciales_1"/>
      <sheetName val="Cabañas_simple_Tipo_I1"/>
      <sheetName val="Cabañas_simple_Tipo_21"/>
      <sheetName val="Cabañas_simple_Tipo_31"/>
      <sheetName val="Cabañas_Vice_Presidenciales1"/>
      <sheetName val="Calles,_aceras_y_contenes1"/>
      <sheetName val="Caseta_de_planta1"/>
      <sheetName val="Edificio_Administracion1"/>
      <sheetName val="Edificio_de_Entrada1"/>
      <sheetName val="Hoja_de_presupuesto1"/>
      <sheetName val="análisis_de_precios1"/>
      <sheetName val="MORTEROS_Y_HR2"/>
      <sheetName val="GASTOS_INDIR_2"/>
      <sheetName val="CANAL_BOHECHIO2"/>
      <sheetName val="P_CASAS_12"/>
      <sheetName val="P_CASA_22"/>
      <sheetName val="MATERIALES_LISTADO2"/>
      <sheetName val="EQUIPOS_LISTADO2"/>
      <sheetName val="MANO_OBRA_LISTADO2"/>
      <sheetName val="REMOCION_COMPUERTA2"/>
      <sheetName val="BOMBAS_DE_AGUA2"/>
      <sheetName val="Cabañas_Ejecutivas2"/>
      <sheetName val="Cabañas_Presidenciales_2"/>
      <sheetName val="Cabañas_simple_Tipo_I2"/>
      <sheetName val="Cabañas_simple_Tipo_22"/>
      <sheetName val="Cabañas_simple_Tipo_32"/>
      <sheetName val="Cabañas_Vice_Presidenciales2"/>
      <sheetName val="Calles,_aceras_y_contenes2"/>
      <sheetName val="Caseta_de_planta2"/>
      <sheetName val="Edificio_Administracion2"/>
      <sheetName val="Edificio_de_Entrada2"/>
      <sheetName val="Hoja_de_presupuesto2"/>
      <sheetName val="análisis_de_precios2"/>
      <sheetName val="MORTEROS_Y_HR3"/>
      <sheetName val="GASTOS_INDIR_3"/>
      <sheetName val="CANAL_BOHECHIO3"/>
      <sheetName val="P_CASAS_13"/>
      <sheetName val="P_CASA_23"/>
      <sheetName val="MATERIALES_LISTADO3"/>
      <sheetName val="EQUIPOS_LISTADO3"/>
      <sheetName val="MANO_OBRA_LISTADO3"/>
      <sheetName val="REMOCION_COMPUERTA3"/>
      <sheetName val="BOMBAS_DE_AGUA3"/>
      <sheetName val="Cabañas_Ejecutivas3"/>
      <sheetName val="Cabañas_Presidenciales_3"/>
      <sheetName val="Cabañas_simple_Tipo_I3"/>
      <sheetName val="Cabañas_simple_Tipo_23"/>
      <sheetName val="Cabañas_simple_Tipo_33"/>
      <sheetName val="Cabañas_Vice_Presidenciales3"/>
      <sheetName val="Calles,_aceras_y_contenes3"/>
      <sheetName val="Caseta_de_planta3"/>
      <sheetName val="Edificio_Administracion3"/>
      <sheetName val="Edificio_de_Entrada3"/>
      <sheetName val="Hoja_de_presupuesto3"/>
      <sheetName val="análisis_de_precios3"/>
      <sheetName val="ANALISIS STO DGO"/>
      <sheetName val="Analisis"/>
      <sheetName val="Materiales"/>
      <sheetName val="Datos"/>
      <sheetName val="ANALISIS_STO_DGO"/>
      <sheetName val="ANALISIS_STO_DG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0.5</v>
          </cell>
        </row>
        <row r="9">
          <cell r="D9">
            <v>180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>
        <row r="8">
          <cell r="D8">
            <v>0.5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/>
      <sheetData sheetId="12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</sheetNames>
    <sheetDataSet>
      <sheetData sheetId="0">
        <row r="9">
          <cell r="C9">
            <v>1525</v>
          </cell>
        </row>
        <row r="10">
          <cell r="C10">
            <v>578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  <sheetName val="anal term"/>
      <sheetName val="#REF"/>
      <sheetName val="HORM. Y MORTEROS."/>
      <sheetName val="SALARIOS"/>
      <sheetName val="Ac_Z"/>
      <sheetName val="Ac_C"/>
      <sheetName val="Ac_V"/>
      <sheetName val="resum_ac_"/>
      <sheetName val="LOSA_(2)"/>
      <sheetName val="ana_h_a"/>
      <sheetName val="Analisis_Areas_Ext_"/>
      <sheetName val="v__exterior"/>
      <sheetName val="bLOQUE_A"/>
      <sheetName val="V_Tierras_A"/>
      <sheetName val="V_H_A_y_Muros_A"/>
      <sheetName val="Term_A"/>
      <sheetName val="ANALISIS_STO_DGO"/>
      <sheetName val="anal_term"/>
      <sheetName val="HORM__Y_MORTEROS_"/>
      <sheetName val="Ac_Z1"/>
      <sheetName val="Ac_C1"/>
      <sheetName val="Ac_V1"/>
      <sheetName val="resum_ac_1"/>
      <sheetName val="LOSA_(2)1"/>
      <sheetName val="ana_h_a1"/>
      <sheetName val="Analisis_Areas_Ext_1"/>
      <sheetName val="v__exterior1"/>
      <sheetName val="bLOQUE_A1"/>
      <sheetName val="V_Tierras_A1"/>
      <sheetName val="V_H_A_y_Muros_A1"/>
      <sheetName val="Term_A1"/>
      <sheetName val="ANALISIS_STO_DGO1"/>
      <sheetName val="anal_term1"/>
      <sheetName val="HORM__Y_MORTEROS_1"/>
      <sheetName val="Ac_Z2"/>
      <sheetName val="Ac_C2"/>
      <sheetName val="Ac_V2"/>
      <sheetName val="resum_ac_2"/>
      <sheetName val="LOSA_(2)2"/>
      <sheetName val="ana_h_a2"/>
      <sheetName val="Analisis_Areas_Ext_2"/>
      <sheetName val="v__exterior2"/>
      <sheetName val="bLOQUE_A2"/>
      <sheetName val="V_Tierras_A2"/>
      <sheetName val="V_H_A_y_Muros_A2"/>
      <sheetName val="Term_A2"/>
      <sheetName val="ANALISIS_STO_DGO2"/>
      <sheetName val="anal_term2"/>
      <sheetName val="HORM__Y_MORTEROS_2"/>
      <sheetName val="Ac_Z3"/>
      <sheetName val="Ac_C3"/>
      <sheetName val="Ac_V3"/>
      <sheetName val="resum_ac_3"/>
      <sheetName val="LOSA_(2)3"/>
      <sheetName val="ana_h_a3"/>
      <sheetName val="Analisis_Areas_Ext_3"/>
      <sheetName val="v__exterior3"/>
      <sheetName val="bLOQUE_A3"/>
      <sheetName val="V_Tierras_A3"/>
      <sheetName val="V_H_A_y_Muros_A3"/>
      <sheetName val="Term_A3"/>
      <sheetName val="ANALISIS_STO_DGO3"/>
      <sheetName val="anal_term3"/>
      <sheetName val="HORM__Y_MORTEROS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9">
          <cell r="D9">
            <v>26</v>
          </cell>
        </row>
        <row r="10">
          <cell r="D10">
            <v>30</v>
          </cell>
        </row>
        <row r="13">
          <cell r="D13">
            <v>265</v>
          </cell>
        </row>
        <row r="14">
          <cell r="D14">
            <v>295</v>
          </cell>
        </row>
        <row r="15">
          <cell r="D15">
            <v>290</v>
          </cell>
        </row>
        <row r="16">
          <cell r="D16">
            <v>295</v>
          </cell>
        </row>
        <row r="17">
          <cell r="D17">
            <v>290</v>
          </cell>
        </row>
        <row r="19">
          <cell r="D19">
            <v>30</v>
          </cell>
        </row>
        <row r="36">
          <cell r="D36">
            <v>5916</v>
          </cell>
        </row>
      </sheetData>
      <sheetData sheetId="7" refreshError="1">
        <row r="10">
          <cell r="F10">
            <v>4838.6400000000003</v>
          </cell>
        </row>
        <row r="17">
          <cell r="F17">
            <v>4289.4381999999996</v>
          </cell>
        </row>
        <row r="37">
          <cell r="F37">
            <v>4299.8692000000001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Hoja1"/>
      <sheetName val="Hoja2"/>
      <sheetName val="Hoja3"/>
      <sheetName val="RECLAMACION 3"/>
      <sheetName val="INSU"/>
      <sheetName val="MO"/>
      <sheetName val="Ins 2"/>
      <sheetName val="INSUMOS"/>
    </sheetNames>
    <sheetDataSet>
      <sheetData sheetId="0">
        <row r="561">
          <cell r="D561">
            <v>36.01</v>
          </cell>
        </row>
      </sheetData>
      <sheetData sheetId="1" refreshError="1">
        <row r="561">
          <cell r="D561">
            <v>36.01</v>
          </cell>
        </row>
        <row r="563">
          <cell r="D563">
            <v>349440</v>
          </cell>
        </row>
        <row r="568">
          <cell r="D568">
            <v>448000</v>
          </cell>
        </row>
      </sheetData>
      <sheetData sheetId="2"/>
      <sheetData sheetId="3"/>
      <sheetData sheetId="4"/>
      <sheetData sheetId="5"/>
      <sheetData sheetId="6"/>
      <sheetData sheetId="7">
        <row r="568">
          <cell r="D568" t="str">
            <v>m3</v>
          </cell>
        </row>
      </sheetData>
      <sheetData sheetId="8"/>
      <sheetData sheetId="9"/>
      <sheetData sheetId="10">
        <row r="568">
          <cell r="D568" t="str">
            <v>m3</v>
          </cell>
        </row>
      </sheetData>
      <sheetData sheetId="11"/>
      <sheetData sheetId="12"/>
      <sheetData sheetId="13" refreshError="1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ENDA"/>
      <sheetName val="CADRO EXPLICATIVO"/>
      <sheetName val="Módulo1"/>
      <sheetName val="INS"/>
      <sheetName val="Cornisa de 2.62 pie"/>
      <sheetName val="Cornisa de 2 pie"/>
      <sheetName val="Muros Interiores h=2.8 m "/>
      <sheetName val="MurosInt.h=2.8 m Plycem 2 lados"/>
      <sheetName val="MurosInt.h=2.8 m U C con plycem"/>
      <sheetName val="Plafond Sheetrock"/>
      <sheetName val="Analisis Unitarios"/>
      <sheetName val="CADRO_EXPLICATIVO"/>
      <sheetName val="Cornisa_de_2_62_pie"/>
      <sheetName val="Cornisa_de_2_pie"/>
      <sheetName val="Muros_Interiores_h=2_8_m_"/>
      <sheetName val="MurosInt_h=2_8_m_Plycem_2_lados"/>
      <sheetName val="MurosInt_h=2_8_m_U_C_con_plycem"/>
      <sheetName val="Plafond_Sheetrock"/>
      <sheetName val="Analisis_Unitarios"/>
      <sheetName val="CADRO_EXPLICATIVO1"/>
      <sheetName val="Cornisa_de_2_62_pie1"/>
      <sheetName val="Cornisa_de_2_pie1"/>
      <sheetName val="Muros_Interiores_h=2_8_m_1"/>
      <sheetName val="MurosInt_h=2_8_m_Plycem_2_lado1"/>
      <sheetName val="MurosInt_h=2_8_m_U_C_con_plyce1"/>
      <sheetName val="Plafond_Sheetrock1"/>
      <sheetName val="Analisis_Unitarios1"/>
      <sheetName val="CADRO_EXPLICATIVO2"/>
      <sheetName val="Cornisa_de_2_62_pie2"/>
      <sheetName val="Cornisa_de_2_pie2"/>
      <sheetName val="Muros_Interiores_h=2_8_m_2"/>
      <sheetName val="MurosInt_h=2_8_m_Plycem_2_lado2"/>
      <sheetName val="MurosInt_h=2_8_m_U_C_con_plyce2"/>
      <sheetName val="Plafond_Sheetrock2"/>
      <sheetName val="Analisis_Unitarios2"/>
      <sheetName val="CADRO_EXPLICATIVO3"/>
      <sheetName val="Cornisa_de_2_62_pie3"/>
      <sheetName val="Cornisa_de_2_pie3"/>
      <sheetName val="Muros_Interiores_h=2_8_m_3"/>
      <sheetName val="MurosInt_h=2_8_m_Plycem_2_lado3"/>
      <sheetName val="MurosInt_h=2_8_m_U_C_con_plyce3"/>
      <sheetName val="Plafond_Sheetrock3"/>
      <sheetName val="Analisis_Unitarios3"/>
      <sheetName val="CADRO_EXPLICATIVO4"/>
      <sheetName val="Cornisa_de_2_62_pie4"/>
      <sheetName val="Cornisa_de_2_pie4"/>
      <sheetName val="Muros_Interiores_h=2_8_m_4"/>
      <sheetName val="MurosInt_h=2_8_m_Plycem_2_lado4"/>
      <sheetName val="MurosInt_h=2_8_m_U_C_con_plyce4"/>
      <sheetName val="Plafond_Sheetrock4"/>
      <sheetName val="Analisis_Unitarios4"/>
      <sheetName val="CADRO_EXPLICATIVO5"/>
      <sheetName val="Cornisa_de_2_62_pie5"/>
      <sheetName val="Cornisa_de_2_pie5"/>
      <sheetName val="Muros_Interiores_h=2_8_m_5"/>
      <sheetName val="MurosInt_h=2_8_m_Plycem_2_lado5"/>
      <sheetName val="MurosInt_h=2_8_m_U_C_con_plyce5"/>
      <sheetName val="Plafond_Sheetrock5"/>
      <sheetName val="Analisis_Unitarios5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ISIS"/>
      <sheetName val="ADM"/>
      <sheetName val="PLAY1"/>
      <sheetName val="PLAY2"/>
      <sheetName val="NUEVAS PARTIDAS"/>
      <sheetName val="AUMENTO_VOL"/>
      <sheetName val="AUMENTO_PRECIOS"/>
      <sheetName val="RESUMEN"/>
      <sheetName val="ADDENDA"/>
      <sheetName val="Ana. blocks y termin."/>
      <sheetName val="Costos Mano de Obra"/>
      <sheetName val="Insumos materiales"/>
      <sheetName val="Ana. Horm mexc mort"/>
      <sheetName val="Ins"/>
      <sheetName val="Insumos"/>
      <sheetName val="Análisis"/>
      <sheetName val="Cabañas simple Tipo 2"/>
      <sheetName val="Cabañas simple Tipo 3"/>
      <sheetName val="Cabañas Vice Presidenciales"/>
      <sheetName val="Sheet1"/>
      <sheetName val="capilla"/>
      <sheetName val="ESTRUCT"/>
      <sheetName val="Analisis Unit. "/>
      <sheetName val="Cargas Sociales"/>
      <sheetName val="NUEVAS_PARTIDAS"/>
      <sheetName val="Ana__blocks_y_termin_"/>
      <sheetName val="Costos_Mano_de_Obra"/>
      <sheetName val="Insumos_materiales"/>
      <sheetName val="Ana__Horm_mexc_mort"/>
      <sheetName val="Cabañas_simple_Tipo_2"/>
      <sheetName val="Cabañas_simple_Tipo_3"/>
      <sheetName val="Cabañas_Vice_Presidenciales"/>
      <sheetName val="NUEVAS_PARTIDAS1"/>
      <sheetName val="Ana__blocks_y_termin_1"/>
      <sheetName val="Costos_Mano_de_Obra1"/>
      <sheetName val="Insumos_materiales1"/>
      <sheetName val="Ana__Horm_mexc_mort1"/>
      <sheetName val="Cabañas_simple_Tipo_21"/>
      <sheetName val="Cabañas_simple_Tipo_31"/>
      <sheetName val="Cabañas_Vice_Presidenciales1"/>
      <sheetName val="NUEVAS_PARTIDAS2"/>
      <sheetName val="Ana__blocks_y_termin_2"/>
      <sheetName val="Costos_Mano_de_Obra2"/>
      <sheetName val="Insumos_materiales2"/>
      <sheetName val="Ana__Horm_mexc_mort2"/>
      <sheetName val="Cabañas_simple_Tipo_22"/>
      <sheetName val="Cabañas_simple_Tipo_32"/>
      <sheetName val="Cabañas_Vice_Presidenciales2"/>
      <sheetName val="NUEVAS_PARTIDAS3"/>
      <sheetName val="Ana__blocks_y_termin_3"/>
      <sheetName val="Costos_Mano_de_Obra3"/>
      <sheetName val="Insumos_materiales3"/>
      <sheetName val="Ana__Horm_mexc_mort3"/>
      <sheetName val="Cabañas_simple_Tipo_23"/>
      <sheetName val="Cabañas_simple_Tipo_33"/>
      <sheetName val="Cabañas_Vice_Presidenciales3"/>
      <sheetName val="A-BASICOS"/>
      <sheetName val="Mat"/>
      <sheetName val="Pu-Sanit."/>
      <sheetName val="Partidas def."/>
      <sheetName val="Mem de Calculo"/>
      <sheetName val="ANALISIS  DE PARTIDAS"/>
      <sheetName val="Contratista"/>
      <sheetName val="Contratista 2"/>
      <sheetName val="NUEVAS_PARTIDAS4"/>
      <sheetName val="Ana__blocks_y_termin_4"/>
      <sheetName val="Costos_Mano_de_Obra4"/>
      <sheetName val="Insumos_materiales4"/>
      <sheetName val="Ana__Horm_mexc_mort4"/>
      <sheetName val="Cabañas_simple_Tipo_24"/>
      <sheetName val="Cabañas_simple_Tipo_34"/>
      <sheetName val="Cabañas_Vice_Presidenciales4"/>
      <sheetName val="NUEVAS_PARTIDAS5"/>
      <sheetName val="Ana__blocks_y_termin_5"/>
      <sheetName val="Costos_Mano_de_Obra5"/>
      <sheetName val="Insumos_materiales5"/>
      <sheetName val="Ana__Horm_mexc_mort5"/>
      <sheetName val="Cabañas_simple_Tipo_25"/>
      <sheetName val="Cabañas_simple_Tipo_35"/>
      <sheetName val="Cabañas_Vice_Presidenciales5"/>
    </sheetNames>
    <sheetDataSet>
      <sheetData sheetId="0" refreshError="1">
        <row r="13">
          <cell r="B13">
            <v>115</v>
          </cell>
        </row>
        <row r="41">
          <cell r="B41">
            <v>9800</v>
          </cell>
        </row>
        <row r="42">
          <cell r="B42">
            <v>1410</v>
          </cell>
        </row>
        <row r="90">
          <cell r="B90">
            <v>165</v>
          </cell>
        </row>
        <row r="91">
          <cell r="B91">
            <v>2000</v>
          </cell>
        </row>
        <row r="103">
          <cell r="B103">
            <v>34.426229508196727</v>
          </cell>
        </row>
        <row r="104">
          <cell r="B104">
            <v>7</v>
          </cell>
        </row>
      </sheetData>
      <sheetData sheetId="1" refreshError="1">
        <row r="11">
          <cell r="B11">
            <v>1140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 refreshError="1"/>
      <sheetData sheetId="64">
        <row r="11">
          <cell r="B11">
            <v>0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.Carga"/>
      <sheetName val="Col.Carga (2)"/>
      <sheetName val="Col.Amarre"/>
      <sheetName val="Col.Amarre (2)"/>
      <sheetName val="Vga.Carga"/>
      <sheetName val="Vga.Carga (2)"/>
      <sheetName val="Vga.Amarre"/>
      <sheetName val="Vga.Amarre (2)"/>
      <sheetName val="Losa Entrep."/>
      <sheetName val="Losa Entrep. (2)"/>
      <sheetName val="Escalera"/>
      <sheetName val="Muros"/>
      <sheetName val="Pedido"/>
      <sheetName val="Col_Carga"/>
      <sheetName val="Col_Carga_(2)"/>
      <sheetName val="Col_Amarre"/>
      <sheetName val="Col_Amarre_(2)"/>
      <sheetName val="Vga_Carga"/>
      <sheetName val="Vga_Carga_(2)"/>
      <sheetName val="Vga_Amarre"/>
      <sheetName val="Vga_Amarre_(2)"/>
      <sheetName val="Losa_Entrep_"/>
      <sheetName val="Losa_Entrep__(2)"/>
      <sheetName val="Análisis"/>
      <sheetName val="INS"/>
      <sheetName val="M.O."/>
      <sheetName val="Insumos"/>
      <sheetName val="Ana. blocks y termin."/>
      <sheetName val="Costos Mano de Obra"/>
      <sheetName val="Insumos materiales"/>
      <sheetName val="Ana. Horm mexc mort"/>
      <sheetName val="Análisis de Precios"/>
      <sheetName val="Precios"/>
      <sheetName val="M_O_"/>
      <sheetName val="Ana__blocks_y_termin_"/>
      <sheetName val="Costos_Mano_de_Obra"/>
      <sheetName val="Insumos_materiales"/>
      <sheetName val="Ana__Horm_mexc_mort"/>
      <sheetName val="Análisis_de_Precios"/>
      <sheetName val="Col_Carga1"/>
      <sheetName val="Col_Carga_(2)1"/>
      <sheetName val="Col_Amarre1"/>
      <sheetName val="Col_Amarre_(2)1"/>
      <sheetName val="Vga_Carga1"/>
      <sheetName val="Vga_Carga_(2)1"/>
      <sheetName val="Vga_Amarre1"/>
      <sheetName val="Vga_Amarre_(2)1"/>
      <sheetName val="Losa_Entrep_1"/>
      <sheetName val="Losa_Entrep__(2)1"/>
      <sheetName val="M_O_1"/>
      <sheetName val="Ana__blocks_y_termin_1"/>
      <sheetName val="Costos_Mano_de_Obra1"/>
      <sheetName val="Insumos_materiales1"/>
      <sheetName val="Ana__Horm_mexc_mort1"/>
      <sheetName val="Análisis_de_Precios1"/>
      <sheetName val="Col_Carga2"/>
      <sheetName val="Col_Carga_(2)2"/>
      <sheetName val="Col_Amarre2"/>
      <sheetName val="Col_Amarre_(2)2"/>
      <sheetName val="Vga_Carga2"/>
      <sheetName val="Vga_Carga_(2)2"/>
      <sheetName val="Vga_Amarre2"/>
      <sheetName val="Vga_Amarre_(2)2"/>
      <sheetName val="Losa_Entrep_2"/>
      <sheetName val="Losa_Entrep__(2)2"/>
      <sheetName val="M_O_2"/>
      <sheetName val="Ana__blocks_y_termin_2"/>
      <sheetName val="Costos_Mano_de_Obra2"/>
      <sheetName val="Insumos_materiales2"/>
      <sheetName val="Ana__Horm_mexc_mort2"/>
      <sheetName val="Análisis_de_Precios2"/>
      <sheetName val="Col_Carga3"/>
      <sheetName val="Col_Carga_(2)3"/>
      <sheetName val="Col_Amarre3"/>
      <sheetName val="Col_Amarre_(2)3"/>
      <sheetName val="Vga_Carga3"/>
      <sheetName val="Vga_Carga_(2)3"/>
      <sheetName val="Vga_Amarre3"/>
      <sheetName val="Vga_Amarre_(2)3"/>
      <sheetName val="Losa_Entrep_3"/>
      <sheetName val="Losa_Entrep__(2)3"/>
      <sheetName val="M_O_3"/>
      <sheetName val="Ana__blocks_y_termin_3"/>
      <sheetName val="Costos_Mano_de_Obra3"/>
      <sheetName val="Insumos_materiales3"/>
      <sheetName val="Ana__Horm_mexc_mort3"/>
      <sheetName val="Análisis_de_Precios3"/>
      <sheetName val="INSU"/>
      <sheetName val="MO"/>
      <sheetName val="Personaliz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6">
          <cell r="I16">
            <v>0</v>
          </cell>
        </row>
      </sheetData>
      <sheetData sheetId="11" refreshError="1"/>
      <sheetData sheetId="12" refreshError="1"/>
      <sheetData sheetId="13"/>
      <sheetData sheetId="14"/>
      <sheetData sheetId="15">
        <row r="9">
          <cell r="J9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9">
          <cell r="J9">
            <v>0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 Grales.Controles de Ob"/>
      <sheetName val="Hoja1"/>
      <sheetName val="Hoja2"/>
      <sheetName val="Hoja3"/>
      <sheetName val="Ins1"/>
      <sheetName val="Ins2"/>
      <sheetName val="InsOfic"/>
      <sheetName val="Cotz."/>
      <sheetName val="Jornales"/>
      <sheetName val="Indirectos"/>
      <sheetName val="Indirectos (2)"/>
      <sheetName val="Indirectos Ejec."/>
      <sheetName val="Analisis"/>
      <sheetName val="Pres-Cub-Adic"/>
      <sheetName val="Pres-Ejec."/>
      <sheetName val="Pedido Unit."/>
      <sheetName val="Pedido Masivo "/>
      <sheetName val="Soporte Pedido Unit."/>
      <sheetName val="Soporte Pedido Masivo "/>
      <sheetName val="Partidas No Contempladas"/>
      <sheetName val="Soportes_Grales_Controles_de_Ob"/>
      <sheetName val="Cotz_"/>
      <sheetName val="Indirectos_(2)"/>
      <sheetName val="Indirectos_Ejec_"/>
      <sheetName val="Pres-Ejec_"/>
      <sheetName val="Pedido_Unit_"/>
      <sheetName val="Pedido_Masivo_"/>
      <sheetName val="Soporte_Pedido_Unit_"/>
      <sheetName val="Soporte_Pedido_Masivo_"/>
      <sheetName val="Partidas_No_Contempladas"/>
      <sheetName val="Col.Amarre"/>
      <sheetName val="Escalera"/>
      <sheetName val="Muros"/>
      <sheetName val="Análisis"/>
      <sheetName val="Precios"/>
      <sheetName val="Col_Amarre"/>
      <sheetName val="Soportes_Grales_Controles_de_O1"/>
      <sheetName val="Cotz_1"/>
      <sheetName val="Indirectos_(2)1"/>
      <sheetName val="Indirectos_Ejec_1"/>
      <sheetName val="Pres-Ejec_1"/>
      <sheetName val="Pedido_Unit_1"/>
      <sheetName val="Pedido_Masivo_1"/>
      <sheetName val="Soporte_Pedido_Unit_1"/>
      <sheetName val="Soporte_Pedido_Masivo_1"/>
      <sheetName val="Partidas_No_Contempladas1"/>
      <sheetName val="Col_Amarre1"/>
      <sheetName val="Soportes_Grales_Controles_de_O2"/>
      <sheetName val="Cotz_2"/>
      <sheetName val="Indirectos_(2)2"/>
      <sheetName val="Indirectos_Ejec_2"/>
      <sheetName val="Pres-Ejec_2"/>
      <sheetName val="Pedido_Unit_2"/>
      <sheetName val="Pedido_Masivo_2"/>
      <sheetName val="Soporte_Pedido_Unit_2"/>
      <sheetName val="Soporte_Pedido_Masivo_2"/>
      <sheetName val="Partidas_No_Contempladas2"/>
      <sheetName val="Col_Amarre2"/>
      <sheetName val="Soportes_Grales_Controles_de_O3"/>
      <sheetName val="Cotz_3"/>
      <sheetName val="Indirectos_(2)3"/>
      <sheetName val="Indirectos_Ejec_3"/>
      <sheetName val="Pres-Ejec_3"/>
      <sheetName val="Pedido_Unit_3"/>
      <sheetName val="Pedido_Masivo_3"/>
      <sheetName val="Soporte_Pedido_Unit_3"/>
      <sheetName val="Soporte_Pedido_Masivo_3"/>
      <sheetName val="Partidas_No_Contempladas3"/>
      <sheetName val="Col_Amarr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Presupuesto"/>
      <sheetName val="Analisis albañileria"/>
      <sheetName val="Analisis Electrico"/>
      <sheetName val="qqVgas"/>
      <sheetName val="qqLosa1 "/>
      <sheetName val="qqEscalera"/>
      <sheetName val="Analisis_albañileria"/>
      <sheetName val="Analisis_Electrico"/>
      <sheetName val="qqLosa1_"/>
      <sheetName val="Cotz."/>
      <sheetName val="Col.Amarre"/>
      <sheetName val="Escalera"/>
      <sheetName val="Muros"/>
      <sheetName val="analisis"/>
      <sheetName val="Cotz_"/>
      <sheetName val="Col_Amarre"/>
      <sheetName val="Analisis_albañileria1"/>
      <sheetName val="Analisis_Electrico1"/>
      <sheetName val="qqLosa1_1"/>
      <sheetName val="Cotz_1"/>
      <sheetName val="Col_Amarre1"/>
      <sheetName val="Analisis_albañileria2"/>
      <sheetName val="Analisis_Electrico2"/>
      <sheetName val="qqLosa1_2"/>
      <sheetName val="Cotz_2"/>
      <sheetName val="Col_Amarre2"/>
      <sheetName val="Analisis_albañileria3"/>
      <sheetName val="Analisis_Electrico3"/>
      <sheetName val="qqLosa1_3"/>
      <sheetName val="Cotz_3"/>
      <sheetName val="Col_Amarre3"/>
      <sheetName val="Insumos"/>
      <sheetName val="Análisis de 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">
          <cell r="AJ11">
            <v>40</v>
          </cell>
          <cell r="AR11">
            <v>40</v>
          </cell>
        </row>
        <row r="13">
          <cell r="AG13">
            <v>0.05</v>
          </cell>
          <cell r="AP13">
            <v>0.05</v>
          </cell>
        </row>
        <row r="16">
          <cell r="E16" t="str">
            <v>VIGAS Y DINTELES 1ER.N</v>
          </cell>
          <cell r="I16">
            <v>99.92</v>
          </cell>
          <cell r="K16">
            <v>1</v>
          </cell>
          <cell r="N16">
            <v>0.2</v>
          </cell>
          <cell r="P16">
            <v>0.4</v>
          </cell>
          <cell r="R16">
            <v>99.92</v>
          </cell>
          <cell r="T16">
            <v>0.2</v>
          </cell>
          <cell r="V16" t="str">
            <v>√</v>
          </cell>
        </row>
        <row r="17">
          <cell r="D17" t="str">
            <v>Arriba</v>
          </cell>
          <cell r="U17">
            <v>2</v>
          </cell>
          <cell r="V17" t="str">
            <v>√</v>
          </cell>
        </row>
        <row r="18">
          <cell r="D18" t="str">
            <v>Abajo</v>
          </cell>
          <cell r="U18">
            <v>3</v>
          </cell>
          <cell r="X18" t="str">
            <v>√</v>
          </cell>
        </row>
        <row r="25">
          <cell r="E25" t="str">
            <v>VIGAS Y DINTELES 2DO.N</v>
          </cell>
          <cell r="I25">
            <v>100.47</v>
          </cell>
          <cell r="K25">
            <v>1</v>
          </cell>
          <cell r="N25">
            <v>0.15</v>
          </cell>
          <cell r="P25">
            <v>0.4</v>
          </cell>
          <cell r="R25">
            <v>100.47</v>
          </cell>
          <cell r="T25">
            <v>0.2</v>
          </cell>
          <cell r="V25" t="str">
            <v>√</v>
          </cell>
        </row>
        <row r="26">
          <cell r="D26" t="str">
            <v>Arriba</v>
          </cell>
          <cell r="U26">
            <v>2</v>
          </cell>
          <cell r="V26" t="str">
            <v>√</v>
          </cell>
        </row>
        <row r="27">
          <cell r="D27" t="str">
            <v>Abajo</v>
          </cell>
          <cell r="U27">
            <v>3</v>
          </cell>
          <cell r="X27" t="str">
            <v>√</v>
          </cell>
        </row>
        <row r="89">
          <cell r="N89">
            <v>0</v>
          </cell>
        </row>
      </sheetData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INSU"/>
      <sheetName val="MO"/>
      <sheetName val="presupuesto"/>
      <sheetName val="analisis basicos"/>
      <sheetName val="ANALISIS "/>
      <sheetName val="COLOCACION DE TUBERIA"/>
      <sheetName val="C.D.C., C.Op. y C.G."/>
      <sheetName val="Malla Ciclónica y Muros Blo "/>
      <sheetName val="Hoja1"/>
      <sheetName val="Hoja2"/>
      <sheetName val="Hoja3"/>
      <sheetName val="RECLAMACION 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EJERCICIO"/>
      <sheetName val="MACHOTE"/>
      <sheetName val="Mov. tierra"/>
      <sheetName val="H.A."/>
      <sheetName val="Cuantia de Acero"/>
      <sheetName val="Muros y Term"/>
      <sheetName val="Ventanas"/>
      <sheetName val="techos"/>
      <sheetName val="pi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project"/>
      <sheetName val="Oficio"/>
      <sheetName val="PRESUPUESTO pañetado"/>
      <sheetName val="PRESUPUESTO violinado"/>
      <sheetName val="Analisis Unit. "/>
      <sheetName val="Datos Para Project"/>
      <sheetName val="Cargas Sociales"/>
      <sheetName val="Tarifas de Alquiler de Equipo"/>
      <sheetName val="PRE Desvio Alcant.  Potable"/>
      <sheetName val="Análisis"/>
      <sheetName val="Insumos materiales"/>
      <sheetName val="Costos Mano de Obra"/>
      <sheetName val="Ana. Horm mexc mort"/>
      <sheetName val="Equipos"/>
      <sheetName val="EST N. DE OVANDO CENTRAL (MOD. "/>
      <sheetName val="análisis de costo edificios"/>
      <sheetName val="datos_project"/>
      <sheetName val="PRESUPUESTO_pañetado"/>
      <sheetName val="PRESUPUESTO_violinado"/>
      <sheetName val="Analisis_Unit__"/>
      <sheetName val="Datos_Para_Project"/>
      <sheetName val="Cargas_Sociales"/>
      <sheetName val="Tarifas_de_Alquiler_de_Equipo"/>
      <sheetName val="PRE_Desvio_Alcant___Potable"/>
      <sheetName val="Insumos_materiales"/>
      <sheetName val="Costos_Mano_de_Obra"/>
      <sheetName val="Ana__Horm_mexc_mort"/>
      <sheetName val="EST_N__DE_OVANDO_CENTRAL_(MOD__"/>
      <sheetName val="análisis_de_costo_edificios"/>
      <sheetName val="datos_project1"/>
      <sheetName val="PRESUPUESTO_pañetado1"/>
      <sheetName val="PRESUPUESTO_violinado1"/>
      <sheetName val="Analisis_Unit__1"/>
      <sheetName val="Datos_Para_Project1"/>
      <sheetName val="Cargas_Sociales1"/>
      <sheetName val="Tarifas_de_Alquiler_de_Equipo1"/>
      <sheetName val="PRE_Desvio_Alcant___Potable1"/>
      <sheetName val="Insumos_materiales1"/>
      <sheetName val="Costos_Mano_de_Obra1"/>
      <sheetName val="Ana__Horm_mexc_mort1"/>
      <sheetName val="EST_N__DE_OVANDO_CENTRAL_(MOD_1"/>
      <sheetName val="análisis_de_costo_edificios1"/>
      <sheetName val="datos_project2"/>
      <sheetName val="PRESUPUESTO_pañetado2"/>
      <sheetName val="PRESUPUESTO_violinado2"/>
      <sheetName val="Analisis_Unit__2"/>
      <sheetName val="Datos_Para_Project2"/>
      <sheetName val="Cargas_Sociales2"/>
      <sheetName val="Tarifas_de_Alquiler_de_Equipo2"/>
      <sheetName val="PRE_Desvio_Alcant___Potable2"/>
      <sheetName val="Insumos_materiales2"/>
      <sheetName val="Costos_Mano_de_Obra2"/>
      <sheetName val="Ana__Horm_mexc_mort2"/>
      <sheetName val="EST_N__DE_OVANDO_CENTRAL_(MOD_2"/>
      <sheetName val="análisis_de_costo_edificios2"/>
      <sheetName val="datos_project3"/>
      <sheetName val="PRESUPUESTO_pañetado3"/>
      <sheetName val="PRESUPUESTO_violinado3"/>
      <sheetName val="Analisis_Unit__3"/>
      <sheetName val="Datos_Para_Project3"/>
      <sheetName val="Cargas_Sociales3"/>
      <sheetName val="Tarifas_de_Alquiler_de_Equipo3"/>
      <sheetName val="PRE_Desvio_Alcant___Potable3"/>
      <sheetName val="Insumos_materiales3"/>
      <sheetName val="Costos_Mano_de_Obra3"/>
      <sheetName val="Ana__Horm_mexc_mort3"/>
      <sheetName val="EST_N__DE_OVANDO_CENTRAL_(MOD_3"/>
      <sheetName val="análisis_de_costo_edificios3"/>
      <sheetName val="qqVgas"/>
      <sheetName val="O.M. y Salarios"/>
      <sheetName val="Resumen Precio Equipos"/>
      <sheetName val="Materiales"/>
    </sheetNames>
    <sheetDataSet>
      <sheetData sheetId="0">
        <row r="3">
          <cell r="G3">
            <v>212.68726395300044</v>
          </cell>
        </row>
      </sheetData>
      <sheetData sheetId="1">
        <row r="3">
          <cell r="G3">
            <v>212.68726395300044</v>
          </cell>
        </row>
      </sheetData>
      <sheetData sheetId="2">
        <row r="3">
          <cell r="G3">
            <v>212.68726395300044</v>
          </cell>
        </row>
      </sheetData>
      <sheetData sheetId="3">
        <row r="3">
          <cell r="G3">
            <v>212.68726395300044</v>
          </cell>
        </row>
      </sheetData>
      <sheetData sheetId="4">
        <row r="3">
          <cell r="G3">
            <v>212.68726395300044</v>
          </cell>
        </row>
        <row r="4">
          <cell r="G4">
            <v>141.52328997062529</v>
          </cell>
        </row>
        <row r="5">
          <cell r="G5">
            <v>73.32996747796895</v>
          </cell>
        </row>
        <row r="41">
          <cell r="F41">
            <v>900</v>
          </cell>
        </row>
        <row r="42">
          <cell r="F42">
            <v>800</v>
          </cell>
        </row>
        <row r="44">
          <cell r="F44">
            <v>1180</v>
          </cell>
        </row>
        <row r="47">
          <cell r="F47">
            <v>320</v>
          </cell>
        </row>
        <row r="49">
          <cell r="F49">
            <v>225</v>
          </cell>
        </row>
        <row r="64">
          <cell r="F64">
            <v>3651.0638888888889</v>
          </cell>
        </row>
        <row r="74">
          <cell r="F74">
            <v>3252.5111111111114</v>
          </cell>
        </row>
        <row r="85">
          <cell r="F85">
            <v>4011.2777777777778</v>
          </cell>
        </row>
      </sheetData>
      <sheetData sheetId="5">
        <row r="3">
          <cell r="G3">
            <v>212.68726395300044</v>
          </cell>
        </row>
      </sheetData>
      <sheetData sheetId="6">
        <row r="3">
          <cell r="G3">
            <v>212.68726395300044</v>
          </cell>
        </row>
        <row r="23">
          <cell r="G23">
            <v>1.3036438662750036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G3">
            <v>212.68726395300044</v>
          </cell>
        </row>
      </sheetData>
      <sheetData sheetId="17">
        <row r="3">
          <cell r="G3">
            <v>212.68726395300044</v>
          </cell>
        </row>
      </sheetData>
      <sheetData sheetId="18">
        <row r="3">
          <cell r="G3">
            <v>212.68726395300044</v>
          </cell>
        </row>
      </sheetData>
      <sheetData sheetId="19">
        <row r="3">
          <cell r="G3">
            <v>212.68726395300044</v>
          </cell>
        </row>
      </sheetData>
      <sheetData sheetId="20">
        <row r="3">
          <cell r="G3">
            <v>212.68726395300044</v>
          </cell>
        </row>
      </sheetData>
      <sheetData sheetId="21">
        <row r="3">
          <cell r="G3">
            <v>212.68726395300044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>
        <row r="3">
          <cell r="G3">
            <v>212.68726395300044</v>
          </cell>
        </row>
      </sheetData>
      <sheetData sheetId="30">
        <row r="3">
          <cell r="G3">
            <v>212.68726395300044</v>
          </cell>
        </row>
      </sheetData>
      <sheetData sheetId="31">
        <row r="3">
          <cell r="G3">
            <v>212.68726395300044</v>
          </cell>
        </row>
      </sheetData>
      <sheetData sheetId="32">
        <row r="3">
          <cell r="G3">
            <v>212.68726395300044</v>
          </cell>
        </row>
      </sheetData>
      <sheetData sheetId="33">
        <row r="3">
          <cell r="G3">
            <v>212.68726395300044</v>
          </cell>
        </row>
      </sheetData>
      <sheetData sheetId="34">
        <row r="3">
          <cell r="G3">
            <v>212.68726395300044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G3">
            <v>212.68726395300044</v>
          </cell>
        </row>
      </sheetData>
      <sheetData sheetId="43">
        <row r="3">
          <cell r="G3">
            <v>212.68726395300044</v>
          </cell>
        </row>
      </sheetData>
      <sheetData sheetId="44">
        <row r="3">
          <cell r="G3">
            <v>212.68726395300044</v>
          </cell>
        </row>
      </sheetData>
      <sheetData sheetId="45">
        <row r="3">
          <cell r="G3">
            <v>212.68726395300044</v>
          </cell>
        </row>
      </sheetData>
      <sheetData sheetId="46">
        <row r="3">
          <cell r="G3">
            <v>212.68726395300044</v>
          </cell>
        </row>
      </sheetData>
      <sheetData sheetId="47">
        <row r="3">
          <cell r="G3">
            <v>212.68726395300044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G3">
            <v>212.68726395300044</v>
          </cell>
        </row>
      </sheetData>
      <sheetData sheetId="56">
        <row r="3">
          <cell r="G3">
            <v>212.68726395300044</v>
          </cell>
        </row>
      </sheetData>
      <sheetData sheetId="57">
        <row r="3">
          <cell r="G3">
            <v>212.68726395300044</v>
          </cell>
        </row>
      </sheetData>
      <sheetData sheetId="58">
        <row r="3">
          <cell r="G3">
            <v>212.68726395300044</v>
          </cell>
        </row>
      </sheetData>
      <sheetData sheetId="59">
        <row r="3">
          <cell r="G3">
            <v>212.68726395300044</v>
          </cell>
        </row>
      </sheetData>
      <sheetData sheetId="60">
        <row r="3">
          <cell r="G3">
            <v>212.68726395300044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mo I"/>
      <sheetName val="Tramo I (alt. &quot;B&quot;)"/>
      <sheetName val="Tramo II"/>
      <sheetName val="Tramo II (alt.&quot;B&quot;)"/>
      <sheetName val="Tramo III"/>
      <sheetName val="Tramo III (Alt. &quot;B&quot;)"/>
      <sheetName val="Tramo IV"/>
      <sheetName val="Tramo IV (Alt.&quot;B&quot;)"/>
      <sheetName val="Tramo V"/>
      <sheetName val="Tramo V (Alt. &quot;B&quot;)"/>
      <sheetName val="ANALPRECVI"/>
      <sheetName val="MATERIALES"/>
      <sheetName val="OBRAMANO"/>
      <sheetName val="EQUIPOS"/>
      <sheetName val="SUB-CONTRATOS"/>
      <sheetName val="Tramo IV (2)"/>
      <sheetName val="Listado Equipos a utilizar"/>
      <sheetName val="Analisis"/>
      <sheetName val="A-civil"/>
      <sheetName val="MOV"/>
      <sheetName val="Analisis de Costos Aceras"/>
      <sheetName val="CAMPAMENTO2"/>
      <sheetName val="ingenieria"/>
      <sheetName val="MANT.TRANSITO"/>
      <sheetName val="Tramo_I"/>
      <sheetName val="Tramo_I_(alt__&quot;B&quot;)"/>
      <sheetName val="Tramo_II"/>
      <sheetName val="Tramo_II_(alt_&quot;B&quot;)"/>
      <sheetName val="Tramo_III"/>
      <sheetName val="Tramo_III_(Alt__&quot;B&quot;)"/>
      <sheetName val="Tramo_IV"/>
      <sheetName val="Tramo_IV_(Alt_&quot;B&quot;)"/>
      <sheetName val="Tramo_V"/>
      <sheetName val="Tramo_V_(Alt__&quot;B&quot;)"/>
      <sheetName val="Tramo_IV_(2)"/>
      <sheetName val="Listado_Equipos_a_utilizar"/>
      <sheetName val="Mat"/>
      <sheetName val="anal term"/>
      <sheetName val="Jornal"/>
      <sheetName val="Insumos"/>
      <sheetName val="Análisis"/>
      <sheetName val="M.O."/>
      <sheetName val="Ins"/>
      <sheetName val="Ana"/>
      <sheetName val="Análisis de Precios"/>
      <sheetName val="Sheet4"/>
      <sheetName val="Sheet5"/>
      <sheetName val="Mezcla"/>
      <sheetName val="insumo"/>
      <sheetName val="Tramo_I1"/>
      <sheetName val="Tramo_I_(alt__&quot;B&quot;)1"/>
      <sheetName val="Tramo_II1"/>
      <sheetName val="Tramo_II_(alt_&quot;B&quot;)1"/>
      <sheetName val="Tramo_III1"/>
      <sheetName val="Tramo_III_(Alt__&quot;B&quot;)1"/>
      <sheetName val="Tramo_IV1"/>
      <sheetName val="Tramo_IV_(Alt_&quot;B&quot;)1"/>
      <sheetName val="Tramo_V1"/>
      <sheetName val="Tramo_V_(Alt__&quot;B&quot;)1"/>
      <sheetName val="Tramo_IV_(2)1"/>
      <sheetName val="Listado_Equipos_a_utilizar1"/>
      <sheetName val="Analisis_de_Costos_Aceras"/>
      <sheetName val="MANT_TRANSITO"/>
      <sheetName val="anal_term"/>
      <sheetName val="M_O_"/>
      <sheetName val="Tramo_I2"/>
      <sheetName val="Tramo_I_(alt__&quot;B&quot;)2"/>
      <sheetName val="Tramo_II2"/>
      <sheetName val="Tramo_II_(alt_&quot;B&quot;)2"/>
      <sheetName val="Tramo_III2"/>
      <sheetName val="Tramo_III_(Alt__&quot;B&quot;)2"/>
      <sheetName val="Tramo_IV2"/>
      <sheetName val="Tramo_IV_(Alt_&quot;B&quot;)2"/>
      <sheetName val="Tramo_V2"/>
      <sheetName val="Tramo_V_(Alt__&quot;B&quot;)2"/>
      <sheetName val="Tramo_IV_(2)2"/>
      <sheetName val="Listado_Equipos_a_utilizar2"/>
      <sheetName val="Analisis_de_Costos_Aceras1"/>
      <sheetName val="MANT_TRANSITO1"/>
      <sheetName val="anal_term1"/>
      <sheetName val="M_O_1"/>
      <sheetName val="Tramo_I3"/>
      <sheetName val="Tramo_I_(alt__&quot;B&quot;)3"/>
      <sheetName val="Tramo_II3"/>
      <sheetName val="Tramo_II_(alt_&quot;B&quot;)3"/>
      <sheetName val="Tramo_III3"/>
      <sheetName val="Tramo_III_(Alt__&quot;B&quot;)3"/>
      <sheetName val="Tramo_IV3"/>
      <sheetName val="Tramo_IV_(Alt_&quot;B&quot;)3"/>
      <sheetName val="Tramo_V3"/>
      <sheetName val="Tramo_V_(Alt__&quot;B&quot;)3"/>
      <sheetName val="Tramo_IV_(2)3"/>
      <sheetName val="Listado_Equipos_a_utilizar3"/>
      <sheetName val="Analisis_de_Costos_Aceras2"/>
      <sheetName val="MANT_TRANSITO2"/>
      <sheetName val="anal_term2"/>
      <sheetName val="M_O_2"/>
      <sheetName val="Tramo_I4"/>
      <sheetName val="Tramo_I_(alt__&quot;B&quot;)4"/>
      <sheetName val="Tramo_II4"/>
      <sheetName val="Tramo_II_(alt_&quot;B&quot;)4"/>
      <sheetName val="Tramo_III4"/>
      <sheetName val="Tramo_III_(Alt__&quot;B&quot;)4"/>
      <sheetName val="Tramo_IV4"/>
      <sheetName val="Tramo_IV_(Alt_&quot;B&quot;)4"/>
      <sheetName val="Tramo_V4"/>
      <sheetName val="Tramo_V_(Alt__&quot;B&quot;)4"/>
      <sheetName val="Tramo_IV_(2)4"/>
      <sheetName val="Listado_Equipos_a_utilizar4"/>
      <sheetName val="Analisis_de_Costos_Aceras3"/>
      <sheetName val="MANT_TRANSITO3"/>
      <sheetName val="anal_term3"/>
      <sheetName val="M_O_3"/>
      <sheetName val="Preferencias"/>
      <sheetName val="Cuantía"/>
      <sheetName val="AISC 13th Ed. Properties Viewer"/>
      <sheetName val="Puertas-Ventanas"/>
      <sheetName val="Finanzas"/>
      <sheetName val="Recursos"/>
      <sheetName val="Rendimiento"/>
      <sheetName val="Personal"/>
      <sheetName val="Presupuesto-Zapata Aislada"/>
      <sheetName val="Análisis_de_Precios1"/>
      <sheetName val="Análisis_de_Precios"/>
      <sheetName val="caseta de planta"/>
      <sheetName val="Ana. blocks y termin."/>
      <sheetName val="Costos Mano de Obra"/>
      <sheetName val="Insumos materiales"/>
      <sheetName val="Ana. Horm mexc mort"/>
      <sheetName val="Tramo_I5"/>
      <sheetName val="Tramo_I_(alt__&quot;B&quot;)5"/>
      <sheetName val="Tramo_II5"/>
      <sheetName val="Tramo_II_(alt_&quot;B&quot;)5"/>
      <sheetName val="Tramo_III5"/>
      <sheetName val="Tramo_III_(Alt__&quot;B&quot;)5"/>
      <sheetName val="Tramo_IV5"/>
      <sheetName val="Tramo_IV_(Alt_&quot;B&quot;)5"/>
      <sheetName val="Tramo_V5"/>
      <sheetName val="Tramo_V_(Alt__&quot;B&quot;)5"/>
      <sheetName val="Tramo_IV_(2)5"/>
      <sheetName val="Listado_Equipos_a_utilizar5"/>
      <sheetName val="Analisis_de_Costos_Aceras4"/>
      <sheetName val="MANT_TRANSITO4"/>
      <sheetName val="anal_term4"/>
      <sheetName val="M_O_4"/>
      <sheetName val="Tramo_I6"/>
      <sheetName val="Tramo_I_(alt__&quot;B&quot;)6"/>
      <sheetName val="Tramo_II6"/>
      <sheetName val="Tramo_II_(alt_&quot;B&quot;)6"/>
      <sheetName val="Tramo_III6"/>
      <sheetName val="Tramo_III_(Alt__&quot;B&quot;)6"/>
      <sheetName val="Tramo_IV6"/>
      <sheetName val="Tramo_IV_(Alt_&quot;B&quot;)6"/>
      <sheetName val="Tramo_V6"/>
      <sheetName val="Tramo_V_(Alt__&quot;B&quot;)6"/>
      <sheetName val="Tramo_IV_(2)6"/>
      <sheetName val="Listado_Equipos_a_utilizar6"/>
      <sheetName val="Analisis_de_Costos_Aceras5"/>
      <sheetName val="MANT_TRANSITO5"/>
      <sheetName val="anal_term5"/>
      <sheetName val="M_O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3">
          <cell r="F43">
            <v>30</v>
          </cell>
        </row>
        <row r="72">
          <cell r="F72">
            <v>43.4</v>
          </cell>
        </row>
        <row r="75">
          <cell r="F75">
            <v>37.200000000000003</v>
          </cell>
        </row>
        <row r="76">
          <cell r="F76">
            <v>43.4</v>
          </cell>
        </row>
        <row r="77">
          <cell r="F77">
            <v>43.4</v>
          </cell>
        </row>
      </sheetData>
      <sheetData sheetId="13" refreshError="1">
        <row r="8">
          <cell r="I8">
            <v>726.05</v>
          </cell>
        </row>
        <row r="9">
          <cell r="I9">
            <v>512.15</v>
          </cell>
        </row>
        <row r="11">
          <cell r="I11">
            <v>344.75</v>
          </cell>
        </row>
        <row r="14">
          <cell r="I14">
            <v>414.5</v>
          </cell>
        </row>
        <row r="15">
          <cell r="I15">
            <v>414.5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"/>
      <sheetName val="Presupuesto"/>
      <sheetName val="Sheet2"/>
      <sheetName val="Sheet3"/>
      <sheetName val="Prec."/>
      <sheetName val="Ana.term"/>
      <sheetName val="PRESUP."/>
      <sheetName val="Insumos"/>
      <sheetName val="Prec_"/>
      <sheetName val="Ana_term"/>
      <sheetName val="PRESUP_"/>
      <sheetName val="Prec_1"/>
      <sheetName val="Ana_term1"/>
      <sheetName val="PRESUP_1"/>
      <sheetName val="Prec_2"/>
      <sheetName val="Ana_term2"/>
      <sheetName val="PRESUP_2"/>
      <sheetName val="Prec_3"/>
      <sheetName val="Ana_term3"/>
      <sheetName val="PRESUP_3"/>
      <sheetName val="V.Tierras A"/>
      <sheetName val="Volumenes"/>
      <sheetName val="anal term"/>
      <sheetName val="Ana-Sanit."/>
      <sheetName val="Jornal"/>
      <sheetName val="Pu-Sanit."/>
      <sheetName val="PU-Elect."/>
      <sheetName val="Anal. horm."/>
      <sheetName val="M. O. exc."/>
      <sheetName val="Ana-elect."/>
      <sheetName val="Mat"/>
      <sheetName val="puertas"/>
      <sheetName val="m.t C"/>
      <sheetName val="I.HORMIGON"/>
      <sheetName val="A"/>
      <sheetName val="Mano de Obra"/>
      <sheetName val="Subcontratos"/>
      <sheetName val="Analisis "/>
      <sheetName val="Analisis H.A. "/>
      <sheetName val="Mezcla"/>
      <sheetName val="Insumos sanitarios"/>
      <sheetName val="Mano de Obra Sanitaria"/>
      <sheetName val="Analisis Sanitarios"/>
      <sheetName val="insumos ELECT"/>
      <sheetName val="mano de obra ELECT"/>
      <sheetName val="anal.elect."/>
      <sheetName val="tarifa equipo"/>
      <sheetName val="ANAMOVTIE"/>
      <sheetName val="insumo"/>
      <sheetName val="exteriores"/>
      <sheetName val="Obra de Mano"/>
    </sheetNames>
    <sheetDataSet>
      <sheetData sheetId="0">
        <row r="63">
          <cell r="D63">
            <v>5342</v>
          </cell>
        </row>
      </sheetData>
      <sheetData sheetId="1" refreshError="1"/>
      <sheetData sheetId="2" refreshError="1"/>
      <sheetData sheetId="3" refreshError="1"/>
      <sheetData sheetId="4">
        <row r="32">
          <cell r="C32">
            <v>157</v>
          </cell>
        </row>
      </sheetData>
      <sheetData sheetId="5"/>
      <sheetData sheetId="6"/>
      <sheetData sheetId="7" refreshError="1"/>
      <sheetData sheetId="8">
        <row r="32">
          <cell r="C32">
            <v>157</v>
          </cell>
        </row>
      </sheetData>
      <sheetData sheetId="9"/>
      <sheetData sheetId="10"/>
      <sheetData sheetId="11">
        <row r="32">
          <cell r="C32">
            <v>157</v>
          </cell>
        </row>
      </sheetData>
      <sheetData sheetId="12"/>
      <sheetData sheetId="13"/>
      <sheetData sheetId="14">
        <row r="32">
          <cell r="C32">
            <v>157</v>
          </cell>
        </row>
      </sheetData>
      <sheetData sheetId="15"/>
      <sheetData sheetId="16"/>
      <sheetData sheetId="17">
        <row r="32">
          <cell r="C32">
            <v>157</v>
          </cell>
        </row>
      </sheetData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TAS"/>
      <sheetName val="TERMINACION DE SUPERFICIE"/>
      <sheetName val="ANALISIS"/>
      <sheetName val="Pisos marmol y Ceram.laticrete"/>
      <sheetName val="ANALISIS DE COSTOS"/>
      <sheetName val="REVESTIMIENTOS"/>
      <sheetName val="techos"/>
      <sheetName val="Sheet1"/>
      <sheetName val="PISO VIBRAZO GRIS"/>
      <sheetName val="GROUTING"/>
      <sheetName val="MORTEROS"/>
      <sheetName val="PISOS"/>
      <sheetName val="REFERENCIAS"/>
      <sheetName val="LISTADO INSUMOS DEL 2000"/>
      <sheetName val="HORMIGON ARMADO, ZAPATA"/>
      <sheetName val="PINTURA"/>
      <sheetName val="TECHO2"/>
      <sheetName val="ADOQUINES"/>
      <sheetName val="Presupuesto @ 1-10-02"/>
      <sheetName val="Mediciones @ 10-9-02"/>
      <sheetName val="Cotizaciones"/>
      <sheetName val="M.O. Plomería (2)"/>
      <sheetName val="Piezas Plomería (2)"/>
      <sheetName val="Mediciones"/>
      <sheetName val="Análisis Complementarios"/>
      <sheetName val="Bloques"/>
      <sheetName val="Otros"/>
      <sheetName val="Pisos &amp; Revestimientos"/>
      <sheetName val="Vigas"/>
      <sheetName val="Cuantía Acero"/>
      <sheetName val="Cotización Acero"/>
      <sheetName val="Cotizaciones Diversas"/>
      <sheetName val="M.O. Plomería"/>
      <sheetName val="Piezas Plomería"/>
      <sheetName val="Insumos"/>
      <sheetName val="M.O."/>
      <sheetName val="Ponderación"/>
      <sheetName val="Hoja Resumen"/>
      <sheetName val="Apto. #1202"/>
      <sheetName val="Apto. #1203"/>
      <sheetName val="Pisos Terraza Penthou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9">
          <cell r="I29">
            <v>277.11900900900901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SALARIOS"/>
      <sheetName val="M.O."/>
      <sheetName val="HORM. Y MORTEROS."/>
      <sheetName val="ANALISIS FRED"/>
      <sheetName val="ANALISIS"/>
      <sheetName val="Ana.MELLIZAS"/>
      <sheetName val="PRES_BNP"/>
      <sheetName val="PRES_1erNivel"/>
      <sheetName val="PRES_2doNivel"/>
      <sheetName val="Pres_InstSanit."/>
      <sheetName val="Pres_InstElect."/>
      <sheetName val="RESUMEN"/>
      <sheetName val="LISTADO INSUMOS DEL 2000"/>
      <sheetName val="COSTO INDIRECTO"/>
      <sheetName val="OPERADORES EQUIPOS"/>
      <sheetName val="Listado Equipos a utilizar"/>
      <sheetName val="Insumos"/>
      <sheetName val="Analisis Unit. "/>
      <sheetName val="Cargas Sociales"/>
      <sheetName val="EQUIPOS"/>
      <sheetName val="M_O_"/>
      <sheetName val="HORM__Y_MORTEROS_"/>
      <sheetName val="ANALISIS_FRED"/>
      <sheetName val="Ana_MELLIZAS"/>
      <sheetName val="Pres_InstSanit_"/>
      <sheetName val="Pres_InstElect_"/>
      <sheetName val="Listado_Equipos_a_utilizar"/>
      <sheetName val="COSTO_INDIRECTO"/>
      <sheetName val="OPERADORES_EQUIPOS"/>
      <sheetName val="LISTADO_INSUMOS_DEL_2000"/>
      <sheetName val="Analisis_Unit__"/>
      <sheetName val="Cargas_Sociales"/>
      <sheetName val="M_O_1"/>
      <sheetName val="HORM__Y_MORTEROS_1"/>
      <sheetName val="ANALISIS_FRED1"/>
      <sheetName val="Ana_MELLIZAS1"/>
      <sheetName val="Pres_InstSanit_1"/>
      <sheetName val="Pres_InstElect_1"/>
      <sheetName val="Listado_Equipos_a_utilizar1"/>
      <sheetName val="COSTO_INDIRECTO1"/>
      <sheetName val="OPERADORES_EQUIPOS1"/>
      <sheetName val="LISTADO_INSUMOS_DEL_20001"/>
      <sheetName val="Analisis_Unit__1"/>
      <sheetName val="Cargas_Sociales1"/>
      <sheetName val="M_O_2"/>
      <sheetName val="HORM__Y_MORTEROS_2"/>
      <sheetName val="ANALISIS_FRED2"/>
      <sheetName val="Ana_MELLIZAS2"/>
      <sheetName val="Pres_InstSanit_2"/>
      <sheetName val="Pres_InstElect_2"/>
      <sheetName val="Listado_Equipos_a_utilizar2"/>
      <sheetName val="COSTO_INDIRECTO2"/>
      <sheetName val="OPERADORES_EQUIPOS2"/>
      <sheetName val="LISTADO_INSUMOS_DEL_20002"/>
      <sheetName val="Analisis_Unit__2"/>
      <sheetName val="Cargas_Sociales2"/>
      <sheetName val="M_O_3"/>
      <sheetName val="HORM__Y_MORTEROS_3"/>
      <sheetName val="ANALISIS_FRED3"/>
      <sheetName val="Ana_MELLIZAS3"/>
      <sheetName val="Pres_InstSanit_3"/>
      <sheetName val="Pres_InstElect_3"/>
      <sheetName val="Listado_Equipos_a_utilizar3"/>
      <sheetName val="COSTO_INDIRECTO3"/>
      <sheetName val="OPERADORES_EQUIPOS3"/>
      <sheetName val="LISTADO_INSUMOS_DEL_20003"/>
      <sheetName val="Analisis_Unit__3"/>
      <sheetName val="Cargas_Sociales3"/>
      <sheetName val="qqVgas"/>
      <sheetName val="ANALISIS H-A "/>
      <sheetName val="Jornal"/>
      <sheetName val="MATERIALES"/>
      <sheetName val="OBRAMANO"/>
      <sheetName val="Mat"/>
      <sheetName val="Unified Pagos- factura_rep.txt"/>
      <sheetName val="M_O_4"/>
      <sheetName val="HORM__Y_MORTEROS_4"/>
      <sheetName val="ANALISIS_FRED4"/>
      <sheetName val="Ana_MELLIZAS4"/>
      <sheetName val="Pres_InstSanit_4"/>
      <sheetName val="Pres_InstElect_4"/>
      <sheetName val="Listado_Equipos_a_utilizar4"/>
      <sheetName val="COSTO_INDIRECTO4"/>
      <sheetName val="OPERADORES_EQUIPOS4"/>
      <sheetName val="LISTADO_INSUMOS_DEL_20004"/>
      <sheetName val="Analisis_Unit__4"/>
      <sheetName val="Cargas_Sociales4"/>
      <sheetName val="M_O_5"/>
      <sheetName val="HORM__Y_MORTEROS_5"/>
      <sheetName val="ANALISIS_FRED5"/>
      <sheetName val="Ana_MELLIZAS5"/>
      <sheetName val="Pres_InstSanit_5"/>
      <sheetName val="Pres_InstElect_5"/>
      <sheetName val="Listado_Equipos_a_utilizar5"/>
      <sheetName val="COSTO_INDIRECTO5"/>
      <sheetName val="OPERADORES_EQUIPOS5"/>
      <sheetName val="LISTADO_INSUMOS_DEL_20005"/>
      <sheetName val="Analisis_Unit__5"/>
      <sheetName val="Cargas_Sociales5"/>
    </sheetNames>
    <sheetDataSet>
      <sheetData sheetId="0" refreshError="1">
        <row r="767">
          <cell r="D767">
            <v>20</v>
          </cell>
        </row>
        <row r="770">
          <cell r="D770">
            <v>45.14</v>
          </cell>
        </row>
      </sheetData>
      <sheetData sheetId="1" refreshError="1">
        <row r="10">
          <cell r="C10">
            <v>350</v>
          </cell>
        </row>
      </sheetData>
      <sheetData sheetId="2" refreshError="1"/>
      <sheetData sheetId="3" refreshError="1">
        <row r="10">
          <cell r="C10">
            <v>350</v>
          </cell>
        </row>
        <row r="212">
          <cell r="H212">
            <v>2563.4295469815961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12">
          <cell r="H212">
            <v>2563.4295469815961</v>
          </cell>
        </row>
      </sheetData>
      <sheetData sheetId="23">
        <row r="212">
          <cell r="H212">
            <v>2563.4295469815961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12">
          <cell r="H212">
            <v>2563.4295469815961</v>
          </cell>
        </row>
      </sheetData>
      <sheetData sheetId="35">
        <row r="212">
          <cell r="H212">
            <v>2563.4295469815961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212">
          <cell r="H212">
            <v>2563.4295469815961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0">
          <cell r="C10">
            <v>43335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s Sociales"/>
      <sheetName val="cuantias qq"/>
      <sheetName val="Cant. capabeg rell"/>
      <sheetName val="cant de ventanas y puertas"/>
      <sheetName val="cant Dimensiones losas"/>
      <sheetName val="cant hormigon armado"/>
      <sheetName val="Base de datos Res. Nicole I"/>
      <sheetName val="Insumos materiales"/>
      <sheetName val="Costos Mano de Obra"/>
      <sheetName val="Elaborac. Product todo costo"/>
      <sheetName val="Tabla Insumos materiales"/>
      <sheetName val="Tabla Costos Mano de Obra"/>
      <sheetName val="Tabla Elabor. Product todo cost"/>
      <sheetName val="Ana. Horm mexc mort"/>
      <sheetName val="Ana. blocks y termin."/>
      <sheetName val="Ana. pint. y mas "/>
      <sheetName val="Plomeria "/>
      <sheetName val="a"/>
      <sheetName val="Cargas_Sociales"/>
      <sheetName val="cuantias_qq"/>
      <sheetName val="Cant__capabeg_rell"/>
      <sheetName val="cant_de_ventanas_y_puertas"/>
      <sheetName val="cant_Dimensiones_losas"/>
      <sheetName val="cant_hormigon_armado"/>
      <sheetName val="Base_de_datos_Res__Nicole_I"/>
      <sheetName val="Insumos_materiales"/>
      <sheetName val="Costos_Mano_de_Obra"/>
      <sheetName val="Elaborac__Product_todo_costo"/>
      <sheetName val="Tabla_Insumos_materiales"/>
      <sheetName val="Tabla_Costos_Mano_de_Obra"/>
      <sheetName val="Tabla_Elabor__Product_todo_cost"/>
      <sheetName val="Ana__Horm_mexc_mort"/>
      <sheetName val="Ana__blocks_y_termin_"/>
      <sheetName val="Ana__pint__y_mas_"/>
      <sheetName val="Plomeria_"/>
      <sheetName val="Cargas_Sociales1"/>
      <sheetName val="cuantias_qq1"/>
      <sheetName val="Cant__capabeg_rell1"/>
      <sheetName val="cant_de_ventanas_y_puertas1"/>
      <sheetName val="cant_Dimensiones_losas1"/>
      <sheetName val="cant_hormigon_armado1"/>
      <sheetName val="Base_de_datos_Res__Nicole_I1"/>
      <sheetName val="Insumos_materiales1"/>
      <sheetName val="Costos_Mano_de_Obra1"/>
      <sheetName val="Elaborac__Product_todo_costo1"/>
      <sheetName val="Tabla_Insumos_materiales1"/>
      <sheetName val="Tabla_Costos_Mano_de_Obra1"/>
      <sheetName val="Tabla_Elabor__Product_todo_cos1"/>
      <sheetName val="Ana__Horm_mexc_mort1"/>
      <sheetName val="Ana__blocks_y_termin_1"/>
      <sheetName val="Ana__pint__y_mas_1"/>
      <sheetName val="Plomeria_1"/>
      <sheetName val="Cargas_Sociales2"/>
      <sheetName val="cuantias_qq2"/>
      <sheetName val="Cant__capabeg_rell2"/>
      <sheetName val="cant_de_ventanas_y_puertas2"/>
      <sheetName val="cant_Dimensiones_losas2"/>
      <sheetName val="cant_hormigon_armado2"/>
      <sheetName val="Base_de_datos_Res__Nicole_I2"/>
      <sheetName val="Insumos_materiales2"/>
      <sheetName val="Costos_Mano_de_Obra2"/>
      <sheetName val="Elaborac__Product_todo_costo2"/>
      <sheetName val="Tabla_Insumos_materiales2"/>
      <sheetName val="Tabla_Costos_Mano_de_Obra2"/>
      <sheetName val="Tabla_Elabor__Product_todo_cos2"/>
      <sheetName val="Ana__Horm_mexc_mort2"/>
      <sheetName val="Ana__blocks_y_termin_2"/>
      <sheetName val="Ana__pint__y_mas_2"/>
      <sheetName val="Plomeria_2"/>
      <sheetName val="Cargas_Sociales3"/>
      <sheetName val="cuantias_qq3"/>
      <sheetName val="Cant__capabeg_rell3"/>
      <sheetName val="cant_de_ventanas_y_puertas3"/>
      <sheetName val="cant_Dimensiones_losas3"/>
      <sheetName val="cant_hormigon_armado3"/>
      <sheetName val="Base_de_datos_Res__Nicole_I3"/>
      <sheetName val="Insumos_materiales3"/>
      <sheetName val="Costos_Mano_de_Obra3"/>
      <sheetName val="Elaborac__Product_todo_costo3"/>
      <sheetName val="Tabla_Insumos_materiales3"/>
      <sheetName val="Tabla_Costos_Mano_de_Obra3"/>
      <sheetName val="Tabla_Elabor__Product_todo_cos3"/>
      <sheetName val="Ana__Horm_mexc_mort3"/>
      <sheetName val="Ana__blocks_y_termin_3"/>
      <sheetName val="Ana__pint__y_mas_3"/>
      <sheetName val="Plomeria_3"/>
      <sheetName val="Ana"/>
      <sheetName val="Análisis"/>
      <sheetName val="PRECIOS"/>
      <sheetName val="anali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J32">
            <v>120</v>
          </cell>
        </row>
      </sheetData>
      <sheetData sheetId="8">
        <row r="13">
          <cell r="O13">
            <v>50</v>
          </cell>
        </row>
        <row r="42">
          <cell r="O42">
            <v>2.8</v>
          </cell>
        </row>
        <row r="46">
          <cell r="O46">
            <v>100</v>
          </cell>
        </row>
        <row r="52">
          <cell r="O52">
            <v>5</v>
          </cell>
        </row>
      </sheetData>
      <sheetData sheetId="9"/>
      <sheetData sheetId="10"/>
      <sheetData sheetId="11"/>
      <sheetData sheetId="12"/>
      <sheetData sheetId="13">
        <row r="70">
          <cell r="D70">
            <v>3526.3227562500001</v>
          </cell>
        </row>
        <row r="85">
          <cell r="D85">
            <v>3343.3686486375004</v>
          </cell>
        </row>
      </sheetData>
      <sheetData sheetId="14">
        <row r="6">
          <cell r="D6">
            <v>820.26717298649987</v>
          </cell>
        </row>
      </sheetData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>
        <row r="32">
          <cell r="J32">
            <v>120</v>
          </cell>
        </row>
      </sheetData>
      <sheetData sheetId="26">
        <row r="13">
          <cell r="O13">
            <v>50</v>
          </cell>
        </row>
      </sheetData>
      <sheetData sheetId="27"/>
      <sheetData sheetId="28"/>
      <sheetData sheetId="29"/>
      <sheetData sheetId="30"/>
      <sheetData sheetId="31">
        <row r="70">
          <cell r="D70">
            <v>3526.3227562500001</v>
          </cell>
        </row>
      </sheetData>
      <sheetData sheetId="32">
        <row r="6">
          <cell r="D6">
            <v>820.26717298649987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2">
          <cell r="J32">
            <v>120</v>
          </cell>
        </row>
      </sheetData>
      <sheetData sheetId="43">
        <row r="13">
          <cell r="O13">
            <v>50</v>
          </cell>
        </row>
      </sheetData>
      <sheetData sheetId="44"/>
      <sheetData sheetId="45"/>
      <sheetData sheetId="46"/>
      <sheetData sheetId="47"/>
      <sheetData sheetId="48">
        <row r="70">
          <cell r="D70">
            <v>3526.3227562500001</v>
          </cell>
        </row>
      </sheetData>
      <sheetData sheetId="49">
        <row r="6">
          <cell r="D6">
            <v>820.26717298649987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2">
          <cell r="J32">
            <v>120</v>
          </cell>
        </row>
      </sheetData>
      <sheetData sheetId="60">
        <row r="13">
          <cell r="O13">
            <v>50</v>
          </cell>
        </row>
      </sheetData>
      <sheetData sheetId="61"/>
      <sheetData sheetId="62"/>
      <sheetData sheetId="63"/>
      <sheetData sheetId="64"/>
      <sheetData sheetId="65">
        <row r="70">
          <cell r="D70">
            <v>3526.3227562500001</v>
          </cell>
        </row>
      </sheetData>
      <sheetData sheetId="66">
        <row r="6">
          <cell r="D6">
            <v>820.26717298649987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32">
          <cell r="J32">
            <v>120</v>
          </cell>
        </row>
      </sheetData>
      <sheetData sheetId="77">
        <row r="13">
          <cell r="O13">
            <v>50</v>
          </cell>
        </row>
      </sheetData>
      <sheetData sheetId="78"/>
      <sheetData sheetId="79"/>
      <sheetData sheetId="80"/>
      <sheetData sheetId="81"/>
      <sheetData sheetId="82">
        <row r="70">
          <cell r="D70">
            <v>3526.3227562500001</v>
          </cell>
        </row>
      </sheetData>
      <sheetData sheetId="83">
        <row r="6">
          <cell r="D6">
            <v>820.26717298649987</v>
          </cell>
        </row>
      </sheetData>
      <sheetData sheetId="84"/>
      <sheetData sheetId="85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RECLAMACION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 Comision"/>
      <sheetName val="PRES. FORMATO INAPA"/>
      <sheetName val="ANALISIS "/>
      <sheetName val="tarifa equipo-13"/>
      <sheetName val="tarifa equipo (2)"/>
      <sheetName val="DISTANCIA ACARREO"/>
      <sheetName val="ASFALTADO"/>
      <sheetName val="BASE Y SUB-BASE"/>
      <sheetName val="ACERA Y CONTENES"/>
      <sheetName val="Alcantarilla"/>
      <sheetName val="ANALISIS"/>
      <sheetName val="ANALISIS A US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URA"/>
      <sheetName val="RESUMENFINANCIERO"/>
      <sheetName val="FUNCION"/>
    </sheetNames>
    <sheetDataSet>
      <sheetData sheetId="0" refreshError="1"/>
      <sheetData sheetId="1" refreshError="1"/>
      <sheetData sheetId="2" refreshError="1">
        <row r="16">
          <cell r="C16" t="str">
            <v xml:space="preserve">TOTAL BRUTO :          con 00/100 DÓLARES 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Anal. horm."/>
      <sheetName val="Volumenes"/>
      <sheetName val="Análisis_de_Precios"/>
      <sheetName val="Presupuesto_Nave_1"/>
      <sheetName val="Presupuesto_Nave_2"/>
      <sheetName val="Cantidades_Nave_1"/>
      <sheetName val="Cantidades_Nave_2"/>
      <sheetName val="Mano_de_Obra"/>
      <sheetName val="Anal__horm_"/>
      <sheetName val="Trabajos Generales"/>
      <sheetName val="Detalle Acero"/>
      <sheetName val="COSTO INDIRECTO"/>
      <sheetName val="OPERADORES EQUIPOS"/>
      <sheetName val="HORM. Y MORTEROS."/>
      <sheetName val="SALARIOS"/>
      <sheetName val="INS"/>
      <sheetName val="V.Tierras A"/>
      <sheetName val="materiales (2)"/>
      <sheetName val="Datos"/>
      <sheetName val="INSU"/>
      <sheetName val="MO"/>
      <sheetName val="Trabajos_Generales"/>
      <sheetName val="Detalle_Acero"/>
      <sheetName val="COSTO_INDIRECTO"/>
      <sheetName val="OPERADORES_EQUIPOS"/>
      <sheetName val="HORM__Y_MORTEROS_"/>
      <sheetName val="V_Tierras_A"/>
      <sheetName val="materiales_(2)"/>
      <sheetName val="O.M. y Salarios"/>
      <sheetName val="Materiales"/>
      <sheetName val="Análisis_de_Precios1"/>
      <sheetName val="Presupuesto_Nave_11"/>
      <sheetName val="Presupuesto_Nave_21"/>
      <sheetName val="Cantidades_Nave_11"/>
      <sheetName val="Cantidades_Nave_21"/>
      <sheetName val="Mano_de_Obra1"/>
      <sheetName val="Anal__horm_1"/>
      <sheetName val="V_Tierras_A1"/>
      <sheetName val="materiales_(2)1"/>
      <sheetName val="COSTO_INDIRECTO1"/>
      <sheetName val="OPERADORES_EQUIPOS1"/>
      <sheetName val="Trabajos_Generales1"/>
      <sheetName val="Detalle_Acero1"/>
      <sheetName val="HORM__Y_MORTEROS_1"/>
      <sheetName val="Análisis_de_Precios2"/>
      <sheetName val="Presupuesto_Nave_12"/>
      <sheetName val="Presupuesto_Nave_22"/>
      <sheetName val="Cantidades_Nave_12"/>
      <sheetName val="Cantidades_Nave_22"/>
      <sheetName val="Mano_de_Obra2"/>
      <sheetName val="Anal__horm_2"/>
      <sheetName val="Trabajos_Generales2"/>
      <sheetName val="Detalle_Acero2"/>
      <sheetName val="COSTO_INDIRECTO2"/>
      <sheetName val="OPERADORES_EQUIPOS2"/>
      <sheetName val="HORM__Y_MORTEROS_2"/>
      <sheetName val="V_Tierras_A2"/>
      <sheetName val="materiales_(2)2"/>
      <sheetName val="Análisis_de_Precios3"/>
      <sheetName val="Presupuesto_Nave_13"/>
      <sheetName val="Presupuesto_Nave_23"/>
      <sheetName val="Cantidades_Nave_13"/>
      <sheetName val="Cantidades_Nave_23"/>
      <sheetName val="Mano_de_Obra3"/>
      <sheetName val="Anal__horm_3"/>
      <sheetName val="Trabajos_Generales3"/>
      <sheetName val="Detalle_Acero3"/>
      <sheetName val="COSTO_INDIRECTO3"/>
      <sheetName val="OPERADORES_EQUIPOS3"/>
      <sheetName val="HORM__Y_MORTEROS_3"/>
      <sheetName val="V_Tierras_A3"/>
      <sheetName val="materiales_(2)3"/>
      <sheetName val="ANALISIS STO DGO"/>
      <sheetName val="anal term"/>
      <sheetName val="Ana-Sanit."/>
      <sheetName val="UASD"/>
      <sheetName val="Mat"/>
      <sheetName val="Pu-Sanit."/>
      <sheetName val="Los Ángeles (Fase II)"/>
      <sheetName val="Cotz."/>
    </sheetNames>
    <sheetDataSet>
      <sheetData sheetId="0" refreshError="1">
        <row r="6">
          <cell r="B6" t="str">
            <v>Acero 1/2" (  Grado 40  )</v>
          </cell>
        </row>
        <row r="71">
          <cell r="B71" t="str">
            <v>Hormigón Industrial 210 Kg/cm2 (Incluye ITBIS y Vaciado Con Bomba)</v>
          </cell>
          <cell r="C71" t="str">
            <v>M3</v>
          </cell>
          <cell r="D71">
            <v>1918.8</v>
          </cell>
        </row>
      </sheetData>
      <sheetData sheetId="1">
        <row r="201">
          <cell r="F201">
            <v>7792.2050656250012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>
        <row r="201">
          <cell r="F201">
            <v>7792.2050656250012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>
        <row r="201">
          <cell r="F201">
            <v>7792.2050656250012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01">
          <cell r="F201">
            <v>7792.2050656250012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201">
          <cell r="F201">
            <v>7792.2050656250012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arios"/>
      <sheetName val="Directos"/>
      <sheetName val="Viaticos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 LOS LIMONES ACERO "/>
      <sheetName val="AC. LOS LIMONES HIERRO DUCTIL"/>
      <sheetName val="AC. LOS LIMONES G.R.P (2)"/>
      <sheetName val="MOV. TIERRA"/>
      <sheetName val="Hoja2"/>
      <sheetName val="MO"/>
      <sheetName val="INSU"/>
      <sheetName val="C.S."/>
      <sheetName val="PRESU"/>
      <sheetName val="ANALISIS "/>
      <sheetName val="analisis basicos"/>
      <sheetName val="Analisis Complementarios "/>
      <sheetName val="COLOCACION DE TUBERIA"/>
      <sheetName val="MOVIMIENTO DE TIERRA"/>
      <sheetName val=" MOVIMIENTO DE TIERRA EQUIPO"/>
      <sheetName val="ANCLAJES DE H.A."/>
      <sheetName val="REGISTROS DE LADRILLOS Y H.A. "/>
    </sheetNames>
    <sheetDataSet>
      <sheetData sheetId="0">
        <row r="2">
          <cell r="D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Villa"/>
      <sheetName val="Terraza"/>
      <sheetName val="Marquesina"/>
      <sheetName val="Gazebo"/>
      <sheetName val="Piscina &amp; Jacuzzi"/>
      <sheetName val="Insumos"/>
      <sheetName val="Cotizaciones"/>
      <sheetName val="M.O."/>
      <sheetName val="ATC"/>
      <sheetName val="Mediciones 1er Nivel"/>
      <sheetName val="Mediciones 2do Nivel"/>
      <sheetName val="Mediciones Terraza"/>
      <sheetName val="Mediciones Marquesinas"/>
      <sheetName val="Mediciones Gazebo"/>
      <sheetName val="Mediciones Piscina"/>
      <sheetName val="Albañilería"/>
      <sheetName val="Bloques"/>
      <sheetName val="Columnas"/>
      <sheetName val="Losas"/>
      <sheetName val="Materiales &amp; Tranporte"/>
      <sheetName val="Muros"/>
      <sheetName val="Otros"/>
      <sheetName val="Pisos &amp; Revestimientos"/>
      <sheetName val="Vigas"/>
      <sheetName val="Zapatas"/>
      <sheetName val="Cuantía Acero"/>
      <sheetName val="Cotización Acero"/>
      <sheetName val="IS Villa"/>
      <sheetName val="IS Gazebo"/>
      <sheetName val="I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caseta_de_planta_(2)"/>
      <sheetName val="cisterna_"/>
      <sheetName val="caseta_de_planta"/>
      <sheetName val="Relacion_de_proyecto"/>
      <sheetName val="Análisis_de_Precios"/>
      <sheetName val="M.O."/>
      <sheetName val="Analisis"/>
      <sheetName val="analisis detallado"/>
      <sheetName val="M_O_"/>
      <sheetName val="analisis_detallado"/>
      <sheetName val="caseta_de_planta_(2)1"/>
      <sheetName val="cisterna_1"/>
      <sheetName val="caseta_de_planta1"/>
      <sheetName val="Relacion_de_proyecto1"/>
      <sheetName val="Análisis_de_Precios1"/>
      <sheetName val="M_O_1"/>
      <sheetName val="analisis_detallado1"/>
      <sheetName val="caseta_de_planta_(2)2"/>
      <sheetName val="cisterna_2"/>
      <sheetName val="caseta_de_planta2"/>
      <sheetName val="Relacion_de_proyecto2"/>
      <sheetName val="Análisis_de_Precios2"/>
      <sheetName val="M_O_2"/>
      <sheetName val="analisis_detallado2"/>
      <sheetName val="caseta_de_planta_(2)3"/>
      <sheetName val="cisterna_3"/>
      <sheetName val="caseta_de_planta3"/>
      <sheetName val="Relacion_de_proyecto3"/>
      <sheetName val="Análisis_de_Precios3"/>
      <sheetName val="M_O_3"/>
      <sheetName val="analisis_detallado3"/>
      <sheetName val="Ins"/>
      <sheetName val="PRECIOS"/>
      <sheetName val="MATERIALES_LISTADO"/>
      <sheetName val="MO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  <row r="11">
          <cell r="C11">
            <v>18.899999999999999</v>
          </cell>
        </row>
        <row r="12">
          <cell r="C12">
            <v>24.57</v>
          </cell>
        </row>
        <row r="15">
          <cell r="C15">
            <v>3.4559999999999995</v>
          </cell>
        </row>
        <row r="16">
          <cell r="C16">
            <v>3.8400000000000007</v>
          </cell>
        </row>
        <row r="17">
          <cell r="C17">
            <v>2.1600000000000006</v>
          </cell>
        </row>
        <row r="18">
          <cell r="C18">
            <v>8.1000000000000014</v>
          </cell>
        </row>
        <row r="19">
          <cell r="C19">
            <v>9.18</v>
          </cell>
        </row>
        <row r="20">
          <cell r="C20">
            <v>54</v>
          </cell>
        </row>
        <row r="23">
          <cell r="C23">
            <v>89.25</v>
          </cell>
        </row>
        <row r="26">
          <cell r="C26">
            <v>178.5</v>
          </cell>
        </row>
        <row r="27">
          <cell r="C27">
            <v>160.65</v>
          </cell>
        </row>
        <row r="28">
          <cell r="C28">
            <v>32.75</v>
          </cell>
        </row>
        <row r="31">
          <cell r="C31">
            <v>178.5</v>
          </cell>
        </row>
        <row r="34">
          <cell r="C34">
            <v>1</v>
          </cell>
        </row>
        <row r="36">
          <cell r="C36">
            <v>1</v>
          </cell>
        </row>
      </sheetData>
      <sheetData sheetId="3" refreshError="1"/>
      <sheetData sheetId="4">
        <row r="8">
          <cell r="C8" t="str">
            <v>Cant.</v>
          </cell>
        </row>
      </sheetData>
      <sheetData sheetId="5">
        <row r="7">
          <cell r="C7" t="str">
            <v>Cant.</v>
          </cell>
        </row>
      </sheetData>
      <sheetData sheetId="6"/>
      <sheetData sheetId="7"/>
      <sheetData sheetId="8">
        <row r="7">
          <cell r="C7" t="str">
            <v>Cant.</v>
          </cell>
        </row>
        <row r="8">
          <cell r="C8" t="str">
            <v>Cant.</v>
          </cell>
          <cell r="E8" t="str">
            <v>P.U. RD$</v>
          </cell>
        </row>
        <row r="10">
          <cell r="C10">
            <v>1</v>
          </cell>
          <cell r="E10" t="str">
            <v>P.A.</v>
          </cell>
        </row>
        <row r="12">
          <cell r="E12" t="str">
            <v xml:space="preserve"> </v>
          </cell>
        </row>
        <row r="13">
          <cell r="C13">
            <v>2.39</v>
          </cell>
          <cell r="E13" t="e">
            <v>#REF!</v>
          </cell>
        </row>
        <row r="14">
          <cell r="C14">
            <v>2.65</v>
          </cell>
          <cell r="E14" t="e">
            <v>#REF!</v>
          </cell>
        </row>
        <row r="15">
          <cell r="C15">
            <v>0.52</v>
          </cell>
          <cell r="E15" t="e">
            <v>#NAME?</v>
          </cell>
        </row>
        <row r="16">
          <cell r="C16">
            <v>1.4</v>
          </cell>
          <cell r="E16" t="e">
            <v>#REF!</v>
          </cell>
        </row>
        <row r="17">
          <cell r="C17">
            <v>0.26</v>
          </cell>
          <cell r="E17" t="e">
            <v>#NAME?</v>
          </cell>
        </row>
        <row r="18">
          <cell r="C18">
            <v>0.78</v>
          </cell>
          <cell r="E18" t="e">
            <v>#NAME?</v>
          </cell>
        </row>
        <row r="19">
          <cell r="C19">
            <v>0.21</v>
          </cell>
          <cell r="E19" t="e">
            <v>#REF!</v>
          </cell>
        </row>
        <row r="20">
          <cell r="C20">
            <v>0.21</v>
          </cell>
          <cell r="E20" t="e">
            <v>#REF!</v>
          </cell>
        </row>
        <row r="21">
          <cell r="C21">
            <v>0</v>
          </cell>
          <cell r="E21">
            <v>0</v>
          </cell>
        </row>
        <row r="22">
          <cell r="C22">
            <v>0</v>
          </cell>
          <cell r="E22">
            <v>0</v>
          </cell>
        </row>
        <row r="23">
          <cell r="C23">
            <v>64.17</v>
          </cell>
          <cell r="E23" t="e">
            <v>#REF!</v>
          </cell>
        </row>
        <row r="24">
          <cell r="C24">
            <v>0</v>
          </cell>
          <cell r="E24">
            <v>0</v>
          </cell>
        </row>
        <row r="27">
          <cell r="C27">
            <v>498.88</v>
          </cell>
          <cell r="E27" t="e">
            <v>#REF!</v>
          </cell>
        </row>
        <row r="28">
          <cell r="C28">
            <v>40.82</v>
          </cell>
          <cell r="E28" t="e">
            <v>#REF!</v>
          </cell>
        </row>
        <row r="29">
          <cell r="C29">
            <v>23.2</v>
          </cell>
          <cell r="E29" t="e">
            <v>#REF!</v>
          </cell>
        </row>
        <row r="32">
          <cell r="C32">
            <v>73.319999999999993</v>
          </cell>
          <cell r="E32" t="e">
            <v>#REF!</v>
          </cell>
        </row>
        <row r="33">
          <cell r="C33">
            <v>364.96</v>
          </cell>
          <cell r="E33" t="e">
            <v>#REF!</v>
          </cell>
        </row>
        <row r="34">
          <cell r="C34">
            <v>734.56</v>
          </cell>
          <cell r="E34" t="e">
            <v>#REF!</v>
          </cell>
        </row>
        <row r="35">
          <cell r="C35">
            <v>358.34000000000009</v>
          </cell>
          <cell r="E35">
            <v>80</v>
          </cell>
        </row>
        <row r="36">
          <cell r="C36">
            <v>595.9</v>
          </cell>
          <cell r="E36" t="e">
            <v>#REF!</v>
          </cell>
        </row>
        <row r="37">
          <cell r="C37">
            <v>84.1</v>
          </cell>
          <cell r="E37">
            <v>0</v>
          </cell>
        </row>
        <row r="38">
          <cell r="C38">
            <v>48.8</v>
          </cell>
          <cell r="E38">
            <v>0</v>
          </cell>
        </row>
        <row r="41">
          <cell r="C41">
            <v>5.9399999999999995</v>
          </cell>
          <cell r="E41">
            <v>210</v>
          </cell>
        </row>
        <row r="42">
          <cell r="C42">
            <v>28.36</v>
          </cell>
          <cell r="E42">
            <v>450</v>
          </cell>
        </row>
        <row r="43">
          <cell r="C43">
            <v>4.13</v>
          </cell>
          <cell r="E43">
            <v>0</v>
          </cell>
        </row>
        <row r="44">
          <cell r="C44">
            <v>0</v>
          </cell>
          <cell r="E44">
            <v>200</v>
          </cell>
        </row>
        <row r="45">
          <cell r="C45">
            <v>0</v>
          </cell>
          <cell r="E45">
            <v>100</v>
          </cell>
        </row>
        <row r="46">
          <cell r="C46">
            <v>264.10000000000002</v>
          </cell>
          <cell r="E46">
            <v>80</v>
          </cell>
        </row>
        <row r="49">
          <cell r="C49">
            <v>1</v>
          </cell>
          <cell r="E49">
            <v>0</v>
          </cell>
        </row>
        <row r="52">
          <cell r="C52">
            <v>269.81</v>
          </cell>
          <cell r="E52" t="e">
            <v>#VALUE!</v>
          </cell>
        </row>
        <row r="54">
          <cell r="C54">
            <v>95.739999999999981</v>
          </cell>
          <cell r="E54" t="e">
            <v>#VALUE!</v>
          </cell>
        </row>
        <row r="55">
          <cell r="C55">
            <v>15</v>
          </cell>
          <cell r="E55" t="e">
            <v>#REF!</v>
          </cell>
        </row>
        <row r="56">
          <cell r="C56">
            <v>151</v>
          </cell>
          <cell r="E56">
            <v>318.20400000000001</v>
          </cell>
        </row>
        <row r="57">
          <cell r="C57">
            <v>54.95</v>
          </cell>
          <cell r="E57" t="e">
            <v>#REF!</v>
          </cell>
        </row>
        <row r="58">
          <cell r="C58">
            <v>3.1</v>
          </cell>
          <cell r="E58" t="e">
            <v>#REF!</v>
          </cell>
        </row>
        <row r="59">
          <cell r="C59">
            <v>7</v>
          </cell>
          <cell r="E59">
            <v>0</v>
          </cell>
        </row>
        <row r="60">
          <cell r="C60" t="str">
            <v xml:space="preserve"> </v>
          </cell>
        </row>
        <row r="63">
          <cell r="C63">
            <v>124.47000000000001</v>
          </cell>
          <cell r="E63" t="e">
            <v>#REF!</v>
          </cell>
        </row>
        <row r="64">
          <cell r="C64">
            <v>0</v>
          </cell>
          <cell r="E64" t="e">
            <v>#REF!</v>
          </cell>
        </row>
        <row r="65">
          <cell r="C65">
            <v>18.28</v>
          </cell>
          <cell r="E65" t="e">
            <v>#REF!</v>
          </cell>
        </row>
        <row r="66">
          <cell r="C66">
            <v>48.499999999999993</v>
          </cell>
          <cell r="E66" t="e">
            <v>#REF!</v>
          </cell>
        </row>
        <row r="67">
          <cell r="C67">
            <v>16.170000000000002</v>
          </cell>
          <cell r="E67">
            <v>6919.2</v>
          </cell>
        </row>
        <row r="70">
          <cell r="C70">
            <v>15.400000000000002</v>
          </cell>
          <cell r="E70">
            <v>0</v>
          </cell>
        </row>
        <row r="71">
          <cell r="C71">
            <v>2.0149999999999997</v>
          </cell>
          <cell r="E71">
            <v>0</v>
          </cell>
        </row>
        <row r="72">
          <cell r="C72">
            <v>2</v>
          </cell>
          <cell r="E72">
            <v>0</v>
          </cell>
        </row>
        <row r="73">
          <cell r="C73">
            <v>4.620000000000001</v>
          </cell>
          <cell r="E73">
            <v>0</v>
          </cell>
        </row>
        <row r="76">
          <cell r="C76">
            <v>1</v>
          </cell>
          <cell r="E76">
            <v>0</v>
          </cell>
        </row>
        <row r="77">
          <cell r="C77">
            <v>1</v>
          </cell>
          <cell r="E77">
            <v>0</v>
          </cell>
        </row>
        <row r="78">
          <cell r="C78">
            <v>1</v>
          </cell>
          <cell r="E78">
            <v>0</v>
          </cell>
        </row>
        <row r="79">
          <cell r="C79">
            <v>1</v>
          </cell>
          <cell r="E79">
            <v>0</v>
          </cell>
        </row>
        <row r="80">
          <cell r="C80">
            <v>1</v>
          </cell>
          <cell r="E80">
            <v>0</v>
          </cell>
        </row>
        <row r="81">
          <cell r="C81">
            <v>1</v>
          </cell>
          <cell r="E81">
            <v>0</v>
          </cell>
        </row>
        <row r="82">
          <cell r="C82">
            <v>1</v>
          </cell>
          <cell r="E82">
            <v>0</v>
          </cell>
        </row>
        <row r="83">
          <cell r="C83">
            <v>1</v>
          </cell>
          <cell r="E83">
            <v>0</v>
          </cell>
        </row>
        <row r="84">
          <cell r="C84">
            <v>1</v>
          </cell>
          <cell r="E84">
            <v>0</v>
          </cell>
        </row>
        <row r="85">
          <cell r="C85">
            <v>1</v>
          </cell>
          <cell r="E85">
            <v>0</v>
          </cell>
        </row>
        <row r="86">
          <cell r="C86">
            <v>1</v>
          </cell>
          <cell r="E86">
            <v>0</v>
          </cell>
        </row>
        <row r="87">
          <cell r="C87">
            <v>1</v>
          </cell>
          <cell r="E87">
            <v>0</v>
          </cell>
        </row>
        <row r="88">
          <cell r="C88">
            <v>1</v>
          </cell>
          <cell r="E88">
            <v>0</v>
          </cell>
        </row>
        <row r="89">
          <cell r="C89">
            <v>1</v>
          </cell>
          <cell r="E89">
            <v>0</v>
          </cell>
        </row>
        <row r="90">
          <cell r="C90">
            <v>1</v>
          </cell>
          <cell r="E90">
            <v>0</v>
          </cell>
        </row>
        <row r="91">
          <cell r="C91">
            <v>1</v>
          </cell>
          <cell r="E91">
            <v>0</v>
          </cell>
        </row>
        <row r="92">
          <cell r="C92">
            <v>1</v>
          </cell>
          <cell r="E92">
            <v>0</v>
          </cell>
        </row>
        <row r="93">
          <cell r="C93">
            <v>1</v>
          </cell>
          <cell r="E93">
            <v>0</v>
          </cell>
        </row>
        <row r="94">
          <cell r="C94">
            <v>1</v>
          </cell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C99">
            <v>1</v>
          </cell>
          <cell r="E99">
            <v>0</v>
          </cell>
        </row>
        <row r="102">
          <cell r="E102" t="str">
            <v>P.A.</v>
          </cell>
        </row>
        <row r="103">
          <cell r="C103">
            <v>1</v>
          </cell>
          <cell r="E103">
            <v>0</v>
          </cell>
        </row>
        <row r="106">
          <cell r="C106">
            <v>63.376399999999997</v>
          </cell>
          <cell r="E106">
            <v>0</v>
          </cell>
        </row>
        <row r="107">
          <cell r="C107">
            <v>1</v>
          </cell>
          <cell r="E107">
            <v>0</v>
          </cell>
        </row>
        <row r="108">
          <cell r="C108">
            <v>1</v>
          </cell>
          <cell r="E108">
            <v>0</v>
          </cell>
        </row>
        <row r="109">
          <cell r="C109">
            <v>1</v>
          </cell>
          <cell r="E109">
            <v>0</v>
          </cell>
        </row>
        <row r="112">
          <cell r="C112">
            <v>1</v>
          </cell>
          <cell r="E112" t="str">
            <v>P.A.</v>
          </cell>
        </row>
        <row r="113">
          <cell r="C113">
            <v>1</v>
          </cell>
          <cell r="E113" t="str">
            <v>P.A.</v>
          </cell>
        </row>
        <row r="117">
          <cell r="C117">
            <v>1</v>
          </cell>
          <cell r="E117">
            <v>0</v>
          </cell>
        </row>
        <row r="118">
          <cell r="C118">
            <v>1</v>
          </cell>
          <cell r="E118">
            <v>0</v>
          </cell>
        </row>
        <row r="119">
          <cell r="C119">
            <v>1</v>
          </cell>
          <cell r="E119">
            <v>0</v>
          </cell>
        </row>
        <row r="120">
          <cell r="C120">
            <v>1</v>
          </cell>
          <cell r="E120">
            <v>0</v>
          </cell>
        </row>
        <row r="121">
          <cell r="C121">
            <v>1</v>
          </cell>
          <cell r="E121">
            <v>0</v>
          </cell>
        </row>
        <row r="125">
          <cell r="C125">
            <v>1</v>
          </cell>
          <cell r="E125">
            <v>0</v>
          </cell>
        </row>
        <row r="126">
          <cell r="C126">
            <v>1</v>
          </cell>
          <cell r="E126">
            <v>0</v>
          </cell>
        </row>
        <row r="129">
          <cell r="C129">
            <v>1</v>
          </cell>
          <cell r="E129">
            <v>0</v>
          </cell>
        </row>
        <row r="130">
          <cell r="C130">
            <v>1</v>
          </cell>
          <cell r="E130">
            <v>0</v>
          </cell>
        </row>
        <row r="131">
          <cell r="C131" t="str">
            <v xml:space="preserve"> </v>
          </cell>
          <cell r="E131" t="str">
            <v xml:space="preserve"> </v>
          </cell>
        </row>
        <row r="132">
          <cell r="C132">
            <v>1</v>
          </cell>
          <cell r="E132">
            <v>0</v>
          </cell>
        </row>
        <row r="133">
          <cell r="C133">
            <v>1</v>
          </cell>
          <cell r="E133">
            <v>0</v>
          </cell>
        </row>
        <row r="134">
          <cell r="C134">
            <v>1</v>
          </cell>
          <cell r="E134">
            <v>0</v>
          </cell>
        </row>
        <row r="135">
          <cell r="C135">
            <v>1</v>
          </cell>
          <cell r="E135">
            <v>0</v>
          </cell>
        </row>
        <row r="138">
          <cell r="C138" t="str">
            <v xml:space="preserve"> </v>
          </cell>
          <cell r="E138" t="str">
            <v xml:space="preserve"> </v>
          </cell>
        </row>
        <row r="139">
          <cell r="C139">
            <v>1</v>
          </cell>
          <cell r="E139">
            <v>0</v>
          </cell>
        </row>
        <row r="140">
          <cell r="C140">
            <v>1</v>
          </cell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C7" t="str">
            <v>Cant.</v>
          </cell>
        </row>
      </sheetData>
      <sheetData sheetId="18"/>
      <sheetData sheetId="19">
        <row r="7">
          <cell r="C7" t="str">
            <v>Cant.</v>
          </cell>
        </row>
      </sheetData>
      <sheetData sheetId="20" refreshError="1"/>
      <sheetData sheetId="21" refreshError="1"/>
      <sheetData sheetId="22" refreshError="1"/>
      <sheetData sheetId="23"/>
      <sheetData sheetId="24"/>
      <sheetData sheetId="25"/>
      <sheetData sheetId="26">
        <row r="7">
          <cell r="C7" t="str">
            <v>Cant.</v>
          </cell>
        </row>
      </sheetData>
      <sheetData sheetId="27">
        <row r="7">
          <cell r="C7" t="str">
            <v>Cant.</v>
          </cell>
        </row>
      </sheetData>
      <sheetData sheetId="28"/>
      <sheetData sheetId="29"/>
      <sheetData sheetId="30"/>
      <sheetData sheetId="31"/>
      <sheetData sheetId="32"/>
      <sheetData sheetId="33"/>
      <sheetData sheetId="34">
        <row r="7">
          <cell r="C7" t="str">
            <v>Cant.</v>
          </cell>
        </row>
      </sheetData>
      <sheetData sheetId="35"/>
      <sheetData sheetId="36"/>
      <sheetData sheetId="37"/>
      <sheetData sheetId="38"/>
      <sheetData sheetId="39"/>
      <sheetData sheetId="40"/>
      <sheetData sheetId="41">
        <row r="7">
          <cell r="C7" t="str">
            <v>Cant.</v>
          </cell>
        </row>
      </sheetData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ALUZINC"/>
      <sheetName val="ANALISIS ACERO"/>
      <sheetName val="propuesta"/>
      <sheetName val="peso"/>
      <sheetName val="Insumos"/>
      <sheetName val="MANO DE OBRA"/>
      <sheetName val="ANALISIS_ALUZINC"/>
      <sheetName val="ANALISIS_ACER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d+Torn"/>
      <sheetName val="Insumos"/>
      <sheetName val="varios"/>
      <sheetName val="Presupuesto"/>
      <sheetName val="materiales"/>
      <sheetName val="propuesta"/>
      <sheetName val="peso"/>
      <sheetName val="MO"/>
      <sheetName val="INS"/>
      <sheetName val="Grupo V"/>
      <sheetName val="Desembolso de Caja"/>
      <sheetName val="Grupo_V"/>
      <sheetName val="Desembolso_de_Caja"/>
      <sheetName val="Grupo_V1"/>
      <sheetName val="Desembolso_de_Caja1"/>
    </sheetNames>
    <sheetDataSet>
      <sheetData sheetId="0" refreshError="1"/>
      <sheetData sheetId="1" refreshError="1">
        <row r="12">
          <cell r="E12">
            <v>285</v>
          </cell>
        </row>
        <row r="13">
          <cell r="E13">
            <v>1832.8</v>
          </cell>
        </row>
        <row r="17">
          <cell r="E17">
            <v>2600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REC. 1"/>
      <sheetName val="Analisis REC 1"/>
      <sheetName val="EXC. A MANO"/>
      <sheetName val="Módulo1"/>
      <sheetName val="Insumos"/>
    </sheetNames>
    <sheetDataSet>
      <sheetData sheetId="0" refreshError="1">
        <row r="9">
          <cell r="O9" t="str">
            <v>HTA1..M11~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FCC-005 ANDAMIOS"/>
      <sheetName val="FCC-002 ACERO"/>
      <sheetName val="FCC-004 CALZOS"/>
      <sheetName val="med.mov.de tierras"/>
      <sheetName val="Materiales"/>
      <sheetName val="Trabajos Generales"/>
      <sheetName val="ANALPRECIO"/>
      <sheetName val="Labor FD1"/>
      <sheetName val="Meses"/>
      <sheetName val="MO"/>
      <sheetName val="Salarios"/>
      <sheetName val="Gastos_Generales"/>
      <sheetName val="Cub__01"/>
      <sheetName val="Analisis_Costo"/>
      <sheetName val="Senalizacion"/>
      <sheetName val="PRESUPUESTO"/>
      <sheetName val="peso"/>
      <sheetName val="Sheet1"/>
      <sheetName val="Sheet3"/>
      <sheetName val="presup."/>
      <sheetName val="Materiales y Precios"/>
      <sheetName val="Gastos_Generales1"/>
      <sheetName val="Cub__011"/>
      <sheetName val="Analisis_Costo1"/>
      <sheetName val="FCC-005_ANDAMIOS"/>
      <sheetName val="FCC-002_ACERO"/>
      <sheetName val="FCC-004_CALZOS"/>
      <sheetName val="Trabajos_Generales"/>
      <sheetName val="med_mov_de_tierras"/>
      <sheetName val="Labor_FD1"/>
      <sheetName val="presup_"/>
      <sheetName val="Gastos_Generales2"/>
      <sheetName val="Cub__012"/>
      <sheetName val="Analisis_Costo2"/>
      <sheetName val="FCC-005_ANDAMIOS1"/>
      <sheetName val="FCC-002_ACERO1"/>
      <sheetName val="FCC-004_CALZOS1"/>
      <sheetName val="Trabajos_Generales1"/>
      <sheetName val="med_mov_de_tierras1"/>
      <sheetName val="Labor_FD11"/>
      <sheetName val="presup_1"/>
      <sheetName val="Gastos_Generales3"/>
      <sheetName val="Cub__013"/>
      <sheetName val="Analisis_Costo3"/>
      <sheetName val="FCC-005_ANDAMIOS2"/>
      <sheetName val="FCC-002_ACERO2"/>
      <sheetName val="FCC-004_CALZOS2"/>
      <sheetName val="Trabajos_Generales2"/>
      <sheetName val="med_mov_de_tierras2"/>
      <sheetName val="Labor_FD12"/>
      <sheetName val="presup_2"/>
      <sheetName val="Gastos_Generales4"/>
      <sheetName val="Cub__014"/>
      <sheetName val="Analisis_Costo4"/>
      <sheetName val="FCC-005_ANDAMIOS3"/>
      <sheetName val="FCC-002_ACERO3"/>
      <sheetName val="FCC-004_CALZOS3"/>
      <sheetName val="Trabajos_Generales3"/>
      <sheetName val="med_mov_de_tierras3"/>
      <sheetName val="Labor_FD13"/>
      <sheetName val="presup_3"/>
      <sheetName val="Insumos"/>
      <sheetName val="MANO DE OBRA"/>
      <sheetName val="electrico"/>
      <sheetName val="anal term"/>
      <sheetName val="Ana-Sanit."/>
      <sheetName val="Anal. horm."/>
      <sheetName val="Mat"/>
      <sheetName val="CUBICACION "/>
      <sheetName val="LISTAS DESP"/>
      <sheetName val="MANT.TRANSITO"/>
      <sheetName val="Gastos_Generales5"/>
      <sheetName val="Cub__015"/>
      <sheetName val="Analisis_Costo5"/>
      <sheetName val="FCC-005_ANDAMIOS4"/>
      <sheetName val="FCC-002_ACERO4"/>
      <sheetName val="FCC-004_CALZOS4"/>
      <sheetName val="Trabajos_Generales4"/>
      <sheetName val="Labor_FD14"/>
      <sheetName val="med_mov_de_tierras4"/>
      <sheetName val="Materiales_y_Precios"/>
      <sheetName val="presup_4"/>
      <sheetName val="MANT_TRANSITO"/>
      <sheetName val="LISTAS_DESP"/>
    </sheetNames>
    <sheetDataSet>
      <sheetData sheetId="0" refreshError="1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/>
          <cell r="F5"/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/>
          <cell r="F16"/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6">
          <cell r="A26" t="str">
            <v>AG99.001</v>
          </cell>
          <cell r="B26" t="str">
            <v>Bote de materiales</v>
          </cell>
          <cell r="C26" t="str">
            <v>m3</v>
          </cell>
          <cell r="D26">
            <v>1</v>
          </cell>
          <cell r="E26">
            <v>80</v>
          </cell>
          <cell r="F26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5">
          <cell r="A35" t="str">
            <v>MT01.001</v>
          </cell>
          <cell r="B35" t="str">
            <v>Carguío</v>
          </cell>
          <cell r="C35" t="str">
            <v>m3E</v>
          </cell>
          <cell r="D35">
            <v>1</v>
          </cell>
          <cell r="E35">
            <v>20</v>
          </cell>
          <cell r="F35">
            <v>20</v>
          </cell>
        </row>
        <row r="36">
          <cell r="A36" t="str">
            <v>MT01.002</v>
          </cell>
          <cell r="B36" t="str">
            <v>Arranque</v>
          </cell>
          <cell r="C36" t="str">
            <v>m3E</v>
          </cell>
          <cell r="D36">
            <v>1</v>
          </cell>
          <cell r="E36">
            <v>4</v>
          </cell>
          <cell r="F36">
            <v>4</v>
          </cell>
        </row>
        <row r="37">
          <cell r="A37" t="str">
            <v>MT01.003</v>
          </cell>
          <cell r="B37" t="str">
            <v>Acarreo Adicional en Ciudad</v>
          </cell>
          <cell r="C37" t="str">
            <v>m3E-Km</v>
          </cell>
          <cell r="D37">
            <v>1</v>
          </cell>
          <cell r="E37">
            <v>3</v>
          </cell>
          <cell r="F37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6">
          <cell r="A46" t="str">
            <v>EQ02.001</v>
          </cell>
          <cell r="B46" t="str">
            <v>Ligadora de 2 fundas</v>
          </cell>
          <cell r="C46" t="str">
            <v>hr</v>
          </cell>
          <cell r="D46">
            <v>1</v>
          </cell>
          <cell r="E46">
            <v>108.58</v>
          </cell>
          <cell r="F46">
            <v>108.58</v>
          </cell>
        </row>
        <row r="47">
          <cell r="A47" t="str">
            <v>EQ02.002</v>
          </cell>
          <cell r="B47" t="str">
            <v>Winche</v>
          </cell>
          <cell r="C47" t="str">
            <v>hr</v>
          </cell>
          <cell r="D47">
            <v>1</v>
          </cell>
          <cell r="E47">
            <v>86.79</v>
          </cell>
          <cell r="F47">
            <v>86.79</v>
          </cell>
        </row>
        <row r="48">
          <cell r="A48" t="str">
            <v>EQ03.001</v>
          </cell>
          <cell r="B48" t="str">
            <v>Compactador de Mano (12"x12")</v>
          </cell>
          <cell r="C48" t="str">
            <v>hr</v>
          </cell>
          <cell r="D48">
            <v>1</v>
          </cell>
          <cell r="E48">
            <v>112.5</v>
          </cell>
          <cell r="F48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5">
          <cell r="A65" t="str">
            <v>JD01.006</v>
          </cell>
          <cell r="B65" t="str">
            <v>Jornal diario Operario de PRIMERA CATEGORIA (OP1)</v>
          </cell>
          <cell r="C65" t="str">
            <v>Día</v>
          </cell>
          <cell r="D65">
            <v>1</v>
          </cell>
          <cell r="E65">
            <v>300</v>
          </cell>
          <cell r="F65">
            <v>300</v>
          </cell>
        </row>
        <row r="66">
          <cell r="A66" t="str">
            <v>JD01.007</v>
          </cell>
          <cell r="B66" t="str">
            <v>Jornal diario MAESTRO</v>
          </cell>
          <cell r="C66" t="str">
            <v>Día</v>
          </cell>
          <cell r="D66">
            <v>1</v>
          </cell>
          <cell r="E66">
            <v>350</v>
          </cell>
          <cell r="F66">
            <v>350</v>
          </cell>
        </row>
        <row r="67">
          <cell r="A67" t="str">
            <v>JD01.008</v>
          </cell>
          <cell r="B67" t="str">
            <v>Brigada de Topografía</v>
          </cell>
          <cell r="C67" t="str">
            <v>Día</v>
          </cell>
          <cell r="D67">
            <v>1</v>
          </cell>
          <cell r="E67">
            <v>1000</v>
          </cell>
          <cell r="F67">
            <v>1000</v>
          </cell>
        </row>
        <row r="68">
          <cell r="A68" t="str">
            <v>AL</v>
          </cell>
          <cell r="B68" t="str">
            <v>ALFARERIA</v>
          </cell>
          <cell r="D68"/>
          <cell r="F68"/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/>
          <cell r="F81"/>
        </row>
        <row r="82">
          <cell r="A82" t="str">
            <v>BF01.</v>
          </cell>
          <cell r="B82" t="str">
            <v>Baños</v>
          </cell>
          <cell r="D82"/>
          <cell r="F82"/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/>
          <cell r="F104"/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/>
          <cell r="F108"/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/>
          <cell r="F117"/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/>
          <cell r="F171"/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/>
          <cell r="F177"/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/>
          <cell r="F204"/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/>
          <cell r="F207"/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5">
          <cell r="A215" t="str">
            <v>CC02.002</v>
          </cell>
          <cell r="B215" t="str">
            <v>Cemento para Grouting Portland</v>
          </cell>
          <cell r="C215" t="str">
            <v>fda</v>
          </cell>
          <cell r="D215">
            <v>1</v>
          </cell>
          <cell r="E215">
            <v>67</v>
          </cell>
          <cell r="F215">
            <v>67</v>
          </cell>
        </row>
        <row r="216">
          <cell r="A216" t="str">
            <v>CC02.003</v>
          </cell>
          <cell r="B216" t="str">
            <v>Supracure</v>
          </cell>
          <cell r="C216" t="str">
            <v>gl</v>
          </cell>
          <cell r="D216">
            <v>1</v>
          </cell>
          <cell r="E216">
            <v>97.2</v>
          </cell>
          <cell r="F216">
            <v>97.2</v>
          </cell>
        </row>
        <row r="217">
          <cell r="A217" t="str">
            <v>CC02.004</v>
          </cell>
          <cell r="B217" t="str">
            <v>Superplastificante</v>
          </cell>
          <cell r="C217" t="str">
            <v>gl</v>
          </cell>
          <cell r="D217">
            <v>1</v>
          </cell>
          <cell r="E217">
            <v>91.8</v>
          </cell>
          <cell r="F217">
            <v>91.8</v>
          </cell>
        </row>
        <row r="218">
          <cell r="A218" t="str">
            <v>CE</v>
          </cell>
          <cell r="B218" t="str">
            <v>CERAMICAS</v>
          </cell>
          <cell r="D218"/>
          <cell r="F218"/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/>
          <cell r="F225"/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/>
          <cell r="F232"/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/>
          <cell r="F247"/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/>
          <cell r="F286"/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/>
          <cell r="F305"/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/>
          <cell r="F326"/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/>
          <cell r="F336"/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/>
          <cell r="F339"/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7">
          <cell r="A367" t="str">
            <v>LL04.002</v>
          </cell>
          <cell r="B367" t="str">
            <v>Tapa de aluminio para cistena 24" x 24"</v>
          </cell>
          <cell r="C367" t="str">
            <v>u</v>
          </cell>
          <cell r="D367">
            <v>1</v>
          </cell>
          <cell r="E367">
            <v>1150</v>
          </cell>
          <cell r="F367">
            <v>1150</v>
          </cell>
        </row>
        <row r="368">
          <cell r="A368" t="str">
            <v>MA</v>
          </cell>
          <cell r="B368" t="str">
            <v>MADERAS, CLAVOS, ZINC</v>
          </cell>
          <cell r="D368"/>
          <cell r="F368"/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/>
          <cell r="F389"/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/>
          <cell r="F417"/>
        </row>
        <row r="418">
          <cell r="A418" t="str">
            <v>TP01.</v>
          </cell>
          <cell r="B418" t="str">
            <v>Tuberías y Piezas PVC Drenaje</v>
          </cell>
          <cell r="D418"/>
          <cell r="F418"/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/>
          <cell r="F476"/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/>
          <cell r="F549"/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/>
          <cell r="F610"/>
        </row>
        <row r="611">
          <cell r="A611" t="str">
            <v>PZ01.</v>
          </cell>
          <cell r="B611" t="str">
            <v>Piso y Zócalos</v>
          </cell>
          <cell r="D611"/>
          <cell r="F611"/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/>
          <cell r="F642"/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/>
          <cell r="F648"/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/>
          <cell r="F653"/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/>
          <cell r="F707"/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3">
          <cell r="A713" t="str">
            <v>YS02.002</v>
          </cell>
          <cell r="B713" t="str">
            <v>Plafón en láminas</v>
          </cell>
          <cell r="C713" t="str">
            <v>m2</v>
          </cell>
          <cell r="D713">
            <v>1</v>
          </cell>
          <cell r="E713">
            <v>280</v>
          </cell>
          <cell r="F713">
            <v>280</v>
          </cell>
        </row>
        <row r="714">
          <cell r="A714" t="str">
            <v>YS02.003</v>
          </cell>
          <cell r="B714" t="str">
            <v>Plafón Sheet Rock - Instalado</v>
          </cell>
          <cell r="C714" t="str">
            <v>m2</v>
          </cell>
          <cell r="D714">
            <v>1.08</v>
          </cell>
          <cell r="E714">
            <v>450</v>
          </cell>
          <cell r="F714">
            <v>486</v>
          </cell>
        </row>
        <row r="715">
          <cell r="A715" t="str">
            <v>YS03.001</v>
          </cell>
          <cell r="B715" t="str">
            <v>Rosetas</v>
          </cell>
          <cell r="C715" t="str">
            <v>u</v>
          </cell>
          <cell r="D715">
            <v>1</v>
          </cell>
          <cell r="E715">
            <v>100</v>
          </cell>
          <cell r="F715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/>
          <cell r="F716"/>
        </row>
        <row r="717">
          <cell r="A717" t="str">
            <v>MO01-30.</v>
          </cell>
          <cell r="B717" t="str">
            <v>Albañileria</v>
          </cell>
          <cell r="D717"/>
          <cell r="F717"/>
        </row>
        <row r="718">
          <cell r="A718" t="str">
            <v>MO01.</v>
          </cell>
          <cell r="B718" t="str">
            <v>Colocacion de Bloques</v>
          </cell>
          <cell r="D718"/>
          <cell r="F718"/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/>
          <cell r="F723"/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/>
          <cell r="F733"/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/>
          <cell r="F738"/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/>
          <cell r="F760"/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/>
          <cell r="F769"/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/>
          <cell r="F775"/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/>
          <cell r="F777"/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/>
          <cell r="F780"/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/>
          <cell r="F783"/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/>
          <cell r="F801"/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/>
          <cell r="F822"/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/>
          <cell r="F838"/>
        </row>
        <row r="839">
          <cell r="A839" t="str">
            <v>MO41.</v>
          </cell>
          <cell r="B839" t="str">
            <v>Montura Bidet,Inodoros y Orinales</v>
          </cell>
          <cell r="D839"/>
          <cell r="F839"/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/>
          <cell r="F841"/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/>
          <cell r="F843"/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/>
          <cell r="F851"/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/>
          <cell r="F853"/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/>
          <cell r="F855"/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/>
          <cell r="F858"/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/>
          <cell r="F864"/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/>
          <cell r="F867"/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/>
          <cell r="F869"/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/>
          <cell r="F871"/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/>
          <cell r="F873"/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/>
          <cell r="F876"/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/>
          <cell r="F878"/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/>
          <cell r="F880"/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/>
          <cell r="F882"/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/>
          <cell r="F884"/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/>
          <cell r="F886"/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/>
          <cell r="F888"/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/>
          <cell r="F890"/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/>
          <cell r="F894"/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8">
          <cell r="A918" t="str">
            <v>MO78.004</v>
          </cell>
          <cell r="B918" t="str">
            <v>Maestro Plomero</v>
          </cell>
          <cell r="C918" t="str">
            <v>día</v>
          </cell>
          <cell r="D918">
            <v>1</v>
          </cell>
          <cell r="E918">
            <v>457</v>
          </cell>
          <cell r="F918">
            <v>457</v>
          </cell>
        </row>
        <row r="919">
          <cell r="A919" t="str">
            <v>99.</v>
          </cell>
          <cell r="B919" t="str">
            <v>DE LOS ANALISIS DE COSTOS</v>
          </cell>
          <cell r="F919"/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29">
          <cell r="A929" t="str">
            <v>99.024</v>
          </cell>
          <cell r="B929" t="str">
            <v>Hormigón (1:2:4) Vaciado a Mano</v>
          </cell>
          <cell r="C929" t="str">
            <v>m3</v>
          </cell>
          <cell r="D929">
            <v>1</v>
          </cell>
          <cell r="E929">
            <v>1060.28</v>
          </cell>
          <cell r="F929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7">
          <cell r="A937" t="str">
            <v>99.901</v>
          </cell>
          <cell r="B937" t="str">
            <v>Mortero (1:2) en Techo</v>
          </cell>
          <cell r="C937" t="str">
            <v>m3</v>
          </cell>
          <cell r="D937">
            <v>1</v>
          </cell>
          <cell r="E937">
            <v>1958.27</v>
          </cell>
          <cell r="F937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1">
          <cell r="A941" t="str">
            <v>05.301</v>
          </cell>
          <cell r="B941" t="str">
            <v>Muros de Bloques de Hormigón 4"</v>
          </cell>
          <cell r="C941" t="str">
            <v>m2</v>
          </cell>
          <cell r="D941">
            <v>1</v>
          </cell>
          <cell r="E941">
            <v>174.08</v>
          </cell>
          <cell r="F941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>
        <row r="4">
          <cell r="A4" t="str">
            <v>Id.</v>
          </cell>
        </row>
      </sheetData>
      <sheetData sheetId="2">
        <row r="4">
          <cell r="A4" t="str">
            <v>Id.</v>
          </cell>
        </row>
      </sheetData>
      <sheetData sheetId="3">
        <row r="4">
          <cell r="A4" t="str">
            <v>Id.</v>
          </cell>
        </row>
      </sheetData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>
        <row r="4">
          <cell r="A4" t="str">
            <v>Id.</v>
          </cell>
        </row>
      </sheetData>
      <sheetData sheetId="7">
        <row r="4">
          <cell r="A4" t="str">
            <v>Id.</v>
          </cell>
        </row>
      </sheetData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A4" t="str">
            <v>Id.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A4" t="str">
            <v>Id.</v>
          </cell>
        </row>
      </sheetData>
      <sheetData sheetId="32"/>
      <sheetData sheetId="33">
        <row r="4">
          <cell r="A4" t="str">
            <v>Id.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>
        <row r="4">
          <cell r="A4" t="str">
            <v>Id.</v>
          </cell>
        </row>
      </sheetData>
      <sheetData sheetId="42">
        <row r="5">
          <cell r="B5">
            <v>2</v>
          </cell>
        </row>
      </sheetData>
      <sheetData sheetId="43">
        <row r="4">
          <cell r="A4" t="str">
            <v>Id.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>
        <row r="4">
          <cell r="A4" t="str">
            <v>Id.</v>
          </cell>
        </row>
      </sheetData>
      <sheetData sheetId="52"/>
      <sheetData sheetId="53">
        <row r="4">
          <cell r="A4" t="str">
            <v>Id.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>
        <row r="4">
          <cell r="A4" t="str">
            <v>Id.</v>
          </cell>
        </row>
      </sheetData>
      <sheetData sheetId="62"/>
      <sheetData sheetId="63">
        <row r="4">
          <cell r="A4" t="str">
            <v>Id.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C.S."/>
      <sheetName val="PRESU"/>
      <sheetName val="ANALISIS "/>
      <sheetName val="analisis basicos"/>
      <sheetName val="Analisis Complementarios "/>
      <sheetName val="COLOCACION DE TUBERIA"/>
      <sheetName val="MOVIMIENTO DE TIERRA"/>
      <sheetName val=" MOVIMIENTO DE TIERRA EQUIPO"/>
      <sheetName val="ANCLAJES DE H.A."/>
      <sheetName val="REGISTROS DE LADRILLOS Y H.A. "/>
      <sheetName val="RECLAMACION 1."/>
      <sheetName val="ANALISIS CASETAS"/>
      <sheetName val="VERJA NUEVA"/>
      <sheetName val="Precios"/>
    </sheetNames>
    <sheetDataSet>
      <sheetData sheetId="0" refreshError="1">
        <row r="9">
          <cell r="D9">
            <v>1500</v>
          </cell>
        </row>
        <row r="133">
          <cell r="D133">
            <v>1350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"/>
      <sheetName val="MEMO"/>
      <sheetName val="COF"/>
      <sheetName val="SEPAR"/>
      <sheetName val="CRONOGRAMA FISICO FINANCIERO"/>
    </sheetNames>
    <sheetDataSet>
      <sheetData sheetId="0">
        <row r="3">
          <cell r="D3">
            <v>1352</v>
          </cell>
        </row>
      </sheetData>
      <sheetData sheetId="1">
        <row r="3">
          <cell r="B3">
            <v>830</v>
          </cell>
        </row>
      </sheetData>
      <sheetData sheetId="2">
        <row r="239">
          <cell r="E239">
            <v>2690.8249815051054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LISIS"/>
    </sheetNames>
    <sheetDataSet>
      <sheetData sheetId="0"/>
      <sheetData sheetId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Ins 2"/>
      <sheetName val="FA"/>
      <sheetName val="Rndmto"/>
      <sheetName val="M.O."/>
      <sheetName val="Ana"/>
      <sheetName val="Resu"/>
      <sheetName val="Indice"/>
      <sheetName val="Pasarela de L=60.00"/>
      <sheetName val="Insumos"/>
      <sheetName val="MANO DE OBRA"/>
      <sheetName val="Presupuesto"/>
      <sheetName val="Ana.precios un"/>
      <sheetName val="Sheet4"/>
      <sheetName val="Sheet5"/>
      <sheetName val="análisis de precios"/>
      <sheetName val="caseta de planta"/>
      <sheetName val="PRE Desvio Alcant.  Potable"/>
      <sheetName val="Materiales"/>
      <sheetName val="Los Ángeles (Fase II)"/>
      <sheetName val="Ins_2"/>
      <sheetName val="M_O_"/>
      <sheetName val="Pasarela_de_L=60_00"/>
      <sheetName val="MANO_DE_OBRA"/>
      <sheetName val="Ana_precios_un"/>
      <sheetName val="análisis_de_precios"/>
      <sheetName val="caseta_de_planta"/>
      <sheetName val="PRE_Desvio_Alcant___Potable"/>
      <sheetName val="Los_Ángeles_(Fase_II)"/>
      <sheetName val="COF"/>
      <sheetName val="Mano Obra"/>
    </sheetNames>
    <sheetDataSet>
      <sheetData sheetId="0" refreshError="1"/>
      <sheetData sheetId="1" refreshError="1"/>
      <sheetData sheetId="2" refreshError="1">
        <row r="51">
          <cell r="E51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51">
          <cell r="E51">
            <v>4.5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CANT. OPCION 1"/>
      <sheetName val="ALCANT. OPCION 2"/>
      <sheetName val="Hoja1"/>
      <sheetName val="Hoja1 (2)"/>
    </sheetNames>
    <sheetDataSet>
      <sheetData sheetId="0"/>
      <sheetData sheetId="1"/>
      <sheetData sheetId="2">
        <row r="13">
          <cell r="F13">
            <v>11345.7</v>
          </cell>
        </row>
      </sheetData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VIAS Y PAISAJISMO"/>
      <sheetName val="Analisis de Costo Unitario"/>
      <sheetName val="BASICS"/>
      <sheetName val="Electrica"/>
      <sheetName val="Rendimiento"/>
    </sheetNames>
    <sheetDataSet>
      <sheetData sheetId="0" refreshError="1">
        <row r="15">
          <cell r="B15" t="str">
            <v>Corte material no clasificado c/equipo</v>
          </cell>
          <cell r="D15" t="str">
            <v>M³N</v>
          </cell>
        </row>
        <row r="16">
          <cell r="B16" t="str">
            <v>Bote de  material c/camion dist.5km (incluye esparcimiento en botadero)</v>
          </cell>
          <cell r="D16" t="str">
            <v>M³E</v>
          </cell>
        </row>
        <row r="17">
          <cell r="B17" t="str">
            <v>Suministro de material sub- base e=30 cm dist. aprox 20.00 km</v>
          </cell>
          <cell r="D17" t="str">
            <v>M³</v>
          </cell>
        </row>
        <row r="18">
          <cell r="B18" t="str">
            <v>Suministro de material base e=20 cm dist. aprox 20.00 km</v>
          </cell>
          <cell r="D18" t="str">
            <v>M³</v>
          </cell>
        </row>
        <row r="19">
          <cell r="B19" t="str">
            <v>Imprimación simple</v>
          </cell>
          <cell r="D19" t="str">
            <v>M²</v>
          </cell>
        </row>
        <row r="20">
          <cell r="B20" t="str">
            <v>Suministro y colocación de asfalto e=3" ( incl. Riego de Adherencia)</v>
          </cell>
          <cell r="D20" t="str">
            <v>M²</v>
          </cell>
        </row>
        <row r="21">
          <cell r="B21" t="str">
            <v>Transporte de asfalto, distancia aproximada de 20.00 km</v>
          </cell>
          <cell r="D21" t="str">
            <v>M³/KM</v>
          </cell>
        </row>
        <row r="24">
          <cell r="D24" t="str">
            <v>M²</v>
          </cell>
        </row>
        <row r="25">
          <cell r="D25" t="str">
            <v>M</v>
          </cell>
        </row>
        <row r="26">
          <cell r="B26" t="str">
            <v>Barandas de protección</v>
          </cell>
          <cell r="D26" t="str">
            <v>M</v>
          </cell>
        </row>
        <row r="29">
          <cell r="B29" t="str">
            <v>Suministro de material sub- base e=30 cm dist. aprox 20.00 km</v>
          </cell>
          <cell r="D29" t="str">
            <v>M³</v>
          </cell>
        </row>
        <row r="30">
          <cell r="B30" t="str">
            <v>Suministro de material base e=20 cm dist. aprox 20.00 km</v>
          </cell>
          <cell r="D30" t="str">
            <v>M³</v>
          </cell>
        </row>
        <row r="31">
          <cell r="B31" t="str">
            <v>Imprimación simple</v>
          </cell>
          <cell r="D31" t="str">
            <v>M²</v>
          </cell>
        </row>
        <row r="32">
          <cell r="B32" t="str">
            <v>Suministro y colocación de asfalto e=2" ( incl. Riego de Adherencia)</v>
          </cell>
          <cell r="D32" t="str">
            <v>M²</v>
          </cell>
        </row>
        <row r="33">
          <cell r="B33" t="str">
            <v>Transporte de asfalto, distancia aproximada de 20.00 km</v>
          </cell>
          <cell r="D33" t="str">
            <v>M³/KM</v>
          </cell>
        </row>
        <row r="34">
          <cell r="D34" t="str">
            <v>M²</v>
          </cell>
        </row>
        <row r="35">
          <cell r="D35" t="str">
            <v>M</v>
          </cell>
        </row>
        <row r="37">
          <cell r="B37" t="str">
            <v>Control y Manejo de Tránsito ( incluye uso de letreros, uso de de conos refractarios y hombres con banderolas)</v>
          </cell>
          <cell r="D37" t="str">
            <v>M</v>
          </cell>
        </row>
        <row r="39">
          <cell r="D39" t="str">
            <v>M</v>
          </cell>
        </row>
        <row r="41">
          <cell r="B41" t="str">
            <v>Limpieza continua y final</v>
          </cell>
          <cell r="D41" t="str">
            <v>M</v>
          </cell>
        </row>
        <row r="46">
          <cell r="B46" t="str">
            <v>Postes de aluminio, 35´ 500 dam (para trafo)</v>
          </cell>
          <cell r="D46" t="str">
            <v>UD</v>
          </cell>
        </row>
        <row r="47">
          <cell r="B47" t="str">
            <v xml:space="preserve">Postes de aluminio, 30´ 300 dam </v>
          </cell>
          <cell r="D47" t="str">
            <v>UD</v>
          </cell>
        </row>
        <row r="48">
          <cell r="B48" t="str">
            <v>Alambre AAAC No. 1/0</v>
          </cell>
          <cell r="D48" t="str">
            <v>PIES</v>
          </cell>
        </row>
        <row r="49">
          <cell r="B49" t="str">
            <v>Estructura MT-105</v>
          </cell>
          <cell r="D49" t="str">
            <v>UD</v>
          </cell>
        </row>
        <row r="50">
          <cell r="B50" t="str">
            <v>Estructura F1-BT</v>
          </cell>
          <cell r="D50" t="str">
            <v>UD</v>
          </cell>
        </row>
        <row r="51">
          <cell r="B51" t="str">
            <v>Estructura F2-BT</v>
          </cell>
          <cell r="D51" t="str">
            <v>UD</v>
          </cell>
        </row>
        <row r="52">
          <cell r="B52" t="str">
            <v>Estructura TR- 105 (con transformador de distribución tipo poste sumergido en aceite, potencia 15 kva, voltaje 7.2-120/240 v., Ø1)</v>
          </cell>
          <cell r="D52" t="str">
            <v>UD</v>
          </cell>
        </row>
        <row r="53">
          <cell r="B53" t="str">
            <v xml:space="preserve">Estructura AP-101 (con lámparas Led tipo Cobra de 200 W, 240 V. </v>
          </cell>
        </row>
        <row r="54">
          <cell r="B54" t="str">
            <v>Alimentador eléctrico para iluminación con alambre triplex no. 2</v>
          </cell>
          <cell r="D54" t="str">
            <v>PIES</v>
          </cell>
        </row>
        <row r="55">
          <cell r="B55" t="str">
            <v>Hoyos para postes</v>
          </cell>
          <cell r="D55" t="str">
            <v>UD</v>
          </cell>
        </row>
        <row r="56">
          <cell r="B56" t="str">
            <v>Instalación de postes</v>
          </cell>
          <cell r="D56" t="str">
            <v>UD</v>
          </cell>
        </row>
        <row r="57">
          <cell r="B57" t="str">
            <v>Base de hormigon simple con pernos para instalación de postes</v>
          </cell>
          <cell r="D57" t="str">
            <v>UD</v>
          </cell>
        </row>
        <row r="58">
          <cell r="B58" t="str">
            <v>Mano de obra (20%) (desde partida 1.3 hasta partida 1.7)</v>
          </cell>
          <cell r="D58" t="str">
            <v>UD</v>
          </cell>
        </row>
        <row r="65">
          <cell r="B65" t="str">
            <v>Replanteo y Control topográfico</v>
          </cell>
        </row>
        <row r="68">
          <cell r="B68" t="str">
            <v>Excavacion de material no clasificado con equipo</v>
          </cell>
        </row>
        <row r="69">
          <cell r="B69" t="str">
            <v>Conformación de talud</v>
          </cell>
          <cell r="D69" t="str">
            <v>M³C</v>
          </cell>
        </row>
        <row r="70">
          <cell r="B70" t="str">
            <v xml:space="preserve">Suministro material de mina </v>
          </cell>
          <cell r="D70" t="str">
            <v>M³C</v>
          </cell>
        </row>
        <row r="71">
          <cell r="B71" t="str">
            <v>Relleno compactado con caliche y equipo mecánico</v>
          </cell>
          <cell r="D71" t="str">
            <v>M³C</v>
          </cell>
        </row>
        <row r="72">
          <cell r="D72" t="str">
            <v>M³E</v>
          </cell>
        </row>
        <row r="75">
          <cell r="B75" t="str">
            <v>Encaches  laterales y fondo 20 cm</v>
          </cell>
          <cell r="D75" t="str">
            <v>M²</v>
          </cell>
        </row>
        <row r="79">
          <cell r="D79">
            <v>0</v>
          </cell>
        </row>
        <row r="81">
          <cell r="B81" t="str">
            <v>Replanteo y control topográfico</v>
          </cell>
          <cell r="D81" t="str">
            <v>M</v>
          </cell>
        </row>
        <row r="84">
          <cell r="B84" t="str">
            <v>Excavación material no clasificado c/equipo</v>
          </cell>
          <cell r="D84" t="str">
            <v>M³N</v>
          </cell>
        </row>
        <row r="85">
          <cell r="B85" t="str">
            <v>Excavación material roca  c/equipo (incluye extracción)</v>
          </cell>
          <cell r="D85" t="str">
            <v>M³N</v>
          </cell>
        </row>
        <row r="86">
          <cell r="B86" t="str">
            <v>Regularización de fondo zanja</v>
          </cell>
          <cell r="D86" t="str">
            <v xml:space="preserve">M2 </v>
          </cell>
        </row>
        <row r="87">
          <cell r="B87" t="str">
            <v>Relleno compactado con compactador mecánico en capas de 0.20m</v>
          </cell>
          <cell r="D87" t="str">
            <v>M³C</v>
          </cell>
        </row>
        <row r="91">
          <cell r="B91" t="str">
            <v>De 60" H.A. Clase II</v>
          </cell>
          <cell r="D91" t="str">
            <v>Ud</v>
          </cell>
        </row>
        <row r="94">
          <cell r="B94" t="str">
            <v>De 60" H.A. Clase II</v>
          </cell>
          <cell r="D94" t="str">
            <v>M</v>
          </cell>
        </row>
        <row r="96">
          <cell r="B96" t="str">
            <v>CABEZAL DE DESCARGA</v>
          </cell>
          <cell r="D96" t="str">
            <v>UD</v>
          </cell>
        </row>
        <row r="102">
          <cell r="B102" t="str">
            <v>Señalización vertical y horizontal en Vias y Ciclovias</v>
          </cell>
          <cell r="D102" t="str">
            <v>P.A.</v>
          </cell>
        </row>
        <row r="106">
          <cell r="B106" t="str">
            <v>Valla anunciando obra 16' x 8' impresión Full Color conteniendo logo de INAPA, nombre de proyecto y contratista. estructura en tubos galvanizados 1.1/2" x 1.1/2" y soportes en tubo cuadrado 4" x 4".</v>
          </cell>
          <cell r="D106" t="str">
            <v>Ud</v>
          </cell>
        </row>
        <row r="107">
          <cell r="B107" t="str">
            <v>Campamento (Incluye oficinas, almacenes, talleres y unidades baños móviles). Sujeto a aprobación de la Supervisión</v>
          </cell>
          <cell r="D107" t="str">
            <v>PA</v>
          </cell>
        </row>
        <row r="108">
          <cell r="B108" t="str">
            <v>Limpieza final y continua</v>
          </cell>
          <cell r="D108" t="str">
            <v>Meses</v>
          </cell>
        </row>
      </sheetData>
      <sheetData sheetId="1" refreshError="1"/>
      <sheetData sheetId="2" refreshError="1">
        <row r="1">
          <cell r="C1" t="str">
            <v>Unidad</v>
          </cell>
          <cell r="D1" t="str">
            <v>PU (Inc ITBIS)</v>
          </cell>
          <cell r="E1" t="str">
            <v>Contratista</v>
          </cell>
        </row>
        <row r="2">
          <cell r="B2" t="str">
            <v>MANO DE OBRA</v>
          </cell>
          <cell r="C2">
            <v>0</v>
          </cell>
          <cell r="D2">
            <v>0</v>
          </cell>
          <cell r="E2">
            <v>0</v>
          </cell>
        </row>
        <row r="4">
          <cell r="B4" t="str">
            <v>Limpieza del solar</v>
          </cell>
          <cell r="C4" t="str">
            <v>Pa</v>
          </cell>
          <cell r="D4">
            <v>7000</v>
          </cell>
        </row>
        <row r="5">
          <cell r="B5" t="str">
            <v>Sereno</v>
          </cell>
          <cell r="C5" t="str">
            <v>mes</v>
          </cell>
          <cell r="D5">
            <v>17181.43</v>
          </cell>
        </row>
        <row r="6">
          <cell r="B6" t="str">
            <v>Guardalmacen</v>
          </cell>
          <cell r="C6" t="str">
            <v>mes</v>
          </cell>
          <cell r="D6">
            <v>20184.009999999998</v>
          </cell>
        </row>
        <row r="7">
          <cell r="B7" t="str">
            <v>Peon Asfalto</v>
          </cell>
          <cell r="C7" t="str">
            <v>dia</v>
          </cell>
          <cell r="D7">
            <v>736.63</v>
          </cell>
        </row>
        <row r="8">
          <cell r="B8" t="str">
            <v>Capataz de Asfalto</v>
          </cell>
          <cell r="C8" t="str">
            <v>dia</v>
          </cell>
          <cell r="D8">
            <v>1363.99</v>
          </cell>
        </row>
        <row r="9">
          <cell r="B9" t="str">
            <v>2 Peones p/ realizacion de Sendero</v>
          </cell>
          <cell r="C9" t="str">
            <v>m2</v>
          </cell>
          <cell r="D9">
            <v>72.099999999999994</v>
          </cell>
        </row>
        <row r="10">
          <cell r="B10" t="str">
            <v>Capataz</v>
          </cell>
          <cell r="C10" t="str">
            <v>m2</v>
          </cell>
          <cell r="D10">
            <v>85</v>
          </cell>
        </row>
        <row r="11">
          <cell r="B11" t="str">
            <v>Capataz</v>
          </cell>
          <cell r="C11" t="str">
            <v>dia</v>
          </cell>
          <cell r="D11">
            <v>1363.99</v>
          </cell>
        </row>
        <row r="12">
          <cell r="B12" t="str">
            <v>Trabajador no calificado</v>
          </cell>
          <cell r="C12" t="str">
            <v>dia</v>
          </cell>
          <cell r="D12">
            <v>659</v>
          </cell>
        </row>
        <row r="13">
          <cell r="B13" t="str">
            <v>Trabajador calificado</v>
          </cell>
          <cell r="C13" t="str">
            <v>dia</v>
          </cell>
          <cell r="D13">
            <v>721</v>
          </cell>
        </row>
        <row r="14">
          <cell r="B14" t="str">
            <v>Ayudante</v>
          </cell>
          <cell r="C14" t="str">
            <v>dia</v>
          </cell>
          <cell r="D14">
            <v>847</v>
          </cell>
        </row>
        <row r="15">
          <cell r="B15" t="str">
            <v>Operario de tercera categoria</v>
          </cell>
          <cell r="C15" t="str">
            <v>dia</v>
          </cell>
          <cell r="D15">
            <v>1100</v>
          </cell>
        </row>
        <row r="16">
          <cell r="B16" t="str">
            <v>Operario de segunda categoria</v>
          </cell>
          <cell r="C16" t="str">
            <v>dia</v>
          </cell>
          <cell r="D16">
            <v>1255</v>
          </cell>
        </row>
        <row r="17">
          <cell r="B17" t="str">
            <v>Operario de primera categoria</v>
          </cell>
          <cell r="C17" t="str">
            <v>dia</v>
          </cell>
          <cell r="D17">
            <v>1569</v>
          </cell>
        </row>
        <row r="18">
          <cell r="B18" t="str">
            <v>Maestro</v>
          </cell>
          <cell r="C18" t="str">
            <v>dia</v>
          </cell>
          <cell r="D18">
            <v>1977</v>
          </cell>
        </row>
        <row r="19">
          <cell r="B19" t="str">
            <v>No aplica</v>
          </cell>
          <cell r="C19" t="str">
            <v>n/a</v>
          </cell>
          <cell r="D19">
            <v>0</v>
          </cell>
        </row>
        <row r="20">
          <cell r="B20" t="str">
            <v>Mantenimiento Desbroce, Poda, riego, fertilización, control plagas y enfermedades (arborizacion parque lineal domingo savio)</v>
          </cell>
          <cell r="C20" t="str">
            <v>mes</v>
          </cell>
          <cell r="D20">
            <v>0</v>
          </cell>
          <cell r="E20" t="str">
            <v>Vetiverdom</v>
          </cell>
        </row>
        <row r="21">
          <cell r="B21" t="str">
            <v>Mantenimiento Desbroce, Poda, riego, fertilización, control plagas y enfermedades (campo de beisbol)</v>
          </cell>
          <cell r="C21" t="str">
            <v>mes</v>
          </cell>
          <cell r="D21">
            <v>0</v>
          </cell>
          <cell r="E21" t="str">
            <v>Vetiverdom</v>
          </cell>
        </row>
        <row r="22">
          <cell r="B22" t="str">
            <v>Habilitación de terreno: Desbroce, Limpieza, Nivelación y Bote c</v>
          </cell>
          <cell r="C22" t="str">
            <v>m2</v>
          </cell>
          <cell r="D22">
            <v>0</v>
          </cell>
          <cell r="E22" t="str">
            <v>Vetiverdom</v>
          </cell>
        </row>
        <row r="23">
          <cell r="B23" t="str">
            <v>Excavación para siembra de arboles inc. carguío y bote</v>
          </cell>
          <cell r="C23" t="str">
            <v>m3</v>
          </cell>
          <cell r="D23">
            <v>0</v>
          </cell>
          <cell r="E23" t="str">
            <v>Vetiverdom</v>
          </cell>
        </row>
        <row r="24">
          <cell r="B24" t="str">
            <v>Vaciado y frotado de aceras</v>
          </cell>
          <cell r="C24" t="str">
            <v>m3</v>
          </cell>
          <cell r="D24">
            <v>1959</v>
          </cell>
        </row>
        <row r="25">
          <cell r="B25" t="str">
            <v>Corte de juntas</v>
          </cell>
          <cell r="C25" t="str">
            <v>ml</v>
          </cell>
          <cell r="D25">
            <v>35</v>
          </cell>
        </row>
        <row r="26">
          <cell r="B26" t="str">
            <v>Suministro y colocacion de sellado de juntas</v>
          </cell>
          <cell r="C26" t="str">
            <v>ml</v>
          </cell>
          <cell r="D26">
            <v>25</v>
          </cell>
        </row>
        <row r="27">
          <cell r="B27" t="str">
            <v>Suministro y colocacion de sellado de juntas e=3/4"</v>
          </cell>
          <cell r="C27" t="str">
            <v>ml</v>
          </cell>
          <cell r="D27">
            <v>50</v>
          </cell>
        </row>
        <row r="28">
          <cell r="B28" t="str">
            <v>Aplicacion de curador</v>
          </cell>
          <cell r="C28" t="str">
            <v>m2</v>
          </cell>
          <cell r="D28">
            <v>10</v>
          </cell>
        </row>
        <row r="29">
          <cell r="B29" t="str">
            <v>Corte ladrillos y adoquines</v>
          </cell>
          <cell r="C29" t="str">
            <v>u</v>
          </cell>
          <cell r="D29">
            <v>62.54</v>
          </cell>
        </row>
        <row r="30">
          <cell r="B30" t="str">
            <v>M.O. Piso Adoquines</v>
          </cell>
          <cell r="C30" t="str">
            <v>m2</v>
          </cell>
          <cell r="D30">
            <v>119.67</v>
          </cell>
        </row>
        <row r="31">
          <cell r="B31" t="str">
            <v>M.O. Prep. superficie p/colocar piso (Terreno)</v>
          </cell>
          <cell r="C31" t="str">
            <v>m2</v>
          </cell>
          <cell r="D31">
            <v>50</v>
          </cell>
        </row>
        <row r="32">
          <cell r="B32" t="str">
            <v>Aplicacion Hidrofugo tipo Protecsil</v>
          </cell>
          <cell r="C32" t="str">
            <v>m2</v>
          </cell>
        </row>
        <row r="33">
          <cell r="B33" t="str">
            <v>Aplicacion Oleofugo tipo MFP 38</v>
          </cell>
          <cell r="C33" t="str">
            <v>m2</v>
          </cell>
        </row>
        <row r="34">
          <cell r="B34" t="str">
            <v>Encofrado TC de bancos</v>
          </cell>
          <cell r="C34" t="str">
            <v>ud</v>
          </cell>
          <cell r="D34">
            <v>600</v>
          </cell>
        </row>
        <row r="35">
          <cell r="B35" t="str">
            <v>Terminacion de superficie</v>
          </cell>
          <cell r="C35" t="str">
            <v>m2</v>
          </cell>
          <cell r="D35">
            <v>150</v>
          </cell>
          <cell r="E35">
            <v>0</v>
          </cell>
        </row>
        <row r="36">
          <cell r="B36" t="str">
            <v>Excavación a mano</v>
          </cell>
          <cell r="C36" t="str">
            <v>m3</v>
          </cell>
          <cell r="D36">
            <v>600</v>
          </cell>
          <cell r="E36">
            <v>0</v>
          </cell>
        </row>
        <row r="37">
          <cell r="B37" t="str">
            <v>Traslado de material</v>
          </cell>
          <cell r="C37" t="str">
            <v>m3</v>
          </cell>
          <cell r="D37">
            <v>200</v>
          </cell>
          <cell r="E37">
            <v>0</v>
          </cell>
        </row>
        <row r="38">
          <cell r="B38" t="str">
            <v>Brigada topografica (inc. estacion total)</v>
          </cell>
          <cell r="C38" t="str">
            <v>dia</v>
          </cell>
          <cell r="D38">
            <v>7553.5039865715489</v>
          </cell>
          <cell r="E38">
            <v>0</v>
          </cell>
        </row>
        <row r="39">
          <cell r="B39" t="str">
            <v>Brigada topografica (1 Topografo y ayudante, incl. Estación)</v>
          </cell>
          <cell r="C39" t="str">
            <v>mes</v>
          </cell>
          <cell r="D39">
            <v>180000</v>
          </cell>
          <cell r="E39">
            <v>0</v>
          </cell>
        </row>
        <row r="40">
          <cell r="B40" t="str">
            <v>MO colocacion de acero en losa</v>
          </cell>
          <cell r="C40" t="str">
            <v>qq</v>
          </cell>
          <cell r="D40">
            <v>420</v>
          </cell>
          <cell r="E40">
            <v>0</v>
          </cell>
        </row>
        <row r="41">
          <cell r="B41" t="str">
            <v>MO piso hormigon frotado</v>
          </cell>
          <cell r="C41" t="str">
            <v>m2</v>
          </cell>
          <cell r="D41">
            <v>130</v>
          </cell>
          <cell r="E41">
            <v>0</v>
          </cell>
        </row>
        <row r="42">
          <cell r="B42" t="str">
            <v>MO piso de hormigon frotado 10 cm espesor</v>
          </cell>
          <cell r="C42" t="str">
            <v>m2</v>
          </cell>
          <cell r="D42">
            <v>113.99</v>
          </cell>
          <cell r="E42">
            <v>0</v>
          </cell>
        </row>
        <row r="43">
          <cell r="B43" t="str">
            <v>Encofrado TC platea de fundacion e=0.20m</v>
          </cell>
          <cell r="C43" t="str">
            <v>ml</v>
          </cell>
          <cell r="D43">
            <v>143.75</v>
          </cell>
          <cell r="E43">
            <v>0</v>
          </cell>
        </row>
        <row r="44">
          <cell r="B44" t="str">
            <v>Encofrado p/ Losa de Piso e=0.10m</v>
          </cell>
          <cell r="C44" t="str">
            <v>ml</v>
          </cell>
          <cell r="D44">
            <v>143.75</v>
          </cell>
          <cell r="E44">
            <v>0</v>
          </cell>
        </row>
        <row r="45">
          <cell r="B45" t="str">
            <v>MO colocacion de acero zapata de muro</v>
          </cell>
          <cell r="C45" t="str">
            <v>ml</v>
          </cell>
          <cell r="D45">
            <v>125</v>
          </cell>
          <cell r="E45">
            <v>0</v>
          </cell>
        </row>
        <row r="46">
          <cell r="B46" t="str">
            <v>Encofrado TC losa asiento grada</v>
          </cell>
          <cell r="C46" t="str">
            <v>m3</v>
          </cell>
          <cell r="D46">
            <v>800</v>
          </cell>
          <cell r="E46">
            <v>0</v>
          </cell>
        </row>
        <row r="47">
          <cell r="B47" t="str">
            <v>MO vaciado, frotado y pulido de hormigon en gradas</v>
          </cell>
          <cell r="C47" t="str">
            <v>m2</v>
          </cell>
          <cell r="D47">
            <v>200</v>
          </cell>
          <cell r="E47">
            <v>0</v>
          </cell>
        </row>
        <row r="48">
          <cell r="B48" t="str">
            <v>MO piso hormigon frotado y pulido</v>
          </cell>
          <cell r="C48" t="str">
            <v>m2</v>
          </cell>
          <cell r="D48">
            <v>235</v>
          </cell>
          <cell r="E48">
            <v>0</v>
          </cell>
        </row>
        <row r="49">
          <cell r="B49" t="str">
            <v>Piso pulido con Helicoptero</v>
          </cell>
          <cell r="C49" t="str">
            <v>m2</v>
          </cell>
          <cell r="D49">
            <v>150</v>
          </cell>
          <cell r="E49">
            <v>0</v>
          </cell>
        </row>
        <row r="50">
          <cell r="B50" t="str">
            <v>Encofrado TC viga de amarre 20x20</v>
          </cell>
          <cell r="C50" t="str">
            <v>ml</v>
          </cell>
          <cell r="D50">
            <v>351.25</v>
          </cell>
          <cell r="E50">
            <v>0</v>
          </cell>
        </row>
        <row r="51">
          <cell r="B51" t="str">
            <v xml:space="preserve">MO Prep. Superficie p/colocar piso </v>
          </cell>
          <cell r="C51" t="str">
            <v>m2</v>
          </cell>
          <cell r="D51">
            <v>50</v>
          </cell>
          <cell r="E51">
            <v>0</v>
          </cell>
        </row>
        <row r="52">
          <cell r="B52" t="str">
            <v>MO Const. acera frot., viol., 10m esp., coloc. Horm, rayado con escobillon</v>
          </cell>
          <cell r="C52" t="str">
            <v>m2</v>
          </cell>
          <cell r="D52">
            <v>195.9</v>
          </cell>
          <cell r="E52">
            <v>0</v>
          </cell>
        </row>
        <row r="53">
          <cell r="B53" t="str">
            <v>MO colocacion de acero dintel y viga de amarre</v>
          </cell>
          <cell r="C53" t="str">
            <v>ml</v>
          </cell>
          <cell r="D53">
            <v>125</v>
          </cell>
          <cell r="E53">
            <v>0</v>
          </cell>
        </row>
        <row r="54">
          <cell r="B54" t="str">
            <v>MO corte y amarre de varilla</v>
          </cell>
          <cell r="C54" t="str">
            <v>ud</v>
          </cell>
          <cell r="D54">
            <v>0.97</v>
          </cell>
          <cell r="E54">
            <v>0</v>
          </cell>
        </row>
        <row r="55">
          <cell r="B55" t="str">
            <v>MO llenar hueco bloque a 0.60</v>
          </cell>
          <cell r="C55" t="str">
            <v>ud</v>
          </cell>
          <cell r="D55">
            <v>2.89</v>
          </cell>
          <cell r="E55">
            <v>0</v>
          </cell>
        </row>
        <row r="56">
          <cell r="B56" t="str">
            <v>MO colocacion bloque 8"</v>
          </cell>
          <cell r="C56" t="str">
            <v>ud</v>
          </cell>
          <cell r="D56">
            <v>24.05</v>
          </cell>
          <cell r="E56">
            <v>0</v>
          </cell>
        </row>
        <row r="57">
          <cell r="B57" t="str">
            <v>MO colocacion bloque 6"</v>
          </cell>
          <cell r="C57" t="str">
            <v>ud</v>
          </cell>
          <cell r="D57">
            <v>21.65</v>
          </cell>
          <cell r="E57">
            <v>0</v>
          </cell>
        </row>
        <row r="58">
          <cell r="B58" t="str">
            <v>MO pañete maestreado a plomo</v>
          </cell>
          <cell r="C58" t="str">
            <v>m2</v>
          </cell>
          <cell r="D58">
            <v>173.98</v>
          </cell>
          <cell r="E58">
            <v>0</v>
          </cell>
        </row>
        <row r="59">
          <cell r="B59" t="str">
            <v>Andamios TC para pañete</v>
          </cell>
          <cell r="C59" t="str">
            <v>m2</v>
          </cell>
          <cell r="D59">
            <v>52</v>
          </cell>
          <cell r="E59">
            <v>0</v>
          </cell>
        </row>
        <row r="60">
          <cell r="B60" t="str">
            <v>MO fraguache con escoba</v>
          </cell>
          <cell r="C60" t="str">
            <v>m2</v>
          </cell>
          <cell r="D60">
            <v>26.13</v>
          </cell>
          <cell r="E60">
            <v>0</v>
          </cell>
        </row>
        <row r="61">
          <cell r="B61" t="str">
            <v>MO canto</v>
          </cell>
          <cell r="C61" t="str">
            <v>ml</v>
          </cell>
          <cell r="D61">
            <v>65</v>
          </cell>
          <cell r="E61">
            <v>0</v>
          </cell>
        </row>
        <row r="62">
          <cell r="B62" t="str">
            <v>MO mocheta</v>
          </cell>
          <cell r="C62" t="str">
            <v>ml</v>
          </cell>
          <cell r="D62">
            <v>65</v>
          </cell>
          <cell r="E62">
            <v>0</v>
          </cell>
        </row>
        <row r="63">
          <cell r="B63" t="str">
            <v>MO piedra sobre paredes</v>
          </cell>
          <cell r="C63" t="str">
            <v>m2</v>
          </cell>
          <cell r="D63">
            <v>10</v>
          </cell>
          <cell r="E63">
            <v>0</v>
          </cell>
        </row>
        <row r="64">
          <cell r="B64" t="str">
            <v>MO pintura 2 manos + masilla + lija</v>
          </cell>
          <cell r="C64" t="str">
            <v>m2</v>
          </cell>
          <cell r="D64">
            <v>54.27</v>
          </cell>
          <cell r="E64">
            <v>0</v>
          </cell>
        </row>
        <row r="65">
          <cell r="B65" t="str">
            <v>Encofrado TC viga BNP 15x20</v>
          </cell>
          <cell r="C65" t="str">
            <v>ml</v>
          </cell>
          <cell r="D65">
            <v>351.83</v>
          </cell>
          <cell r="E65">
            <v>0</v>
          </cell>
        </row>
        <row r="66">
          <cell r="B66" t="str">
            <v>MO zabaleta de piso</v>
          </cell>
          <cell r="C66" t="str">
            <v>ml</v>
          </cell>
          <cell r="D66">
            <v>48.5</v>
          </cell>
          <cell r="E66">
            <v>0</v>
          </cell>
        </row>
        <row r="67">
          <cell r="B67" t="str">
            <v>M.O. Encof. y desenc. Col. y viga amarre</v>
          </cell>
          <cell r="C67" t="str">
            <v>m</v>
          </cell>
          <cell r="D67">
            <v>200.26</v>
          </cell>
          <cell r="E67">
            <v>0</v>
          </cell>
        </row>
        <row r="68">
          <cell r="B68" t="str">
            <v>M.O. Coloc. malla ciclónica  6'</v>
          </cell>
          <cell r="C68" t="str">
            <v>m</v>
          </cell>
          <cell r="D68">
            <v>505.03</v>
          </cell>
          <cell r="E68">
            <v>0</v>
          </cell>
        </row>
        <row r="69">
          <cell r="B69" t="str">
            <v>M.O. Exc. Tierra a mano  3 m. prof. (Zapata)</v>
          </cell>
          <cell r="C69" t="str">
            <v>m3</v>
          </cell>
          <cell r="D69">
            <v>365.03</v>
          </cell>
        </row>
        <row r="70">
          <cell r="B70" t="str">
            <v>Soldadura de abrazaderas</v>
          </cell>
          <cell r="C70" t="str">
            <v>u</v>
          </cell>
          <cell r="D70">
            <v>7.85</v>
          </cell>
        </row>
        <row r="71">
          <cell r="B71" t="str">
            <v>S/I de Home plate en goma 19"x19"</v>
          </cell>
          <cell r="C71" t="str">
            <v>u</v>
          </cell>
          <cell r="D71">
            <v>2490.0005999999998</v>
          </cell>
          <cell r="E71" t="str">
            <v>Molino deportivo</v>
          </cell>
        </row>
        <row r="72">
          <cell r="B72" t="str">
            <v>S/I de juego de bases de beisbol amateur canvas cover 15"x15"x3"</v>
          </cell>
          <cell r="C72" t="str">
            <v>u</v>
          </cell>
          <cell r="D72">
            <v>3325.0039999999999</v>
          </cell>
          <cell r="E72" t="str">
            <v>Molino deportivo</v>
          </cell>
        </row>
        <row r="73">
          <cell r="B73" t="str">
            <v>Placa de pitcher</v>
          </cell>
          <cell r="C73" t="str">
            <v>u</v>
          </cell>
          <cell r="D73">
            <v>1800</v>
          </cell>
          <cell r="E73" t="str">
            <v>Molino deportivo</v>
          </cell>
        </row>
        <row r="74">
          <cell r="B74" t="str">
            <v>S/I poste foulball Ø4" de 20' HN (inc. excavacion, zapata y pedestal, placa y tornillos metalicos, reja vertical, punta metalica, pintura epoxica e instalacion con grua)</v>
          </cell>
          <cell r="C74" t="str">
            <v>Ud</v>
          </cell>
          <cell r="D74">
            <v>45000</v>
          </cell>
        </row>
        <row r="75">
          <cell r="B75" t="str">
            <v xml:space="preserve">Corte de juntas </v>
          </cell>
          <cell r="C75" t="str">
            <v>ml</v>
          </cell>
          <cell r="D75">
            <v>35</v>
          </cell>
        </row>
        <row r="76">
          <cell r="B76" t="str">
            <v>Maestro de Carpinteria</v>
          </cell>
          <cell r="C76" t="str">
            <v>dia</v>
          </cell>
          <cell r="D76">
            <v>1719.25</v>
          </cell>
        </row>
        <row r="77">
          <cell r="B77" t="str">
            <v>Ayudante de Cartpinteria</v>
          </cell>
          <cell r="C77" t="str">
            <v>dia</v>
          </cell>
          <cell r="D77">
            <v>736.63</v>
          </cell>
        </row>
        <row r="78">
          <cell r="B78" t="str">
            <v xml:space="preserve">Peon </v>
          </cell>
          <cell r="C78" t="str">
            <v>dia</v>
          </cell>
          <cell r="D78">
            <v>572.64</v>
          </cell>
        </row>
        <row r="79">
          <cell r="B79" t="str">
            <v>Peon Carpinteria</v>
          </cell>
          <cell r="C79" t="str">
            <v>dia</v>
          </cell>
          <cell r="D79">
            <v>572.64</v>
          </cell>
        </row>
        <row r="80">
          <cell r="B80" t="str">
            <v xml:space="preserve">Peon p/ Brigada Topografica </v>
          </cell>
          <cell r="C80" t="str">
            <v>mes</v>
          </cell>
          <cell r="D80">
            <v>572.64</v>
          </cell>
        </row>
        <row r="81">
          <cell r="B81" t="str">
            <v>MO pintura de mantenimiento 2 manos</v>
          </cell>
          <cell r="C81" t="str">
            <v>m2</v>
          </cell>
          <cell r="D81">
            <v>50.960000000000008</v>
          </cell>
        </row>
        <row r="82">
          <cell r="B82" t="str">
            <v>MO pintura de impermeabilizante 2 manos</v>
          </cell>
          <cell r="C82" t="str">
            <v>m2</v>
          </cell>
          <cell r="D82">
            <v>50.960000000000008</v>
          </cell>
        </row>
        <row r="83">
          <cell r="B83" t="str">
            <v>MO pintura de impermeabilizante 1 manos</v>
          </cell>
          <cell r="C83" t="str">
            <v>m2</v>
          </cell>
          <cell r="D83">
            <v>32.090000000000003</v>
          </cell>
        </row>
        <row r="84">
          <cell r="B84" t="str">
            <v>MO Encofrado y desemcofrado metalico</v>
          </cell>
          <cell r="C84" t="str">
            <v>m2</v>
          </cell>
          <cell r="D84">
            <v>483.65</v>
          </cell>
        </row>
        <row r="85">
          <cell r="B85" t="str">
            <v>MO Ayudante de albañil</v>
          </cell>
          <cell r="C85" t="str">
            <v>dia</v>
          </cell>
          <cell r="D85">
            <v>736.63</v>
          </cell>
        </row>
        <row r="86">
          <cell r="B86" t="str">
            <v>MO instalación de aparatos sanitarios</v>
          </cell>
          <cell r="C86" t="str">
            <v>und</v>
          </cell>
          <cell r="D86">
            <v>1700</v>
          </cell>
        </row>
        <row r="87">
          <cell r="B87" t="str">
            <v>Fino en techo horizontal sin incluir subida de material</v>
          </cell>
          <cell r="C87" t="str">
            <v>m2</v>
          </cell>
          <cell r="D87">
            <v>103.21</v>
          </cell>
        </row>
        <row r="88">
          <cell r="B88" t="str">
            <v>Subida de material</v>
          </cell>
          <cell r="C88" t="str">
            <v>P.a</v>
          </cell>
          <cell r="D88">
            <v>12</v>
          </cell>
        </row>
        <row r="89">
          <cell r="B89" t="str">
            <v>MO pañete en techo y vigas</v>
          </cell>
          <cell r="C89" t="str">
            <v>m2</v>
          </cell>
          <cell r="D89">
            <v>154</v>
          </cell>
        </row>
        <row r="90">
          <cell r="B90" t="str">
            <v>Cantos en vigas,columnas,antepecho, y mochetas.</v>
          </cell>
          <cell r="C90" t="str">
            <v>ml</v>
          </cell>
          <cell r="D90">
            <v>51.74</v>
          </cell>
        </row>
        <row r="91">
          <cell r="B91" t="str">
            <v>MO zabaleta en techo</v>
          </cell>
          <cell r="C91" t="str">
            <v>ml</v>
          </cell>
          <cell r="D91">
            <v>55.06</v>
          </cell>
        </row>
        <row r="92">
          <cell r="B92" t="str">
            <v>MO piso hormigon semi pulido</v>
          </cell>
          <cell r="C92" t="str">
            <v>m2</v>
          </cell>
          <cell r="D92">
            <v>103.3</v>
          </cell>
        </row>
        <row r="93">
          <cell r="B93" t="str">
            <v>MO piso de hormigon frotado 20 cm espesor</v>
          </cell>
          <cell r="C93" t="str">
            <v>m2</v>
          </cell>
          <cell r="D93">
            <v>130</v>
          </cell>
        </row>
        <row r="94">
          <cell r="B94" t="str">
            <v>M.O. Col. 20x20 hasta 30x30 cm (Conf. madera)</v>
          </cell>
          <cell r="C94" t="str">
            <v>m2</v>
          </cell>
          <cell r="D94">
            <v>142.81</v>
          </cell>
        </row>
        <row r="95">
          <cell r="B95" t="str">
            <v>M.O. Col. 20x20 hasta 30x30 cm (Inst. madera)</v>
          </cell>
          <cell r="C95" t="str">
            <v>m2</v>
          </cell>
          <cell r="D95">
            <v>163.76</v>
          </cell>
        </row>
        <row r="96">
          <cell r="B96" t="str">
            <v>M.O. Desencof. Columnas y Muros (Desencofrado)</v>
          </cell>
          <cell r="C96" t="str">
            <v>m2</v>
          </cell>
          <cell r="D96">
            <v>24.76</v>
          </cell>
        </row>
        <row r="97">
          <cell r="B97" t="str">
            <v>M.O. Coloc. acero COLUMNA 3/8" ó 1/2", hasta 6 de 1/2"</v>
          </cell>
          <cell r="C97" t="str">
            <v>m</v>
          </cell>
          <cell r="D97">
            <v>94.62</v>
          </cell>
        </row>
        <row r="98">
          <cell r="B98" t="str">
            <v>M.O. Falso piso hasta 2.75 m. alto o M.O. Vuelo cont. (Conf. Madera)</v>
          </cell>
          <cell r="C98" t="str">
            <v>m2</v>
          </cell>
          <cell r="D98">
            <v>142.81</v>
          </cell>
        </row>
        <row r="99">
          <cell r="B99" t="str">
            <v>M.O. Desencof. Falso Piso, hasta 2.75 m. alt. (Desencofrado)</v>
          </cell>
          <cell r="C99" t="str">
            <v>m2</v>
          </cell>
          <cell r="D99">
            <v>30.46</v>
          </cell>
        </row>
        <row r="100">
          <cell r="B100" t="str">
            <v>M.O. Coloc. acero alta resistencia</v>
          </cell>
          <cell r="C100" t="str">
            <v>qq</v>
          </cell>
          <cell r="D100">
            <v>420</v>
          </cell>
        </row>
        <row r="101">
          <cell r="B101" t="str">
            <v>M.O. Subir acero techo 2do. Nivel (10%) (Subida acero)</v>
          </cell>
        </row>
        <row r="102">
          <cell r="B102" t="str">
            <v xml:space="preserve">Personal por la casa </v>
          </cell>
          <cell r="C102" t="str">
            <v>m3</v>
          </cell>
          <cell r="D102">
            <v>400</v>
          </cell>
          <cell r="E102">
            <v>0</v>
          </cell>
        </row>
        <row r="103">
          <cell r="B103" t="str">
            <v>MO de mallaelectrosoldada</v>
          </cell>
          <cell r="C103" t="str">
            <v>m2</v>
          </cell>
          <cell r="D103">
            <v>45</v>
          </cell>
          <cell r="E103">
            <v>0</v>
          </cell>
        </row>
        <row r="104">
          <cell r="B104" t="str">
            <v>Colocacion de Geomembrana</v>
          </cell>
          <cell r="C104" t="str">
            <v>m2</v>
          </cell>
          <cell r="D104">
            <v>88.050000000000011</v>
          </cell>
          <cell r="E104">
            <v>0</v>
          </cell>
        </row>
        <row r="105">
          <cell r="B105" t="str">
            <v>M .O Inst, Orinal</v>
          </cell>
          <cell r="C105" t="str">
            <v>und</v>
          </cell>
          <cell r="D105">
            <v>1065</v>
          </cell>
          <cell r="E105">
            <v>0</v>
          </cell>
        </row>
        <row r="106">
          <cell r="B106" t="str">
            <v>M .O Inst, Inodoro</v>
          </cell>
          <cell r="C106" t="str">
            <v>und</v>
          </cell>
          <cell r="D106">
            <v>1065</v>
          </cell>
          <cell r="E106">
            <v>0</v>
          </cell>
        </row>
        <row r="107">
          <cell r="B107" t="str">
            <v>M .O Inst, Ducha</v>
          </cell>
          <cell r="C107" t="str">
            <v>und</v>
          </cell>
          <cell r="D107">
            <v>530</v>
          </cell>
          <cell r="E107">
            <v>0</v>
          </cell>
        </row>
        <row r="108">
          <cell r="B108" t="str">
            <v>M .O Inst, Fregadero Doble</v>
          </cell>
          <cell r="C108" t="str">
            <v>und</v>
          </cell>
          <cell r="D108">
            <v>1700</v>
          </cell>
          <cell r="E108">
            <v>0</v>
          </cell>
        </row>
        <row r="109">
          <cell r="B109" t="str">
            <v>M .O Inst, Lavamanos</v>
          </cell>
          <cell r="C109" t="str">
            <v>und</v>
          </cell>
          <cell r="D109">
            <v>1450</v>
          </cell>
          <cell r="E109">
            <v>0</v>
          </cell>
        </row>
        <row r="110">
          <cell r="B110" t="str">
            <v>M .O Inst, Lavadero</v>
          </cell>
          <cell r="C110" t="str">
            <v>und</v>
          </cell>
          <cell r="D110">
            <v>1460</v>
          </cell>
          <cell r="E110">
            <v>0</v>
          </cell>
        </row>
        <row r="111">
          <cell r="B111" t="str">
            <v>M.O confección de moldes para col. redondas de hasta 0.50 m</v>
          </cell>
          <cell r="C111" t="str">
            <v>ml</v>
          </cell>
          <cell r="D111">
            <v>400.2</v>
          </cell>
          <cell r="E111">
            <v>0</v>
          </cell>
        </row>
        <row r="112">
          <cell r="B112" t="str">
            <v>Instalación de moldes para columnas redondas de hasta 0.50 mts.</v>
          </cell>
          <cell r="C112" t="str">
            <v>ml</v>
          </cell>
          <cell r="D112">
            <v>211.36</v>
          </cell>
          <cell r="E112">
            <v>0</v>
          </cell>
        </row>
        <row r="113">
          <cell r="B113" t="str">
            <v>Encofrado TC bordillo 30x30</v>
          </cell>
          <cell r="C113" t="str">
            <v>ml</v>
          </cell>
          <cell r="D113">
            <v>171.38</v>
          </cell>
          <cell r="E113">
            <v>0</v>
          </cell>
        </row>
        <row r="114">
          <cell r="B114" t="str">
            <v>En vigas, dinteles y arcos (área de contacto entre el forro y el concreto)</v>
          </cell>
          <cell r="C114" t="str">
            <v>m2</v>
          </cell>
          <cell r="D114">
            <v>24.76</v>
          </cell>
          <cell r="E114">
            <v>0</v>
          </cell>
        </row>
        <row r="115">
          <cell r="B115" t="str">
            <v>Encofrado p/ sendero</v>
          </cell>
          <cell r="C115" t="str">
            <v>ml</v>
          </cell>
          <cell r="D115">
            <v>171.38</v>
          </cell>
          <cell r="E115">
            <v>0</v>
          </cell>
        </row>
        <row r="116">
          <cell r="B116" t="str">
            <v>M.O. Desencof. Moldes senderos h= 0.10</v>
          </cell>
          <cell r="C116" t="str">
            <v>m2</v>
          </cell>
          <cell r="D116">
            <v>30.46</v>
          </cell>
          <cell r="E116">
            <v>0</v>
          </cell>
        </row>
        <row r="117">
          <cell r="B117" t="str">
            <v>Varilla trabajada</v>
          </cell>
          <cell r="C117" t="str">
            <v>qq</v>
          </cell>
          <cell r="D117">
            <v>420</v>
          </cell>
          <cell r="E117">
            <v>0</v>
          </cell>
        </row>
        <row r="118">
          <cell r="B118" t="str">
            <v>Confección e instalación de moldes para vigas de zapata de más de 0.40 mts. X 0.40 mts. hasta 0.50 mts.  x 0.50 mts.</v>
          </cell>
          <cell r="C118" t="str">
            <v xml:space="preserve">ml </v>
          </cell>
          <cell r="D118">
            <v>171.38</v>
          </cell>
          <cell r="E118">
            <v>0</v>
          </cell>
        </row>
        <row r="119">
          <cell r="B119" t="str">
            <v>Pintura en superficies rusticas, 2 manos</v>
          </cell>
          <cell r="C119" t="str">
            <v>m2</v>
          </cell>
          <cell r="D119">
            <v>86.83</v>
          </cell>
          <cell r="E119">
            <v>0</v>
          </cell>
        </row>
        <row r="120">
          <cell r="B120" t="str">
            <v>Colocacion de tuberia arrastre 4"</v>
          </cell>
          <cell r="C120" t="str">
            <v>ml</v>
          </cell>
          <cell r="D120">
            <v>71.08</v>
          </cell>
          <cell r="E120">
            <v>0</v>
          </cell>
        </row>
        <row r="121">
          <cell r="B121" t="str">
            <v>Colocacion de tuberia arrastre 6"</v>
          </cell>
          <cell r="C121" t="str">
            <v>ml</v>
          </cell>
          <cell r="D121">
            <v>71.08</v>
          </cell>
          <cell r="E121">
            <v>0</v>
          </cell>
        </row>
        <row r="122">
          <cell r="B122" t="str">
            <v>Colocacion de tuberia arrastre 10"</v>
          </cell>
          <cell r="C122" t="str">
            <v>ml</v>
          </cell>
          <cell r="D122">
            <v>71.08</v>
          </cell>
          <cell r="E122">
            <v>0</v>
          </cell>
        </row>
        <row r="123">
          <cell r="B123" t="str">
            <v>Colocacion de piezas arrastre 4"</v>
          </cell>
          <cell r="C123" t="str">
            <v>Ud</v>
          </cell>
          <cell r="D123">
            <v>45</v>
          </cell>
          <cell r="E123">
            <v>0</v>
          </cell>
        </row>
        <row r="124">
          <cell r="B124" t="str">
            <v>MO colocacion de malla</v>
          </cell>
          <cell r="C124" t="str">
            <v>m2</v>
          </cell>
          <cell r="D124">
            <v>35</v>
          </cell>
          <cell r="E124">
            <v>0</v>
          </cell>
        </row>
        <row r="125">
          <cell r="B125" t="str">
            <v>Subida de materiales 2do piso</v>
          </cell>
          <cell r="C125" t="str">
            <v>Pa</v>
          </cell>
          <cell r="D125">
            <v>0.05</v>
          </cell>
          <cell r="E125">
            <v>0</v>
          </cell>
        </row>
        <row r="126">
          <cell r="B126" t="str">
            <v>Director de obra</v>
          </cell>
          <cell r="C126" t="str">
            <v>mes</v>
          </cell>
          <cell r="D126">
            <v>120000</v>
          </cell>
          <cell r="E126">
            <v>0</v>
          </cell>
        </row>
        <row r="127">
          <cell r="B127" t="str">
            <v>Ingeniero/arquitecto residente</v>
          </cell>
          <cell r="C127" t="str">
            <v>mes</v>
          </cell>
          <cell r="D127">
            <v>54000</v>
          </cell>
          <cell r="E127">
            <v>0</v>
          </cell>
        </row>
        <row r="128">
          <cell r="B128" t="str">
            <v>Encargado de Paisajismo</v>
          </cell>
          <cell r="C128" t="str">
            <v>mes</v>
          </cell>
          <cell r="D128">
            <v>42000</v>
          </cell>
          <cell r="E128">
            <v>0</v>
          </cell>
        </row>
        <row r="129">
          <cell r="B129" t="str">
            <v>Ingeniero asistente del director de proyecto</v>
          </cell>
          <cell r="C129" t="str">
            <v>mes</v>
          </cell>
          <cell r="D129">
            <v>84000</v>
          </cell>
          <cell r="E129">
            <v>0</v>
          </cell>
        </row>
        <row r="130">
          <cell r="B130" t="str">
            <v>Encargado control y cubicaciones</v>
          </cell>
          <cell r="C130" t="str">
            <v>mes</v>
          </cell>
          <cell r="D130">
            <v>54000</v>
          </cell>
          <cell r="E130">
            <v>0</v>
          </cell>
        </row>
        <row r="131">
          <cell r="B131" t="str">
            <v>Encargado de seguridad ocupacional</v>
          </cell>
          <cell r="C131" t="str">
            <v>mes</v>
          </cell>
          <cell r="D131">
            <v>48000</v>
          </cell>
          <cell r="E131">
            <v>0</v>
          </cell>
        </row>
        <row r="132">
          <cell r="B132" t="str">
            <v>Armadura</v>
          </cell>
          <cell r="C132" t="str">
            <v>Pa</v>
          </cell>
          <cell r="D132">
            <v>4000</v>
          </cell>
          <cell r="E132">
            <v>0</v>
          </cell>
        </row>
        <row r="133">
          <cell r="B133" t="str">
            <v>Soldadura</v>
          </cell>
          <cell r="C133" t="str">
            <v>Pa</v>
          </cell>
          <cell r="D133">
            <v>6000</v>
          </cell>
          <cell r="E133">
            <v>0</v>
          </cell>
        </row>
        <row r="134">
          <cell r="B134" t="str">
            <v>Cepillado</v>
          </cell>
          <cell r="C134" t="str">
            <v>Pa</v>
          </cell>
          <cell r="D134">
            <v>1000</v>
          </cell>
        </row>
        <row r="135">
          <cell r="B135" t="str">
            <v>Colocacion barrera de vapor</v>
          </cell>
          <cell r="C135" t="str">
            <v>m2</v>
          </cell>
          <cell r="D135">
            <v>11.5</v>
          </cell>
        </row>
        <row r="136">
          <cell r="B136" t="str">
            <v>Colocacion de hormigon en bancos</v>
          </cell>
          <cell r="C136" t="str">
            <v>m3</v>
          </cell>
          <cell r="D136">
            <v>1174</v>
          </cell>
        </row>
        <row r="137">
          <cell r="B137" t="str">
            <v>Encofrado metalico TC inc MO</v>
          </cell>
          <cell r="C137" t="str">
            <v>m2</v>
          </cell>
          <cell r="D137">
            <v>650</v>
          </cell>
        </row>
        <row r="138">
          <cell r="B138" t="str">
            <v>Encofrado TC mostrador</v>
          </cell>
          <cell r="C138" t="str">
            <v>m3</v>
          </cell>
          <cell r="D138">
            <v>4500</v>
          </cell>
        </row>
        <row r="139">
          <cell r="B139" t="str">
            <v>Encofrado TC losa de techo e=0.12m</v>
          </cell>
          <cell r="C139" t="str">
            <v>m3</v>
          </cell>
          <cell r="D139">
            <v>3833</v>
          </cell>
        </row>
        <row r="140">
          <cell r="B140" t="str">
            <v>Guardera para sendero e=0.10m</v>
          </cell>
          <cell r="C140" t="str">
            <v>ml</v>
          </cell>
          <cell r="D140">
            <v>80</v>
          </cell>
        </row>
        <row r="141">
          <cell r="B141" t="str">
            <v>Encofrado TC bordillo</v>
          </cell>
          <cell r="C141" t="str">
            <v>ml</v>
          </cell>
          <cell r="D141">
            <v>180</v>
          </cell>
        </row>
        <row r="142">
          <cell r="B142" t="str">
            <v>MO confeccion de bordillo</v>
          </cell>
          <cell r="C142" t="str">
            <v>ml</v>
          </cell>
          <cell r="D142">
            <v>150</v>
          </cell>
        </row>
        <row r="143">
          <cell r="B143" t="str">
            <v>MO pulido de bordillo</v>
          </cell>
          <cell r="C143" t="str">
            <v>ml</v>
          </cell>
          <cell r="D143">
            <v>25</v>
          </cell>
        </row>
        <row r="144">
          <cell r="B144" t="str">
            <v>Encofrado TC gradas</v>
          </cell>
          <cell r="C144" t="str">
            <v>m2</v>
          </cell>
          <cell r="D144">
            <v>150</v>
          </cell>
        </row>
        <row r="145">
          <cell r="B145" t="str">
            <v>M.O Confeccion de Hoyo p/ Poste</v>
          </cell>
          <cell r="C145" t="str">
            <v>und</v>
          </cell>
          <cell r="D145">
            <v>6350</v>
          </cell>
        </row>
        <row r="146">
          <cell r="B146" t="str">
            <v>Brigada de Colocacion de Encache</v>
          </cell>
          <cell r="C146" t="str">
            <v xml:space="preserve">m3 </v>
          </cell>
          <cell r="D146">
            <v>350</v>
          </cell>
        </row>
        <row r="149">
          <cell r="B149" t="str">
            <v>INSUMOS / MATERIALES</v>
          </cell>
          <cell r="C149">
            <v>0</v>
          </cell>
          <cell r="D149">
            <v>0</v>
          </cell>
          <cell r="E149">
            <v>0</v>
          </cell>
        </row>
        <row r="151">
          <cell r="B151" t="str">
            <v xml:space="preserve">Letrero de Promoción de Obra  16'X8' Full Color 16, incluye estructura de soporte vertical. </v>
          </cell>
          <cell r="C151" t="str">
            <v>und</v>
          </cell>
          <cell r="D151">
            <v>93000</v>
          </cell>
        </row>
        <row r="152">
          <cell r="B152" t="str">
            <v xml:space="preserve">Materiales p/ mantenimiento del transito, incluye ( Letreros, Conos Refractarios y Bandoleros) </v>
          </cell>
          <cell r="C152" t="str">
            <v>m</v>
          </cell>
          <cell r="D152">
            <v>95</v>
          </cell>
        </row>
        <row r="153">
          <cell r="B153" t="str">
            <v xml:space="preserve">Materiales p/ señalización y manejo del transito, incluye (pasarela,letreros metalicos con bases angulares,poste para cinta refractaria, cinta refractaria, luces flash, barreras de peligro.) </v>
          </cell>
          <cell r="C153" t="str">
            <v>m</v>
          </cell>
          <cell r="D153">
            <v>130</v>
          </cell>
          <cell r="E153">
            <v>0</v>
          </cell>
        </row>
        <row r="154">
          <cell r="B154" t="str">
            <v>Estacas</v>
          </cell>
          <cell r="C154" t="str">
            <v>und</v>
          </cell>
          <cell r="D154">
            <v>5</v>
          </cell>
          <cell r="E154">
            <v>0</v>
          </cell>
        </row>
        <row r="155">
          <cell r="B155" t="str">
            <v>Elaboración y suministro de Hormigon Asfaltico</v>
          </cell>
          <cell r="C155" t="str">
            <v>m3s</v>
          </cell>
          <cell r="D155">
            <v>3449.9999999999995</v>
          </cell>
        </row>
        <row r="156">
          <cell r="B156" t="str">
            <v>AC-30 (26 gl/m3)</v>
          </cell>
          <cell r="C156" t="str">
            <v>m3</v>
          </cell>
          <cell r="D156">
            <v>5029.1799999999994</v>
          </cell>
        </row>
        <row r="157">
          <cell r="B157" t="str">
            <v>Gravilla</v>
          </cell>
          <cell r="C157" t="str">
            <v>m3</v>
          </cell>
          <cell r="D157">
            <v>715</v>
          </cell>
        </row>
        <row r="158">
          <cell r="B158" t="str">
            <v>Transporte de Gravilla</v>
          </cell>
          <cell r="C158" t="str">
            <v>m3e</v>
          </cell>
          <cell r="D158">
            <v>350</v>
          </cell>
        </row>
        <row r="159">
          <cell r="B159" t="str">
            <v>Rc-2, 1 gl/2m2</v>
          </cell>
          <cell r="C159" t="str">
            <v>Gls</v>
          </cell>
          <cell r="D159">
            <v>330</v>
          </cell>
        </row>
        <row r="160">
          <cell r="B160" t="str">
            <v>Transporte de Rc-2</v>
          </cell>
          <cell r="C160" t="str">
            <v>Gls</v>
          </cell>
          <cell r="D160">
            <v>6</v>
          </cell>
        </row>
        <row r="161">
          <cell r="B161" t="str">
            <v>Adoquin tipo Higuey gris Inc transporte (25 ud/m2)</v>
          </cell>
          <cell r="C161" t="str">
            <v>ud</v>
          </cell>
          <cell r="D161">
            <v>28.233569230769231</v>
          </cell>
          <cell r="E161" t="str">
            <v>Aguayo</v>
          </cell>
        </row>
        <row r="162">
          <cell r="B162" t="str">
            <v>Adoquin tipo Higuey rojo Inc transporte (25 ud/m2)</v>
          </cell>
          <cell r="C162" t="str">
            <v>ud</v>
          </cell>
          <cell r="D162">
            <v>34.227969230769233</v>
          </cell>
          <cell r="E162" t="str">
            <v>Aguayo</v>
          </cell>
        </row>
        <row r="163">
          <cell r="B163" t="str">
            <v>Adoquin tipo pavigrama gris Inc transporte (7.75 ud/m2)</v>
          </cell>
          <cell r="C163" t="str">
            <v>ud</v>
          </cell>
          <cell r="D163">
            <v>109.77759324419424</v>
          </cell>
          <cell r="E163" t="str">
            <v>Aguayo</v>
          </cell>
        </row>
        <row r="164">
          <cell r="B164" t="str">
            <v>Furgon oficina 40'</v>
          </cell>
          <cell r="C164" t="str">
            <v>ud</v>
          </cell>
          <cell r="D164">
            <v>25000</v>
          </cell>
        </row>
        <row r="165">
          <cell r="B165" t="str">
            <v>Furgon almacen 40'</v>
          </cell>
          <cell r="C165" t="str">
            <v>ud</v>
          </cell>
          <cell r="D165">
            <v>26500</v>
          </cell>
        </row>
        <row r="166">
          <cell r="B166" t="str">
            <v>Baños portatiles</v>
          </cell>
          <cell r="C166" t="str">
            <v>ud</v>
          </cell>
          <cell r="D166">
            <v>10000</v>
          </cell>
        </row>
        <row r="167">
          <cell r="B167" t="str">
            <v>Mobiliario de oficina</v>
          </cell>
          <cell r="C167" t="str">
            <v>Pa</v>
          </cell>
          <cell r="D167">
            <v>100000</v>
          </cell>
        </row>
        <row r="168">
          <cell r="B168" t="str">
            <v>Material de relleno</v>
          </cell>
          <cell r="C168" t="str">
            <v>m3e</v>
          </cell>
          <cell r="D168">
            <v>200</v>
          </cell>
          <cell r="E168" t="str">
            <v>JADER</v>
          </cell>
        </row>
        <row r="169">
          <cell r="B169" t="str">
            <v>Transporte material de relleno</v>
          </cell>
          <cell r="C169" t="str">
            <v>m3e</v>
          </cell>
          <cell r="D169">
            <v>342</v>
          </cell>
          <cell r="E169" t="str">
            <v>JADER</v>
          </cell>
        </row>
        <row r="170">
          <cell r="B170" t="str">
            <v>Material clasificado</v>
          </cell>
          <cell r="C170" t="str">
            <v>m3e</v>
          </cell>
          <cell r="D170">
            <v>200</v>
          </cell>
          <cell r="E170" t="str">
            <v>JADER</v>
          </cell>
        </row>
        <row r="171">
          <cell r="B171" t="str">
            <v>Transporte material clasificado</v>
          </cell>
          <cell r="C171" t="str">
            <v>m3e</v>
          </cell>
          <cell r="D171">
            <v>342</v>
          </cell>
          <cell r="E171" t="str">
            <v>JADER</v>
          </cell>
        </row>
        <row r="172">
          <cell r="B172" t="str">
            <v>Hormigon Industrial f'c=210 kg/cm2 + Fibra sintéticas</v>
          </cell>
          <cell r="C172" t="str">
            <v>m3</v>
          </cell>
          <cell r="D172">
            <v>5000</v>
          </cell>
        </row>
        <row r="173">
          <cell r="B173" t="str">
            <v>Hormigon Industrial f'c=210 kg/cm2</v>
          </cell>
          <cell r="C173" t="str">
            <v>m3</v>
          </cell>
          <cell r="D173">
            <v>4685</v>
          </cell>
        </row>
        <row r="174">
          <cell r="B174" t="str">
            <v>Hormigon Industrial f'c=280 kg/cm2</v>
          </cell>
          <cell r="C174" t="str">
            <v>m3</v>
          </cell>
          <cell r="D174">
            <v>5500</v>
          </cell>
          <cell r="E174" t="str">
            <v>IGNEO</v>
          </cell>
        </row>
        <row r="175">
          <cell r="B175" t="str">
            <v>Hormigon Industrial f'c=350 kg/cm2</v>
          </cell>
          <cell r="C175" t="str">
            <v>m3</v>
          </cell>
          <cell r="D175">
            <v>5950</v>
          </cell>
          <cell r="E175" t="str">
            <v>IGNEO</v>
          </cell>
        </row>
        <row r="176">
          <cell r="B176" t="str">
            <v>Hormigon Industrial f'c=420 kg/cm2 + Fibras sintéticas + aditivos</v>
          </cell>
          <cell r="C176" t="str">
            <v>m3</v>
          </cell>
          <cell r="D176">
            <v>6885</v>
          </cell>
        </row>
        <row r="177">
          <cell r="B177" t="str">
            <v>Curador en base acuosa</v>
          </cell>
          <cell r="C177" t="str">
            <v>gl</v>
          </cell>
          <cell r="D177">
            <v>1700</v>
          </cell>
        </row>
        <row r="178">
          <cell r="B178" t="str">
            <v>Arena azul triturada y lavada</v>
          </cell>
          <cell r="C178" t="str">
            <v>m3e</v>
          </cell>
          <cell r="D178">
            <v>1000</v>
          </cell>
          <cell r="E178" t="str">
            <v>JADER</v>
          </cell>
        </row>
        <row r="179">
          <cell r="B179" t="str">
            <v>Transporte arena azul</v>
          </cell>
          <cell r="C179" t="str">
            <v>m3e</v>
          </cell>
          <cell r="D179">
            <v>720</v>
          </cell>
          <cell r="E179" t="str">
            <v>JADER</v>
          </cell>
        </row>
        <row r="180">
          <cell r="B180" t="str">
            <v>Hidrofugo</v>
          </cell>
          <cell r="C180" t="str">
            <v>Gal</v>
          </cell>
          <cell r="D180">
            <v>1455.7600000000002</v>
          </cell>
        </row>
        <row r="181">
          <cell r="B181" t="str">
            <v>Oleofugo</v>
          </cell>
          <cell r="C181" t="str">
            <v>Gal</v>
          </cell>
          <cell r="D181">
            <v>1174</v>
          </cell>
        </row>
        <row r="182">
          <cell r="B182" t="str">
            <v>Acero</v>
          </cell>
          <cell r="C182" t="str">
            <v>qq</v>
          </cell>
          <cell r="D182">
            <v>2384.1655420602788</v>
          </cell>
        </row>
        <row r="183">
          <cell r="B183" t="str">
            <v>Estopa</v>
          </cell>
          <cell r="C183" t="str">
            <v>lb</v>
          </cell>
          <cell r="D183">
            <v>58</v>
          </cell>
        </row>
        <row r="184">
          <cell r="B184" t="str">
            <v>Suministro de arena limosa</v>
          </cell>
          <cell r="C184" t="str">
            <v>m3</v>
          </cell>
          <cell r="D184">
            <v>1000</v>
          </cell>
          <cell r="E184" t="str">
            <v>JADER</v>
          </cell>
        </row>
        <row r="185">
          <cell r="B185" t="str">
            <v>Suministro de limo</v>
          </cell>
          <cell r="C185" t="str">
            <v>m3</v>
          </cell>
          <cell r="D185">
            <v>900</v>
          </cell>
          <cell r="E185" t="str">
            <v>JADER</v>
          </cell>
        </row>
        <row r="186">
          <cell r="B186" t="str">
            <v>Transporte arena limosa</v>
          </cell>
          <cell r="C186" t="str">
            <v>m3e</v>
          </cell>
          <cell r="D186">
            <v>630</v>
          </cell>
          <cell r="E186" t="str">
            <v>JADER</v>
          </cell>
        </row>
        <row r="187">
          <cell r="B187" t="str">
            <v>Transporte arena limosa</v>
          </cell>
          <cell r="C187" t="str">
            <v>m3e</v>
          </cell>
          <cell r="D187">
            <v>630</v>
          </cell>
          <cell r="E187" t="str">
            <v>JADER</v>
          </cell>
        </row>
        <row r="188">
          <cell r="B188" t="str">
            <v>Material granular</v>
          </cell>
          <cell r="C188" t="str">
            <v>m3</v>
          </cell>
          <cell r="D188">
            <v>500</v>
          </cell>
          <cell r="E188" t="str">
            <v>JADER</v>
          </cell>
        </row>
        <row r="189">
          <cell r="B189" t="str">
            <v>Base granular</v>
          </cell>
          <cell r="C189" t="str">
            <v>m3</v>
          </cell>
          <cell r="D189">
            <v>550</v>
          </cell>
          <cell r="E189" t="str">
            <v>JADER</v>
          </cell>
        </row>
        <row r="190">
          <cell r="B190" t="str">
            <v>Transporte material granular</v>
          </cell>
          <cell r="C190" t="str">
            <v>m3e</v>
          </cell>
          <cell r="D190">
            <v>342</v>
          </cell>
          <cell r="E190" t="str">
            <v>JADER</v>
          </cell>
        </row>
        <row r="191">
          <cell r="B191" t="str">
            <v>Caliche</v>
          </cell>
          <cell r="C191" t="str">
            <v>m3</v>
          </cell>
          <cell r="D191">
            <v>200</v>
          </cell>
          <cell r="E191" t="str">
            <v>JADER</v>
          </cell>
        </row>
        <row r="192">
          <cell r="B192" t="str">
            <v>Transporte Caliche</v>
          </cell>
          <cell r="C192" t="str">
            <v>m3e</v>
          </cell>
          <cell r="D192">
            <v>500</v>
          </cell>
          <cell r="E192" t="str">
            <v>JADER</v>
          </cell>
        </row>
        <row r="193">
          <cell r="B193" t="str">
            <v>Agua</v>
          </cell>
          <cell r="C193" t="str">
            <v>gl</v>
          </cell>
          <cell r="D193">
            <v>0.61</v>
          </cell>
        </row>
        <row r="194">
          <cell r="B194" t="str">
            <v>Clavo corriente, metalizado con cabeza 2 1/2"x10</v>
          </cell>
          <cell r="C194" t="str">
            <v>lb</v>
          </cell>
          <cell r="D194">
            <v>50</v>
          </cell>
          <cell r="E194" t="str">
            <v>Ferrecentro Comercial Daniel</v>
          </cell>
        </row>
        <row r="195">
          <cell r="B195" t="str">
            <v xml:space="preserve">Cal Hidratada 20 Kilos, "Perla" </v>
          </cell>
          <cell r="C195" t="str">
            <v>fda</v>
          </cell>
          <cell r="D195">
            <v>65</v>
          </cell>
          <cell r="E195" t="str">
            <v>Ferrecentro Comercial Daniel</v>
          </cell>
        </row>
        <row r="196">
          <cell r="B196" t="str">
            <v xml:space="preserve">Pino amer. 1"x 4"x12' bruto (4 pt) </v>
          </cell>
          <cell r="C196" t="str">
            <v>pt</v>
          </cell>
          <cell r="D196">
            <v>65</v>
          </cell>
          <cell r="E196" t="str">
            <v>Casa del Pintor</v>
          </cell>
        </row>
        <row r="197">
          <cell r="B197" t="str">
            <v>Hilo de "nylon" No. 8, (8 lbr)</v>
          </cell>
          <cell r="C197" t="str">
            <v>ud</v>
          </cell>
          <cell r="D197">
            <v>250</v>
          </cell>
          <cell r="E197" t="str">
            <v>Ferrecentro Comercial Daniel</v>
          </cell>
        </row>
        <row r="198">
          <cell r="B198" t="str">
            <v>Cemento gris</v>
          </cell>
          <cell r="C198" t="str">
            <v>fda</v>
          </cell>
          <cell r="D198">
            <v>400</v>
          </cell>
          <cell r="E198" t="str">
            <v>Ferrecentro Comercial Daniel</v>
          </cell>
        </row>
        <row r="199">
          <cell r="B199" t="str">
            <v>Bloque liso 8"</v>
          </cell>
          <cell r="C199" t="str">
            <v>ud</v>
          </cell>
          <cell r="D199">
            <v>44</v>
          </cell>
          <cell r="E199" t="str">
            <v>Aguayo</v>
          </cell>
        </row>
        <row r="200">
          <cell r="B200" t="str">
            <v>Bloque liso 6"</v>
          </cell>
          <cell r="C200" t="str">
            <v>ud</v>
          </cell>
          <cell r="D200">
            <v>36.7806</v>
          </cell>
          <cell r="E200" t="str">
            <v>Aguayo</v>
          </cell>
        </row>
        <row r="201">
          <cell r="B201" t="str">
            <v>Transporte de bloques 8"</v>
          </cell>
          <cell r="C201" t="str">
            <v>ud</v>
          </cell>
          <cell r="D201">
            <v>7.73</v>
          </cell>
          <cell r="E201" t="str">
            <v>Aguayo</v>
          </cell>
        </row>
        <row r="202">
          <cell r="B202" t="str">
            <v>Transporte de bloques 6"</v>
          </cell>
          <cell r="C202" t="str">
            <v>ud</v>
          </cell>
          <cell r="D202">
            <v>4.5</v>
          </cell>
          <cell r="E202" t="str">
            <v>Aguayo</v>
          </cell>
        </row>
        <row r="203">
          <cell r="B203" t="str">
            <v>Mortero 1:2 p/ Pulido ( Enlucido Impermeable)</v>
          </cell>
          <cell r="C203" t="str">
            <v>m3</v>
          </cell>
          <cell r="D203">
            <v>9560</v>
          </cell>
        </row>
        <row r="204">
          <cell r="B204" t="str">
            <v>Mortero 1:3 para colocar bloques</v>
          </cell>
          <cell r="C204" t="str">
            <v>m3</v>
          </cell>
          <cell r="D204">
            <v>6174</v>
          </cell>
        </row>
        <row r="205">
          <cell r="B205" t="str">
            <v>Hormigón 1:3:5</v>
          </cell>
          <cell r="C205" t="str">
            <v>m3</v>
          </cell>
          <cell r="D205">
            <v>5985</v>
          </cell>
        </row>
        <row r="206">
          <cell r="B206" t="str">
            <v>Mortero 1:4 para pañete</v>
          </cell>
          <cell r="C206" t="str">
            <v>m3</v>
          </cell>
          <cell r="D206">
            <v>6820</v>
          </cell>
        </row>
        <row r="207">
          <cell r="B207" t="str">
            <v>Regla para pañete</v>
          </cell>
          <cell r="C207" t="str">
            <v>pt</v>
          </cell>
          <cell r="D207">
            <v>230</v>
          </cell>
          <cell r="E207" t="str">
            <v>GARCIA SIMO</v>
          </cell>
        </row>
        <row r="208">
          <cell r="B208" t="str">
            <v>Pintura acrilica</v>
          </cell>
          <cell r="C208" t="str">
            <v>gl</v>
          </cell>
          <cell r="D208">
            <v>1025</v>
          </cell>
          <cell r="E208" t="str">
            <v>GARCIA SIMO</v>
          </cell>
        </row>
        <row r="209">
          <cell r="B209" t="str">
            <v>Desperdicios</v>
          </cell>
          <cell r="C209" t="str">
            <v>Pa</v>
          </cell>
          <cell r="D209">
            <v>0.2</v>
          </cell>
        </row>
        <row r="210">
          <cell r="B210" t="str">
            <v>Abrazadera redonda 2 1/2"</v>
          </cell>
          <cell r="C210" t="str">
            <v>u</v>
          </cell>
          <cell r="D210">
            <v>33.04</v>
          </cell>
          <cell r="E210">
            <v>0</v>
          </cell>
        </row>
        <row r="211">
          <cell r="B211" t="str">
            <v>Alambre de púas C-16x110 m, rollo</v>
          </cell>
          <cell r="C211" t="str">
            <v>u</v>
          </cell>
          <cell r="D211">
            <v>610.87</v>
          </cell>
          <cell r="E211">
            <v>0</v>
          </cell>
        </row>
        <row r="212">
          <cell r="B212" t="str">
            <v>Alambre galv. Calibre 14 (Para reforzar encofrados)</v>
          </cell>
          <cell r="C212" t="str">
            <v>lb</v>
          </cell>
          <cell r="D212">
            <v>42.68</v>
          </cell>
          <cell r="E212">
            <v>0</v>
          </cell>
        </row>
        <row r="213">
          <cell r="B213" t="str">
            <v>Barra tensora de 6', hierro pintado</v>
          </cell>
          <cell r="C213" t="str">
            <v>u</v>
          </cell>
          <cell r="D213">
            <v>177.94</v>
          </cell>
          <cell r="E213">
            <v>0</v>
          </cell>
        </row>
        <row r="214">
          <cell r="B214" t="str">
            <v>Copa final 2"</v>
          </cell>
          <cell r="C214" t="str">
            <v>u</v>
          </cell>
          <cell r="D214">
            <v>62.3</v>
          </cell>
          <cell r="E214">
            <v>0</v>
          </cell>
        </row>
        <row r="215">
          <cell r="B215" t="str">
            <v>Hoja de segueta Roja flexible "Bellota" 4601-12</v>
          </cell>
          <cell r="C215" t="str">
            <v>u</v>
          </cell>
          <cell r="D215">
            <v>51.57</v>
          </cell>
          <cell r="E215">
            <v>0</v>
          </cell>
        </row>
        <row r="216">
          <cell r="B216" t="str">
            <v xml:space="preserve">Palometa 1 1/2"x1 1/4", 3 cuerdas, doble </v>
          </cell>
          <cell r="C216" t="str">
            <v>u</v>
          </cell>
          <cell r="D216">
            <v>187.97</v>
          </cell>
          <cell r="E216">
            <v>0</v>
          </cell>
        </row>
        <row r="217">
          <cell r="B217" t="str">
            <v xml:space="preserve">Terminal de 1 1/4" </v>
          </cell>
          <cell r="C217" t="str">
            <v>u</v>
          </cell>
          <cell r="D217">
            <v>62.66</v>
          </cell>
          <cell r="E217">
            <v>0</v>
          </cell>
        </row>
        <row r="218">
          <cell r="B218" t="str">
            <v>Abrazadera redonda 2 1/2"</v>
          </cell>
          <cell r="C218" t="str">
            <v>u</v>
          </cell>
          <cell r="D218">
            <v>33.04</v>
          </cell>
          <cell r="E218">
            <v>0</v>
          </cell>
        </row>
        <row r="219">
          <cell r="B219" t="str">
            <v>Tubo 1"x20', h.g. mamey (para unir tubos de 1 1/4)</v>
          </cell>
          <cell r="C219" t="str">
            <v>u</v>
          </cell>
          <cell r="D219">
            <v>1138.7</v>
          </cell>
          <cell r="E219">
            <v>0</v>
          </cell>
        </row>
        <row r="220">
          <cell r="B220" t="str">
            <v>Tubo 1 1/2"x15', h. galv. ligero</v>
          </cell>
          <cell r="C220" t="str">
            <v>u</v>
          </cell>
          <cell r="D220">
            <v>595.9</v>
          </cell>
          <cell r="E220">
            <v>0</v>
          </cell>
        </row>
        <row r="221">
          <cell r="B221" t="str">
            <v>Tubo 1 1/4"x20', h. galv. ligero</v>
          </cell>
          <cell r="C221" t="str">
            <v>u</v>
          </cell>
          <cell r="D221">
            <v>702.1</v>
          </cell>
          <cell r="E221">
            <v>0</v>
          </cell>
        </row>
        <row r="222">
          <cell r="B222" t="str">
            <v>Pañete en muros</v>
          </cell>
          <cell r="C222" t="str">
            <v>m2</v>
          </cell>
          <cell r="D222">
            <v>358.959</v>
          </cell>
          <cell r="E222">
            <v>0</v>
          </cell>
        </row>
        <row r="223">
          <cell r="B223" t="str">
            <v>Hormigón (1:2:4) ligadora en columnas de amarre (.15 x .20 x .80 m.)</v>
          </cell>
          <cell r="C223" t="str">
            <v>m3</v>
          </cell>
          <cell r="D223">
            <v>5569.46</v>
          </cell>
          <cell r="E223">
            <v>0</v>
          </cell>
        </row>
        <row r="224">
          <cell r="B224" t="str">
            <v>Zap. muro, 60x25, 1:3:5, 60, 3 de 3/8", 3/8" a .25, lig.</v>
          </cell>
          <cell r="C224" t="str">
            <v>m3</v>
          </cell>
          <cell r="D224">
            <v>7514.38</v>
          </cell>
          <cell r="E224">
            <v>0</v>
          </cell>
        </row>
        <row r="225">
          <cell r="B225" t="str">
            <v>Malla ciclónica galv. cal. 9, 6' + 5% desp.</v>
          </cell>
          <cell r="C225" t="str">
            <v>pie</v>
          </cell>
          <cell r="D225">
            <v>114.25</v>
          </cell>
          <cell r="E225">
            <v>0</v>
          </cell>
        </row>
        <row r="226">
          <cell r="B226" t="str">
            <v>Bloques horm. 6", 3/8" a .60 m. (4 líneas)</v>
          </cell>
          <cell r="C226" t="str">
            <v>m2</v>
          </cell>
          <cell r="D226">
            <v>1323.3770280000001</v>
          </cell>
          <cell r="E226">
            <v>0</v>
          </cell>
        </row>
        <row r="227">
          <cell r="B227" t="str">
            <v>Zabaleta de piso (zabaleta doble sin mano de obra)</v>
          </cell>
          <cell r="C227" t="str">
            <v>m</v>
          </cell>
          <cell r="D227">
            <v>129.654</v>
          </cell>
          <cell r="E227">
            <v>0</v>
          </cell>
        </row>
        <row r="228">
          <cell r="B228" t="str">
            <v>Relleno de reposición muro malla ciclonica</v>
          </cell>
          <cell r="C228" t="str">
            <v>m3</v>
          </cell>
          <cell r="D228">
            <v>309.76039047619048</v>
          </cell>
          <cell r="E228">
            <v>0</v>
          </cell>
        </row>
        <row r="229">
          <cell r="B229" t="str">
            <v>Suministro tablero de baloncesto (inc. base movil en hierro y contrapeso + pintura y transporte)</v>
          </cell>
          <cell r="C229" t="str">
            <v>Ud</v>
          </cell>
          <cell r="D229">
            <v>42244</v>
          </cell>
          <cell r="E229" t="str">
            <v>INTROCA</v>
          </cell>
        </row>
        <row r="230">
          <cell r="B230" t="str">
            <v>Tablero 54" acrilico transparente con armazon de acero, aro c/spring y malla all-weather</v>
          </cell>
          <cell r="C230" t="str">
            <v>Ud</v>
          </cell>
          <cell r="D230">
            <v>36919.993399999999</v>
          </cell>
          <cell r="E230" t="str">
            <v>Molino deportivo</v>
          </cell>
        </row>
        <row r="231">
          <cell r="B231" t="str">
            <v>Acero para dovela</v>
          </cell>
          <cell r="C231" t="str">
            <v>qq</v>
          </cell>
          <cell r="D231">
            <v>2384.1655420602788</v>
          </cell>
        </row>
        <row r="232">
          <cell r="B232" t="str">
            <v>Resina epóxica "SUPRAFLEX" para junta de piso, 231 pulg.3/gl. (Kits 1 gl.)</v>
          </cell>
          <cell r="C232" t="str">
            <v>3 gal</v>
          </cell>
          <cell r="D232">
            <v>10125</v>
          </cell>
          <cell r="E232" t="str">
            <v>Innova Centro</v>
          </cell>
        </row>
        <row r="233">
          <cell r="B233" t="str">
            <v>Clavos Corrientes</v>
          </cell>
          <cell r="C233" t="str">
            <v>lb</v>
          </cell>
          <cell r="D233">
            <v>50</v>
          </cell>
          <cell r="E233" t="str">
            <v>Ferrecentro Comercial Daniel</v>
          </cell>
        </row>
        <row r="234">
          <cell r="B234" t="str">
            <v>Cal Hidratada</v>
          </cell>
          <cell r="C234" t="str">
            <v>fda</v>
          </cell>
          <cell r="D234">
            <v>65</v>
          </cell>
          <cell r="E234" t="str">
            <v>Ferrecentro Comercial Daniel</v>
          </cell>
        </row>
        <row r="235">
          <cell r="B235" t="str">
            <v>Madera Bruta ( Pino Americano 1'' x 4'' x 12'), 4 usos</v>
          </cell>
          <cell r="C235" t="str">
            <v>pt</v>
          </cell>
          <cell r="D235">
            <v>395</v>
          </cell>
          <cell r="E235" t="str">
            <v>Casa del Pintor</v>
          </cell>
        </row>
        <row r="236">
          <cell r="B236" t="str">
            <v>Hilo de Nylon No. 8</v>
          </cell>
          <cell r="C236" t="str">
            <v>u</v>
          </cell>
          <cell r="D236">
            <v>250</v>
          </cell>
          <cell r="E236" t="str">
            <v>Ferrecentro Comercial Daniel</v>
          </cell>
        </row>
        <row r="237">
          <cell r="B237" t="str">
            <v xml:space="preserve">Pintura Court Coalting </v>
          </cell>
          <cell r="C237" t="str">
            <v>gl</v>
          </cell>
          <cell r="D237">
            <v>2995</v>
          </cell>
          <cell r="E237" t="str">
            <v>Casa del Pintor</v>
          </cell>
        </row>
        <row r="238">
          <cell r="B238" t="str">
            <v>Mallaelectrosoldada 23x23 D 100 x 100</v>
          </cell>
          <cell r="C238" t="str">
            <v>rollo</v>
          </cell>
          <cell r="D238">
            <v>13482.14</v>
          </cell>
        </row>
        <row r="239">
          <cell r="B239" t="str">
            <v>Desmoldante Sika</v>
          </cell>
          <cell r="C239" t="str">
            <v>Lt</v>
          </cell>
          <cell r="D239">
            <v>218.49599999999998</v>
          </cell>
        </row>
        <row r="240">
          <cell r="B240" t="str">
            <v xml:space="preserve">Gasoil </v>
          </cell>
          <cell r="C240" t="str">
            <v>gl</v>
          </cell>
          <cell r="D240">
            <v>175.4</v>
          </cell>
        </row>
        <row r="241">
          <cell r="B241" t="str">
            <v>'Inodoro bco., tapa, sin acces, "Simplex", 1-2222</v>
          </cell>
          <cell r="C241" t="str">
            <v>und</v>
          </cell>
          <cell r="D241">
            <v>4750</v>
          </cell>
          <cell r="E241" t="str">
            <v>Casa del Pintor</v>
          </cell>
        </row>
        <row r="242">
          <cell r="B242" t="str">
            <v>Lavamanos ovalado bco., 8" sin mescl. y sin acces, "Saona"</v>
          </cell>
          <cell r="C242" t="str">
            <v>und</v>
          </cell>
          <cell r="D242">
            <v>2000</v>
          </cell>
          <cell r="E242" t="str">
            <v>Ferrecentro Comercial Daniel</v>
          </cell>
        </row>
        <row r="243">
          <cell r="B243" t="str">
            <v>Freg. 2B. a. inox, 33"x22"X7" (1H) "Teka"</v>
          </cell>
          <cell r="C243" t="str">
            <v>und</v>
          </cell>
          <cell r="D243">
            <v>2150</v>
          </cell>
          <cell r="E243" t="str">
            <v>Ferrecentro Comercial Daniel</v>
          </cell>
        </row>
        <row r="244">
          <cell r="B244" t="str">
            <v>Tubo 4"x19', pvc SDR-41 + 10% desp.</v>
          </cell>
          <cell r="C244" t="str">
            <v>und</v>
          </cell>
          <cell r="D244">
            <v>1575</v>
          </cell>
          <cell r="E244" t="str">
            <v>Casa del Pintor</v>
          </cell>
        </row>
        <row r="245">
          <cell r="B245" t="str">
            <v>Tubo 2"x19', pvc SDR-41 + 10% desp.</v>
          </cell>
          <cell r="C245" t="str">
            <v>und</v>
          </cell>
          <cell r="D245">
            <v>637</v>
          </cell>
          <cell r="E245" t="str">
            <v>Ferrecentro Comercial Daniel</v>
          </cell>
        </row>
        <row r="246">
          <cell r="B246" t="str">
            <v>Yee 4"x4", pvc dren.</v>
          </cell>
          <cell r="C246" t="str">
            <v>und</v>
          </cell>
          <cell r="D246">
            <v>230</v>
          </cell>
          <cell r="E246" t="str">
            <v>Ferrecentro Comercial Daniel</v>
          </cell>
        </row>
        <row r="247">
          <cell r="B247" t="str">
            <v>Yee reducción 4"x2", pvc dren.</v>
          </cell>
          <cell r="C247" t="str">
            <v>und</v>
          </cell>
          <cell r="D247">
            <v>100</v>
          </cell>
          <cell r="E247" t="str">
            <v>Ferrecentro Comercial Daniel</v>
          </cell>
        </row>
        <row r="248">
          <cell r="B248" t="str">
            <v>Codo 4"x45, pvc dren.</v>
          </cell>
          <cell r="C248" t="str">
            <v>und</v>
          </cell>
          <cell r="D248">
            <v>109</v>
          </cell>
          <cell r="E248" t="str">
            <v>Ferrecentro Comercial Daniel</v>
          </cell>
        </row>
        <row r="249">
          <cell r="B249" t="str">
            <v>Codo 2"x45, pvc dren.</v>
          </cell>
          <cell r="C249" t="str">
            <v>und</v>
          </cell>
          <cell r="D249">
            <v>25</v>
          </cell>
          <cell r="E249" t="str">
            <v>Innova Centro</v>
          </cell>
        </row>
        <row r="250">
          <cell r="B250" t="str">
            <v>Codo 4"x90, pvc dren.</v>
          </cell>
          <cell r="C250" t="str">
            <v>und</v>
          </cell>
          <cell r="D250">
            <v>90</v>
          </cell>
          <cell r="E250" t="str">
            <v>Ferrecentro Comercial Daniel</v>
          </cell>
        </row>
        <row r="251">
          <cell r="B251" t="str">
            <v>Codo 2"x90, pvc dren.</v>
          </cell>
          <cell r="C251" t="str">
            <v>und</v>
          </cell>
          <cell r="D251">
            <v>30</v>
          </cell>
          <cell r="E251" t="str">
            <v>Ferrecentro Comercial Daniel</v>
          </cell>
        </row>
        <row r="252">
          <cell r="B252" t="str">
            <v>Cemento pvc criollo, 1/32 gl., pinta, Cano + 10% desp.</v>
          </cell>
          <cell r="C252" t="str">
            <v>und</v>
          </cell>
          <cell r="D252">
            <v>145</v>
          </cell>
          <cell r="E252" t="str">
            <v>Casa del Pintor</v>
          </cell>
        </row>
        <row r="253">
          <cell r="B253" t="str">
            <v>Tee 1/2", h.g. (fría y cal.)</v>
          </cell>
          <cell r="C253" t="str">
            <v>und</v>
          </cell>
          <cell r="D253">
            <v>30</v>
          </cell>
          <cell r="E253" t="str">
            <v>Ferrecentro Comercial Daniel</v>
          </cell>
        </row>
        <row r="254">
          <cell r="B254" t="str">
            <v>Tubo 1/2"x20', h.g., mamey + 10% desp. (fría y cal.)</v>
          </cell>
          <cell r="C254" t="str">
            <v>und</v>
          </cell>
          <cell r="D254">
            <v>625</v>
          </cell>
          <cell r="E254" t="str">
            <v>Ferrecentro Comercial Daniel</v>
          </cell>
        </row>
        <row r="255">
          <cell r="B255" t="str">
            <v>Codo 1/2"x90, h.g. (fría y cal.)</v>
          </cell>
          <cell r="C255" t="str">
            <v>und</v>
          </cell>
          <cell r="D255">
            <v>35</v>
          </cell>
          <cell r="E255" t="str">
            <v>Ferrecentro Comercial Daniel</v>
          </cell>
        </row>
        <row r="256">
          <cell r="B256" t="str">
            <v>Reduc. "bushing" 1/2"x3/8", h.g. (fría y cal.)</v>
          </cell>
          <cell r="C256" t="str">
            <v>und</v>
          </cell>
          <cell r="D256">
            <v>55</v>
          </cell>
          <cell r="E256" t="str">
            <v>Ferrecentro Comercial Daniel</v>
          </cell>
        </row>
        <row r="257">
          <cell r="B257" t="str">
            <v>Oxido Rojo "Popular" k-09 (en tub.s h.g.)</v>
          </cell>
          <cell r="C257" t="str">
            <v>gl</v>
          </cell>
          <cell r="D257">
            <v>995</v>
          </cell>
          <cell r="E257" t="str">
            <v>Ferrecentro Comercial Daniel</v>
          </cell>
        </row>
        <row r="258">
          <cell r="B258" t="str">
            <v>Arandela plástica PVC p/inodoro s/tornillo 4x3"</v>
          </cell>
          <cell r="C258" t="str">
            <v>und</v>
          </cell>
          <cell r="D258">
            <v>150</v>
          </cell>
          <cell r="E258" t="str">
            <v>Ferrecentro Comercial Daniel</v>
          </cell>
        </row>
        <row r="259">
          <cell r="B259" t="str">
            <v>'Mezcl. Lavam., boquilla, "Sayco" Ref. LF400</v>
          </cell>
          <cell r="C259" t="str">
            <v>und</v>
          </cell>
          <cell r="D259">
            <v>1795</v>
          </cell>
          <cell r="E259" t="str">
            <v>Casa del Pintor</v>
          </cell>
        </row>
        <row r="260">
          <cell r="B260" t="str">
            <v>Mezcl. freg. c/puño "Urrea" NIBCO</v>
          </cell>
          <cell r="C260" t="str">
            <v>und</v>
          </cell>
          <cell r="D260">
            <v>1300</v>
          </cell>
          <cell r="E260" t="str">
            <v>Ferrecentro Comercial Daniel</v>
          </cell>
        </row>
        <row r="261">
          <cell r="B261" t="str">
            <v>Llave angular 1/2" ó 3/8", "EASTMAN"</v>
          </cell>
          <cell r="C261" t="str">
            <v>und</v>
          </cell>
          <cell r="D261">
            <v>250</v>
          </cell>
          <cell r="E261" t="str">
            <v>Ferrecentro Comercial Daniel</v>
          </cell>
        </row>
        <row r="262">
          <cell r="B262" t="str">
            <v>'Niple niquelado 3/8"x2 1/2", "Aquavita" MN041B</v>
          </cell>
          <cell r="C262" t="str">
            <v>und</v>
          </cell>
          <cell r="D262">
            <v>20</v>
          </cell>
          <cell r="E262" t="str">
            <v>Ferrecentro Comercial Daniel</v>
          </cell>
        </row>
        <row r="263">
          <cell r="B263" t="str">
            <v>Cola ext. fregadero 1 1/2"x6", PVC (Nuevo)</v>
          </cell>
          <cell r="C263" t="str">
            <v>und</v>
          </cell>
          <cell r="D263">
            <v>30</v>
          </cell>
          <cell r="E263" t="str">
            <v>Ferrecentro Comercial Daniel</v>
          </cell>
        </row>
        <row r="264">
          <cell r="B264" t="str">
            <v>Rollo teflón 3/4" + 25% desp.</v>
          </cell>
          <cell r="C264" t="str">
            <v>und</v>
          </cell>
          <cell r="D264">
            <v>35</v>
          </cell>
          <cell r="E264" t="str">
            <v>Ferrecentro Comercial Daniel</v>
          </cell>
        </row>
        <row r="265">
          <cell r="B265" t="str">
            <v>Cemento Bco. 40 kilos, "Titan"</v>
          </cell>
          <cell r="C265" t="str">
            <v>fda</v>
          </cell>
          <cell r="D265">
            <v>825</v>
          </cell>
          <cell r="E265" t="str">
            <v>Ferrecentro Comercial Daniel</v>
          </cell>
        </row>
        <row r="266">
          <cell r="B266" t="str">
            <v>Sifón 1 1/2", cromo p/lav., flexible, completo, USA</v>
          </cell>
          <cell r="C266" t="str">
            <v>und</v>
          </cell>
          <cell r="D266">
            <v>120</v>
          </cell>
          <cell r="E266" t="str">
            <v>Ferrecentro Comercial Daniel</v>
          </cell>
        </row>
        <row r="267">
          <cell r="B267" t="str">
            <v>Tubo flexible para lavamanos, tuerca, 1/2"x3/8" 40 cm. EVL-B40</v>
          </cell>
          <cell r="C267" t="str">
            <v>und</v>
          </cell>
          <cell r="D267">
            <v>250</v>
          </cell>
          <cell r="E267" t="str">
            <v>Casa del Pintor</v>
          </cell>
        </row>
        <row r="268">
          <cell r="B268" t="str">
            <v>Silicone" claro en tubo</v>
          </cell>
          <cell r="C268" t="str">
            <v>und</v>
          </cell>
          <cell r="D268">
            <v>120</v>
          </cell>
          <cell r="E268" t="str">
            <v>Ferrecentro Comercial Daniel</v>
          </cell>
        </row>
        <row r="269">
          <cell r="B269" t="str">
            <v>Tornillos p/bacineta, 1/4"x2 1/2", HP167 R-801AA</v>
          </cell>
          <cell r="C269" t="str">
            <v>jgo</v>
          </cell>
          <cell r="D269">
            <v>20</v>
          </cell>
          <cell r="E269" t="str">
            <v>Ferrecentro Comercial Daniel</v>
          </cell>
        </row>
        <row r="270">
          <cell r="B270" t="str">
            <v>Junta de cera</v>
          </cell>
          <cell r="C270" t="str">
            <v>und</v>
          </cell>
          <cell r="D270">
            <v>85</v>
          </cell>
          <cell r="E270" t="str">
            <v>Ferrecentro Comercial Daniel</v>
          </cell>
        </row>
        <row r="271">
          <cell r="B271" t="str">
            <v>Tornillos p/bacineta, 1/4"x2 1/4", #40019-21-24 (Nuevo)</v>
          </cell>
          <cell r="C271" t="str">
            <v>jgo</v>
          </cell>
          <cell r="D271">
            <v>95</v>
          </cell>
          <cell r="E271" t="str">
            <v>Ferrecentro Comercial Daniel</v>
          </cell>
        </row>
        <row r="272">
          <cell r="B272" t="str">
            <v>Cola ext. lavamanos 1 1/4"x6", cromo</v>
          </cell>
          <cell r="C272" t="str">
            <v>und</v>
          </cell>
          <cell r="D272">
            <v>21</v>
          </cell>
          <cell r="E272" t="str">
            <v>Innova Centro</v>
          </cell>
        </row>
        <row r="273">
          <cell r="B273" t="str">
            <v>Boquilla fregadero metal (Ac. Inox.) EZ-FLO + 10% desp.</v>
          </cell>
          <cell r="C273" t="str">
            <v>und</v>
          </cell>
          <cell r="D273">
            <v>195</v>
          </cell>
          <cell r="E273" t="str">
            <v>Casa del Pintor</v>
          </cell>
        </row>
        <row r="274">
          <cell r="B274" t="str">
            <v>Desagüe fregadero 1 1/2x16", pvc, doble, EASTMAN 35393 + 10% desp.</v>
          </cell>
          <cell r="C274" t="str">
            <v>und</v>
          </cell>
          <cell r="D274">
            <v>63</v>
          </cell>
          <cell r="E274" t="str">
            <v>Innova Centro</v>
          </cell>
        </row>
        <row r="275">
          <cell r="B275" t="str">
            <v>Enlate 1'' x 4 '' x 10'/100 usos</v>
          </cell>
          <cell r="C275" t="str">
            <v>pie</v>
          </cell>
          <cell r="D275">
            <v>395</v>
          </cell>
          <cell r="E275" t="str">
            <v>Casa del Pintor</v>
          </cell>
        </row>
        <row r="276">
          <cell r="B276" t="str">
            <v>Tubo 1 1/2"x19', pvc dren. + 10% desp. (visible.)</v>
          </cell>
          <cell r="C276" t="str">
            <v>und</v>
          </cell>
          <cell r="D276">
            <v>395</v>
          </cell>
          <cell r="E276" t="str">
            <v>Casa del Pintor</v>
          </cell>
        </row>
        <row r="277">
          <cell r="B277" t="str">
            <v>Sifón 2", pvc dren.</v>
          </cell>
          <cell r="C277" t="str">
            <v>und</v>
          </cell>
          <cell r="D277">
            <v>96</v>
          </cell>
          <cell r="E277" t="str">
            <v>Innova Centro</v>
          </cell>
        </row>
        <row r="278">
          <cell r="B278" t="str">
            <v>Lavadero doble granito, 1.50x0.50 m. (en tub.s h.g.)</v>
          </cell>
          <cell r="C278" t="str">
            <v>und</v>
          </cell>
          <cell r="D278">
            <v>7975</v>
          </cell>
          <cell r="E278" t="str">
            <v>Casa del Pintor</v>
          </cell>
        </row>
        <row r="279">
          <cell r="B279" t="str">
            <v>Boquilla lavadero, ac. Inox., con tapón, 2 7/8" EZ-Flo</v>
          </cell>
          <cell r="C279" t="str">
            <v>und</v>
          </cell>
          <cell r="D279">
            <v>475</v>
          </cell>
          <cell r="E279" t="str">
            <v>Casa del Pintor</v>
          </cell>
        </row>
        <row r="280">
          <cell r="B280" t="str">
            <v>Rejilla 4 5/8" p/piso, aluminio</v>
          </cell>
          <cell r="C280" t="str">
            <v>und</v>
          </cell>
          <cell r="D280">
            <v>85</v>
          </cell>
          <cell r="E280" t="str">
            <v>Ferrecentro Comercial Daniel</v>
          </cell>
        </row>
        <row r="281">
          <cell r="B281" t="str">
            <v>Llave chorro 1/2", "Urrea" #19N-13</v>
          </cell>
          <cell r="C281" t="str">
            <v>und</v>
          </cell>
          <cell r="D281">
            <v>240</v>
          </cell>
          <cell r="E281" t="str">
            <v>Innova Centro</v>
          </cell>
        </row>
        <row r="282">
          <cell r="B282" t="str">
            <v>Unión univ. 1/2", h.g.</v>
          </cell>
          <cell r="C282" t="str">
            <v>und</v>
          </cell>
          <cell r="D282">
            <v>20</v>
          </cell>
          <cell r="E282" t="str">
            <v>Ferrecentro Comercial Daniel</v>
          </cell>
        </row>
        <row r="283">
          <cell r="B283" t="str">
            <v>Niple 1/2"x4", h.g.</v>
          </cell>
          <cell r="C283" t="str">
            <v>und</v>
          </cell>
          <cell r="D283">
            <v>35</v>
          </cell>
          <cell r="E283" t="str">
            <v>Ferrecentro Comercial Daniel</v>
          </cell>
        </row>
        <row r="284">
          <cell r="B284" t="str">
            <v>Dosificador jabón líquido, Jofel AC70011 niquel (Nuevo)  (1/2)</v>
          </cell>
          <cell r="C284" t="str">
            <v>und</v>
          </cell>
          <cell r="D284">
            <v>1395</v>
          </cell>
          <cell r="E284" t="str">
            <v>Casa del Pintor</v>
          </cell>
        </row>
        <row r="285">
          <cell r="B285" t="str">
            <v>Llave empotrar con puño NIBCO</v>
          </cell>
          <cell r="C285" t="str">
            <v>und</v>
          </cell>
          <cell r="D285">
            <v>725</v>
          </cell>
          <cell r="E285" t="str">
            <v>Ferrecentro Comercial Daniel</v>
          </cell>
        </row>
        <row r="286">
          <cell r="B286" t="str">
            <v>Sifón 2", pvc dren.</v>
          </cell>
          <cell r="C286" t="str">
            <v>und</v>
          </cell>
          <cell r="D286">
            <v>85</v>
          </cell>
          <cell r="E286" t="str">
            <v>Ferrecentro Comercial Daniel</v>
          </cell>
        </row>
        <row r="287">
          <cell r="B287" t="str">
            <v>Rejilla 3", de 2" p/piso, redonda, sencilla, cromo</v>
          </cell>
          <cell r="C287" t="str">
            <v>und</v>
          </cell>
          <cell r="D287">
            <v>85</v>
          </cell>
          <cell r="E287" t="str">
            <v>Ferrecentro Comercial Daniel</v>
          </cell>
        </row>
        <row r="288">
          <cell r="B288" t="str">
            <v>Tuberias Ø10'' perforada</v>
          </cell>
          <cell r="C288" t="str">
            <v>ml</v>
          </cell>
          <cell r="D288">
            <v>550</v>
          </cell>
          <cell r="E288" t="str">
            <v>JADER</v>
          </cell>
        </row>
        <row r="289">
          <cell r="B289" t="str">
            <v>Tuberias Ø 6'' perforada</v>
          </cell>
          <cell r="C289" t="str">
            <v>ml</v>
          </cell>
          <cell r="D289">
            <v>320</v>
          </cell>
          <cell r="E289" t="str">
            <v>JADER</v>
          </cell>
        </row>
        <row r="290">
          <cell r="B290" t="str">
            <v>Tuberias Ø 4'' perforada</v>
          </cell>
          <cell r="C290" t="str">
            <v>ml</v>
          </cell>
          <cell r="D290">
            <v>215.93220338983051</v>
          </cell>
          <cell r="E290" t="str">
            <v>Ferrecentro Comercial Daniel</v>
          </cell>
        </row>
        <row r="291">
          <cell r="B291" t="str">
            <v>Grava de 1/2''</v>
          </cell>
          <cell r="C291" t="str">
            <v>m3e</v>
          </cell>
          <cell r="D291">
            <v>500</v>
          </cell>
          <cell r="E291" t="str">
            <v>JADER</v>
          </cell>
        </row>
        <row r="292">
          <cell r="B292" t="str">
            <v>Transporte grava</v>
          </cell>
          <cell r="C292" t="str">
            <v>m3e</v>
          </cell>
          <cell r="D292">
            <v>800</v>
          </cell>
          <cell r="E292" t="str">
            <v>JADER</v>
          </cell>
        </row>
        <row r="293">
          <cell r="B293" t="str">
            <v>Geomembrana de 1.5 mm</v>
          </cell>
          <cell r="C293" t="str">
            <v>m2</v>
          </cell>
          <cell r="D293">
            <v>415.596</v>
          </cell>
          <cell r="E293" t="str">
            <v>LAKA</v>
          </cell>
        </row>
        <row r="294">
          <cell r="B294" t="str">
            <v>Georefuerzo (geomalla) inc. colocacion y transporte</v>
          </cell>
          <cell r="C294" t="str">
            <v>m2</v>
          </cell>
          <cell r="D294">
            <v>204.27959999999999</v>
          </cell>
          <cell r="E294" t="str">
            <v>LAKA</v>
          </cell>
        </row>
        <row r="295">
          <cell r="B295" t="str">
            <v>Acero Ø 3/8 f'y: 4,200 kg/cm2, grado 60</v>
          </cell>
          <cell r="C295" t="str">
            <v>qq</v>
          </cell>
          <cell r="D295">
            <v>2384.1655420602788</v>
          </cell>
          <cell r="E295" t="str">
            <v>Ferrecentro Comercial Daniel</v>
          </cell>
        </row>
        <row r="296">
          <cell r="B296" t="str">
            <v>Acero Ø 1/2 f'y: 4,200 kg/cm2, grado 60</v>
          </cell>
          <cell r="C296" t="str">
            <v>qq</v>
          </cell>
          <cell r="D296">
            <v>2384.1655420602788</v>
          </cell>
          <cell r="E296" t="str">
            <v>Ferrecentro Comercial Daniel</v>
          </cell>
        </row>
        <row r="297">
          <cell r="B297" t="str">
            <v>Alambre galv. Calibre 18</v>
          </cell>
          <cell r="C297" t="str">
            <v>lb</v>
          </cell>
          <cell r="D297">
            <v>65</v>
          </cell>
          <cell r="E297" t="str">
            <v>Ferrecentro Comercial Daniel</v>
          </cell>
        </row>
        <row r="298">
          <cell r="B298" t="str">
            <v>Clavos de acero 2 1/2'' (1/4 lb/m)</v>
          </cell>
          <cell r="C298" t="str">
            <v>lb</v>
          </cell>
          <cell r="D298">
            <v>68</v>
          </cell>
          <cell r="E298" t="str">
            <v>Ferrecentro Comercial Daniel</v>
          </cell>
        </row>
        <row r="299">
          <cell r="B299" t="str">
            <v>Cubierta translucida ( Incluido Insumo e Instalación)</v>
          </cell>
          <cell r="C299" t="str">
            <v>m2</v>
          </cell>
          <cell r="D299">
            <v>3129.5</v>
          </cell>
          <cell r="E299" t="str">
            <v>KI Caribbean group Srl</v>
          </cell>
        </row>
        <row r="300">
          <cell r="B300" t="str">
            <v>Encofrado de Viga todo costo</v>
          </cell>
          <cell r="C300" t="str">
            <v>m2</v>
          </cell>
          <cell r="D300">
            <v>772.05</v>
          </cell>
        </row>
        <row r="301">
          <cell r="B301" t="str">
            <v>Mallaelectrosoldada D2.1 x 2.1  100 x 100</v>
          </cell>
          <cell r="C301" t="str">
            <v>rollo</v>
          </cell>
          <cell r="D301">
            <v>13482.14</v>
          </cell>
        </row>
        <row r="302">
          <cell r="B302" t="str">
            <v>Calzos Plasticos</v>
          </cell>
          <cell r="C302" t="str">
            <v>ud</v>
          </cell>
          <cell r="D302">
            <v>7</v>
          </cell>
        </row>
        <row r="303">
          <cell r="B303" t="str">
            <v>Puertas polimetal lisa-blanca 1.00 m x 2.10 m ( Incl.instalación)</v>
          </cell>
          <cell r="C303" t="str">
            <v>ud</v>
          </cell>
          <cell r="D303">
            <v>4900</v>
          </cell>
          <cell r="E303" t="str">
            <v xml:space="preserve">VIVENECA </v>
          </cell>
        </row>
        <row r="304">
          <cell r="B304" t="str">
            <v>Encofrado metalico de fondo</v>
          </cell>
          <cell r="C304" t="str">
            <v>m2</v>
          </cell>
          <cell r="D304">
            <v>853.5</v>
          </cell>
        </row>
        <row r="305">
          <cell r="B305" t="str">
            <v>Encofrado Negativo</v>
          </cell>
          <cell r="C305" t="str">
            <v>ml</v>
          </cell>
          <cell r="D305">
            <v>227.6</v>
          </cell>
        </row>
        <row r="306">
          <cell r="B306" t="str">
            <v>Puertas polimetal lisa-blanca 1.70 m x 2.10 m ( Incl.instalación)</v>
          </cell>
          <cell r="C306" t="str">
            <v>ud</v>
          </cell>
          <cell r="D306">
            <v>5000</v>
          </cell>
          <cell r="E306" t="str">
            <v xml:space="preserve">VIVENECA </v>
          </cell>
        </row>
        <row r="307">
          <cell r="B307" t="str">
            <v>Puertas polimetal lisa-blanca doble batiente 1.200 m x 2.10 m ( Incl.instalación)</v>
          </cell>
          <cell r="C307" t="str">
            <v>ud</v>
          </cell>
          <cell r="D307">
            <v>49000</v>
          </cell>
          <cell r="E307" t="str">
            <v xml:space="preserve">VIVENECA </v>
          </cell>
        </row>
        <row r="308">
          <cell r="B308" t="str">
            <v>Puertas polimetal lisa-blanca 0.78 m x 2.10 m ( Incl.instalación)</v>
          </cell>
          <cell r="C308" t="str">
            <v>ud</v>
          </cell>
          <cell r="D308">
            <v>4900</v>
          </cell>
          <cell r="E308" t="str">
            <v xml:space="preserve">VIVENECA </v>
          </cell>
        </row>
        <row r="309">
          <cell r="B309" t="str">
            <v>Hormigon Industrial f'c=180 kg/cm2</v>
          </cell>
          <cell r="C309" t="str">
            <v>m3</v>
          </cell>
          <cell r="D309">
            <v>4400</v>
          </cell>
          <cell r="E309" t="str">
            <v>HCD-CJB</v>
          </cell>
        </row>
        <row r="310">
          <cell r="B310" t="str">
            <v>Rejilla 4", de 2" p/piso, redonda, sencilla, cromo</v>
          </cell>
          <cell r="C310" t="str">
            <v>ud</v>
          </cell>
          <cell r="D310">
            <v>450</v>
          </cell>
          <cell r="E310" t="str">
            <v>Casa del Pintor</v>
          </cell>
        </row>
        <row r="311">
          <cell r="B311" t="str">
            <v xml:space="preserve">Orinal </v>
          </cell>
          <cell r="C311" t="str">
            <v>ud</v>
          </cell>
          <cell r="D311">
            <v>3775</v>
          </cell>
          <cell r="E311" t="str">
            <v>Casa del Pintor</v>
          </cell>
        </row>
        <row r="312">
          <cell r="B312" t="str">
            <v>Mezcladora Orinal, Llave de Cromo Completa</v>
          </cell>
          <cell r="C312" t="str">
            <v>ud</v>
          </cell>
          <cell r="D312">
            <v>395</v>
          </cell>
          <cell r="E312" t="str">
            <v>Casa del Pintor</v>
          </cell>
        </row>
        <row r="313">
          <cell r="B313" t="str">
            <v>Niple niquelado 3/8"x2 1/2", "Aquavita" MN041B</v>
          </cell>
          <cell r="C313" t="str">
            <v>ud</v>
          </cell>
          <cell r="D313">
            <v>20</v>
          </cell>
          <cell r="E313" t="str">
            <v>Innova Centro</v>
          </cell>
        </row>
        <row r="314">
          <cell r="B314" t="str">
            <v>Suministro e Instalacion de Puertas Refrigerantes , incl. bisagras en acero inoxidable</v>
          </cell>
          <cell r="C314" t="str">
            <v>ud</v>
          </cell>
          <cell r="D314">
            <v>67343.425999999992</v>
          </cell>
        </row>
        <row r="315">
          <cell r="B315" t="str">
            <v xml:space="preserve">Hormigon Industrial f'c=180 kg/cm2 c/ Fibra </v>
          </cell>
          <cell r="C315" t="str">
            <v>m3</v>
          </cell>
          <cell r="D315">
            <v>5950</v>
          </cell>
          <cell r="E315" t="str">
            <v>HCD</v>
          </cell>
        </row>
        <row r="316">
          <cell r="B316" t="str">
            <v xml:space="preserve">Molde de enconfrado prefabricado p/ sendero </v>
          </cell>
          <cell r="C316" t="str">
            <v>m2</v>
          </cell>
        </row>
        <row r="317">
          <cell r="B317" t="str">
            <v>Madera Bruta ( Pino Americano 1'' x 6'' x 12'), 5 usos</v>
          </cell>
          <cell r="C317" t="str">
            <v>pt</v>
          </cell>
          <cell r="D317">
            <v>395</v>
          </cell>
          <cell r="E317" t="str">
            <v>Casa del Pintor</v>
          </cell>
        </row>
        <row r="318">
          <cell r="B318" t="str">
            <v xml:space="preserve">Pintura de alto tráfico </v>
          </cell>
          <cell r="C318" t="str">
            <v>Gl</v>
          </cell>
          <cell r="D318">
            <v>1895</v>
          </cell>
          <cell r="E318" t="str">
            <v>Innova Centro</v>
          </cell>
        </row>
        <row r="319">
          <cell r="B319" t="str">
            <v>Tubo PVC-SDR 3''x 19 SDR-41</v>
          </cell>
          <cell r="C319" t="str">
            <v>ud</v>
          </cell>
          <cell r="D319">
            <v>1063</v>
          </cell>
          <cell r="E319" t="str">
            <v>Innova Centro</v>
          </cell>
        </row>
        <row r="320">
          <cell r="B320" t="str">
            <v>Piezas 4" HDPE corrugada perforada</v>
          </cell>
          <cell r="C320" t="str">
            <v>ud</v>
          </cell>
        </row>
        <row r="321">
          <cell r="B321" t="str">
            <v>Construcción de registro fluvial 1.00x1.00x1.20</v>
          </cell>
          <cell r="C321" t="str">
            <v>ud</v>
          </cell>
          <cell r="D321">
            <v>75000</v>
          </cell>
        </row>
        <row r="322">
          <cell r="B322" t="str">
            <v>Estacas para geomembrana</v>
          </cell>
          <cell r="C322" t="str">
            <v>Pa</v>
          </cell>
          <cell r="D322">
            <v>5</v>
          </cell>
        </row>
        <row r="323">
          <cell r="B323" t="str">
            <v>Transporte de geomembrana</v>
          </cell>
          <cell r="C323" t="str">
            <v>m2</v>
          </cell>
          <cell r="D323">
            <v>5</v>
          </cell>
        </row>
        <row r="324">
          <cell r="B324" t="str">
            <v>Alambre No. 18</v>
          </cell>
          <cell r="C324" t="str">
            <v>lb</v>
          </cell>
          <cell r="D324">
            <v>56</v>
          </cell>
        </row>
        <row r="325">
          <cell r="B325" t="str">
            <v>Llavin doble puño Toledo con llave y seguro</v>
          </cell>
          <cell r="C325" t="str">
            <v>Ud</v>
          </cell>
          <cell r="D325">
            <v>700</v>
          </cell>
        </row>
        <row r="326">
          <cell r="B326" t="str">
            <v>Perfil 1"x1"x3/8" horizontal</v>
          </cell>
          <cell r="C326" t="str">
            <v>pl</v>
          </cell>
          <cell r="D326">
            <v>31.5</v>
          </cell>
        </row>
        <row r="327">
          <cell r="B327" t="str">
            <v>Perfil 1"x1"x3/8" vertical</v>
          </cell>
          <cell r="C327" t="str">
            <v>pl</v>
          </cell>
          <cell r="D327">
            <v>31.5</v>
          </cell>
        </row>
        <row r="328">
          <cell r="B328" t="str">
            <v>Planchuela L 10cmx20cmx1/4"</v>
          </cell>
          <cell r="C328" t="str">
            <v>ud</v>
          </cell>
          <cell r="D328">
            <v>142.82450000000003</v>
          </cell>
        </row>
        <row r="329">
          <cell r="B329" t="str">
            <v>Tornillos 3/8"x2 3/4"</v>
          </cell>
          <cell r="C329" t="str">
            <v>Ud</v>
          </cell>
          <cell r="D329">
            <v>80</v>
          </cell>
        </row>
        <row r="330">
          <cell r="B330" t="str">
            <v>Columpio 2 asientos 270x130x200</v>
          </cell>
          <cell r="C330" t="str">
            <v>Ud</v>
          </cell>
          <cell r="D330">
            <v>35926.934400000006</v>
          </cell>
        </row>
        <row r="331">
          <cell r="B331" t="str">
            <v>Sube y baja doble 200x60x60</v>
          </cell>
          <cell r="C331" t="str">
            <v>Ud</v>
          </cell>
          <cell r="D331">
            <v>22862.595600000001</v>
          </cell>
        </row>
        <row r="332">
          <cell r="B332" t="str">
            <v>Construcción de Cancha Mixta</v>
          </cell>
          <cell r="C332" t="str">
            <v>Ud</v>
          </cell>
          <cell r="D332">
            <v>895343.5</v>
          </cell>
        </row>
        <row r="333">
          <cell r="B333" t="str">
            <v>Señalizacion Vertical y Horizontal</v>
          </cell>
          <cell r="C333" t="str">
            <v>P.A</v>
          </cell>
          <cell r="D333">
            <v>95500</v>
          </cell>
        </row>
        <row r="334">
          <cell r="B334" t="str">
            <v>Alfombra en caucho compactado</v>
          </cell>
          <cell r="C334" t="str">
            <v>m2</v>
          </cell>
          <cell r="D334">
            <v>1320</v>
          </cell>
        </row>
        <row r="335">
          <cell r="B335" t="str">
            <v xml:space="preserve">Madera de pino tratado 1"x2'x14' </v>
          </cell>
          <cell r="C335" t="str">
            <v>pza</v>
          </cell>
          <cell r="D335">
            <v>303.55</v>
          </cell>
          <cell r="E335" t="str">
            <v>GARCIA SIMO</v>
          </cell>
        </row>
        <row r="336">
          <cell r="B336" t="str">
            <v xml:space="preserve">Madera de pino tratado 2"x2'x12' </v>
          </cell>
          <cell r="C336" t="str">
            <v>pza</v>
          </cell>
          <cell r="D336">
            <v>490.88</v>
          </cell>
          <cell r="E336" t="str">
            <v>GARCIA SIMO</v>
          </cell>
        </row>
        <row r="337">
          <cell r="B337" t="str">
            <v>Polietileno 40" cal. # 400, negro, rollo=168 lb (plástico)</v>
          </cell>
          <cell r="C337" t="str">
            <v>Rollo</v>
          </cell>
          <cell r="D337">
            <v>11635.98</v>
          </cell>
          <cell r="E337" t="str">
            <v>MERCADO HIGUEY</v>
          </cell>
        </row>
        <row r="338">
          <cell r="B338" t="str">
            <v>Letrero Acrilico</v>
          </cell>
          <cell r="C338" t="str">
            <v>und</v>
          </cell>
          <cell r="D338">
            <v>52</v>
          </cell>
        </row>
        <row r="339">
          <cell r="B339" t="str">
            <v>Durmientes p/Framing 2 1/2'', C20</v>
          </cell>
          <cell r="C339" t="str">
            <v>ud</v>
          </cell>
          <cell r="D339">
            <v>232.2</v>
          </cell>
        </row>
        <row r="340">
          <cell r="B340" t="str">
            <v>Parales p/ Framing 2 1/2', CO</v>
          </cell>
          <cell r="C340" t="str">
            <v>ud</v>
          </cell>
          <cell r="D340">
            <v>298.93</v>
          </cell>
        </row>
        <row r="341">
          <cell r="B341" t="str">
            <v>Densglass Fiberglass Mat Sheathing</v>
          </cell>
          <cell r="C341" t="str">
            <v>plancha</v>
          </cell>
          <cell r="D341">
            <v>1419.49</v>
          </cell>
        </row>
        <row r="342">
          <cell r="B342" t="str">
            <v xml:space="preserve">Tornillo de Plancha Auto-Barrenable Zync- 6x1 </v>
          </cell>
          <cell r="C342" t="str">
            <v>lb</v>
          </cell>
          <cell r="D342">
            <v>165.25</v>
          </cell>
        </row>
        <row r="343">
          <cell r="B343" t="str">
            <v>Tornillo de Estructura Auto-Barrenable Zync</v>
          </cell>
          <cell r="C343" t="str">
            <v>lb</v>
          </cell>
          <cell r="D343">
            <v>157.63</v>
          </cell>
        </row>
        <row r="344">
          <cell r="B344" t="str">
            <v>Esquinero Plastico</v>
          </cell>
          <cell r="C344" t="str">
            <v>ud</v>
          </cell>
          <cell r="D344">
            <v>120.34</v>
          </cell>
        </row>
        <row r="345">
          <cell r="B345" t="str">
            <v>All Pupose joint Compound</v>
          </cell>
          <cell r="C345" t="str">
            <v>cub</v>
          </cell>
          <cell r="D345">
            <v>8</v>
          </cell>
        </row>
        <row r="346">
          <cell r="B346" t="str">
            <v>Cementin Mapei Keraflor</v>
          </cell>
          <cell r="C346" t="str">
            <v>fda</v>
          </cell>
          <cell r="D346">
            <v>532.20000000000005</v>
          </cell>
        </row>
        <row r="347">
          <cell r="B347" t="str">
            <v>Cinta de Malla de Fibra de Vidrio</v>
          </cell>
          <cell r="C347" t="str">
            <v>und</v>
          </cell>
          <cell r="D347">
            <v>209.32</v>
          </cell>
        </row>
        <row r="348">
          <cell r="B348" t="str">
            <v>Tubo HN. Imp. (102 mm) 4''x20' (6.00 mm)</v>
          </cell>
          <cell r="C348" t="str">
            <v>und</v>
          </cell>
          <cell r="D348">
            <v>5043.75</v>
          </cell>
        </row>
        <row r="349">
          <cell r="B349" t="str">
            <v>Perfil Negro Estruct. 6''x4''x40', (06.00 mm) (1/4)</v>
          </cell>
          <cell r="C349" t="str">
            <v>und</v>
          </cell>
          <cell r="D349">
            <v>31580</v>
          </cell>
        </row>
        <row r="350">
          <cell r="B350" t="str">
            <v>Pintura Popular Industrial Gris Perla 56 (1/4 gl)</v>
          </cell>
          <cell r="C350" t="str">
            <v>und</v>
          </cell>
          <cell r="D350">
            <v>669</v>
          </cell>
        </row>
        <row r="351">
          <cell r="B351" t="str">
            <v>Pintura tropical Industrial Gris plata 56 (1 gl)</v>
          </cell>
          <cell r="C351" t="str">
            <v>und</v>
          </cell>
          <cell r="D351">
            <v>1939.06</v>
          </cell>
        </row>
        <row r="352">
          <cell r="B352" t="str">
            <v>Oxido Gris 1/4 Gln.</v>
          </cell>
          <cell r="C352" t="str">
            <v>und</v>
          </cell>
          <cell r="D352">
            <v>260</v>
          </cell>
        </row>
        <row r="353">
          <cell r="B353" t="str">
            <v>Oxido Gris Domastur 1 Gln.</v>
          </cell>
          <cell r="C353" t="str">
            <v>und</v>
          </cell>
          <cell r="D353">
            <v>797</v>
          </cell>
        </row>
        <row r="354">
          <cell r="B354" t="str">
            <v>Disco de Corte de  7''</v>
          </cell>
          <cell r="C354" t="str">
            <v>und</v>
          </cell>
          <cell r="D354">
            <v>192</v>
          </cell>
        </row>
        <row r="355">
          <cell r="B355" t="str">
            <v>Disco de Pulido de 7''</v>
          </cell>
          <cell r="C355" t="str">
            <v>und</v>
          </cell>
          <cell r="D355">
            <v>156</v>
          </cell>
        </row>
        <row r="356">
          <cell r="B356" t="str">
            <v xml:space="preserve">Electrodo universal (Soldadura) #7018-1/8 </v>
          </cell>
          <cell r="C356" t="str">
            <v>lb</v>
          </cell>
          <cell r="D356">
            <v>93</v>
          </cell>
        </row>
        <row r="357">
          <cell r="B357" t="str">
            <v xml:space="preserve">Brocha </v>
          </cell>
          <cell r="C357" t="str">
            <v>und</v>
          </cell>
          <cell r="D357">
            <v>52</v>
          </cell>
        </row>
        <row r="358">
          <cell r="B358" t="str">
            <v>Power Rider, Flex Rex 1/4 Gln.</v>
          </cell>
          <cell r="C358" t="str">
            <v>ud</v>
          </cell>
          <cell r="D358">
            <v>278</v>
          </cell>
        </row>
        <row r="359">
          <cell r="B359" t="str">
            <v>Doblado de Pieza</v>
          </cell>
          <cell r="C359" t="str">
            <v>und</v>
          </cell>
          <cell r="D359">
            <v>3289.94</v>
          </cell>
        </row>
        <row r="360">
          <cell r="B360" t="str">
            <v>Escoba</v>
          </cell>
          <cell r="C360" t="str">
            <v>und</v>
          </cell>
          <cell r="D360">
            <v>200</v>
          </cell>
        </row>
        <row r="361">
          <cell r="B361" t="str">
            <v>Carretilla</v>
          </cell>
          <cell r="C361" t="str">
            <v>und</v>
          </cell>
          <cell r="D361">
            <v>4257.45</v>
          </cell>
        </row>
        <row r="362">
          <cell r="B362" t="str">
            <v xml:space="preserve">Machete </v>
          </cell>
          <cell r="C362" t="str">
            <v>und</v>
          </cell>
          <cell r="D362">
            <v>279.92</v>
          </cell>
        </row>
        <row r="363">
          <cell r="B363" t="str">
            <v xml:space="preserve">Pala </v>
          </cell>
          <cell r="C363" t="str">
            <v>und</v>
          </cell>
          <cell r="D363">
            <v>1420.08</v>
          </cell>
        </row>
        <row r="364">
          <cell r="B364" t="str">
            <v>Poste de Aluminio 35', 500 dam</v>
          </cell>
          <cell r="C364" t="str">
            <v>und</v>
          </cell>
          <cell r="D364">
            <v>44660</v>
          </cell>
        </row>
        <row r="365">
          <cell r="B365" t="str">
            <v>Poste de Aluminio 30', 300 dam</v>
          </cell>
          <cell r="C365" t="str">
            <v>und</v>
          </cell>
          <cell r="D365">
            <v>31900.000000000004</v>
          </cell>
        </row>
        <row r="366">
          <cell r="B366" t="str">
            <v>Alambre AAAC No. 1/10</v>
          </cell>
          <cell r="C366" t="str">
            <v>pie</v>
          </cell>
          <cell r="D366">
            <v>45.936</v>
          </cell>
        </row>
        <row r="367">
          <cell r="B367" t="str">
            <v>Estructura MT-105, incluye: cableado,grapas, soportes, polimericos y flejes.</v>
          </cell>
          <cell r="C367" t="str">
            <v>und</v>
          </cell>
          <cell r="D367">
            <v>8500</v>
          </cell>
        </row>
        <row r="368">
          <cell r="B368" t="str">
            <v>Estructura F1-BT, incluye: cableado,grapas y soportes.</v>
          </cell>
          <cell r="C368" t="str">
            <v>und</v>
          </cell>
          <cell r="D368">
            <v>3250.25</v>
          </cell>
        </row>
        <row r="369">
          <cell r="B369" t="str">
            <v>Estructura F2-BT, incluye: cableado,grapas y soportes.</v>
          </cell>
          <cell r="C369" t="str">
            <v>und</v>
          </cell>
          <cell r="D369">
            <v>4375.5</v>
          </cell>
        </row>
        <row r="370">
          <cell r="B370" t="str">
            <v>Estructura TR-105, incluye: transformador de 25 KVA, cableado,grapas y soportes.</v>
          </cell>
          <cell r="C370" t="str">
            <v>und</v>
          </cell>
          <cell r="D370">
            <v>15560.45</v>
          </cell>
        </row>
        <row r="371">
          <cell r="B371" t="str">
            <v>Estructura AP-101, incluye: brazo de lampar, lampara led, sensor de luz, cableado, grapas y soportes</v>
          </cell>
          <cell r="C371" t="str">
            <v>und</v>
          </cell>
          <cell r="D371">
            <v>10290.200000000001</v>
          </cell>
        </row>
        <row r="372">
          <cell r="B372" t="str">
            <v>Instalascion de AP-101</v>
          </cell>
          <cell r="C372" t="str">
            <v>und</v>
          </cell>
          <cell r="D372">
            <v>2300</v>
          </cell>
        </row>
        <row r="373">
          <cell r="B373" t="str">
            <v xml:space="preserve">Alambre Triplexx No.2 </v>
          </cell>
          <cell r="C373" t="str">
            <v>Pie</v>
          </cell>
          <cell r="D373">
            <v>75.2</v>
          </cell>
        </row>
        <row r="374">
          <cell r="B374" t="str">
            <v>Piedra</v>
          </cell>
          <cell r="C374" t="str">
            <v>m3</v>
          </cell>
          <cell r="D374">
            <v>750</v>
          </cell>
        </row>
        <row r="375">
          <cell r="B375" t="str">
            <v>Tuberia de Hormigon 60'</v>
          </cell>
          <cell r="C375" t="str">
            <v>und</v>
          </cell>
          <cell r="D375">
            <v>13975.83</v>
          </cell>
        </row>
        <row r="376">
          <cell r="B376" t="str">
            <v>Cabezal Alcantarilla</v>
          </cell>
          <cell r="C376" t="str">
            <v>und</v>
          </cell>
          <cell r="D376">
            <v>5395.5</v>
          </cell>
        </row>
        <row r="382">
          <cell r="B382">
            <v>0</v>
          </cell>
        </row>
        <row r="383">
          <cell r="B383" t="str">
            <v>SUBCONTRATOS</v>
          </cell>
          <cell r="C383">
            <v>0</v>
          </cell>
          <cell r="D383">
            <v>0</v>
          </cell>
          <cell r="E383">
            <v>0</v>
          </cell>
        </row>
        <row r="385">
          <cell r="B385" t="str">
            <v>Arborización</v>
          </cell>
        </row>
        <row r="386">
          <cell r="B386" t="str">
            <v>S/s grama bermuda</v>
          </cell>
          <cell r="C386" t="str">
            <v>m2</v>
          </cell>
          <cell r="D386">
            <v>110</v>
          </cell>
          <cell r="E386" t="str">
            <v>Vetiverdom</v>
          </cell>
        </row>
        <row r="387">
          <cell r="B387" t="str">
            <v>S/s Maras (8-10')</v>
          </cell>
          <cell r="C387" t="str">
            <v>ud</v>
          </cell>
          <cell r="D387">
            <v>0</v>
          </cell>
          <cell r="E387" t="str">
            <v>Vetiverdom</v>
          </cell>
        </row>
        <row r="388">
          <cell r="B388" t="str">
            <v>S/s Javilla (10-12')</v>
          </cell>
          <cell r="C388" t="str">
            <v>ud</v>
          </cell>
          <cell r="D388">
            <v>0</v>
          </cell>
          <cell r="E388" t="str">
            <v>Vetiverdom</v>
          </cell>
        </row>
        <row r="389">
          <cell r="B389" t="str">
            <v>S/s Penda (6-8')</v>
          </cell>
          <cell r="C389" t="str">
            <v>ud</v>
          </cell>
          <cell r="D389">
            <v>0</v>
          </cell>
          <cell r="E389" t="str">
            <v>Vetiverdom</v>
          </cell>
        </row>
        <row r="390">
          <cell r="B390" t="str">
            <v>S/s Gri Gri (8-10')</v>
          </cell>
          <cell r="C390" t="str">
            <v>ud</v>
          </cell>
          <cell r="D390">
            <v>0</v>
          </cell>
          <cell r="E390" t="str">
            <v>Vetiverdom</v>
          </cell>
        </row>
        <row r="391">
          <cell r="B391" t="str">
            <v>S/s Higuero (5-7')</v>
          </cell>
          <cell r="C391" t="str">
            <v>ud</v>
          </cell>
          <cell r="D391">
            <v>0</v>
          </cell>
          <cell r="E391" t="str">
            <v>Vetiverdom</v>
          </cell>
        </row>
        <row r="392">
          <cell r="B392" t="str">
            <v>S/s Ceiba (10-12')</v>
          </cell>
          <cell r="C392" t="str">
            <v>ud</v>
          </cell>
          <cell r="D392">
            <v>0</v>
          </cell>
          <cell r="E392" t="str">
            <v>Vetiverdom</v>
          </cell>
        </row>
        <row r="393">
          <cell r="B393" t="str">
            <v>S/s Roble rosado (5-7')</v>
          </cell>
          <cell r="C393" t="str">
            <v>ud</v>
          </cell>
          <cell r="D393">
            <v>0</v>
          </cell>
          <cell r="E393" t="str">
            <v>Vetiverdom</v>
          </cell>
        </row>
        <row r="394">
          <cell r="B394" t="str">
            <v>S/s Roble blanco (5-7')</v>
          </cell>
          <cell r="C394" t="str">
            <v>ud</v>
          </cell>
          <cell r="D394">
            <v>0</v>
          </cell>
          <cell r="E394" t="str">
            <v>Vetiverdom</v>
          </cell>
        </row>
        <row r="395">
          <cell r="B395" t="str">
            <v>S/s Roble blanco (8-10')</v>
          </cell>
          <cell r="C395" t="str">
            <v>ud</v>
          </cell>
          <cell r="D395">
            <v>0</v>
          </cell>
          <cell r="E395" t="str">
            <v>Vetiverdom</v>
          </cell>
        </row>
        <row r="396">
          <cell r="B396" t="str">
            <v>S/s Roble amarillo (8-10')</v>
          </cell>
          <cell r="C396" t="str">
            <v>ud</v>
          </cell>
          <cell r="D396">
            <v>0</v>
          </cell>
          <cell r="E396" t="str">
            <v>Vetiverdom</v>
          </cell>
        </row>
        <row r="397">
          <cell r="B397" t="str">
            <v>S/s Samán (10-12')</v>
          </cell>
          <cell r="C397" t="str">
            <v>ud</v>
          </cell>
          <cell r="D397">
            <v>0</v>
          </cell>
          <cell r="E397" t="str">
            <v>Vetiverdom</v>
          </cell>
        </row>
        <row r="398">
          <cell r="B398" t="str">
            <v>S/s Palo de burro (7')</v>
          </cell>
          <cell r="C398" t="str">
            <v>ud</v>
          </cell>
          <cell r="D398">
            <v>0</v>
          </cell>
          <cell r="E398" t="str">
            <v>Vetiverdom</v>
          </cell>
        </row>
        <row r="399">
          <cell r="B399" t="str">
            <v>S/s Ylag Ylang (5-7')</v>
          </cell>
          <cell r="C399" t="str">
            <v>ud</v>
          </cell>
          <cell r="D399">
            <v>0</v>
          </cell>
          <cell r="E399" t="str">
            <v>Vetiverdom</v>
          </cell>
        </row>
        <row r="400">
          <cell r="B400" t="str">
            <v>S/s Guasima</v>
          </cell>
          <cell r="C400" t="str">
            <v>ud</v>
          </cell>
          <cell r="D400">
            <v>0</v>
          </cell>
          <cell r="E400" t="str">
            <v>Vetiverdom</v>
          </cell>
        </row>
        <row r="401">
          <cell r="B401" t="str">
            <v>S/s Alamo</v>
          </cell>
          <cell r="C401" t="str">
            <v>ud</v>
          </cell>
          <cell r="D401">
            <v>0</v>
          </cell>
          <cell r="E401" t="str">
            <v>Vetiverdom</v>
          </cell>
        </row>
        <row r="402">
          <cell r="B402" t="str">
            <v>S/s Mamey (8-10')</v>
          </cell>
          <cell r="C402" t="str">
            <v>ud</v>
          </cell>
          <cell r="D402">
            <v>0</v>
          </cell>
          <cell r="E402" t="str">
            <v>Vetiverdom</v>
          </cell>
        </row>
        <row r="403">
          <cell r="B403" t="str">
            <v>S/s Reina De las Flores de (8-10')</v>
          </cell>
          <cell r="C403" t="str">
            <v>ud</v>
          </cell>
          <cell r="D403">
            <v>0</v>
          </cell>
          <cell r="E403" t="str">
            <v>Vetiverdom</v>
          </cell>
        </row>
        <row r="404">
          <cell r="B404" t="str">
            <v>S/s Bambú (Bambusa textilis )</v>
          </cell>
          <cell r="C404" t="str">
            <v>ud</v>
          </cell>
          <cell r="D404">
            <v>0</v>
          </cell>
          <cell r="E404" t="str">
            <v>Vetiverdom</v>
          </cell>
        </row>
        <row r="405">
          <cell r="B405" t="str">
            <v>S/s Palma Cola De Zorro (6 pies de tronco)</v>
          </cell>
          <cell r="C405" t="str">
            <v>ud</v>
          </cell>
          <cell r="D405">
            <v>0</v>
          </cell>
          <cell r="E405" t="str">
            <v>Vetiverdom</v>
          </cell>
        </row>
        <row r="406">
          <cell r="B406" t="str">
            <v>S/s Palma Manila( 7 a 8 de tronco)</v>
          </cell>
          <cell r="C406" t="str">
            <v>ud</v>
          </cell>
          <cell r="D406">
            <v>0</v>
          </cell>
          <cell r="E406" t="str">
            <v>Vetiverdom</v>
          </cell>
        </row>
        <row r="407">
          <cell r="B407" t="str">
            <v>S/s Palmas Reales (10-12')</v>
          </cell>
          <cell r="C407" t="str">
            <v>ud</v>
          </cell>
          <cell r="D407">
            <v>0</v>
          </cell>
          <cell r="E407" t="str">
            <v>Vetiverdom</v>
          </cell>
        </row>
        <row r="408">
          <cell r="B408" t="str">
            <v>S/s Pajon Panisetum Morado</v>
          </cell>
          <cell r="C408" t="str">
            <v>ud</v>
          </cell>
          <cell r="D408">
            <v>0</v>
          </cell>
          <cell r="E408" t="str">
            <v>Vetiverdom</v>
          </cell>
        </row>
        <row r="409">
          <cell r="B409" t="str">
            <v>S/s Pajon Panisetum Blanco</v>
          </cell>
          <cell r="C409" t="str">
            <v>ud</v>
          </cell>
          <cell r="D409">
            <v>0</v>
          </cell>
          <cell r="E409" t="str">
            <v>Vetiverdom</v>
          </cell>
        </row>
        <row r="410">
          <cell r="B410" t="str">
            <v>S/s Mangle verde ( 8-10')</v>
          </cell>
          <cell r="C410" t="str">
            <v>ud</v>
          </cell>
          <cell r="D410">
            <v>0</v>
          </cell>
          <cell r="E410" t="str">
            <v>Vetiverdom</v>
          </cell>
        </row>
        <row r="411">
          <cell r="B411" t="str">
            <v>S/s Mangle Plateado (4')</v>
          </cell>
          <cell r="C411" t="str">
            <v>ud</v>
          </cell>
          <cell r="D411">
            <v>0</v>
          </cell>
          <cell r="E411" t="str">
            <v>Vetiverdom</v>
          </cell>
        </row>
        <row r="412">
          <cell r="B412" t="str">
            <v>S/s Mangle plateado (5-7')</v>
          </cell>
          <cell r="C412" t="str">
            <v>ud</v>
          </cell>
          <cell r="D412">
            <v>0</v>
          </cell>
          <cell r="E412" t="str">
            <v>Vetiverdom</v>
          </cell>
        </row>
        <row r="413">
          <cell r="B413" t="str">
            <v>S/c Relleno con tierra negra</v>
          </cell>
          <cell r="C413" t="str">
            <v>m3</v>
          </cell>
          <cell r="D413">
            <v>1000</v>
          </cell>
          <cell r="E413" t="str">
            <v>Vetiverdom</v>
          </cell>
        </row>
        <row r="414">
          <cell r="B414" t="str">
            <v>S/I  Estacas de soportes arboles</v>
          </cell>
          <cell r="C414" t="str">
            <v>ud</v>
          </cell>
          <cell r="D414">
            <v>40</v>
          </cell>
          <cell r="E414" t="str">
            <v>Vetiverdom</v>
          </cell>
        </row>
        <row r="415">
          <cell r="B415" t="str">
            <v>S/c Mulch</v>
          </cell>
          <cell r="C415" t="str">
            <v>m3</v>
          </cell>
          <cell r="D415">
            <v>0</v>
          </cell>
          <cell r="E415" t="str">
            <v>Vetiverdom</v>
          </cell>
        </row>
        <row r="416">
          <cell r="B416" t="str">
            <v>S/s Doña Sanica</v>
          </cell>
          <cell r="C416" t="str">
            <v>ud</v>
          </cell>
          <cell r="D416">
            <v>0</v>
          </cell>
          <cell r="E416" t="str">
            <v>Vetiverdom</v>
          </cell>
        </row>
        <row r="417">
          <cell r="B417" t="str">
            <v>S/s Purpurina</v>
          </cell>
          <cell r="C417" t="str">
            <v>ud</v>
          </cell>
          <cell r="D417">
            <v>0</v>
          </cell>
          <cell r="E417" t="str">
            <v>Vetiverdom</v>
          </cell>
        </row>
        <row r="418">
          <cell r="B418" t="str">
            <v>S/s San Severia o Agave Varegado</v>
          </cell>
          <cell r="C418" t="str">
            <v>ud</v>
          </cell>
          <cell r="D418">
            <v>0</v>
          </cell>
          <cell r="E418" t="str">
            <v>Vetiverdom</v>
          </cell>
        </row>
        <row r="419">
          <cell r="B419" t="str">
            <v>S/s Guayiga</v>
          </cell>
          <cell r="C419" t="str">
            <v>ud</v>
          </cell>
          <cell r="D419">
            <v>0</v>
          </cell>
          <cell r="E419" t="str">
            <v>Vetiverdom</v>
          </cell>
        </row>
        <row r="420">
          <cell r="B420" t="str">
            <v>S/s Árbol Chino</v>
          </cell>
          <cell r="C420" t="str">
            <v>ud</v>
          </cell>
          <cell r="D420">
            <v>0</v>
          </cell>
          <cell r="E420" t="str">
            <v>Vetiverdom</v>
          </cell>
        </row>
        <row r="421">
          <cell r="B421" t="str">
            <v>S/s Alelí (4 pies)</v>
          </cell>
          <cell r="C421" t="str">
            <v>ud</v>
          </cell>
          <cell r="D421">
            <v>0</v>
          </cell>
          <cell r="E421" t="str">
            <v>Vetiverdom</v>
          </cell>
        </row>
        <row r="422">
          <cell r="B422" t="str">
            <v>S/s Coordelines</v>
          </cell>
          <cell r="C422" t="str">
            <v>ud</v>
          </cell>
          <cell r="D422">
            <v>0</v>
          </cell>
          <cell r="E422" t="str">
            <v>Vetiverdom</v>
          </cell>
        </row>
        <row r="423">
          <cell r="B423" t="str">
            <v>S/s Cayena rojas y Amarillas</v>
          </cell>
          <cell r="C423" t="str">
            <v>ud</v>
          </cell>
          <cell r="D423">
            <v>0</v>
          </cell>
          <cell r="E423" t="str">
            <v>Vetiverdom</v>
          </cell>
        </row>
        <row r="424">
          <cell r="B424" t="str">
            <v>S/s Guayacán (de 3 a 4 pies)</v>
          </cell>
          <cell r="C424" t="str">
            <v>ud</v>
          </cell>
          <cell r="D424">
            <v>0</v>
          </cell>
          <cell r="E424" t="str">
            <v>Vetiverdom</v>
          </cell>
        </row>
        <row r="425">
          <cell r="B425" t="str">
            <v>Framboyán Amarillo ( 12 pies)</v>
          </cell>
          <cell r="C425" t="str">
            <v>ud</v>
          </cell>
          <cell r="D425">
            <v>0</v>
          </cell>
          <cell r="E425" t="str">
            <v>Vetiverdom</v>
          </cell>
        </row>
        <row r="426">
          <cell r="B426" t="str">
            <v>Jardineria General, incluye: suministro y siembra de arboles medianos, grama, flores,estaca de soportes de aroboles y rellenos de tierra</v>
          </cell>
          <cell r="C426" t="str">
            <v>P.A</v>
          </cell>
          <cell r="D426">
            <v>3400000</v>
          </cell>
          <cell r="E426" t="str">
            <v>Vetiverdom</v>
          </cell>
        </row>
        <row r="427">
          <cell r="B427" t="str">
            <v>Suministro e instalación de Estacas de soportes arboles parque las ballenas</v>
          </cell>
          <cell r="C427" t="str">
            <v>ud</v>
          </cell>
          <cell r="D427">
            <v>75</v>
          </cell>
          <cell r="E427" t="str">
            <v>Vetiverdom</v>
          </cell>
        </row>
        <row r="428">
          <cell r="B428" t="str">
            <v xml:space="preserve">S/I baranda decorativa tipo pasamanos segun diseño, Incluye: Perfil de 3"x 1 1/2" galvanizado, planchuelas de 2 1/4", placas de anclaje y expanciones tipo hilti, soldadura, disco, pintura anticorrosiva, pintura industrial, fabricacion e instalación. </v>
          </cell>
          <cell r="C428" t="str">
            <v>p2</v>
          </cell>
          <cell r="D428">
            <v>495</v>
          </cell>
          <cell r="E428" t="str">
            <v>Talleres bello</v>
          </cell>
        </row>
        <row r="429">
          <cell r="B429" t="str">
            <v>Demarcación lineas de bases</v>
          </cell>
          <cell r="C429" t="str">
            <v>Ud</v>
          </cell>
          <cell r="D429">
            <v>1000</v>
          </cell>
        </row>
        <row r="430">
          <cell r="B430" t="str">
            <v>Pintura y demarcacion de Linea de Juego cancha completa de baloncesto</v>
          </cell>
          <cell r="C430" t="str">
            <v>Ud</v>
          </cell>
          <cell r="D430">
            <v>49560</v>
          </cell>
          <cell r="E430" t="str">
            <v>CARLOS AQUINO</v>
          </cell>
        </row>
        <row r="431">
          <cell r="B431" t="str">
            <v>Pintura y demarcacion de Linea de Juego media cancha de baloncesto</v>
          </cell>
          <cell r="C431" t="str">
            <v>m2</v>
          </cell>
          <cell r="D431">
            <v>35.842293906810035</v>
          </cell>
        </row>
        <row r="432">
          <cell r="B432" t="str">
            <v>Suministro e Instalación de Paragomas</v>
          </cell>
          <cell r="C432" t="str">
            <v>und</v>
          </cell>
          <cell r="D432">
            <v>1475</v>
          </cell>
        </row>
        <row r="433">
          <cell r="B433" t="str">
            <v>Suministro e instalación de techo traslucido</v>
          </cell>
          <cell r="C433" t="str">
            <v>m2</v>
          </cell>
          <cell r="D433">
            <v>2816.55</v>
          </cell>
          <cell r="E433" t="str">
            <v>KI Caribbean Group S.R.L</v>
          </cell>
        </row>
        <row r="434">
          <cell r="B434" t="str">
            <v xml:space="preserve">Suministro e instalación de pergolado 1 1/2''x 1 1/2'' de aluminio y madera sintetica </v>
          </cell>
          <cell r="C434" t="str">
            <v>m2</v>
          </cell>
          <cell r="D434">
            <v>8193.6</v>
          </cell>
          <cell r="E434" t="str">
            <v>KI Caribbean Group S.R.L</v>
          </cell>
        </row>
        <row r="435">
          <cell r="B435" t="str">
            <v>Suministro e instalacion de Deck de madera sintetica marron  2000 x 120 x 22 mm, antideslizante, colocada c/ madera tratada IPE</v>
          </cell>
          <cell r="C435" t="str">
            <v>m2</v>
          </cell>
          <cell r="D435">
            <v>6913.35</v>
          </cell>
          <cell r="E435" t="str">
            <v>KI Caribbean Group S.R.L</v>
          </cell>
        </row>
        <row r="436">
          <cell r="B436" t="str">
            <v>Suministro e instalación de bancos de hormigon monolitico tipo A 140 x 45 cm</v>
          </cell>
          <cell r="C436" t="str">
            <v>Ud</v>
          </cell>
          <cell r="D436">
            <v>14299.995199999999</v>
          </cell>
          <cell r="E436" t="str">
            <v>SANMA</v>
          </cell>
        </row>
        <row r="437">
          <cell r="B437" t="str">
            <v>Suministro e instalación de bancos de hormigon monolitico tipo A 50 x 50 cm</v>
          </cell>
          <cell r="C437" t="str">
            <v>Ud</v>
          </cell>
          <cell r="D437">
            <v>11499.996799999999</v>
          </cell>
          <cell r="E437" t="str">
            <v>SANMA</v>
          </cell>
        </row>
        <row r="438">
          <cell r="B438" t="str">
            <v>Suministro e instalación de bancos de hormigon monolitico tipo B 140 x 45 cm</v>
          </cell>
          <cell r="C438" t="str">
            <v>Ud</v>
          </cell>
          <cell r="D438">
            <v>12199.996399999998</v>
          </cell>
          <cell r="E438" t="str">
            <v>SANMA</v>
          </cell>
        </row>
        <row r="439">
          <cell r="B439" t="str">
            <v>Suministro e instalación de bancos de hormigon monolitico tipo B 50 x 50 cm</v>
          </cell>
          <cell r="C439" t="str">
            <v>Ud</v>
          </cell>
          <cell r="D439">
            <v>9150.0031999999992</v>
          </cell>
          <cell r="E439" t="str">
            <v>SANMA</v>
          </cell>
        </row>
        <row r="440">
          <cell r="B440" t="str">
            <v>Suministro e instalación de bancos de hormigon monolitico tipo C 50 x 50 cm</v>
          </cell>
          <cell r="C440" t="str">
            <v>Ud</v>
          </cell>
          <cell r="D440">
            <v>10500.005799999999</v>
          </cell>
          <cell r="E440" t="str">
            <v>SANMA</v>
          </cell>
        </row>
        <row r="441">
          <cell r="B441" t="str">
            <v>Suministro e instalación de bancos de hormigon monolitico tipo C 140 x 45 cm</v>
          </cell>
          <cell r="C441" t="str">
            <v>Ud</v>
          </cell>
          <cell r="D441">
            <v>11100.000400000001</v>
          </cell>
          <cell r="E441" t="str">
            <v>SANMA</v>
          </cell>
        </row>
        <row r="442">
          <cell r="B442" t="str">
            <v>Suministro e instalación de mesa de hormigon monolitico</v>
          </cell>
          <cell r="C442" t="str">
            <v>Ud</v>
          </cell>
          <cell r="D442">
            <v>16499.999</v>
          </cell>
          <cell r="E442" t="str">
            <v>SANMA</v>
          </cell>
        </row>
        <row r="443">
          <cell r="B443" t="str">
            <v>Suministro e instalación de bancos de hormigon monolitico tipo A 50 x 50 cm para mesas</v>
          </cell>
          <cell r="C443" t="str">
            <v>Ud</v>
          </cell>
          <cell r="D443">
            <v>11499.996799999999</v>
          </cell>
          <cell r="E443" t="str">
            <v>SANMA</v>
          </cell>
        </row>
        <row r="444">
          <cell r="B444" t="str">
            <v>Suministro y colocación de Tuberia de arrastre de 4'', tubo PVC-S presion 4''x 19 SDR-41</v>
          </cell>
          <cell r="C444" t="str">
            <v>tubo</v>
          </cell>
          <cell r="D444">
            <v>280</v>
          </cell>
        </row>
        <row r="445">
          <cell r="B445" t="str">
            <v>Descabezado de pilotes TC</v>
          </cell>
        </row>
        <row r="446">
          <cell r="B446" t="str">
            <v>Movilización de pilotes de hormigón</v>
          </cell>
        </row>
        <row r="447">
          <cell r="B447" t="str">
            <v>Demolición de muros de bloques</v>
          </cell>
        </row>
        <row r="448">
          <cell r="B448" t="str">
            <v>Construccion de Totem en hormigon con perfiles de madera, metalicos cuadrados y tubulares, incluye densglass, excavacion, zapata, letras en cintra</v>
          </cell>
          <cell r="C448" t="str">
            <v>Pa</v>
          </cell>
          <cell r="D448">
            <v>280000</v>
          </cell>
        </row>
        <row r="449">
          <cell r="B449" t="str">
            <v>Suministro y colocacion de pintura termoplastica a=0.10m</v>
          </cell>
          <cell r="C449" t="str">
            <v>ml</v>
          </cell>
          <cell r="D449">
            <v>110</v>
          </cell>
        </row>
        <row r="450">
          <cell r="B450" t="str">
            <v>Suministro y colocacion de señal vertical</v>
          </cell>
          <cell r="C450" t="str">
            <v>Ud</v>
          </cell>
          <cell r="D450">
            <v>7500</v>
          </cell>
        </row>
        <row r="451">
          <cell r="B451" t="str">
            <v>MO confeccion carpinteria blanca</v>
          </cell>
          <cell r="C451" t="str">
            <v>m2</v>
          </cell>
          <cell r="D451">
            <v>550</v>
          </cell>
        </row>
        <row r="452">
          <cell r="B452" t="str">
            <v>Izage e Instalación  de Poste</v>
          </cell>
          <cell r="C452" t="str">
            <v>und</v>
          </cell>
          <cell r="D452">
            <v>15000</v>
          </cell>
        </row>
        <row r="453">
          <cell r="B453" t="str">
            <v>S/I Base de Hormigon p/ Poste</v>
          </cell>
          <cell r="C453" t="str">
            <v>und</v>
          </cell>
          <cell r="D453">
            <v>7000</v>
          </cell>
        </row>
        <row r="454">
          <cell r="B454" t="str">
            <v>EQUIPOS</v>
          </cell>
          <cell r="C454">
            <v>0</v>
          </cell>
          <cell r="D454">
            <v>0</v>
          </cell>
          <cell r="E454">
            <v>0</v>
          </cell>
        </row>
        <row r="456">
          <cell r="B456" t="str">
            <v>Barredora</v>
          </cell>
          <cell r="C456" t="str">
            <v>hr</v>
          </cell>
          <cell r="D456">
            <v>1274.4000000000001</v>
          </cell>
        </row>
        <row r="457">
          <cell r="B457" t="str">
            <v>Camion Distribuidor Asfalto</v>
          </cell>
          <cell r="C457" t="str">
            <v>hr</v>
          </cell>
          <cell r="D457">
            <v>1106.25</v>
          </cell>
        </row>
        <row r="458">
          <cell r="B458" t="str">
            <v>Transporte HAC 0-5 KM</v>
          </cell>
          <cell r="C458" t="str">
            <v>m3e</v>
          </cell>
          <cell r="D458">
            <v>154.75</v>
          </cell>
        </row>
        <row r="459">
          <cell r="B459" t="str">
            <v>Transporte HAC 10-5 KM</v>
          </cell>
          <cell r="C459" t="str">
            <v>m3e</v>
          </cell>
          <cell r="D459">
            <v>120.15</v>
          </cell>
        </row>
        <row r="460">
          <cell r="B460" t="str">
            <v>Pavimentadora</v>
          </cell>
          <cell r="C460" t="str">
            <v>hr</v>
          </cell>
          <cell r="D460">
            <v>6584.4</v>
          </cell>
        </row>
        <row r="461">
          <cell r="B461" t="str">
            <v>Rodillo Liso</v>
          </cell>
          <cell r="C461" t="str">
            <v>hr</v>
          </cell>
          <cell r="D461">
            <v>3717</v>
          </cell>
        </row>
        <row r="462">
          <cell r="B462" t="str">
            <v>Rodillo Neumatico</v>
          </cell>
          <cell r="C462" t="str">
            <v>hr</v>
          </cell>
          <cell r="D462">
            <v>3610</v>
          </cell>
        </row>
        <row r="464">
          <cell r="B464" t="str">
            <v>Generador electrico (inc. combustible y operador)</v>
          </cell>
          <cell r="C464" t="str">
            <v>mes</v>
          </cell>
          <cell r="D464">
            <v>21447</v>
          </cell>
        </row>
        <row r="465">
          <cell r="B465" t="str">
            <v>Luminarias</v>
          </cell>
          <cell r="C465" t="str">
            <v>mes</v>
          </cell>
          <cell r="D465">
            <v>26808.749999999996</v>
          </cell>
          <cell r="E465">
            <v>0</v>
          </cell>
        </row>
        <row r="466">
          <cell r="B466" t="str">
            <v>Tractor (inc operador, combustible y lubricante)</v>
          </cell>
          <cell r="C466" t="str">
            <v>hr</v>
          </cell>
          <cell r="D466">
            <v>4250</v>
          </cell>
          <cell r="E466">
            <v>0</v>
          </cell>
        </row>
        <row r="467">
          <cell r="B467" t="str">
            <v>Motoniveladora (inc operador, combustible y lubricante)</v>
          </cell>
          <cell r="C467" t="str">
            <v>hr</v>
          </cell>
          <cell r="D467">
            <v>2500</v>
          </cell>
          <cell r="E467">
            <v>0</v>
          </cell>
        </row>
        <row r="468">
          <cell r="B468" t="str">
            <v>Rodillo (inc operador, combustible y lubricante)</v>
          </cell>
          <cell r="C468" t="str">
            <v>hr</v>
          </cell>
          <cell r="D468">
            <v>2400</v>
          </cell>
          <cell r="E468">
            <v>0</v>
          </cell>
        </row>
        <row r="469">
          <cell r="B469" t="str">
            <v>Bote a 0-5km</v>
          </cell>
          <cell r="C469" t="str">
            <v>m3e</v>
          </cell>
          <cell r="D469">
            <v>123.80000000000001</v>
          </cell>
          <cell r="E469">
            <v>0</v>
          </cell>
        </row>
        <row r="470">
          <cell r="B470" t="str">
            <v xml:space="preserve">Bote a 5.01-10 km </v>
          </cell>
          <cell r="C470" t="str">
            <v>m3e</v>
          </cell>
          <cell r="D470">
            <v>96.1</v>
          </cell>
          <cell r="E470">
            <v>0</v>
          </cell>
        </row>
        <row r="471">
          <cell r="B471" t="str">
            <v>Bote a 10.01-12 km</v>
          </cell>
          <cell r="C471" t="str">
            <v>m3e</v>
          </cell>
          <cell r="D471">
            <v>36.42</v>
          </cell>
          <cell r="E471">
            <v>0</v>
          </cell>
        </row>
        <row r="472">
          <cell r="B472" t="str">
            <v>Bote a 5km (inc. carguio con paleros)</v>
          </cell>
          <cell r="C472" t="str">
            <v>m3e</v>
          </cell>
          <cell r="D472">
            <v>365</v>
          </cell>
          <cell r="E472">
            <v>0</v>
          </cell>
        </row>
        <row r="473">
          <cell r="B473" t="str">
            <v>Camion cisterna (inc operador, combustible y lubricante)</v>
          </cell>
          <cell r="C473" t="str">
            <v>hr</v>
          </cell>
          <cell r="D473">
            <v>400</v>
          </cell>
          <cell r="E473">
            <v>0</v>
          </cell>
        </row>
        <row r="474">
          <cell r="B474" t="str">
            <v>Pala cargadora (inc operador, combustible y lubricante)</v>
          </cell>
          <cell r="C474" t="str">
            <v>hr</v>
          </cell>
          <cell r="D474">
            <v>2800</v>
          </cell>
          <cell r="E474">
            <v>0</v>
          </cell>
        </row>
        <row r="475">
          <cell r="B475" t="str">
            <v>Herramientas</v>
          </cell>
          <cell r="C475" t="str">
            <v>Pa</v>
          </cell>
          <cell r="D475">
            <v>0.03</v>
          </cell>
          <cell r="E475">
            <v>0</v>
          </cell>
        </row>
        <row r="476">
          <cell r="B476" t="str">
            <v>Compactador manual (inc operador, combustible y lubricantes)</v>
          </cell>
          <cell r="C476" t="str">
            <v>hr</v>
          </cell>
          <cell r="D476">
            <v>283.33333333333331</v>
          </cell>
          <cell r="E476">
            <v>0</v>
          </cell>
        </row>
        <row r="477">
          <cell r="B477" t="str">
            <v>Grua 6 ton (inc operador, combustible y lubricantes)</v>
          </cell>
          <cell r="C477" t="str">
            <v>hr</v>
          </cell>
          <cell r="D477">
            <v>1500</v>
          </cell>
          <cell r="E477">
            <v>0</v>
          </cell>
        </row>
        <row r="478">
          <cell r="B478" t="str">
            <v>Acarreo de 0 - 5 km</v>
          </cell>
          <cell r="C478" t="str">
            <v>m3e-km</v>
          </cell>
          <cell r="D478">
            <v>24.76</v>
          </cell>
          <cell r="E478">
            <v>0</v>
          </cell>
        </row>
        <row r="479">
          <cell r="B479" t="str">
            <v>Acarreo de 5.1 - 10 km</v>
          </cell>
          <cell r="C479" t="str">
            <v>m3e-km</v>
          </cell>
          <cell r="D479">
            <v>19.22</v>
          </cell>
          <cell r="E479">
            <v>0</v>
          </cell>
        </row>
        <row r="480">
          <cell r="B480" t="str">
            <v>Acarreo de 10.1 - 20 km</v>
          </cell>
          <cell r="C480" t="str">
            <v>m3e-km</v>
          </cell>
          <cell r="D480">
            <v>18.21</v>
          </cell>
          <cell r="E480">
            <v>0</v>
          </cell>
        </row>
        <row r="481">
          <cell r="B481" t="str">
            <v>Acarreo de &gt; 20 km</v>
          </cell>
          <cell r="C481" t="str">
            <v>m3e-km</v>
          </cell>
          <cell r="D481">
            <v>17.88</v>
          </cell>
          <cell r="E481">
            <v>0</v>
          </cell>
        </row>
        <row r="482">
          <cell r="B482" t="str">
            <v>Bombeo de hormigon</v>
          </cell>
          <cell r="C482" t="str">
            <v>m3</v>
          </cell>
          <cell r="D482">
            <v>400</v>
          </cell>
          <cell r="E482">
            <v>0</v>
          </cell>
        </row>
        <row r="483">
          <cell r="B483" t="str">
            <v>Transporte de banco</v>
          </cell>
          <cell r="C483" t="str">
            <v>viaje</v>
          </cell>
        </row>
        <row r="484">
          <cell r="B484" t="str">
            <v>Movimiento Interno</v>
          </cell>
          <cell r="C484" t="str">
            <v>hr</v>
          </cell>
          <cell r="D484">
            <v>5690</v>
          </cell>
        </row>
        <row r="485">
          <cell r="B485" t="str">
            <v>Encofrado metalico fondo y laterales</v>
          </cell>
          <cell r="C485" t="str">
            <v>m2</v>
          </cell>
          <cell r="D485">
            <v>853.5</v>
          </cell>
        </row>
        <row r="486">
          <cell r="B486" t="str">
            <v>Encofrado Negativo</v>
          </cell>
          <cell r="C486" t="str">
            <v>ml</v>
          </cell>
          <cell r="D486">
            <v>227.6</v>
          </cell>
        </row>
        <row r="487">
          <cell r="B487" t="str">
            <v>Retroexcavadora 320D (Inc. operador, combustible y lubricantes)</v>
          </cell>
          <cell r="C487" t="str">
            <v>hr</v>
          </cell>
          <cell r="D487">
            <v>3000</v>
          </cell>
        </row>
        <row r="488">
          <cell r="B488" t="str">
            <v>Retroexcavadora (Inc.combustible y operador)</v>
          </cell>
          <cell r="C488" t="str">
            <v>hr</v>
          </cell>
          <cell r="D488">
            <v>1790</v>
          </cell>
        </row>
        <row r="489">
          <cell r="B489" t="str">
            <v>Instalación Bancos</v>
          </cell>
          <cell r="C489" t="str">
            <v>Ud</v>
          </cell>
          <cell r="D489">
            <v>682.8</v>
          </cell>
        </row>
        <row r="490">
          <cell r="B490" t="str">
            <v>Pulidora tipo  Helicoptero (Incluye equipo y Operador)</v>
          </cell>
          <cell r="C490" t="str">
            <v>dia</v>
          </cell>
          <cell r="D490">
            <v>3000</v>
          </cell>
        </row>
        <row r="491">
          <cell r="B491" t="str">
            <v>Camioneta (inc. combustible y lubricantes)</v>
          </cell>
          <cell r="C491" t="str">
            <v>mes</v>
          </cell>
          <cell r="D491">
            <v>25000</v>
          </cell>
        </row>
        <row r="492">
          <cell r="B492" t="str">
            <v>Broca Hilti 3/8"</v>
          </cell>
          <cell r="C492" t="str">
            <v>Ud</v>
          </cell>
          <cell r="D492">
            <v>111.53</v>
          </cell>
        </row>
        <row r="493">
          <cell r="B493" t="str">
            <v>Martillo de goma (chapulin)</v>
          </cell>
          <cell r="C493" t="str">
            <v>Ud</v>
          </cell>
          <cell r="D493">
            <v>176.10000000000002</v>
          </cell>
        </row>
        <row r="494">
          <cell r="B494" t="str">
            <v>Cargue en patana</v>
          </cell>
          <cell r="C494" t="str">
            <v>hr</v>
          </cell>
          <cell r="D494">
            <v>5870</v>
          </cell>
        </row>
        <row r="495">
          <cell r="B495" t="str">
            <v>Camion de bote</v>
          </cell>
          <cell r="C495" t="str">
            <v>dia</v>
          </cell>
          <cell r="D495">
            <v>2500</v>
          </cell>
        </row>
        <row r="496">
          <cell r="B496" t="str">
            <v>Camion cama larga (Inc.combustible y operador)</v>
          </cell>
          <cell r="C496" t="str">
            <v>dia</v>
          </cell>
          <cell r="D496">
            <v>8000</v>
          </cell>
        </row>
        <row r="497">
          <cell r="B497" t="str">
            <v>Grua 20 ton (inc operador, combustible y lubricantes)</v>
          </cell>
          <cell r="C497" t="str">
            <v>dia</v>
          </cell>
          <cell r="D497">
            <v>55000</v>
          </cell>
        </row>
        <row r="498">
          <cell r="B498" t="str">
            <v>Compresor para descabece de pilotes</v>
          </cell>
          <cell r="C498" t="str">
            <v>dia</v>
          </cell>
          <cell r="D498">
            <v>4000</v>
          </cell>
        </row>
        <row r="499">
          <cell r="B499" t="str">
            <v xml:space="preserve">Camion distribuidor, Asfalto </v>
          </cell>
          <cell r="C499" t="str">
            <v>Hr</v>
          </cell>
          <cell r="D499">
            <v>1106.25</v>
          </cell>
        </row>
        <row r="500">
          <cell r="B500" t="str">
            <v xml:space="preserve">Rodillo vibrador liso, Asfalto </v>
          </cell>
          <cell r="C500" t="str">
            <v>Hr</v>
          </cell>
          <cell r="D500">
            <v>3398.4</v>
          </cell>
        </row>
        <row r="501">
          <cell r="B501" t="str">
            <v xml:space="preserve">Barredora, Asfalto </v>
          </cell>
          <cell r="C501" t="str">
            <v>Hr</v>
          </cell>
          <cell r="D501">
            <v>1274.4000000000001</v>
          </cell>
        </row>
      </sheetData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caseta_de_planta_(2)"/>
      <sheetName val="cisterna_"/>
      <sheetName val="caseta_de_planta"/>
      <sheetName val="Relacion_de_proyecto"/>
      <sheetName val="Análisis_de_Precios"/>
      <sheetName val="caseta_de_planta_(2)1"/>
      <sheetName val="cisterna_1"/>
      <sheetName val="caseta_de_planta1"/>
      <sheetName val="Relacion_de_proyecto1"/>
      <sheetName val="Análisis_de_Precios1"/>
      <sheetName val="M.O.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</sheetData>
      <sheetData sheetId="3" refreshError="1"/>
      <sheetData sheetId="4"/>
      <sheetData sheetId="5"/>
      <sheetData sheetId="6"/>
      <sheetData sheetId="7"/>
      <sheetData sheetId="8">
        <row r="8">
          <cell r="C8" t="str">
            <v>Cant.</v>
          </cell>
          <cell r="E8" t="str">
            <v>P.U. RD$</v>
          </cell>
        </row>
        <row r="10">
          <cell r="E10" t="str">
            <v>P.A.</v>
          </cell>
        </row>
        <row r="12">
          <cell r="E12" t="str">
            <v xml:space="preserve"> </v>
          </cell>
        </row>
        <row r="13">
          <cell r="E13" t="e">
            <v>#REF!</v>
          </cell>
        </row>
        <row r="14">
          <cell r="E14" t="e">
            <v>#REF!</v>
          </cell>
        </row>
        <row r="15">
          <cell r="E15" t="e">
            <v>#NAME?</v>
          </cell>
        </row>
        <row r="16">
          <cell r="E16" t="e">
            <v>#REF!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#REF!</v>
          </cell>
        </row>
        <row r="20">
          <cell r="E20" t="e">
            <v>#REF!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 t="e">
            <v>#REF!</v>
          </cell>
        </row>
        <row r="24">
          <cell r="E24">
            <v>0</v>
          </cell>
        </row>
        <row r="27">
          <cell r="E27" t="e">
            <v>#REF!</v>
          </cell>
        </row>
        <row r="28">
          <cell r="E28" t="e">
            <v>#REF!</v>
          </cell>
        </row>
        <row r="29">
          <cell r="E29" t="e">
            <v>#REF!</v>
          </cell>
        </row>
        <row r="32">
          <cell r="E32" t="e">
            <v>#REF!</v>
          </cell>
        </row>
        <row r="33">
          <cell r="E33" t="e">
            <v>#REF!</v>
          </cell>
        </row>
        <row r="34">
          <cell r="E34" t="e">
            <v>#REF!</v>
          </cell>
        </row>
        <row r="35">
          <cell r="E35">
            <v>80</v>
          </cell>
        </row>
        <row r="36">
          <cell r="E36" t="e">
            <v>#REF!</v>
          </cell>
        </row>
        <row r="37">
          <cell r="E37">
            <v>0</v>
          </cell>
        </row>
        <row r="38">
          <cell r="E38">
            <v>0</v>
          </cell>
        </row>
        <row r="41">
          <cell r="E41">
            <v>210</v>
          </cell>
        </row>
        <row r="42">
          <cell r="E42">
            <v>450</v>
          </cell>
        </row>
        <row r="43">
          <cell r="E43">
            <v>0</v>
          </cell>
        </row>
        <row r="44">
          <cell r="E44">
            <v>200</v>
          </cell>
        </row>
        <row r="45">
          <cell r="E45">
            <v>100</v>
          </cell>
        </row>
        <row r="46">
          <cell r="E46">
            <v>80</v>
          </cell>
        </row>
        <row r="49">
          <cell r="E49">
            <v>0</v>
          </cell>
        </row>
        <row r="52">
          <cell r="E52" t="e">
            <v>#VALUE!</v>
          </cell>
        </row>
        <row r="54">
          <cell r="E54" t="e">
            <v>#VALUE!</v>
          </cell>
        </row>
        <row r="55">
          <cell r="E55" t="e">
            <v>#REF!</v>
          </cell>
        </row>
        <row r="56">
          <cell r="E56">
            <v>318.20400000000001</v>
          </cell>
        </row>
        <row r="57">
          <cell r="E57" t="e">
            <v>#REF!</v>
          </cell>
        </row>
        <row r="58">
          <cell r="E58" t="e">
            <v>#REF!</v>
          </cell>
        </row>
        <row r="59">
          <cell r="E59">
            <v>0</v>
          </cell>
        </row>
        <row r="63">
          <cell r="E63" t="e">
            <v>#REF!</v>
          </cell>
        </row>
        <row r="64">
          <cell r="E64" t="e">
            <v>#REF!</v>
          </cell>
        </row>
        <row r="65">
          <cell r="E65" t="e">
            <v>#REF!</v>
          </cell>
        </row>
        <row r="66">
          <cell r="E66" t="e">
            <v>#REF!</v>
          </cell>
        </row>
        <row r="67">
          <cell r="E67">
            <v>6919.2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E99">
            <v>0</v>
          </cell>
        </row>
        <row r="102">
          <cell r="E102" t="str">
            <v>P.A.</v>
          </cell>
        </row>
        <row r="103">
          <cell r="E103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2">
          <cell r="E112" t="str">
            <v>P.A.</v>
          </cell>
        </row>
        <row r="113">
          <cell r="E113" t="str">
            <v>P.A.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5">
          <cell r="E125">
            <v>0</v>
          </cell>
        </row>
        <row r="126">
          <cell r="E126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 t="str">
            <v xml:space="preserve"> 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 t="str">
            <v xml:space="preserve"> </v>
          </cell>
        </row>
        <row r="139">
          <cell r="E139">
            <v>0</v>
          </cell>
        </row>
        <row r="140"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>
        <row r="7">
          <cell r="C7" t="str">
            <v>Cant.</v>
          </cell>
        </row>
      </sheetData>
      <sheetData sheetId="19"/>
      <sheetData sheetId="20"/>
      <sheetData sheetId="21"/>
      <sheetData sheetId="22"/>
      <sheetData sheetId="23">
        <row r="7">
          <cell r="C7" t="str">
            <v>Cant.</v>
          </cell>
        </row>
      </sheetData>
      <sheetData sheetId="24"/>
      <sheetData sheetId="25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"/>
      <sheetName val="Presupuesto Parque Lineal"/>
      <sheetName val="Analisis Parque lineal"/>
      <sheetName val="Presupuesto Las ballenas"/>
      <sheetName val="Sheet1"/>
      <sheetName val="Analisis Parque las ballenas"/>
      <sheetName val="BASICS"/>
      <sheetName val="PRESUPUESTO_muelle"/>
      <sheetName val="ANALISIS_muelle"/>
      <sheetName val="Sheet2"/>
      <sheetName val="Analisis soporte"/>
      <sheetName val="INSTALACIONES ELECTRICAS"/>
      <sheetName val="ANALISIS DE COSTOS"/>
      <sheetName val="Presupuesto  (2)"/>
    </sheetNames>
    <sheetDataSet>
      <sheetData sheetId="0" refreshError="1"/>
      <sheetData sheetId="1" refreshError="1"/>
      <sheetData sheetId="2" refreshError="1">
        <row r="1493">
          <cell r="G1493">
            <v>358.959</v>
          </cell>
        </row>
      </sheetData>
      <sheetData sheetId="3" refreshError="1">
        <row r="23">
          <cell r="G23">
            <v>31266.329999999998</v>
          </cell>
        </row>
        <row r="27">
          <cell r="G27">
            <v>612515.03</v>
          </cell>
        </row>
        <row r="30">
          <cell r="G30">
            <v>84488</v>
          </cell>
        </row>
        <row r="32">
          <cell r="G32">
            <v>167074.14000000001</v>
          </cell>
        </row>
      </sheetData>
      <sheetData sheetId="4" refreshError="1"/>
      <sheetData sheetId="5" refreshError="1"/>
      <sheetData sheetId="6" refreshError="1">
        <row r="2">
          <cell r="C2" t="str">
            <v>Unidad</v>
          </cell>
          <cell r="D2" t="str">
            <v>PU (Inc ITBIS)</v>
          </cell>
        </row>
        <row r="3">
          <cell r="B3" t="str">
            <v>MANO DE OBRA</v>
          </cell>
          <cell r="C3">
            <v>0</v>
          </cell>
          <cell r="D3">
            <v>0</v>
          </cell>
        </row>
        <row r="5">
          <cell r="B5" t="str">
            <v>Limpieza del solar</v>
          </cell>
          <cell r="C5" t="str">
            <v>Pa</v>
          </cell>
          <cell r="D5">
            <v>7000</v>
          </cell>
        </row>
        <row r="6">
          <cell r="B6" t="str">
            <v>Sereno</v>
          </cell>
          <cell r="C6" t="str">
            <v>mes</v>
          </cell>
          <cell r="D6">
            <v>17181.43</v>
          </cell>
        </row>
        <row r="7">
          <cell r="B7" t="str">
            <v>Guardalmacen</v>
          </cell>
          <cell r="C7" t="str">
            <v>mes</v>
          </cell>
          <cell r="D7">
            <v>20184.009999999998</v>
          </cell>
        </row>
        <row r="8">
          <cell r="B8" t="str">
            <v>2 Peones p/ realizacion de Sendero</v>
          </cell>
          <cell r="C8" t="str">
            <v>m2</v>
          </cell>
          <cell r="D8">
            <v>72.099999999999994</v>
          </cell>
        </row>
        <row r="9">
          <cell r="B9" t="str">
            <v>Capataz</v>
          </cell>
          <cell r="C9" t="str">
            <v>m2</v>
          </cell>
          <cell r="D9">
            <v>85</v>
          </cell>
        </row>
        <row r="10">
          <cell r="B10" t="str">
            <v>Trabajador no calificado</v>
          </cell>
          <cell r="C10" t="str">
            <v>dia</v>
          </cell>
          <cell r="D10">
            <v>659</v>
          </cell>
        </row>
        <row r="11">
          <cell r="B11" t="str">
            <v>Trabajador calificado</v>
          </cell>
          <cell r="C11" t="str">
            <v>dia</v>
          </cell>
          <cell r="D11">
            <v>721</v>
          </cell>
        </row>
        <row r="12">
          <cell r="B12" t="str">
            <v>Ayudante</v>
          </cell>
          <cell r="C12" t="str">
            <v>dia</v>
          </cell>
          <cell r="D12">
            <v>847</v>
          </cell>
        </row>
        <row r="13">
          <cell r="B13" t="str">
            <v>Operario de tercera categoria</v>
          </cell>
          <cell r="C13" t="str">
            <v>dia</v>
          </cell>
          <cell r="D13">
            <v>1100</v>
          </cell>
        </row>
        <row r="14">
          <cell r="B14" t="str">
            <v>Operario de segunda categoria</v>
          </cell>
          <cell r="C14" t="str">
            <v>dia</v>
          </cell>
          <cell r="D14">
            <v>1255</v>
          </cell>
        </row>
        <row r="15">
          <cell r="B15" t="str">
            <v>Operario de primera categoria</v>
          </cell>
          <cell r="C15" t="str">
            <v>dia</v>
          </cell>
          <cell r="D15">
            <v>1569</v>
          </cell>
        </row>
        <row r="16">
          <cell r="B16" t="str">
            <v>Maestro</v>
          </cell>
          <cell r="C16" t="str">
            <v>dia</v>
          </cell>
          <cell r="D16">
            <v>1977</v>
          </cell>
        </row>
        <row r="17">
          <cell r="B17" t="str">
            <v>No aplica</v>
          </cell>
          <cell r="C17" t="str">
            <v>n/a</v>
          </cell>
          <cell r="D17">
            <v>0</v>
          </cell>
        </row>
        <row r="18">
          <cell r="B18" t="str">
            <v>Mantenimiento Desbroce, Poda, riego, fertilización, control plagas y enfermedades (arborizacion parque lineal domingo savio)</v>
          </cell>
          <cell r="C18" t="str">
            <v>mes</v>
          </cell>
          <cell r="D18">
            <v>40000</v>
          </cell>
        </row>
        <row r="19">
          <cell r="B19" t="str">
            <v>Mantenimiento Desbroce, Poda, riego, fertilización, control plagas y enfermedades (campo de beisbol)</v>
          </cell>
          <cell r="C19" t="str">
            <v>mes</v>
          </cell>
          <cell r="D19">
            <v>20000</v>
          </cell>
        </row>
        <row r="20">
          <cell r="B20" t="str">
            <v>Habilitación de terreno: Desbroce, Limpieza, Nivelación y Bote c</v>
          </cell>
          <cell r="C20" t="str">
            <v>m2</v>
          </cell>
          <cell r="D20">
            <v>50</v>
          </cell>
        </row>
        <row r="21">
          <cell r="B21" t="str">
            <v>Excavación para siembra de arboles inc. carguío y bote</v>
          </cell>
          <cell r="C21" t="str">
            <v>m3</v>
          </cell>
          <cell r="D21">
            <v>600</v>
          </cell>
        </row>
        <row r="22">
          <cell r="B22" t="str">
            <v>Vaciado y frotado de aceras</v>
          </cell>
          <cell r="C22" t="str">
            <v>m3</v>
          </cell>
          <cell r="D22">
            <v>1959</v>
          </cell>
        </row>
        <row r="23">
          <cell r="B23" t="str">
            <v>Corte de juntas</v>
          </cell>
          <cell r="C23" t="str">
            <v>ml</v>
          </cell>
          <cell r="D23">
            <v>35</v>
          </cell>
        </row>
        <row r="24">
          <cell r="B24" t="str">
            <v>Suministro y colocacion de sellado de juntas</v>
          </cell>
          <cell r="C24" t="str">
            <v>ml</v>
          </cell>
          <cell r="D24">
            <v>25</v>
          </cell>
        </row>
        <row r="25">
          <cell r="B25" t="str">
            <v>Suministro y colocacion de sellado de juntas e=3/4"</v>
          </cell>
          <cell r="C25" t="str">
            <v>ml</v>
          </cell>
          <cell r="D25">
            <v>50</v>
          </cell>
        </row>
        <row r="26">
          <cell r="B26" t="str">
            <v>Aplicacion de curador</v>
          </cell>
          <cell r="C26" t="str">
            <v>m2</v>
          </cell>
          <cell r="D26">
            <v>10</v>
          </cell>
        </row>
        <row r="27">
          <cell r="B27" t="str">
            <v>Corte ladrillos y adoquines</v>
          </cell>
          <cell r="C27" t="str">
            <v>u</v>
          </cell>
          <cell r="D27">
            <v>62.54</v>
          </cell>
        </row>
        <row r="28">
          <cell r="B28" t="str">
            <v>M.O. Piso Adoquines</v>
          </cell>
          <cell r="C28" t="str">
            <v>m2</v>
          </cell>
          <cell r="D28">
            <v>119.67</v>
          </cell>
        </row>
        <row r="29">
          <cell r="B29" t="str">
            <v>M.O. Prep. superficie p/colocar piso (Terreno)</v>
          </cell>
          <cell r="C29" t="str">
            <v>m2</v>
          </cell>
          <cell r="D29">
            <v>50</v>
          </cell>
        </row>
        <row r="30">
          <cell r="B30" t="str">
            <v>Aplicacion Hidrofugo tipo Protecsil</v>
          </cell>
          <cell r="C30" t="str">
            <v>m2</v>
          </cell>
          <cell r="D30">
            <v>0</v>
          </cell>
        </row>
        <row r="31">
          <cell r="B31" t="str">
            <v>Aplicacion Oleofugo tipo MFP 38</v>
          </cell>
          <cell r="C31" t="str">
            <v>m2</v>
          </cell>
          <cell r="D31">
            <v>0</v>
          </cell>
        </row>
        <row r="32">
          <cell r="B32" t="str">
            <v>Encofrado TC de bancos</v>
          </cell>
          <cell r="C32" t="str">
            <v>ud</v>
          </cell>
          <cell r="D32">
            <v>600</v>
          </cell>
        </row>
        <row r="33">
          <cell r="B33" t="str">
            <v>Terminacion de superficie</v>
          </cell>
          <cell r="C33" t="str">
            <v>m2</v>
          </cell>
          <cell r="D33">
            <v>150</v>
          </cell>
        </row>
        <row r="34">
          <cell r="B34" t="str">
            <v>Excavación a mano</v>
          </cell>
          <cell r="C34" t="str">
            <v>m3</v>
          </cell>
          <cell r="D34">
            <v>600</v>
          </cell>
        </row>
        <row r="35">
          <cell r="B35" t="str">
            <v>Traslado de material</v>
          </cell>
          <cell r="C35" t="str">
            <v>m3</v>
          </cell>
          <cell r="D35">
            <v>200</v>
          </cell>
        </row>
        <row r="36">
          <cell r="B36" t="str">
            <v>Brigada topografica (inc. estacion total)</v>
          </cell>
          <cell r="C36" t="str">
            <v>dia</v>
          </cell>
          <cell r="D36">
            <v>7553.5039865715489</v>
          </cell>
        </row>
        <row r="37">
          <cell r="B37" t="str">
            <v>Brigada topografica (1 Topografo y ayudante, incl. Estación)</v>
          </cell>
          <cell r="C37" t="str">
            <v>mes</v>
          </cell>
          <cell r="D37">
            <v>180000</v>
          </cell>
        </row>
        <row r="38">
          <cell r="B38" t="str">
            <v>MO colocacion de acero en losa</v>
          </cell>
          <cell r="C38" t="str">
            <v>qq</v>
          </cell>
          <cell r="D38">
            <v>420</v>
          </cell>
        </row>
        <row r="39">
          <cell r="B39" t="str">
            <v>MO piso hormigon frotado</v>
          </cell>
          <cell r="C39" t="str">
            <v>m2</v>
          </cell>
          <cell r="D39">
            <v>130</v>
          </cell>
        </row>
        <row r="40">
          <cell r="B40" t="str">
            <v>MO piso de hormigon frotado 10 cm espesor</v>
          </cell>
          <cell r="C40" t="str">
            <v>m2</v>
          </cell>
          <cell r="D40">
            <v>113.99</v>
          </cell>
        </row>
        <row r="41">
          <cell r="B41" t="str">
            <v>Encofrado TC platea de fundacion e=0.20m</v>
          </cell>
          <cell r="C41" t="str">
            <v>ml</v>
          </cell>
          <cell r="D41">
            <v>143.75</v>
          </cell>
        </row>
        <row r="42">
          <cell r="B42" t="str">
            <v>Encofrado p/ Losa de Piso e=0.10m</v>
          </cell>
          <cell r="C42" t="str">
            <v>ml</v>
          </cell>
          <cell r="D42">
            <v>143.75</v>
          </cell>
        </row>
        <row r="43">
          <cell r="B43" t="str">
            <v>MO colocacion de acero zapata de muro</v>
          </cell>
          <cell r="C43" t="str">
            <v>ml</v>
          </cell>
          <cell r="D43">
            <v>125</v>
          </cell>
        </row>
        <row r="44">
          <cell r="B44" t="str">
            <v>Encofrado TC losa asiento grada</v>
          </cell>
          <cell r="C44" t="str">
            <v>m3</v>
          </cell>
          <cell r="D44">
            <v>800</v>
          </cell>
        </row>
        <row r="45">
          <cell r="B45" t="str">
            <v>MO vaciado, frotado y pulido de hormigon en gradas</v>
          </cell>
          <cell r="C45" t="str">
            <v>m2</v>
          </cell>
          <cell r="D45">
            <v>200</v>
          </cell>
        </row>
        <row r="46">
          <cell r="B46" t="str">
            <v>MO piso hormigon frotado y pulido</v>
          </cell>
          <cell r="C46" t="str">
            <v>m2</v>
          </cell>
          <cell r="D46">
            <v>235</v>
          </cell>
        </row>
        <row r="47">
          <cell r="B47" t="str">
            <v>Piso pulido con Helicoptero</v>
          </cell>
          <cell r="C47" t="str">
            <v>m2</v>
          </cell>
          <cell r="D47">
            <v>150</v>
          </cell>
        </row>
        <row r="48">
          <cell r="B48" t="str">
            <v>Encofrado TC viga de amarre 20x20</v>
          </cell>
          <cell r="C48" t="str">
            <v>ml</v>
          </cell>
          <cell r="D48">
            <v>351.25</v>
          </cell>
        </row>
        <row r="49">
          <cell r="B49" t="str">
            <v>MO colocacion de acero dintel y viga de amarre</v>
          </cell>
          <cell r="C49" t="str">
            <v>ml</v>
          </cell>
          <cell r="D49">
            <v>125</v>
          </cell>
        </row>
        <row r="50">
          <cell r="B50" t="str">
            <v>MO corte y amarre de varilla</v>
          </cell>
          <cell r="C50" t="str">
            <v>ud</v>
          </cell>
          <cell r="D50">
            <v>0.97</v>
          </cell>
        </row>
        <row r="51">
          <cell r="B51" t="str">
            <v>MO llenar hueco bloque a 0.60</v>
          </cell>
          <cell r="C51" t="str">
            <v>ud</v>
          </cell>
          <cell r="D51">
            <v>2.89</v>
          </cell>
        </row>
        <row r="52">
          <cell r="B52" t="str">
            <v>MO colocacion bloque 8"</v>
          </cell>
          <cell r="C52" t="str">
            <v>ud</v>
          </cell>
          <cell r="D52">
            <v>24.05</v>
          </cell>
        </row>
        <row r="53">
          <cell r="B53" t="str">
            <v>MO colocacion bloque 6"</v>
          </cell>
          <cell r="C53" t="str">
            <v>ud</v>
          </cell>
          <cell r="D53">
            <v>21.65</v>
          </cell>
        </row>
        <row r="54">
          <cell r="B54" t="str">
            <v>MO pañete maestreado a plomo</v>
          </cell>
          <cell r="C54" t="str">
            <v>m2</v>
          </cell>
          <cell r="D54">
            <v>173.98</v>
          </cell>
        </row>
        <row r="55">
          <cell r="B55" t="str">
            <v>Andamios TC para pañete</v>
          </cell>
          <cell r="C55" t="str">
            <v>m2</v>
          </cell>
          <cell r="D55">
            <v>52</v>
          </cell>
        </row>
        <row r="56">
          <cell r="B56" t="str">
            <v>MO fraguache con escoba</v>
          </cell>
          <cell r="C56" t="str">
            <v>m2</v>
          </cell>
          <cell r="D56">
            <v>26.13</v>
          </cell>
        </row>
        <row r="57">
          <cell r="B57" t="str">
            <v>MO canto</v>
          </cell>
          <cell r="C57" t="str">
            <v>ml</v>
          </cell>
          <cell r="D57">
            <v>65</v>
          </cell>
        </row>
        <row r="58">
          <cell r="B58" t="str">
            <v>MO mocheta</v>
          </cell>
          <cell r="C58" t="str">
            <v>ml</v>
          </cell>
          <cell r="D58">
            <v>65</v>
          </cell>
        </row>
        <row r="59">
          <cell r="B59" t="str">
            <v>MO piedra sobre paredes</v>
          </cell>
          <cell r="C59" t="str">
            <v>m2</v>
          </cell>
          <cell r="D59">
            <v>10</v>
          </cell>
        </row>
        <row r="60">
          <cell r="B60" t="str">
            <v>MO pintura 2 manos + masilla + lija</v>
          </cell>
          <cell r="C60" t="str">
            <v>m2</v>
          </cell>
          <cell r="D60">
            <v>54.27</v>
          </cell>
        </row>
        <row r="61">
          <cell r="B61" t="str">
            <v>Encofrado TC viga BNP 15x20</v>
          </cell>
          <cell r="C61" t="str">
            <v>ml</v>
          </cell>
          <cell r="D61">
            <v>351.83</v>
          </cell>
        </row>
        <row r="62">
          <cell r="B62" t="str">
            <v>MO zabaleta de piso</v>
          </cell>
          <cell r="C62" t="str">
            <v>ml</v>
          </cell>
          <cell r="D62">
            <v>48.5</v>
          </cell>
        </row>
        <row r="63">
          <cell r="B63" t="str">
            <v>M.O. Encof. y desenc. Col. y viga amarre</v>
          </cell>
          <cell r="C63" t="str">
            <v>m</v>
          </cell>
          <cell r="D63">
            <v>200.26</v>
          </cell>
        </row>
        <row r="64">
          <cell r="B64" t="str">
            <v>M.O. Coloc. malla ciclónica  6'</v>
          </cell>
          <cell r="C64" t="str">
            <v>m</v>
          </cell>
          <cell r="D64">
            <v>505.03</v>
          </cell>
        </row>
        <row r="65">
          <cell r="B65" t="str">
            <v>M.O. Exc. Tierra a mano  3 m. prof. (Zapata)</v>
          </cell>
          <cell r="C65" t="str">
            <v>m3</v>
          </cell>
          <cell r="D65">
            <v>365.03</v>
          </cell>
        </row>
        <row r="66">
          <cell r="B66" t="str">
            <v>Soldadura de abrazaderas</v>
          </cell>
          <cell r="C66" t="str">
            <v>u</v>
          </cell>
          <cell r="D66">
            <v>7.85</v>
          </cell>
        </row>
        <row r="67">
          <cell r="B67" t="str">
            <v>S/I de Home plate en goma 19"x19"</v>
          </cell>
          <cell r="C67" t="str">
            <v>u</v>
          </cell>
          <cell r="D67">
            <v>2490.0005999999998</v>
          </cell>
        </row>
        <row r="68">
          <cell r="B68" t="str">
            <v>S/I de juego de bases de beisbol amateur canvas cover 15"x15"x3"</v>
          </cell>
          <cell r="C68" t="str">
            <v>u</v>
          </cell>
          <cell r="D68">
            <v>3325.0039999999999</v>
          </cell>
        </row>
        <row r="69">
          <cell r="B69" t="str">
            <v>Placa de pitcher</v>
          </cell>
          <cell r="C69" t="str">
            <v>u</v>
          </cell>
          <cell r="D69">
            <v>1800</v>
          </cell>
        </row>
        <row r="70">
          <cell r="B70" t="str">
            <v>S/I poste foulball Ø4" de 20' HN (inc. excavacion, zapata y pedestal, placa y tornillos metalicos, reja vertical, punta metalica, pintura epoxica e instalacion con grua)</v>
          </cell>
          <cell r="C70" t="str">
            <v>Ud</v>
          </cell>
          <cell r="D70">
            <v>45000</v>
          </cell>
        </row>
        <row r="71">
          <cell r="B71" t="str">
            <v xml:space="preserve">Corte de juntas </v>
          </cell>
          <cell r="C71" t="str">
            <v>ml</v>
          </cell>
          <cell r="D71">
            <v>35</v>
          </cell>
        </row>
        <row r="72">
          <cell r="B72" t="str">
            <v>Maestro de Carpinteria</v>
          </cell>
          <cell r="C72" t="str">
            <v>dia</v>
          </cell>
          <cell r="D72">
            <v>1719.25</v>
          </cell>
        </row>
        <row r="73">
          <cell r="B73" t="str">
            <v>Ayudante de Cartpinteria</v>
          </cell>
          <cell r="C73" t="str">
            <v>dia</v>
          </cell>
          <cell r="D73">
            <v>736.63</v>
          </cell>
        </row>
        <row r="74">
          <cell r="B74" t="str">
            <v>Peon Carpinteria</v>
          </cell>
          <cell r="C74" t="str">
            <v>dia</v>
          </cell>
          <cell r="D74">
            <v>572.64</v>
          </cell>
        </row>
        <row r="75">
          <cell r="B75" t="str">
            <v xml:space="preserve">Peon p/ Brigada Topografica </v>
          </cell>
          <cell r="C75" t="str">
            <v>mes</v>
          </cell>
          <cell r="D75">
            <v>572.64</v>
          </cell>
        </row>
        <row r="76">
          <cell r="B76" t="str">
            <v>MO pintura de mantenimiento 2 manos</v>
          </cell>
          <cell r="C76" t="str">
            <v>m2</v>
          </cell>
          <cell r="D76">
            <v>50.960000000000008</v>
          </cell>
        </row>
        <row r="77">
          <cell r="B77" t="str">
            <v>MO pintura de impermeabilizante 2 manos</v>
          </cell>
          <cell r="C77" t="str">
            <v>m2</v>
          </cell>
          <cell r="D77">
            <v>50.960000000000008</v>
          </cell>
        </row>
        <row r="78">
          <cell r="B78" t="str">
            <v>MO pintura de impermeabilizante 1 manos</v>
          </cell>
          <cell r="C78" t="str">
            <v>m2</v>
          </cell>
          <cell r="D78">
            <v>32.090000000000003</v>
          </cell>
        </row>
        <row r="79">
          <cell r="B79" t="str">
            <v>MO Encofrado y desemcofrado metalico</v>
          </cell>
          <cell r="C79" t="str">
            <v>m2</v>
          </cell>
          <cell r="D79">
            <v>483.65</v>
          </cell>
        </row>
        <row r="80">
          <cell r="B80" t="str">
            <v>MO Ayudante de albañil</v>
          </cell>
          <cell r="C80" t="str">
            <v>dia</v>
          </cell>
          <cell r="D80">
            <v>736.63</v>
          </cell>
        </row>
        <row r="81">
          <cell r="B81" t="str">
            <v>MO instalación de aparatos sanitarios</v>
          </cell>
          <cell r="C81" t="str">
            <v>und</v>
          </cell>
          <cell r="D81">
            <v>1700</v>
          </cell>
        </row>
        <row r="82">
          <cell r="B82" t="str">
            <v>Fino en techo horizontal sin incluir subida de material</v>
          </cell>
          <cell r="C82" t="str">
            <v>m2</v>
          </cell>
          <cell r="D82">
            <v>103.21</v>
          </cell>
        </row>
        <row r="83">
          <cell r="B83" t="str">
            <v>Subida de material</v>
          </cell>
          <cell r="C83" t="str">
            <v>P.a</v>
          </cell>
          <cell r="D83">
            <v>12</v>
          </cell>
        </row>
        <row r="84">
          <cell r="B84" t="str">
            <v>MO pañete en techo y vigas</v>
          </cell>
          <cell r="C84" t="str">
            <v>m2</v>
          </cell>
          <cell r="D84">
            <v>154</v>
          </cell>
        </row>
        <row r="85">
          <cell r="B85" t="str">
            <v>Cantos en vigas,columnas,antepecho, y mochetas.</v>
          </cell>
          <cell r="C85" t="str">
            <v>ml</v>
          </cell>
          <cell r="D85">
            <v>51.74</v>
          </cell>
        </row>
        <row r="86">
          <cell r="B86" t="str">
            <v>MO zabaleta en techo</v>
          </cell>
          <cell r="C86" t="str">
            <v>ml</v>
          </cell>
          <cell r="D86">
            <v>55.06</v>
          </cell>
        </row>
        <row r="87">
          <cell r="B87" t="str">
            <v>MO piso hormigon semi pulido</v>
          </cell>
          <cell r="C87" t="str">
            <v>m2</v>
          </cell>
          <cell r="D87">
            <v>103.3</v>
          </cell>
        </row>
        <row r="88">
          <cell r="B88" t="str">
            <v>MO piso de hormigon frotado 20 cm espesor</v>
          </cell>
          <cell r="C88" t="str">
            <v>m2</v>
          </cell>
          <cell r="D88">
            <v>130</v>
          </cell>
        </row>
        <row r="89">
          <cell r="B89" t="str">
            <v>M.O. Col. 20x20 hasta 30x30 cm (Conf. madera)</v>
          </cell>
          <cell r="C89" t="str">
            <v>m2</v>
          </cell>
          <cell r="D89">
            <v>142.81</v>
          </cell>
        </row>
        <row r="90">
          <cell r="B90" t="str">
            <v>M.O. Col. 20x20 hasta 30x30 cm (Inst. madera)</v>
          </cell>
          <cell r="C90" t="str">
            <v>m2</v>
          </cell>
          <cell r="D90">
            <v>163.76</v>
          </cell>
        </row>
        <row r="91">
          <cell r="B91" t="str">
            <v>M.O. Desencof. Columnas y Muros (Desencofrado)</v>
          </cell>
          <cell r="C91" t="str">
            <v>m2</v>
          </cell>
          <cell r="D91">
            <v>24.76</v>
          </cell>
        </row>
        <row r="92">
          <cell r="B92" t="str">
            <v>M.O. Coloc. acero COLUMNA 3/8" ó 1/2", hasta 6 de 1/2"</v>
          </cell>
          <cell r="C92" t="str">
            <v>m</v>
          </cell>
          <cell r="D92">
            <v>94.62</v>
          </cell>
        </row>
        <row r="93">
          <cell r="B93" t="str">
            <v>M.O. Falso piso hasta 2.75 m. alto o M.O. Vuelo cont. (Conf. Madera)</v>
          </cell>
          <cell r="C93" t="str">
            <v>m2</v>
          </cell>
          <cell r="D93">
            <v>142.81</v>
          </cell>
        </row>
        <row r="94">
          <cell r="B94" t="str">
            <v>M.O. Desencof. Falso Piso, hasta 2.75 m. alt. (Desencofrado)</v>
          </cell>
          <cell r="C94" t="str">
            <v>m2</v>
          </cell>
          <cell r="D94">
            <v>30.46</v>
          </cell>
        </row>
        <row r="95">
          <cell r="B95" t="str">
            <v>M.O. Coloc. acero alta resistencia</v>
          </cell>
          <cell r="C95" t="str">
            <v>qq</v>
          </cell>
          <cell r="D95">
            <v>420</v>
          </cell>
        </row>
        <row r="96">
          <cell r="B96" t="str">
            <v>M.O. Subir acero techo 2do. Nivel (10%) (Subida acero)</v>
          </cell>
          <cell r="D96">
            <v>0</v>
          </cell>
        </row>
        <row r="97">
          <cell r="B97" t="str">
            <v xml:space="preserve">Personal por la casa </v>
          </cell>
          <cell r="C97" t="str">
            <v>m3</v>
          </cell>
          <cell r="D97">
            <v>400</v>
          </cell>
        </row>
        <row r="98">
          <cell r="B98" t="str">
            <v>MO de mallaelectrosoldada</v>
          </cell>
          <cell r="C98" t="str">
            <v>m2</v>
          </cell>
          <cell r="D98">
            <v>45</v>
          </cell>
        </row>
        <row r="99">
          <cell r="B99" t="str">
            <v>Colocacion de Geomembrana</v>
          </cell>
          <cell r="C99" t="str">
            <v>m2</v>
          </cell>
          <cell r="D99">
            <v>88.050000000000011</v>
          </cell>
        </row>
        <row r="100">
          <cell r="B100" t="str">
            <v>M .O Inst, Orinal</v>
          </cell>
          <cell r="C100" t="str">
            <v>und</v>
          </cell>
          <cell r="D100">
            <v>1065</v>
          </cell>
        </row>
        <row r="101">
          <cell r="B101" t="str">
            <v>M .O Inst, Inodoro</v>
          </cell>
          <cell r="C101" t="str">
            <v>und</v>
          </cell>
          <cell r="D101">
            <v>1065</v>
          </cell>
        </row>
        <row r="102">
          <cell r="B102" t="str">
            <v>M .O Inst, Ducha</v>
          </cell>
          <cell r="C102" t="str">
            <v>und</v>
          </cell>
          <cell r="D102">
            <v>530</v>
          </cell>
        </row>
        <row r="103">
          <cell r="B103" t="str">
            <v>M .O Inst, Fregadero Doble</v>
          </cell>
          <cell r="C103" t="str">
            <v>und</v>
          </cell>
          <cell r="D103">
            <v>1700</v>
          </cell>
        </row>
        <row r="104">
          <cell r="B104" t="str">
            <v>M .O Inst, Lavamanos</v>
          </cell>
          <cell r="C104" t="str">
            <v>und</v>
          </cell>
          <cell r="D104">
            <v>1450</v>
          </cell>
        </row>
        <row r="105">
          <cell r="B105" t="str">
            <v>M .O Inst, Lavadero</v>
          </cell>
          <cell r="C105" t="str">
            <v>und</v>
          </cell>
          <cell r="D105">
            <v>1460</v>
          </cell>
        </row>
        <row r="106">
          <cell r="B106" t="str">
            <v>M.O confección de moldes para col. redondas de hasta 0.50 m</v>
          </cell>
          <cell r="C106" t="str">
            <v>ml</v>
          </cell>
          <cell r="D106">
            <v>400.2</v>
          </cell>
        </row>
        <row r="107">
          <cell r="B107" t="str">
            <v>Instalación de moldes para columnas redondas de hasta 0.50 mts.</v>
          </cell>
          <cell r="C107" t="str">
            <v>ml</v>
          </cell>
          <cell r="D107">
            <v>211.36</v>
          </cell>
        </row>
        <row r="108">
          <cell r="B108" t="str">
            <v>Encofrado TC bordillo 30x30</v>
          </cell>
          <cell r="C108" t="str">
            <v>ml</v>
          </cell>
          <cell r="D108">
            <v>171.38</v>
          </cell>
        </row>
        <row r="109">
          <cell r="B109" t="str">
            <v>En vigas, dinteles y arcos (área de contacto entre el forro y el concreto)</v>
          </cell>
          <cell r="C109" t="str">
            <v>m2</v>
          </cell>
          <cell r="D109">
            <v>24.76</v>
          </cell>
        </row>
        <row r="110">
          <cell r="B110" t="str">
            <v>Encofrado p/ sendero</v>
          </cell>
          <cell r="C110" t="str">
            <v>ml</v>
          </cell>
          <cell r="D110">
            <v>171.38</v>
          </cell>
        </row>
        <row r="111">
          <cell r="B111" t="str">
            <v>M.O. Desencof. Moldes senderos h= 0.10</v>
          </cell>
          <cell r="C111" t="str">
            <v>m2</v>
          </cell>
          <cell r="D111">
            <v>30.46</v>
          </cell>
        </row>
        <row r="112">
          <cell r="B112" t="str">
            <v>Varilla trabajada</v>
          </cell>
          <cell r="C112" t="str">
            <v>qq</v>
          </cell>
          <cell r="D112">
            <v>420</v>
          </cell>
        </row>
        <row r="113">
          <cell r="B113" t="str">
            <v>Confección e instalación de moldes para vigas de zapata de más de 0.40 mts. X 0.40 mts. hasta 0.50 mts.  x 0.50 mts.</v>
          </cell>
          <cell r="C113" t="str">
            <v xml:space="preserve">ml </v>
          </cell>
          <cell r="D113">
            <v>171.38</v>
          </cell>
        </row>
        <row r="114">
          <cell r="B114" t="str">
            <v>Pintura en superficies rusticas, 2 manos</v>
          </cell>
          <cell r="C114" t="str">
            <v>m2</v>
          </cell>
          <cell r="D114">
            <v>86.83</v>
          </cell>
        </row>
        <row r="115">
          <cell r="B115" t="str">
            <v>Colocacion de tuberia arrastre 4"</v>
          </cell>
          <cell r="C115" t="str">
            <v>ml</v>
          </cell>
          <cell r="D115">
            <v>71.08</v>
          </cell>
        </row>
        <row r="116">
          <cell r="B116" t="str">
            <v>Colocacion de tuberia arrastre 6"</v>
          </cell>
          <cell r="C116" t="str">
            <v>ml</v>
          </cell>
          <cell r="D116">
            <v>71.08</v>
          </cell>
        </row>
        <row r="117">
          <cell r="B117" t="str">
            <v>Colocacion de tuberia arrastre 10"</v>
          </cell>
          <cell r="C117" t="str">
            <v>ml</v>
          </cell>
          <cell r="D117">
            <v>71.08</v>
          </cell>
        </row>
        <row r="118">
          <cell r="B118" t="str">
            <v>Colocacion de piezas arrastre 4"</v>
          </cell>
          <cell r="C118" t="str">
            <v>Ud</v>
          </cell>
          <cell r="D118">
            <v>45</v>
          </cell>
        </row>
        <row r="119">
          <cell r="B119" t="str">
            <v>MO colocacion de malla</v>
          </cell>
          <cell r="C119" t="str">
            <v>m2</v>
          </cell>
          <cell r="D119">
            <v>35</v>
          </cell>
        </row>
        <row r="120">
          <cell r="B120" t="str">
            <v>Subida de materiales 2do piso</v>
          </cell>
          <cell r="C120" t="str">
            <v>Pa</v>
          </cell>
          <cell r="D120">
            <v>0.05</v>
          </cell>
        </row>
        <row r="121">
          <cell r="B121" t="str">
            <v>Director de obra</v>
          </cell>
          <cell r="C121" t="str">
            <v>mes</v>
          </cell>
          <cell r="D121">
            <v>120000</v>
          </cell>
        </row>
        <row r="122">
          <cell r="B122" t="str">
            <v>Ingeniero/arquitecto residente</v>
          </cell>
          <cell r="C122" t="str">
            <v>mes</v>
          </cell>
          <cell r="D122">
            <v>54000</v>
          </cell>
        </row>
        <row r="123">
          <cell r="B123" t="str">
            <v>Encargado de Paisajismo</v>
          </cell>
          <cell r="C123" t="str">
            <v>mes</v>
          </cell>
          <cell r="D123">
            <v>42000</v>
          </cell>
        </row>
        <row r="124">
          <cell r="B124" t="str">
            <v>Ingeniero asistente del director de proyecto</v>
          </cell>
          <cell r="C124" t="str">
            <v>mes</v>
          </cell>
          <cell r="D124">
            <v>84000</v>
          </cell>
        </row>
        <row r="125">
          <cell r="B125" t="str">
            <v>Encargado control y cubicaciones</v>
          </cell>
          <cell r="C125" t="str">
            <v>mes</v>
          </cell>
          <cell r="D125">
            <v>54000</v>
          </cell>
        </row>
        <row r="126">
          <cell r="B126" t="str">
            <v>Encargado de seguridad ocupacional</v>
          </cell>
          <cell r="C126" t="str">
            <v>mes</v>
          </cell>
          <cell r="D126">
            <v>48000</v>
          </cell>
        </row>
        <row r="127">
          <cell r="B127" t="str">
            <v>Armadura</v>
          </cell>
          <cell r="C127" t="str">
            <v>Pa</v>
          </cell>
          <cell r="D127">
            <v>4000</v>
          </cell>
        </row>
        <row r="128">
          <cell r="B128" t="str">
            <v>Soldadura</v>
          </cell>
          <cell r="C128" t="str">
            <v>Pa</v>
          </cell>
          <cell r="D128">
            <v>6000</v>
          </cell>
        </row>
        <row r="129">
          <cell r="B129" t="str">
            <v>Cepillado</v>
          </cell>
          <cell r="C129" t="str">
            <v>Pa</v>
          </cell>
          <cell r="D129">
            <v>1000</v>
          </cell>
        </row>
        <row r="130">
          <cell r="B130" t="str">
            <v>Colocacion barrera de vapor</v>
          </cell>
          <cell r="C130" t="str">
            <v>m2</v>
          </cell>
          <cell r="D130">
            <v>11.5</v>
          </cell>
        </row>
        <row r="131">
          <cell r="B131" t="str">
            <v>Colocacion de hormigon en bancos</v>
          </cell>
          <cell r="C131" t="str">
            <v>m3</v>
          </cell>
          <cell r="D131">
            <v>1174</v>
          </cell>
        </row>
        <row r="132">
          <cell r="B132" t="str">
            <v>Encofrado metalico TC inc MO</v>
          </cell>
          <cell r="C132" t="str">
            <v>m2</v>
          </cell>
          <cell r="D132">
            <v>650</v>
          </cell>
        </row>
        <row r="133">
          <cell r="B133" t="str">
            <v>Encofrado TC mostrador</v>
          </cell>
          <cell r="C133" t="str">
            <v>m3</v>
          </cell>
          <cell r="D133">
            <v>4500</v>
          </cell>
        </row>
        <row r="134">
          <cell r="B134" t="str">
            <v>Encofrado TC losa de techo e=0.12m</v>
          </cell>
          <cell r="C134" t="str">
            <v>m3</v>
          </cell>
          <cell r="D134">
            <v>3833</v>
          </cell>
        </row>
        <row r="135">
          <cell r="B135" t="str">
            <v>Guardera para sendero e=0.10m</v>
          </cell>
          <cell r="C135" t="str">
            <v>ml</v>
          </cell>
          <cell r="D135">
            <v>80</v>
          </cell>
        </row>
        <row r="136">
          <cell r="B136" t="str">
            <v>Encofrado TC bordillo</v>
          </cell>
          <cell r="C136" t="str">
            <v>ml</v>
          </cell>
          <cell r="D136">
            <v>180</v>
          </cell>
        </row>
        <row r="137">
          <cell r="B137" t="str">
            <v>MO confeccion de bordillo</v>
          </cell>
          <cell r="C137" t="str">
            <v>ml</v>
          </cell>
          <cell r="D137">
            <v>150</v>
          </cell>
        </row>
        <row r="138">
          <cell r="B138" t="str">
            <v>Encofrado TC gradas</v>
          </cell>
          <cell r="C138" t="str">
            <v>m2</v>
          </cell>
          <cell r="D138">
            <v>150</v>
          </cell>
        </row>
        <row r="139">
          <cell r="D139">
            <v>0</v>
          </cell>
        </row>
        <row r="140">
          <cell r="D140">
            <v>0</v>
          </cell>
        </row>
        <row r="141">
          <cell r="B141" t="str">
            <v>INSUMOS / MATERIALES</v>
          </cell>
          <cell r="C141">
            <v>0</v>
          </cell>
          <cell r="D141">
            <v>0</v>
          </cell>
        </row>
        <row r="143">
          <cell r="B143" t="str">
            <v>Adoquin tipo Higuey gris Inc transporte (25 ud/m2)</v>
          </cell>
          <cell r="C143" t="str">
            <v>ud</v>
          </cell>
          <cell r="D143">
            <v>28.233569230769231</v>
          </cell>
        </row>
        <row r="144">
          <cell r="B144" t="str">
            <v>Adoquin tipo Higuey rojo Inc transporte (25 ud/m2)</v>
          </cell>
          <cell r="C144" t="str">
            <v>ud</v>
          </cell>
          <cell r="D144">
            <v>34.227969230769233</v>
          </cell>
        </row>
        <row r="145">
          <cell r="B145" t="str">
            <v>Adoquin tipo pavigrama gris Inc transporte (7.75 ud/m2)</v>
          </cell>
          <cell r="C145" t="str">
            <v>ud</v>
          </cell>
          <cell r="D145">
            <v>109.77759324419424</v>
          </cell>
        </row>
        <row r="146">
          <cell r="B146" t="str">
            <v>Furgon oficina 40'</v>
          </cell>
          <cell r="C146" t="str">
            <v>ud</v>
          </cell>
          <cell r="D146">
            <v>25000</v>
          </cell>
        </row>
        <row r="147">
          <cell r="B147" t="str">
            <v>Furgon almacen 40'</v>
          </cell>
          <cell r="C147" t="str">
            <v>ud</v>
          </cell>
          <cell r="D147">
            <v>26500</v>
          </cell>
        </row>
        <row r="148">
          <cell r="B148" t="str">
            <v>Baños portatiles</v>
          </cell>
          <cell r="C148" t="str">
            <v>ud</v>
          </cell>
          <cell r="D148">
            <v>10000</v>
          </cell>
        </row>
        <row r="149">
          <cell r="B149" t="str">
            <v>Mobiliario de oficina</v>
          </cell>
          <cell r="C149" t="str">
            <v>Pa</v>
          </cell>
          <cell r="D149">
            <v>100000</v>
          </cell>
        </row>
        <row r="150">
          <cell r="B150" t="str">
            <v>Material de relleno</v>
          </cell>
          <cell r="C150" t="str">
            <v>m3e</v>
          </cell>
          <cell r="D150">
            <v>200</v>
          </cell>
        </row>
        <row r="151">
          <cell r="B151" t="str">
            <v>Transporte material de relleno</v>
          </cell>
          <cell r="C151" t="str">
            <v>m3e</v>
          </cell>
          <cell r="D151">
            <v>342</v>
          </cell>
        </row>
        <row r="152">
          <cell r="B152" t="str">
            <v>Material clasificado</v>
          </cell>
          <cell r="C152" t="str">
            <v>m3e</v>
          </cell>
          <cell r="D152">
            <v>200</v>
          </cell>
        </row>
        <row r="153">
          <cell r="B153" t="str">
            <v>Transporte material clasificado</v>
          </cell>
          <cell r="C153" t="str">
            <v>m3e</v>
          </cell>
          <cell r="D153">
            <v>342</v>
          </cell>
        </row>
        <row r="154">
          <cell r="B154" t="str">
            <v>Hormigon Industrial f'c=210 kg/cm2</v>
          </cell>
          <cell r="C154" t="str">
            <v>m3</v>
          </cell>
          <cell r="D154">
            <v>4685</v>
          </cell>
        </row>
        <row r="155">
          <cell r="B155" t="str">
            <v>Hormigon Industrial f'c=280 kg/cm2</v>
          </cell>
          <cell r="C155" t="str">
            <v>m3</v>
          </cell>
          <cell r="D155">
            <v>5500</v>
          </cell>
        </row>
        <row r="156">
          <cell r="B156" t="str">
            <v>Hormigon Industrial f'c=350 kg/cm2</v>
          </cell>
          <cell r="C156" t="str">
            <v>m3</v>
          </cell>
          <cell r="D156">
            <v>5950</v>
          </cell>
        </row>
        <row r="157">
          <cell r="B157" t="str">
            <v>Hormigon Industrial f'c=420 kg/cm2 + Fibras sintéticas + aditivos</v>
          </cell>
          <cell r="C157" t="str">
            <v>m3</v>
          </cell>
          <cell r="D157">
            <v>6885</v>
          </cell>
        </row>
        <row r="158">
          <cell r="B158" t="str">
            <v>Curador en base acuosa</v>
          </cell>
          <cell r="C158" t="str">
            <v>gl</v>
          </cell>
          <cell r="D158">
            <v>1700</v>
          </cell>
        </row>
        <row r="159">
          <cell r="B159" t="str">
            <v>Arena azul triturada y lavada</v>
          </cell>
          <cell r="C159" t="str">
            <v>m3e</v>
          </cell>
          <cell r="D159">
            <v>1000</v>
          </cell>
        </row>
        <row r="160">
          <cell r="B160" t="str">
            <v>Transporte arena azul</v>
          </cell>
          <cell r="C160" t="str">
            <v>m3e</v>
          </cell>
          <cell r="D160">
            <v>720</v>
          </cell>
        </row>
        <row r="161">
          <cell r="B161" t="str">
            <v>Hidrofugo</v>
          </cell>
          <cell r="C161" t="str">
            <v>Gal</v>
          </cell>
          <cell r="D161">
            <v>1455.7600000000002</v>
          </cell>
        </row>
        <row r="162">
          <cell r="B162" t="str">
            <v>Oleofugo</v>
          </cell>
          <cell r="C162" t="str">
            <v>Gal</v>
          </cell>
          <cell r="D162">
            <v>1174</v>
          </cell>
        </row>
        <row r="163">
          <cell r="B163" t="str">
            <v>Acero</v>
          </cell>
          <cell r="C163" t="str">
            <v>qq</v>
          </cell>
          <cell r="D163">
            <v>2384.1655420602788</v>
          </cell>
        </row>
        <row r="164">
          <cell r="B164" t="str">
            <v>Estopa</v>
          </cell>
          <cell r="C164" t="str">
            <v>lb</v>
          </cell>
          <cell r="D164">
            <v>58</v>
          </cell>
        </row>
        <row r="165">
          <cell r="B165" t="str">
            <v>Suministro de arena limosa</v>
          </cell>
          <cell r="C165" t="str">
            <v>m3</v>
          </cell>
          <cell r="D165">
            <v>1000</v>
          </cell>
        </row>
        <row r="166">
          <cell r="B166" t="str">
            <v>Suministro de limo</v>
          </cell>
          <cell r="C166" t="str">
            <v>m3</v>
          </cell>
          <cell r="D166">
            <v>900</v>
          </cell>
        </row>
        <row r="167">
          <cell r="B167" t="str">
            <v>Transporte arena limosa</v>
          </cell>
          <cell r="C167" t="str">
            <v>m3e</v>
          </cell>
          <cell r="D167">
            <v>630</v>
          </cell>
        </row>
        <row r="168">
          <cell r="B168" t="str">
            <v>Transporte arena limosa</v>
          </cell>
          <cell r="C168" t="str">
            <v>m3e</v>
          </cell>
          <cell r="D168">
            <v>630</v>
          </cell>
        </row>
        <row r="169">
          <cell r="B169" t="str">
            <v>Material granular</v>
          </cell>
          <cell r="C169" t="str">
            <v>m3</v>
          </cell>
          <cell r="D169">
            <v>500</v>
          </cell>
        </row>
        <row r="170">
          <cell r="B170" t="str">
            <v>Base granular</v>
          </cell>
          <cell r="C170" t="str">
            <v>m3</v>
          </cell>
          <cell r="D170">
            <v>550</v>
          </cell>
        </row>
        <row r="171">
          <cell r="B171" t="str">
            <v>Transporte material granular</v>
          </cell>
          <cell r="C171" t="str">
            <v>m3e</v>
          </cell>
          <cell r="D171">
            <v>342</v>
          </cell>
        </row>
        <row r="172">
          <cell r="B172" t="str">
            <v>Caliche</v>
          </cell>
          <cell r="C172" t="str">
            <v>m3</v>
          </cell>
          <cell r="D172">
            <v>200</v>
          </cell>
        </row>
        <row r="173">
          <cell r="B173" t="str">
            <v>Transporte Caliche</v>
          </cell>
          <cell r="C173" t="str">
            <v>m3e</v>
          </cell>
          <cell r="D173">
            <v>500</v>
          </cell>
        </row>
        <row r="174">
          <cell r="B174" t="str">
            <v>Agua</v>
          </cell>
          <cell r="C174" t="str">
            <v>gl</v>
          </cell>
          <cell r="D174">
            <v>0.61</v>
          </cell>
        </row>
        <row r="175">
          <cell r="B175" t="str">
            <v>Clavo corriente, metalizado con cabeza 2 1/2"x10</v>
          </cell>
          <cell r="C175" t="str">
            <v>lb</v>
          </cell>
          <cell r="D175">
            <v>50</v>
          </cell>
        </row>
        <row r="176">
          <cell r="B176" t="str">
            <v xml:space="preserve">Cal Hidratada 20 Kilos, "Perla" </v>
          </cell>
          <cell r="C176" t="str">
            <v>fda</v>
          </cell>
          <cell r="D176">
            <v>65</v>
          </cell>
        </row>
        <row r="177">
          <cell r="B177" t="str">
            <v xml:space="preserve">Pino amer. 1"x 4"x12' bruto (4 pt) </v>
          </cell>
          <cell r="C177" t="str">
            <v>pt</v>
          </cell>
          <cell r="D177">
            <v>65</v>
          </cell>
        </row>
        <row r="178">
          <cell r="B178" t="str">
            <v>Hilo de "nylon" No. 8, (8 lbr)</v>
          </cell>
          <cell r="C178" t="str">
            <v>ud</v>
          </cell>
          <cell r="D178">
            <v>250</v>
          </cell>
        </row>
        <row r="179">
          <cell r="B179" t="str">
            <v>Cemento gris</v>
          </cell>
          <cell r="C179" t="str">
            <v>fda</v>
          </cell>
          <cell r="D179">
            <v>400</v>
          </cell>
        </row>
        <row r="180">
          <cell r="B180" t="str">
            <v>Bloque liso 8"</v>
          </cell>
          <cell r="C180" t="str">
            <v>ud</v>
          </cell>
          <cell r="D180">
            <v>44</v>
          </cell>
        </row>
        <row r="181">
          <cell r="B181" t="str">
            <v>Bloque liso 6"</v>
          </cell>
          <cell r="C181" t="str">
            <v>ud</v>
          </cell>
          <cell r="D181">
            <v>36.7806</v>
          </cell>
        </row>
        <row r="182">
          <cell r="B182" t="str">
            <v>Transporte de bloques 8"</v>
          </cell>
          <cell r="C182" t="str">
            <v>ud</v>
          </cell>
          <cell r="D182">
            <v>7.73</v>
          </cell>
        </row>
        <row r="183">
          <cell r="B183" t="str">
            <v>Transporte de bloques 6"</v>
          </cell>
          <cell r="C183" t="str">
            <v>ud</v>
          </cell>
          <cell r="D183">
            <v>4.5</v>
          </cell>
        </row>
        <row r="184">
          <cell r="B184" t="str">
            <v>Mortero 1:3 para colocar bloques</v>
          </cell>
          <cell r="C184" t="str">
            <v>m3</v>
          </cell>
          <cell r="D184">
            <v>6174</v>
          </cell>
        </row>
        <row r="185">
          <cell r="B185" t="str">
            <v>Hormigón 1:3:5</v>
          </cell>
          <cell r="C185" t="str">
            <v>m3</v>
          </cell>
          <cell r="D185">
            <v>5985</v>
          </cell>
        </row>
        <row r="186">
          <cell r="B186" t="str">
            <v>Mortero 1:4 para pañete</v>
          </cell>
          <cell r="C186" t="str">
            <v>m3</v>
          </cell>
          <cell r="D186">
            <v>6820</v>
          </cell>
        </row>
        <row r="187">
          <cell r="B187" t="str">
            <v>Regla para pañete</v>
          </cell>
          <cell r="C187" t="str">
            <v>pt</v>
          </cell>
          <cell r="D187">
            <v>230</v>
          </cell>
        </row>
        <row r="188">
          <cell r="B188" t="str">
            <v>Pintura acrilica</v>
          </cell>
          <cell r="C188" t="str">
            <v>gl</v>
          </cell>
          <cell r="D188">
            <v>1025</v>
          </cell>
        </row>
        <row r="189">
          <cell r="B189" t="str">
            <v>Desperdicios</v>
          </cell>
          <cell r="C189" t="str">
            <v>Pa</v>
          </cell>
          <cell r="D189">
            <v>0.2</v>
          </cell>
        </row>
        <row r="190">
          <cell r="B190" t="str">
            <v>Abrazadera redonda 2 1/2"</v>
          </cell>
          <cell r="C190" t="str">
            <v>u</v>
          </cell>
          <cell r="D190">
            <v>33.04</v>
          </cell>
        </row>
        <row r="191">
          <cell r="B191" t="str">
            <v>Alambre de púas C-16x110 m, rollo</v>
          </cell>
          <cell r="C191" t="str">
            <v>u</v>
          </cell>
          <cell r="D191">
            <v>610.87</v>
          </cell>
        </row>
        <row r="192">
          <cell r="B192" t="str">
            <v>Alambre galv. Calibre 14 (Para reforzar encofrados)</v>
          </cell>
          <cell r="C192" t="str">
            <v>lb</v>
          </cell>
          <cell r="D192">
            <v>42.68</v>
          </cell>
        </row>
        <row r="193">
          <cell r="B193" t="str">
            <v>Barra tensora de 6', hierro pintado</v>
          </cell>
          <cell r="C193" t="str">
            <v>u</v>
          </cell>
          <cell r="D193">
            <v>177.94</v>
          </cell>
        </row>
        <row r="194">
          <cell r="B194" t="str">
            <v>Copa final 2"</v>
          </cell>
          <cell r="C194" t="str">
            <v>u</v>
          </cell>
          <cell r="D194">
            <v>62.3</v>
          </cell>
        </row>
        <row r="195">
          <cell r="B195" t="str">
            <v>Hoja de segueta Roja flexible "Bellota" 4601-12</v>
          </cell>
          <cell r="C195" t="str">
            <v>u</v>
          </cell>
          <cell r="D195">
            <v>51.57</v>
          </cell>
        </row>
        <row r="196">
          <cell r="B196" t="str">
            <v xml:space="preserve">Palometa 1 1/2"x1 1/4", 3 cuerdas, doble </v>
          </cell>
          <cell r="C196" t="str">
            <v>u</v>
          </cell>
          <cell r="D196">
            <v>187.97</v>
          </cell>
        </row>
        <row r="197">
          <cell r="B197" t="str">
            <v xml:space="preserve">Terminal de 1 1/4" </v>
          </cell>
          <cell r="C197" t="str">
            <v>u</v>
          </cell>
          <cell r="D197">
            <v>62.66</v>
          </cell>
        </row>
        <row r="198">
          <cell r="B198" t="str">
            <v>Abrazadera redonda 2 1/2"</v>
          </cell>
          <cell r="C198" t="str">
            <v>u</v>
          </cell>
          <cell r="D198">
            <v>33.04</v>
          </cell>
        </row>
        <row r="199">
          <cell r="B199" t="str">
            <v>Tubo 1"x20', h.g. mamey (para unir tubos de 1 1/4)</v>
          </cell>
          <cell r="C199" t="str">
            <v>u</v>
          </cell>
          <cell r="D199">
            <v>1138.7</v>
          </cell>
        </row>
        <row r="200">
          <cell r="B200" t="str">
            <v>Tubo 1 1/2"x15', h. galv. ligero</v>
          </cell>
          <cell r="C200" t="str">
            <v>u</v>
          </cell>
          <cell r="D200">
            <v>595.9</v>
          </cell>
        </row>
        <row r="201">
          <cell r="B201" t="str">
            <v>Tubo 1 1/4"x20', h. galv. ligero</v>
          </cell>
          <cell r="C201" t="str">
            <v>u</v>
          </cell>
          <cell r="D201">
            <v>702.1</v>
          </cell>
        </row>
        <row r="202">
          <cell r="B202" t="str">
            <v>Pañete en muros</v>
          </cell>
          <cell r="C202" t="str">
            <v>m2</v>
          </cell>
          <cell r="D202">
            <v>358.959</v>
          </cell>
        </row>
        <row r="203">
          <cell r="B203" t="str">
            <v>Hormigón (1:2:4) ligadora en columnas de amarre (.15 x .20 x .80 m.)</v>
          </cell>
          <cell r="C203" t="str">
            <v>m3</v>
          </cell>
          <cell r="D203">
            <v>5569.46</v>
          </cell>
        </row>
        <row r="204">
          <cell r="B204" t="str">
            <v>Zap. muro, 60x25, 1:3:5, 60, 3 de 3/8", 3/8" a .25, lig.</v>
          </cell>
          <cell r="C204" t="str">
            <v>m3</v>
          </cell>
          <cell r="D204">
            <v>7514.38</v>
          </cell>
        </row>
        <row r="205">
          <cell r="B205" t="str">
            <v>Malla ciclónica galv. cal. 9, 6' + 5% desp.</v>
          </cell>
          <cell r="C205" t="str">
            <v>pie</v>
          </cell>
          <cell r="D205">
            <v>114.25</v>
          </cell>
        </row>
        <row r="206">
          <cell r="B206" t="str">
            <v>Bloques horm. 6", 3/8" a .60 m. (4 líneas)</v>
          </cell>
          <cell r="C206" t="str">
            <v>m2</v>
          </cell>
          <cell r="D206">
            <v>1323.3770280000001</v>
          </cell>
        </row>
        <row r="207">
          <cell r="B207" t="str">
            <v>Zabaleta de piso (zabaleta doble sin mano de obra)</v>
          </cell>
          <cell r="C207" t="str">
            <v>m</v>
          </cell>
          <cell r="D207">
            <v>129.654</v>
          </cell>
        </row>
        <row r="208">
          <cell r="B208" t="str">
            <v>Relleno de reposición muro malla ciclonica</v>
          </cell>
          <cell r="C208" t="str">
            <v>m3</v>
          </cell>
          <cell r="D208">
            <v>309.76039047619048</v>
          </cell>
        </row>
        <row r="209">
          <cell r="B209" t="str">
            <v>Suministro tablero de baloncesto (inc. base movil en hierro y contrapeso + pintura y transporte)</v>
          </cell>
          <cell r="C209" t="str">
            <v>Ud</v>
          </cell>
          <cell r="D209">
            <v>42244</v>
          </cell>
        </row>
        <row r="210">
          <cell r="B210" t="str">
            <v>Tablero 54" acrilico transparente con armazon de acero, aro c/spring y malla all-weather</v>
          </cell>
          <cell r="C210" t="str">
            <v>Ud</v>
          </cell>
          <cell r="D210">
            <v>36919.993399999999</v>
          </cell>
        </row>
        <row r="211">
          <cell r="B211" t="str">
            <v>Acero para dovela</v>
          </cell>
          <cell r="C211" t="str">
            <v>qq</v>
          </cell>
          <cell r="D211">
            <v>2384.1655420602788</v>
          </cell>
        </row>
        <row r="212">
          <cell r="B212" t="str">
            <v>Resina epóxica "SUPRAFLEX" para junta de piso, 231 pulg.3/gl. (Kits 1 gl.)</v>
          </cell>
          <cell r="C212" t="str">
            <v>3 gal</v>
          </cell>
          <cell r="D212">
            <v>10125</v>
          </cell>
        </row>
        <row r="213">
          <cell r="B213" t="str">
            <v>Clavos Corrientes</v>
          </cell>
          <cell r="C213" t="str">
            <v>lb</v>
          </cell>
          <cell r="D213">
            <v>50</v>
          </cell>
        </row>
        <row r="214">
          <cell r="B214" t="str">
            <v>Cal Hidratada</v>
          </cell>
          <cell r="C214" t="str">
            <v>fda</v>
          </cell>
          <cell r="D214">
            <v>65</v>
          </cell>
        </row>
        <row r="215">
          <cell r="B215" t="str">
            <v>Madera Bruta ( Pino Americano 1'' x 4'' x 12'), 4 usos</v>
          </cell>
          <cell r="C215" t="str">
            <v>pt</v>
          </cell>
          <cell r="D215">
            <v>395</v>
          </cell>
        </row>
        <row r="216">
          <cell r="B216" t="str">
            <v>Hilo de Nylon No. 8</v>
          </cell>
          <cell r="C216" t="str">
            <v>u</v>
          </cell>
          <cell r="D216">
            <v>250</v>
          </cell>
        </row>
        <row r="217">
          <cell r="B217" t="str">
            <v xml:space="preserve">Pintura Court Coalting </v>
          </cell>
          <cell r="C217" t="str">
            <v>gl</v>
          </cell>
          <cell r="D217">
            <v>2995</v>
          </cell>
        </row>
        <row r="218">
          <cell r="B218" t="str">
            <v>Mallaelectrosoldada 23x23 D 100 x 100</v>
          </cell>
          <cell r="C218" t="str">
            <v>rollo</v>
          </cell>
          <cell r="D218">
            <v>13482.14</v>
          </cell>
        </row>
        <row r="219">
          <cell r="B219" t="str">
            <v>Desmoldante Sika</v>
          </cell>
          <cell r="C219" t="str">
            <v>Lt</v>
          </cell>
          <cell r="D219">
            <v>218.49599999999998</v>
          </cell>
        </row>
        <row r="220">
          <cell r="B220" t="str">
            <v xml:space="preserve">Gasoil </v>
          </cell>
          <cell r="C220" t="str">
            <v>gl</v>
          </cell>
          <cell r="D220">
            <v>175.4</v>
          </cell>
        </row>
        <row r="221">
          <cell r="B221" t="str">
            <v>'Inodoro bco., tapa, sin acces, "Simplex", 1-2222</v>
          </cell>
          <cell r="C221" t="str">
            <v>und</v>
          </cell>
          <cell r="D221">
            <v>4750</v>
          </cell>
        </row>
        <row r="222">
          <cell r="B222" t="str">
            <v>Lavamanos ovalado bco., 8" sin mescl. y sin acces, "Saona"</v>
          </cell>
          <cell r="C222" t="str">
            <v>und</v>
          </cell>
          <cell r="D222">
            <v>2000</v>
          </cell>
        </row>
        <row r="223">
          <cell r="B223" t="str">
            <v>Freg. 2B. a. inox, 33"x22"X7" (1H) "Teka"</v>
          </cell>
          <cell r="C223" t="str">
            <v>und</v>
          </cell>
          <cell r="D223">
            <v>2150</v>
          </cell>
        </row>
        <row r="224">
          <cell r="B224" t="str">
            <v>Tubo 4"x19', pvc SDR-41 + 10% desp.</v>
          </cell>
          <cell r="C224" t="str">
            <v>und</v>
          </cell>
          <cell r="D224">
            <v>1575</v>
          </cell>
        </row>
        <row r="225">
          <cell r="B225" t="str">
            <v>Tubo 2"x19', pvc SDR-41 + 10% desp.</v>
          </cell>
          <cell r="C225" t="str">
            <v>und</v>
          </cell>
          <cell r="D225">
            <v>637</v>
          </cell>
        </row>
        <row r="226">
          <cell r="B226" t="str">
            <v>Yee 4"x4", pvc dren.</v>
          </cell>
          <cell r="C226" t="str">
            <v>und</v>
          </cell>
          <cell r="D226">
            <v>230</v>
          </cell>
        </row>
        <row r="227">
          <cell r="B227" t="str">
            <v>Yee reducción 4"x2", pvc dren.</v>
          </cell>
          <cell r="C227" t="str">
            <v>und</v>
          </cell>
          <cell r="D227">
            <v>100</v>
          </cell>
        </row>
        <row r="228">
          <cell r="B228" t="str">
            <v>Codo 4"x45, pvc dren.</v>
          </cell>
          <cell r="C228" t="str">
            <v>und</v>
          </cell>
          <cell r="D228">
            <v>109</v>
          </cell>
        </row>
        <row r="229">
          <cell r="B229" t="str">
            <v>Codo 2"x45, pvc dren.</v>
          </cell>
          <cell r="C229" t="str">
            <v>und</v>
          </cell>
          <cell r="D229">
            <v>25</v>
          </cell>
        </row>
        <row r="230">
          <cell r="B230" t="str">
            <v>Codo 4"x90, pvc dren.</v>
          </cell>
          <cell r="C230" t="str">
            <v>und</v>
          </cell>
          <cell r="D230">
            <v>90</v>
          </cell>
        </row>
        <row r="231">
          <cell r="B231" t="str">
            <v>Codo 2"x90, pvc dren.</v>
          </cell>
          <cell r="C231" t="str">
            <v>und</v>
          </cell>
          <cell r="D231">
            <v>30</v>
          </cell>
        </row>
        <row r="232">
          <cell r="B232" t="str">
            <v>Cemento pvc criollo, 1/32 gl., pinta, Cano + 10% desp.</v>
          </cell>
          <cell r="C232" t="str">
            <v>und</v>
          </cell>
          <cell r="D232">
            <v>145</v>
          </cell>
        </row>
        <row r="233">
          <cell r="B233" t="str">
            <v>Tee 1/2", h.g. (fría y cal.)</v>
          </cell>
          <cell r="C233" t="str">
            <v>und</v>
          </cell>
          <cell r="D233">
            <v>30</v>
          </cell>
        </row>
        <row r="234">
          <cell r="B234" t="str">
            <v>Tubo 1/2"x20', h.g., mamey + 10% desp. (fría y cal.)</v>
          </cell>
          <cell r="C234" t="str">
            <v>und</v>
          </cell>
          <cell r="D234">
            <v>625</v>
          </cell>
        </row>
        <row r="235">
          <cell r="B235" t="str">
            <v>Codo 1/2"x90, h.g. (fría y cal.)</v>
          </cell>
          <cell r="C235" t="str">
            <v>und</v>
          </cell>
          <cell r="D235">
            <v>35</v>
          </cell>
        </row>
        <row r="236">
          <cell r="B236" t="str">
            <v>Reduc. "bushing" 1/2"x3/8", h.g. (fría y cal.)</v>
          </cell>
          <cell r="C236" t="str">
            <v>und</v>
          </cell>
          <cell r="D236">
            <v>55</v>
          </cell>
        </row>
        <row r="237">
          <cell r="B237" t="str">
            <v>Oxido Rojo "Popular" k-09 (en tub.s h.g.)</v>
          </cell>
          <cell r="C237" t="str">
            <v>gl</v>
          </cell>
          <cell r="D237">
            <v>995</v>
          </cell>
        </row>
        <row r="238">
          <cell r="B238" t="str">
            <v>Arandela plástica PVC p/inodoro s/tornillo 4x3"</v>
          </cell>
          <cell r="C238" t="str">
            <v>und</v>
          </cell>
          <cell r="D238">
            <v>150</v>
          </cell>
        </row>
        <row r="239">
          <cell r="B239" t="str">
            <v>'Mezcl. Lavam., boquilla, "Sayco" Ref. LF400</v>
          </cell>
          <cell r="C239" t="str">
            <v>und</v>
          </cell>
          <cell r="D239">
            <v>1795</v>
          </cell>
        </row>
        <row r="240">
          <cell r="B240" t="str">
            <v>Mezcl. freg. c/puño "Urrea" NIBCO</v>
          </cell>
          <cell r="C240" t="str">
            <v>und</v>
          </cell>
          <cell r="D240">
            <v>1300</v>
          </cell>
        </row>
        <row r="241">
          <cell r="B241" t="str">
            <v>Llave angular 1/2" ó 3/8", "EASTMAN"</v>
          </cell>
          <cell r="C241" t="str">
            <v>und</v>
          </cell>
          <cell r="D241">
            <v>250</v>
          </cell>
        </row>
        <row r="242">
          <cell r="B242" t="str">
            <v>'Niple niquelado 3/8"x2 1/2", "Aquavita" MN041B</v>
          </cell>
          <cell r="C242" t="str">
            <v>und</v>
          </cell>
          <cell r="D242">
            <v>20</v>
          </cell>
        </row>
        <row r="243">
          <cell r="B243" t="str">
            <v>Cola ext. fregadero 1 1/2"x6", PVC (Nuevo)</v>
          </cell>
          <cell r="C243" t="str">
            <v>und</v>
          </cell>
          <cell r="D243">
            <v>30</v>
          </cell>
        </row>
        <row r="244">
          <cell r="B244" t="str">
            <v>Rollo teflón 3/4" + 25% desp.</v>
          </cell>
          <cell r="C244" t="str">
            <v>und</v>
          </cell>
          <cell r="D244">
            <v>35</v>
          </cell>
        </row>
        <row r="245">
          <cell r="B245" t="str">
            <v>Cemento Bco. 40 kilos, "Titan"</v>
          </cell>
          <cell r="C245" t="str">
            <v>fda</v>
          </cell>
          <cell r="D245">
            <v>825</v>
          </cell>
        </row>
        <row r="246">
          <cell r="B246" t="str">
            <v>Sifón 1 1/2", cromo p/lav., flexible, completo, USA</v>
          </cell>
          <cell r="C246" t="str">
            <v>und</v>
          </cell>
          <cell r="D246">
            <v>120</v>
          </cell>
        </row>
        <row r="247">
          <cell r="B247" t="str">
            <v>Tubo flexible para lavamanos, tuerca, 1/2"x3/8" 40 cm. EVL-B40</v>
          </cell>
          <cell r="C247" t="str">
            <v>und</v>
          </cell>
          <cell r="D247">
            <v>250</v>
          </cell>
        </row>
        <row r="248">
          <cell r="B248" t="str">
            <v>Silicone" claro en tubo</v>
          </cell>
          <cell r="C248" t="str">
            <v>und</v>
          </cell>
          <cell r="D248">
            <v>120</v>
          </cell>
        </row>
        <row r="249">
          <cell r="B249" t="str">
            <v>Tornillos p/bacineta, 1/4"x2 1/2", HP167 R-801AA</v>
          </cell>
          <cell r="C249" t="str">
            <v>jgo</v>
          </cell>
          <cell r="D249">
            <v>20</v>
          </cell>
        </row>
        <row r="250">
          <cell r="B250" t="str">
            <v>Junta de cera</v>
          </cell>
          <cell r="C250" t="str">
            <v>und</v>
          </cell>
          <cell r="D250">
            <v>85</v>
          </cell>
        </row>
        <row r="251">
          <cell r="B251" t="str">
            <v>Tornillos p/bacineta, 1/4"x2 1/4", #40019-21-24 (Nuevo)</v>
          </cell>
          <cell r="C251" t="str">
            <v>jgo</v>
          </cell>
          <cell r="D251">
            <v>95</v>
          </cell>
        </row>
        <row r="252">
          <cell r="B252" t="str">
            <v>Cola ext. lavamanos 1 1/4"x6", cromo</v>
          </cell>
          <cell r="C252" t="str">
            <v>und</v>
          </cell>
          <cell r="D252">
            <v>21</v>
          </cell>
        </row>
        <row r="253">
          <cell r="B253" t="str">
            <v>Boquilla fregadero metal (Ac. Inox.) EZ-FLO + 10% desp.</v>
          </cell>
          <cell r="C253" t="str">
            <v>und</v>
          </cell>
          <cell r="D253">
            <v>195</v>
          </cell>
        </row>
        <row r="254">
          <cell r="B254" t="str">
            <v>Desagüe fregadero 1 1/2x16", pvc, doble, EASTMAN 35393 + 10% desp.</v>
          </cell>
          <cell r="C254" t="str">
            <v>und</v>
          </cell>
          <cell r="D254">
            <v>63</v>
          </cell>
        </row>
        <row r="255">
          <cell r="B255" t="str">
            <v>Enlate 1'' x 4 '' x 10'/100 usos</v>
          </cell>
          <cell r="C255" t="str">
            <v>pie</v>
          </cell>
          <cell r="D255">
            <v>395</v>
          </cell>
        </row>
        <row r="256">
          <cell r="B256" t="str">
            <v>Tubo 1 1/2"x19', pvc dren. + 10% desp. (visible.)</v>
          </cell>
          <cell r="C256" t="str">
            <v>und</v>
          </cell>
          <cell r="D256">
            <v>395</v>
          </cell>
        </row>
        <row r="257">
          <cell r="B257" t="str">
            <v>Sifón 2", pvc dren.</v>
          </cell>
          <cell r="C257" t="str">
            <v>und</v>
          </cell>
          <cell r="D257">
            <v>96</v>
          </cell>
        </row>
        <row r="258">
          <cell r="B258" t="str">
            <v>Lavadero doble granito, 1.50x0.50 m. (en tub.s h.g.)</v>
          </cell>
          <cell r="C258" t="str">
            <v>und</v>
          </cell>
          <cell r="D258">
            <v>7975</v>
          </cell>
        </row>
        <row r="259">
          <cell r="B259" t="str">
            <v>Boquilla lavadero, ac. Inox., con tapón, 2 7/8" EZ-Flo</v>
          </cell>
          <cell r="C259" t="str">
            <v>und</v>
          </cell>
          <cell r="D259">
            <v>475</v>
          </cell>
        </row>
        <row r="260">
          <cell r="B260" t="str">
            <v>Rejilla 4 5/8" p/piso, aluminio</v>
          </cell>
          <cell r="C260" t="str">
            <v>und</v>
          </cell>
          <cell r="D260">
            <v>85</v>
          </cell>
        </row>
        <row r="261">
          <cell r="B261" t="str">
            <v>Llave chorro 1/2", "Urrea" #19N-13</v>
          </cell>
          <cell r="C261" t="str">
            <v>und</v>
          </cell>
          <cell r="D261">
            <v>240</v>
          </cell>
        </row>
        <row r="262">
          <cell r="B262" t="str">
            <v>Unión univ. 1/2", h.g.</v>
          </cell>
          <cell r="C262" t="str">
            <v>und</v>
          </cell>
          <cell r="D262">
            <v>20</v>
          </cell>
        </row>
        <row r="263">
          <cell r="B263" t="str">
            <v>Niple 1/2"x4", h.g.</v>
          </cell>
          <cell r="C263" t="str">
            <v>und</v>
          </cell>
          <cell r="D263">
            <v>35</v>
          </cell>
        </row>
        <row r="264">
          <cell r="B264" t="str">
            <v>Dosificador jabón líquido, Jofel AC70011 niquel (Nuevo)  (1/2)</v>
          </cell>
          <cell r="C264" t="str">
            <v>und</v>
          </cell>
          <cell r="D264">
            <v>1395</v>
          </cell>
        </row>
        <row r="265">
          <cell r="B265" t="str">
            <v>Llave empotrar con puño NIBCO</v>
          </cell>
          <cell r="C265" t="str">
            <v>und</v>
          </cell>
          <cell r="D265">
            <v>725</v>
          </cell>
        </row>
        <row r="266">
          <cell r="B266" t="str">
            <v>Sifón 2", pvc dren.</v>
          </cell>
          <cell r="C266" t="str">
            <v>und</v>
          </cell>
          <cell r="D266">
            <v>85</v>
          </cell>
        </row>
        <row r="267">
          <cell r="B267" t="str">
            <v>Rejilla 3", de 2" p/piso, redonda, sencilla, cromo</v>
          </cell>
          <cell r="C267" t="str">
            <v>und</v>
          </cell>
          <cell r="D267">
            <v>85</v>
          </cell>
        </row>
        <row r="268">
          <cell r="B268" t="str">
            <v>Tuberias Ø10'' perforada</v>
          </cell>
          <cell r="C268" t="str">
            <v>ml</v>
          </cell>
          <cell r="D268">
            <v>550</v>
          </cell>
        </row>
        <row r="269">
          <cell r="B269" t="str">
            <v>Tuberias Ø 6'' perforada</v>
          </cell>
          <cell r="C269" t="str">
            <v>ml</v>
          </cell>
          <cell r="D269">
            <v>320</v>
          </cell>
        </row>
        <row r="270">
          <cell r="B270" t="str">
            <v>Tuberias Ø 4'' perforada</v>
          </cell>
          <cell r="C270" t="str">
            <v>ml</v>
          </cell>
          <cell r="D270">
            <v>215.93220338983051</v>
          </cell>
        </row>
        <row r="271">
          <cell r="B271" t="str">
            <v>Grava de 1/2''</v>
          </cell>
          <cell r="C271" t="str">
            <v>m3e</v>
          </cell>
          <cell r="D271">
            <v>500</v>
          </cell>
        </row>
        <row r="272">
          <cell r="B272" t="str">
            <v>Transporte grava</v>
          </cell>
          <cell r="C272" t="str">
            <v>m3e</v>
          </cell>
          <cell r="D272">
            <v>800</v>
          </cell>
        </row>
        <row r="273">
          <cell r="B273" t="str">
            <v>Geomembrana de 1.5 mm</v>
          </cell>
          <cell r="C273" t="str">
            <v>m2</v>
          </cell>
          <cell r="D273">
            <v>415.596</v>
          </cell>
        </row>
        <row r="274">
          <cell r="B274" t="str">
            <v>Georefuerzo (geomalla) inc. colocacion y transporte</v>
          </cell>
          <cell r="C274" t="str">
            <v>m2</v>
          </cell>
          <cell r="D274">
            <v>204.27959999999999</v>
          </cell>
        </row>
        <row r="275">
          <cell r="B275" t="str">
            <v>Acero Ø 3/8 f'y: 4,200 kg/cm2, grado 60</v>
          </cell>
          <cell r="C275" t="str">
            <v>qq</v>
          </cell>
          <cell r="D275">
            <v>2384.1655420602788</v>
          </cell>
        </row>
        <row r="276">
          <cell r="B276" t="str">
            <v>Acero Ø 1/2 f'y: 4,200 kg/cm2, grado 60</v>
          </cell>
          <cell r="C276" t="str">
            <v>qq</v>
          </cell>
          <cell r="D276">
            <v>2384.1655420602788</v>
          </cell>
        </row>
        <row r="277">
          <cell r="B277" t="str">
            <v>Alambre galv. Calibre 18</v>
          </cell>
          <cell r="C277" t="str">
            <v>lb</v>
          </cell>
          <cell r="D277">
            <v>65</v>
          </cell>
        </row>
        <row r="278">
          <cell r="B278" t="str">
            <v>Clavos de acero 2 1/2'' (1/4 lb/m)</v>
          </cell>
          <cell r="C278" t="str">
            <v>lb</v>
          </cell>
          <cell r="D278">
            <v>68</v>
          </cell>
        </row>
        <row r="279">
          <cell r="B279" t="str">
            <v>Cubierta translucida ( Incluido Insumo e Instalación)</v>
          </cell>
          <cell r="C279" t="str">
            <v>m2</v>
          </cell>
          <cell r="D279">
            <v>3129.5</v>
          </cell>
        </row>
        <row r="280">
          <cell r="B280" t="str">
            <v>Encofrado de Viga todo costo</v>
          </cell>
          <cell r="C280" t="str">
            <v>m2</v>
          </cell>
          <cell r="D280">
            <v>772.05</v>
          </cell>
        </row>
        <row r="281">
          <cell r="B281" t="str">
            <v>Mallaelectrosoldada D2.1 x 2.1  100 x 100</v>
          </cell>
          <cell r="C281" t="str">
            <v>rollo</v>
          </cell>
          <cell r="D281">
            <v>13482.14</v>
          </cell>
        </row>
        <row r="282">
          <cell r="B282" t="str">
            <v>Calzos Plasticos</v>
          </cell>
          <cell r="C282" t="str">
            <v>ud</v>
          </cell>
          <cell r="D282">
            <v>7</v>
          </cell>
        </row>
        <row r="283">
          <cell r="B283" t="str">
            <v>Puertas polimetal lisa-blanca 1.00 m x 2.10 m ( Incl.instalación)</v>
          </cell>
          <cell r="C283" t="str">
            <v>ud</v>
          </cell>
          <cell r="D283">
            <v>4900</v>
          </cell>
        </row>
        <row r="284">
          <cell r="B284" t="str">
            <v>Encofrado metalico de fondo</v>
          </cell>
          <cell r="C284" t="str">
            <v>m2</v>
          </cell>
          <cell r="D284">
            <v>853.5</v>
          </cell>
        </row>
        <row r="285">
          <cell r="B285" t="str">
            <v>Encofrado Negativo</v>
          </cell>
          <cell r="C285" t="str">
            <v>ml</v>
          </cell>
          <cell r="D285">
            <v>227.6</v>
          </cell>
        </row>
        <row r="286">
          <cell r="B286" t="str">
            <v>Puertas polimetal lisa-blanca 1.70 m x 2.10 m ( Incl.instalación)</v>
          </cell>
          <cell r="C286" t="str">
            <v>ud</v>
          </cell>
          <cell r="D286">
            <v>5000</v>
          </cell>
        </row>
        <row r="287">
          <cell r="B287" t="str">
            <v>Puertas polimetal lisa-blanca doble batiente 1.200 m x 2.10 m ( Incl.instalación)</v>
          </cell>
          <cell r="C287" t="str">
            <v>ud</v>
          </cell>
          <cell r="D287">
            <v>49000</v>
          </cell>
        </row>
        <row r="288">
          <cell r="B288" t="str">
            <v>Puertas polimetal lisa-blanca 0.78 m x 2.10 m ( Incl.instalación)</v>
          </cell>
          <cell r="C288" t="str">
            <v>ud</v>
          </cell>
          <cell r="D288">
            <v>4900</v>
          </cell>
        </row>
        <row r="289">
          <cell r="B289" t="str">
            <v>Hormigon Industrial f'c=180 kg/cm2</v>
          </cell>
          <cell r="C289" t="str">
            <v>m3</v>
          </cell>
          <cell r="D289">
            <v>4400</v>
          </cell>
        </row>
        <row r="290">
          <cell r="B290" t="str">
            <v>Rejilla 4", de 2" p/piso, redonda, sencilla, cromo</v>
          </cell>
          <cell r="C290" t="str">
            <v>ud</v>
          </cell>
          <cell r="D290">
            <v>450</v>
          </cell>
        </row>
        <row r="291">
          <cell r="B291" t="str">
            <v xml:space="preserve">Orinal </v>
          </cell>
          <cell r="C291" t="str">
            <v>ud</v>
          </cell>
          <cell r="D291">
            <v>3775</v>
          </cell>
        </row>
        <row r="292">
          <cell r="B292" t="str">
            <v>Mezcladora Orinal, Llave de Cromo Completa</v>
          </cell>
          <cell r="C292" t="str">
            <v>ud</v>
          </cell>
          <cell r="D292">
            <v>395</v>
          </cell>
        </row>
        <row r="293">
          <cell r="B293" t="str">
            <v>Niple niquelado 3/8"x2 1/2", "Aquavita" MN041B</v>
          </cell>
          <cell r="C293" t="str">
            <v>ud</v>
          </cell>
          <cell r="D293">
            <v>20</v>
          </cell>
        </row>
        <row r="294">
          <cell r="B294" t="str">
            <v>Suministro e Instalacion de Puertas Refrigerantes , incl. bisagras en acero inoxidable</v>
          </cell>
          <cell r="C294" t="str">
            <v>ud</v>
          </cell>
          <cell r="D294">
            <v>67343.425999999992</v>
          </cell>
        </row>
        <row r="295">
          <cell r="B295" t="str">
            <v xml:space="preserve">Hormigon Industrial f'c=180 kg/cm2 c/ Fibra </v>
          </cell>
          <cell r="C295" t="str">
            <v>m3</v>
          </cell>
          <cell r="D295">
            <v>5950</v>
          </cell>
        </row>
        <row r="296">
          <cell r="B296" t="str">
            <v xml:space="preserve">Molde de enconfrado prefabricado p/ sendero </v>
          </cell>
          <cell r="C296" t="str">
            <v>m2</v>
          </cell>
          <cell r="D296">
            <v>0</v>
          </cell>
        </row>
        <row r="297">
          <cell r="B297" t="str">
            <v>Madera Bruta ( Pino Americano 1'' x 6'' x 12'), 5 usos</v>
          </cell>
          <cell r="C297" t="str">
            <v>pt</v>
          </cell>
          <cell r="D297">
            <v>395</v>
          </cell>
        </row>
        <row r="298">
          <cell r="B298" t="str">
            <v xml:space="preserve">Pintura de alto tráfico </v>
          </cell>
          <cell r="C298" t="str">
            <v>Gl</v>
          </cell>
          <cell r="D298">
            <v>1895</v>
          </cell>
        </row>
        <row r="299">
          <cell r="B299" t="str">
            <v>Tubo PVC-SDR 3''x 19 SDR-41</v>
          </cell>
          <cell r="C299" t="str">
            <v>ud</v>
          </cell>
          <cell r="D299">
            <v>1063</v>
          </cell>
        </row>
        <row r="300">
          <cell r="B300" t="str">
            <v>Piezas 4" HDPE corrugada perforada</v>
          </cell>
          <cell r="C300" t="str">
            <v>ud</v>
          </cell>
          <cell r="D300">
            <v>0</v>
          </cell>
        </row>
        <row r="301">
          <cell r="B301" t="str">
            <v>Construcción de registro fluvial 1.00x1.00x1.20</v>
          </cell>
          <cell r="C301" t="str">
            <v>ud</v>
          </cell>
          <cell r="D301">
            <v>75000</v>
          </cell>
        </row>
        <row r="302">
          <cell r="B302" t="str">
            <v>Estacas para geomembrana</v>
          </cell>
          <cell r="C302" t="str">
            <v>Pa</v>
          </cell>
          <cell r="D302">
            <v>5</v>
          </cell>
        </row>
        <row r="303">
          <cell r="B303" t="str">
            <v>Transporte de geomembrana</v>
          </cell>
          <cell r="C303" t="str">
            <v>m2</v>
          </cell>
          <cell r="D303">
            <v>5</v>
          </cell>
        </row>
        <row r="304">
          <cell r="B304" t="str">
            <v>Alambre No. 18</v>
          </cell>
          <cell r="C304" t="str">
            <v>lb</v>
          </cell>
          <cell r="D304">
            <v>56</v>
          </cell>
        </row>
        <row r="305">
          <cell r="B305" t="str">
            <v>Llavin doble puño Toledo con llave y seguro</v>
          </cell>
          <cell r="C305" t="str">
            <v>Ud</v>
          </cell>
          <cell r="D305">
            <v>700</v>
          </cell>
        </row>
        <row r="306">
          <cell r="B306" t="str">
            <v>Perfil 1"x1"x3/8" horizontal</v>
          </cell>
          <cell r="C306" t="str">
            <v>pl</v>
          </cell>
          <cell r="D306">
            <v>31.5</v>
          </cell>
        </row>
        <row r="307">
          <cell r="B307" t="str">
            <v>Perfil 1"x1"x3/8" vertical</v>
          </cell>
          <cell r="C307" t="str">
            <v>pl</v>
          </cell>
          <cell r="D307">
            <v>31.5</v>
          </cell>
        </row>
        <row r="308">
          <cell r="B308" t="str">
            <v>Planchuela L 10cmx20cmx1/4"</v>
          </cell>
          <cell r="C308" t="str">
            <v>ud</v>
          </cell>
          <cell r="D308">
            <v>142.82450000000003</v>
          </cell>
        </row>
        <row r="309">
          <cell r="B309" t="str">
            <v>Tornillos 3/8"x2 3/4"</v>
          </cell>
          <cell r="C309" t="str">
            <v>Ud</v>
          </cell>
          <cell r="D309">
            <v>80</v>
          </cell>
        </row>
        <row r="310">
          <cell r="B310" t="str">
            <v>Columpio 2 asientos 270x130x200</v>
          </cell>
          <cell r="C310" t="str">
            <v>Ud</v>
          </cell>
          <cell r="D310">
            <v>35926.934400000006</v>
          </cell>
        </row>
        <row r="311">
          <cell r="B311" t="str">
            <v>Sube y baja doble 200x60x60</v>
          </cell>
          <cell r="C311" t="str">
            <v>Ud</v>
          </cell>
          <cell r="D311">
            <v>22862.595600000001</v>
          </cell>
        </row>
        <row r="312">
          <cell r="B312" t="str">
            <v>Alfombra en caucho compactado</v>
          </cell>
          <cell r="C312" t="str">
            <v>m2</v>
          </cell>
          <cell r="D312">
            <v>0</v>
          </cell>
        </row>
        <row r="313">
          <cell r="B313" t="str">
            <v xml:space="preserve">Madera de pino tratado 1"x2'x14' </v>
          </cell>
          <cell r="C313" t="str">
            <v>pza</v>
          </cell>
          <cell r="D313">
            <v>303.55</v>
          </cell>
        </row>
        <row r="314">
          <cell r="B314" t="str">
            <v xml:space="preserve">Madera de pino tratado 2"x2'x12' </v>
          </cell>
          <cell r="C314" t="str">
            <v>pza</v>
          </cell>
          <cell r="D314">
            <v>490.88</v>
          </cell>
        </row>
        <row r="315">
          <cell r="B315" t="str">
            <v>Polietileno 40" cal. # 400, negro, rollo=168 lb (plástico)</v>
          </cell>
          <cell r="C315" t="str">
            <v>Rollo</v>
          </cell>
          <cell r="D315">
            <v>11635.98</v>
          </cell>
        </row>
        <row r="316">
          <cell r="B316" t="str">
            <v>Letrero Acrilico</v>
          </cell>
          <cell r="C316" t="str">
            <v>und</v>
          </cell>
          <cell r="D316">
            <v>52</v>
          </cell>
        </row>
        <row r="317">
          <cell r="B317" t="str">
            <v>Durmientes p/Framing 2 1/2'', C20</v>
          </cell>
          <cell r="C317" t="str">
            <v>ud</v>
          </cell>
          <cell r="D317">
            <v>232.2</v>
          </cell>
        </row>
        <row r="318">
          <cell r="B318" t="str">
            <v>Parales p/ Framing 2 1/2', CO</v>
          </cell>
          <cell r="C318" t="str">
            <v>ud</v>
          </cell>
          <cell r="D318">
            <v>298.93</v>
          </cell>
        </row>
        <row r="319">
          <cell r="B319" t="str">
            <v>Densglass Fiberglass Mat Sheathing</v>
          </cell>
          <cell r="C319" t="str">
            <v>plancha</v>
          </cell>
          <cell r="D319">
            <v>1419.49</v>
          </cell>
        </row>
        <row r="320">
          <cell r="B320" t="str">
            <v xml:space="preserve">Tornillo de Plancha Auto-Barrenable Zync- 6x1 </v>
          </cell>
          <cell r="C320" t="str">
            <v>lb</v>
          </cell>
          <cell r="D320">
            <v>165.25</v>
          </cell>
        </row>
        <row r="321">
          <cell r="B321" t="str">
            <v>Tornillo de Estructura Auto-Barrenable Zync</v>
          </cell>
          <cell r="C321" t="str">
            <v>lb</v>
          </cell>
          <cell r="D321">
            <v>157.63</v>
          </cell>
        </row>
        <row r="322">
          <cell r="B322" t="str">
            <v>Esquinero Plastico</v>
          </cell>
          <cell r="C322" t="str">
            <v>ud</v>
          </cell>
          <cell r="D322">
            <v>120.34</v>
          </cell>
        </row>
        <row r="323">
          <cell r="B323" t="str">
            <v>All Pupose joint Compound</v>
          </cell>
          <cell r="C323" t="str">
            <v>cub</v>
          </cell>
          <cell r="D323">
            <v>8</v>
          </cell>
        </row>
        <row r="324">
          <cell r="B324" t="str">
            <v>Cementin Mapei Keraflor</v>
          </cell>
          <cell r="C324" t="str">
            <v>fda</v>
          </cell>
          <cell r="D324">
            <v>532.20000000000005</v>
          </cell>
        </row>
        <row r="325">
          <cell r="B325" t="str">
            <v>Cinta de Malla de Fibra de Vidrio</v>
          </cell>
          <cell r="C325" t="str">
            <v>und</v>
          </cell>
          <cell r="D325">
            <v>209.32</v>
          </cell>
        </row>
        <row r="326">
          <cell r="B326" t="str">
            <v>Tubo HN. Imp. (102 mm) 4''x20' (6.00 mm)</v>
          </cell>
          <cell r="C326" t="str">
            <v>und</v>
          </cell>
          <cell r="D326">
            <v>5043.75</v>
          </cell>
        </row>
        <row r="327">
          <cell r="B327" t="str">
            <v>Perfil Negro Estruct. 6''x4''x40', (06.00 mm) (1/4)</v>
          </cell>
          <cell r="C327" t="str">
            <v>und</v>
          </cell>
          <cell r="D327">
            <v>31580</v>
          </cell>
        </row>
        <row r="328">
          <cell r="B328" t="str">
            <v>Pintura Popular Industrial Gris Perla 56 (1/4 gl)</v>
          </cell>
          <cell r="C328" t="str">
            <v>und</v>
          </cell>
          <cell r="D328">
            <v>669</v>
          </cell>
        </row>
        <row r="329">
          <cell r="B329" t="str">
            <v>Pintura tropical Industrial Gris plata 56 (1 gl)</v>
          </cell>
          <cell r="C329" t="str">
            <v>und</v>
          </cell>
          <cell r="D329">
            <v>1939.06</v>
          </cell>
        </row>
        <row r="330">
          <cell r="B330" t="str">
            <v>Oxido Gris 1/4 Gln.</v>
          </cell>
          <cell r="C330" t="str">
            <v>und</v>
          </cell>
          <cell r="D330">
            <v>260</v>
          </cell>
        </row>
        <row r="331">
          <cell r="B331" t="str">
            <v>Oxido Gris Domastur 1 Gln.</v>
          </cell>
          <cell r="C331" t="str">
            <v>und</v>
          </cell>
          <cell r="D331">
            <v>797</v>
          </cell>
        </row>
        <row r="332">
          <cell r="B332" t="str">
            <v>Disco de Corte de  7''</v>
          </cell>
          <cell r="C332" t="str">
            <v>und</v>
          </cell>
          <cell r="D332">
            <v>192</v>
          </cell>
        </row>
        <row r="333">
          <cell r="B333" t="str">
            <v>Disco de Pulido de 7''</v>
          </cell>
          <cell r="C333" t="str">
            <v>und</v>
          </cell>
          <cell r="D333">
            <v>156</v>
          </cell>
        </row>
        <row r="334">
          <cell r="B334" t="str">
            <v xml:space="preserve">Electrodo universal (Soldadura) #7018-1/8 </v>
          </cell>
          <cell r="C334" t="str">
            <v>lb</v>
          </cell>
          <cell r="D334">
            <v>93</v>
          </cell>
        </row>
        <row r="335">
          <cell r="B335" t="str">
            <v xml:space="preserve">Brocha </v>
          </cell>
          <cell r="C335" t="str">
            <v>und</v>
          </cell>
          <cell r="D335">
            <v>52</v>
          </cell>
        </row>
        <row r="336">
          <cell r="B336" t="str">
            <v>Power Rider, Flex Rex 1/4 Gln.</v>
          </cell>
          <cell r="C336" t="str">
            <v>ud</v>
          </cell>
          <cell r="D336">
            <v>278</v>
          </cell>
        </row>
        <row r="337">
          <cell r="B337" t="str">
            <v>Doblado de Pieza</v>
          </cell>
          <cell r="C337" t="str">
            <v>und</v>
          </cell>
          <cell r="D337">
            <v>3289.94</v>
          </cell>
        </row>
        <row r="338">
          <cell r="B338">
            <v>0</v>
          </cell>
          <cell r="C338">
            <v>0</v>
          </cell>
          <cell r="D338">
            <v>0</v>
          </cell>
        </row>
        <row r="339">
          <cell r="B339">
            <v>0</v>
          </cell>
          <cell r="C339">
            <v>0</v>
          </cell>
          <cell r="D339">
            <v>0</v>
          </cell>
        </row>
        <row r="340">
          <cell r="B340">
            <v>0</v>
          </cell>
          <cell r="C340">
            <v>0</v>
          </cell>
          <cell r="D340">
            <v>0</v>
          </cell>
        </row>
        <row r="341">
          <cell r="B341">
            <v>0</v>
          </cell>
          <cell r="C341">
            <v>0</v>
          </cell>
          <cell r="D341">
            <v>0</v>
          </cell>
        </row>
        <row r="342">
          <cell r="B342">
            <v>0</v>
          </cell>
          <cell r="C342">
            <v>0</v>
          </cell>
          <cell r="D342">
            <v>0</v>
          </cell>
        </row>
        <row r="343">
          <cell r="B343">
            <v>0</v>
          </cell>
          <cell r="C343">
            <v>0</v>
          </cell>
          <cell r="D343">
            <v>0</v>
          </cell>
        </row>
        <row r="344">
          <cell r="B344">
            <v>0</v>
          </cell>
        </row>
        <row r="345">
          <cell r="B345" t="str">
            <v>SUBCONTRATOS</v>
          </cell>
          <cell r="C345">
            <v>0</v>
          </cell>
          <cell r="D345">
            <v>0</v>
          </cell>
        </row>
        <row r="347">
          <cell r="B347" t="str">
            <v>Arborización</v>
          </cell>
        </row>
        <row r="348">
          <cell r="B348" t="str">
            <v>S/s grama bermuda</v>
          </cell>
          <cell r="C348" t="str">
            <v>m2</v>
          </cell>
          <cell r="D348">
            <v>110</v>
          </cell>
        </row>
        <row r="349">
          <cell r="B349" t="str">
            <v>S/s Maras (8-10')</v>
          </cell>
          <cell r="C349" t="str">
            <v>ud</v>
          </cell>
          <cell r="D349">
            <v>997.5</v>
          </cell>
        </row>
        <row r="350">
          <cell r="B350" t="str">
            <v>S/s Javilla (10-12')</v>
          </cell>
          <cell r="C350" t="str">
            <v>ud</v>
          </cell>
          <cell r="D350">
            <v>997.5</v>
          </cell>
        </row>
        <row r="351">
          <cell r="B351" t="str">
            <v>S/s Penda (6-8')</v>
          </cell>
          <cell r="C351" t="str">
            <v>ud</v>
          </cell>
          <cell r="D351">
            <v>997.5</v>
          </cell>
        </row>
        <row r="352">
          <cell r="B352" t="str">
            <v>S/s Gri Gri (8-10')</v>
          </cell>
          <cell r="C352" t="str">
            <v>ud</v>
          </cell>
          <cell r="D352">
            <v>997.5</v>
          </cell>
        </row>
        <row r="353">
          <cell r="B353" t="str">
            <v>S/s Higuero (5-7')</v>
          </cell>
          <cell r="C353" t="str">
            <v>ud</v>
          </cell>
          <cell r="D353">
            <v>1050</v>
          </cell>
        </row>
        <row r="354">
          <cell r="B354" t="str">
            <v>S/s Ceiba (10-12')</v>
          </cell>
          <cell r="C354" t="str">
            <v>ud</v>
          </cell>
          <cell r="D354">
            <v>997.5</v>
          </cell>
        </row>
        <row r="355">
          <cell r="B355" t="str">
            <v>S/s Roble rosado (5-7')</v>
          </cell>
          <cell r="C355" t="str">
            <v>ud</v>
          </cell>
          <cell r="D355">
            <v>997.5</v>
          </cell>
        </row>
        <row r="356">
          <cell r="B356" t="str">
            <v>S/s Roble blanco (5-7')</v>
          </cell>
          <cell r="C356" t="str">
            <v>ud</v>
          </cell>
          <cell r="D356">
            <v>997.5</v>
          </cell>
        </row>
        <row r="357">
          <cell r="B357" t="str">
            <v>S/s Roble blanco (8-10')</v>
          </cell>
          <cell r="C357" t="str">
            <v>ud</v>
          </cell>
          <cell r="D357">
            <v>997.5</v>
          </cell>
        </row>
        <row r="358">
          <cell r="B358" t="str">
            <v>S/s Roble amarillo (8-10')</v>
          </cell>
          <cell r="C358" t="str">
            <v>ud</v>
          </cell>
          <cell r="D358">
            <v>3675</v>
          </cell>
        </row>
        <row r="359">
          <cell r="B359" t="str">
            <v>S/s Samán (10-12')</v>
          </cell>
          <cell r="C359" t="str">
            <v>ud</v>
          </cell>
          <cell r="D359">
            <v>997.5</v>
          </cell>
        </row>
        <row r="360">
          <cell r="B360" t="str">
            <v>S/s Palo de burro (7')</v>
          </cell>
          <cell r="C360" t="str">
            <v>ud</v>
          </cell>
          <cell r="D360">
            <v>2100</v>
          </cell>
        </row>
        <row r="361">
          <cell r="B361" t="str">
            <v>S/s Ylag Ylang (5-7')</v>
          </cell>
          <cell r="C361" t="str">
            <v>ud</v>
          </cell>
          <cell r="D361">
            <v>945</v>
          </cell>
        </row>
        <row r="362">
          <cell r="B362" t="str">
            <v>S/s Guasima</v>
          </cell>
          <cell r="C362" t="str">
            <v>ud</v>
          </cell>
          <cell r="D362">
            <v>945</v>
          </cell>
        </row>
        <row r="363">
          <cell r="B363" t="str">
            <v>S/s Alamo</v>
          </cell>
          <cell r="C363" t="str">
            <v>ud</v>
          </cell>
          <cell r="D363">
            <v>945</v>
          </cell>
        </row>
        <row r="364">
          <cell r="B364" t="str">
            <v>S/s Mamey (8-10')</v>
          </cell>
          <cell r="C364" t="str">
            <v>ud</v>
          </cell>
          <cell r="D364">
            <v>945</v>
          </cell>
        </row>
        <row r="365">
          <cell r="B365" t="str">
            <v>S/s Reina De las Flores de (8-10')</v>
          </cell>
          <cell r="C365" t="str">
            <v>ud</v>
          </cell>
          <cell r="D365">
            <v>1575</v>
          </cell>
        </row>
        <row r="366">
          <cell r="B366" t="str">
            <v>S/s Bambú (Bambusa textilis )</v>
          </cell>
          <cell r="C366" t="str">
            <v>ud</v>
          </cell>
          <cell r="D366">
            <v>577.5</v>
          </cell>
        </row>
        <row r="367">
          <cell r="B367" t="str">
            <v>S/s Palma Cola De Zorro (6 pies de tronco)</v>
          </cell>
          <cell r="C367" t="str">
            <v>ud</v>
          </cell>
          <cell r="D367">
            <v>5040</v>
          </cell>
        </row>
        <row r="368">
          <cell r="B368" t="str">
            <v>S/s Palma Manila( 7 a 8 de tronco)</v>
          </cell>
          <cell r="C368" t="str">
            <v>ud</v>
          </cell>
          <cell r="D368">
            <v>1575</v>
          </cell>
        </row>
        <row r="369">
          <cell r="B369" t="str">
            <v>S/s Palmas Reales (10-12')</v>
          </cell>
          <cell r="C369" t="str">
            <v>ud</v>
          </cell>
          <cell r="D369">
            <v>4725</v>
          </cell>
        </row>
        <row r="370">
          <cell r="B370" t="str">
            <v>S/s Pajon Panisetum Morado</v>
          </cell>
          <cell r="C370" t="str">
            <v>ud</v>
          </cell>
          <cell r="D370">
            <v>147</v>
          </cell>
        </row>
        <row r="371">
          <cell r="B371" t="str">
            <v>S/s Pajon Panisetum Blanco</v>
          </cell>
          <cell r="C371" t="str">
            <v>ud</v>
          </cell>
          <cell r="D371">
            <v>147</v>
          </cell>
        </row>
        <row r="372">
          <cell r="B372" t="str">
            <v>S/s Mangle verde ( 8-10')</v>
          </cell>
          <cell r="C372" t="str">
            <v>ud</v>
          </cell>
          <cell r="D372">
            <v>183.75</v>
          </cell>
        </row>
        <row r="373">
          <cell r="B373" t="str">
            <v>S/s Mangle Plateado (4')</v>
          </cell>
          <cell r="C373" t="str">
            <v>ud</v>
          </cell>
          <cell r="D373">
            <v>183.75</v>
          </cell>
        </row>
        <row r="374">
          <cell r="B374" t="str">
            <v>S/s Mangle plateado (5-7')</v>
          </cell>
          <cell r="C374" t="str">
            <v>ud</v>
          </cell>
          <cell r="D374">
            <v>78.75</v>
          </cell>
        </row>
        <row r="375">
          <cell r="B375" t="str">
            <v>S/c Relleno con tierra negra</v>
          </cell>
          <cell r="C375" t="str">
            <v>m3</v>
          </cell>
          <cell r="D375">
            <v>1000</v>
          </cell>
        </row>
        <row r="376">
          <cell r="B376" t="str">
            <v>S/I  Estacas de soportes arboles</v>
          </cell>
          <cell r="C376" t="str">
            <v>ud</v>
          </cell>
          <cell r="D376">
            <v>40</v>
          </cell>
        </row>
        <row r="377">
          <cell r="B377" t="str">
            <v>S/c Mulch</v>
          </cell>
          <cell r="C377" t="str">
            <v>m3</v>
          </cell>
          <cell r="D377">
            <v>1890</v>
          </cell>
        </row>
        <row r="378">
          <cell r="B378" t="str">
            <v>S/s Doña Sanica</v>
          </cell>
          <cell r="C378" t="str">
            <v>ud</v>
          </cell>
          <cell r="D378">
            <v>42</v>
          </cell>
        </row>
        <row r="379">
          <cell r="B379" t="str">
            <v>S/s Purpurina</v>
          </cell>
          <cell r="C379" t="str">
            <v>ud</v>
          </cell>
          <cell r="D379">
            <v>42</v>
          </cell>
        </row>
        <row r="380">
          <cell r="B380" t="str">
            <v>S/s San Severia o Agave Varegado</v>
          </cell>
          <cell r="C380" t="str">
            <v>ud</v>
          </cell>
          <cell r="D380">
            <v>52.5</v>
          </cell>
        </row>
        <row r="381">
          <cell r="B381" t="str">
            <v>S/s Guayiga</v>
          </cell>
          <cell r="C381" t="str">
            <v>ud</v>
          </cell>
          <cell r="D381">
            <v>68.25</v>
          </cell>
        </row>
        <row r="382">
          <cell r="B382" t="str">
            <v>S/s Árbol Chino</v>
          </cell>
          <cell r="C382" t="str">
            <v>ud</v>
          </cell>
          <cell r="D382">
            <v>26.25</v>
          </cell>
        </row>
        <row r="383">
          <cell r="B383" t="str">
            <v>S/s Alelí (4 pies)</v>
          </cell>
          <cell r="C383" t="str">
            <v>ud</v>
          </cell>
          <cell r="D383">
            <v>1575</v>
          </cell>
        </row>
        <row r="384">
          <cell r="B384" t="str">
            <v>S/s Coordelines</v>
          </cell>
          <cell r="C384" t="str">
            <v>ud</v>
          </cell>
          <cell r="D384">
            <v>47.25</v>
          </cell>
        </row>
        <row r="385">
          <cell r="B385" t="str">
            <v>S/s Cayena rojas y Amarillas</v>
          </cell>
          <cell r="C385" t="str">
            <v>ud</v>
          </cell>
          <cell r="D385">
            <v>131.25</v>
          </cell>
        </row>
        <row r="386">
          <cell r="B386" t="str">
            <v>S/s Guayacán (de 3 a 4 pies)</v>
          </cell>
          <cell r="C386" t="str">
            <v>ud</v>
          </cell>
          <cell r="D386">
            <v>472.5</v>
          </cell>
        </row>
        <row r="387">
          <cell r="B387" t="str">
            <v>Framboyán Amarillo ( 12 pies)</v>
          </cell>
          <cell r="C387" t="str">
            <v>ud</v>
          </cell>
          <cell r="D387">
            <v>7350</v>
          </cell>
        </row>
        <row r="388">
          <cell r="B388" t="str">
            <v>Suministro e instalación de Estacas de soportes arboles parque las ballenas</v>
          </cell>
          <cell r="C388" t="str">
            <v>ud</v>
          </cell>
          <cell r="D388">
            <v>75</v>
          </cell>
        </row>
        <row r="389">
          <cell r="B389" t="str">
            <v>S/I baranda decorativa tipo pasamanos segun diseño</v>
          </cell>
          <cell r="C389" t="str">
            <v>p2</v>
          </cell>
          <cell r="D389">
            <v>495</v>
          </cell>
        </row>
        <row r="390">
          <cell r="B390" t="str">
            <v>Demarcación lineas de bases</v>
          </cell>
          <cell r="C390" t="str">
            <v>Ud</v>
          </cell>
          <cell r="D390">
            <v>1000</v>
          </cell>
        </row>
        <row r="391">
          <cell r="B391" t="str">
            <v>Pintura y demarcacion de Linea de Juego cancha completa de baloncesto</v>
          </cell>
          <cell r="C391" t="str">
            <v>Ud</v>
          </cell>
          <cell r="D391">
            <v>49560</v>
          </cell>
        </row>
        <row r="392">
          <cell r="B392" t="str">
            <v>Pintura y demarcacion de Linea de Juego media cancha de baloncesto</v>
          </cell>
          <cell r="C392" t="str">
            <v>m2</v>
          </cell>
          <cell r="D392">
            <v>35.842293906810035</v>
          </cell>
        </row>
        <row r="393">
          <cell r="B393" t="str">
            <v>Suministro e Instalación de Paragomas</v>
          </cell>
          <cell r="C393" t="str">
            <v>und</v>
          </cell>
          <cell r="D393">
            <v>1475</v>
          </cell>
        </row>
        <row r="394">
          <cell r="B394" t="str">
            <v>Suministro e instalación de techo traslucido</v>
          </cell>
          <cell r="C394" t="str">
            <v>m2</v>
          </cell>
          <cell r="D394">
            <v>2816.55</v>
          </cell>
        </row>
        <row r="395">
          <cell r="B395" t="str">
            <v xml:space="preserve">Suministro e instalación de pergolado 1 1/2''x 1 1/2'' de aluminio y madera sintetica </v>
          </cell>
          <cell r="C395" t="str">
            <v>m2</v>
          </cell>
          <cell r="D395">
            <v>8193.6</v>
          </cell>
        </row>
        <row r="396">
          <cell r="B396" t="str">
            <v>Suministro e instalacion de Deck de madera sintetica marron  2000 x 120 x 22 mm, antideslizante, colocada c/ madera tratada IPE</v>
          </cell>
          <cell r="C396" t="str">
            <v>m2</v>
          </cell>
          <cell r="D396">
            <v>6913.35</v>
          </cell>
        </row>
        <row r="397">
          <cell r="B397" t="str">
            <v>Suministro e instalación de bancos de hormigon monolitico tipo A 140 x 45 cm</v>
          </cell>
          <cell r="C397" t="str">
            <v>Ud</v>
          </cell>
          <cell r="D397">
            <v>14299.995199999999</v>
          </cell>
        </row>
        <row r="398">
          <cell r="B398" t="str">
            <v>Suministro e instalación de bancos de hormigon monolitico tipo A 50 x 50 cm</v>
          </cell>
          <cell r="C398" t="str">
            <v>Ud</v>
          </cell>
          <cell r="D398">
            <v>11499.996799999999</v>
          </cell>
        </row>
        <row r="399">
          <cell r="B399" t="str">
            <v>Suministro e instalación de bancos de hormigon monolitico tipo B 140 x 45 cm</v>
          </cell>
          <cell r="C399" t="str">
            <v>Ud</v>
          </cell>
          <cell r="D399">
            <v>12199.996399999998</v>
          </cell>
        </row>
        <row r="400">
          <cell r="B400" t="str">
            <v>Suministro e instalación de bancos de hormigon monolitico tipo B 50 x 50 cm</v>
          </cell>
          <cell r="C400" t="str">
            <v>Ud</v>
          </cell>
          <cell r="D400">
            <v>9150.0031999999992</v>
          </cell>
        </row>
        <row r="401">
          <cell r="B401" t="str">
            <v>Suministro e instalación de bancos de hormigon monolitico tipo C 50 x 50 cm</v>
          </cell>
          <cell r="C401" t="str">
            <v>Ud</v>
          </cell>
          <cell r="D401">
            <v>10500.005799999999</v>
          </cell>
        </row>
        <row r="402">
          <cell r="B402" t="str">
            <v>Suministro e instalación de bancos de hormigon monolitico tipo C 140 x 45 cm</v>
          </cell>
          <cell r="C402" t="str">
            <v>Ud</v>
          </cell>
          <cell r="D402">
            <v>11100.000400000001</v>
          </cell>
        </row>
        <row r="403">
          <cell r="B403" t="str">
            <v>Suministro e instalación de mesa de hormigon monolitico</v>
          </cell>
          <cell r="C403" t="str">
            <v>Ud</v>
          </cell>
          <cell r="D403">
            <v>16499.999</v>
          </cell>
        </row>
        <row r="404">
          <cell r="B404" t="str">
            <v>Suministro e instalación de bancos de hormigon monolitico tipo A 50 x 50 cm para mesas</v>
          </cell>
          <cell r="C404" t="str">
            <v>Ud</v>
          </cell>
          <cell r="D404">
            <v>11499.996799999999</v>
          </cell>
        </row>
        <row r="405">
          <cell r="B405" t="str">
            <v>Suministro y colocación de Tuberia de arrastre de 4'', tubo PVC-S presion 4''x 19 SDR-41</v>
          </cell>
          <cell r="C405" t="str">
            <v>tubo</v>
          </cell>
          <cell r="D405">
            <v>280</v>
          </cell>
        </row>
        <row r="406">
          <cell r="B406" t="str">
            <v>Descabezado de pilotes TC</v>
          </cell>
          <cell r="C406">
            <v>0</v>
          </cell>
          <cell r="D406">
            <v>0</v>
          </cell>
        </row>
        <row r="407">
          <cell r="B407" t="str">
            <v>Movilización de pilotes de hormigón</v>
          </cell>
          <cell r="C407">
            <v>0</v>
          </cell>
          <cell r="D407">
            <v>0</v>
          </cell>
        </row>
        <row r="408">
          <cell r="B408" t="str">
            <v>Demolición de muros de bloques</v>
          </cell>
          <cell r="C408">
            <v>0</v>
          </cell>
          <cell r="D408">
            <v>0</v>
          </cell>
        </row>
        <row r="409">
          <cell r="B409" t="str">
            <v>Construccion de Totem en hormigon con perfiles de madera, metalicos cuadrados y tubulares, incluye densglass, excavacion, zapata, letras en cintra</v>
          </cell>
          <cell r="C409" t="str">
            <v>Pa</v>
          </cell>
          <cell r="D409">
            <v>280000</v>
          </cell>
        </row>
        <row r="410">
          <cell r="B410" t="str">
            <v>Suministro y colocacion de pintura termoplastica a=0.10m</v>
          </cell>
          <cell r="C410" t="str">
            <v>ml</v>
          </cell>
          <cell r="D410">
            <v>110</v>
          </cell>
        </row>
        <row r="411">
          <cell r="B411" t="str">
            <v>Suministro y colocacion de señal vertical</v>
          </cell>
          <cell r="C411" t="str">
            <v>Ud</v>
          </cell>
          <cell r="D411">
            <v>7500</v>
          </cell>
        </row>
        <row r="412">
          <cell r="B412" t="str">
            <v>MO confeccion carpinteria blanca</v>
          </cell>
          <cell r="C412" t="str">
            <v>m2</v>
          </cell>
          <cell r="D412">
            <v>550</v>
          </cell>
        </row>
        <row r="413">
          <cell r="B413">
            <v>0</v>
          </cell>
          <cell r="C413">
            <v>0</v>
          </cell>
          <cell r="D413">
            <v>0</v>
          </cell>
        </row>
        <row r="414">
          <cell r="B414" t="str">
            <v>EQUIPOS</v>
          </cell>
          <cell r="C414">
            <v>0</v>
          </cell>
          <cell r="D414">
            <v>0</v>
          </cell>
        </row>
        <row r="415">
          <cell r="B415">
            <v>0</v>
          </cell>
          <cell r="C415">
            <v>0</v>
          </cell>
          <cell r="D415">
            <v>0</v>
          </cell>
        </row>
        <row r="416">
          <cell r="B416" t="str">
            <v>Generador electrico (inc. combustible y operador)</v>
          </cell>
          <cell r="C416" t="str">
            <v>mes</v>
          </cell>
          <cell r="D416">
            <v>21447</v>
          </cell>
        </row>
        <row r="417">
          <cell r="B417" t="str">
            <v>Luminarias</v>
          </cell>
          <cell r="C417" t="str">
            <v>mes</v>
          </cell>
          <cell r="D417">
            <v>26808.749999999996</v>
          </cell>
        </row>
        <row r="418">
          <cell r="B418" t="str">
            <v>Tractor (inc operador, combustible y lubricante)</v>
          </cell>
          <cell r="C418" t="str">
            <v>hr</v>
          </cell>
          <cell r="D418">
            <v>4250</v>
          </cell>
        </row>
        <row r="419">
          <cell r="B419" t="str">
            <v>Motoniveladora (inc operador, combustible y lubricante)</v>
          </cell>
          <cell r="C419" t="str">
            <v>hr</v>
          </cell>
          <cell r="D419">
            <v>2500</v>
          </cell>
        </row>
        <row r="420">
          <cell r="B420" t="str">
            <v>Rodillo (inc operador, combustible y lubricante)</v>
          </cell>
          <cell r="C420" t="str">
            <v>hr</v>
          </cell>
          <cell r="D420">
            <v>2400</v>
          </cell>
        </row>
        <row r="421">
          <cell r="B421" t="str">
            <v>Bote a 5km</v>
          </cell>
          <cell r="C421" t="str">
            <v>m3e</v>
          </cell>
          <cell r="D421">
            <v>123.80000000000001</v>
          </cell>
        </row>
        <row r="422">
          <cell r="B422" t="str">
            <v>Bote a 5km (inc. carguio con paleros)</v>
          </cell>
          <cell r="C422" t="str">
            <v>m3e</v>
          </cell>
          <cell r="D422">
            <v>365</v>
          </cell>
        </row>
        <row r="423">
          <cell r="B423" t="str">
            <v>Camion cisterna (inc operador, combustible y lubricante)</v>
          </cell>
          <cell r="C423" t="str">
            <v>hr</v>
          </cell>
          <cell r="D423">
            <v>400</v>
          </cell>
        </row>
        <row r="424">
          <cell r="B424" t="str">
            <v>Pala cargadora (inc operador, combustible y lubricante)</v>
          </cell>
          <cell r="C424" t="str">
            <v>hr</v>
          </cell>
          <cell r="D424">
            <v>2800</v>
          </cell>
        </row>
        <row r="425">
          <cell r="B425" t="str">
            <v>Herramientas</v>
          </cell>
          <cell r="C425" t="str">
            <v>Pa</v>
          </cell>
          <cell r="D425">
            <v>0.03</v>
          </cell>
        </row>
        <row r="426">
          <cell r="B426" t="str">
            <v>Compactador manual (inc operador, combustible y lubricantes)</v>
          </cell>
          <cell r="C426" t="str">
            <v>hr</v>
          </cell>
          <cell r="D426">
            <v>283.33333333333331</v>
          </cell>
        </row>
        <row r="427">
          <cell r="B427" t="str">
            <v>Grua 6 ton (inc operador, combustible y lubricantes)</v>
          </cell>
          <cell r="C427" t="str">
            <v>hr</v>
          </cell>
          <cell r="D427">
            <v>1500</v>
          </cell>
        </row>
        <row r="428">
          <cell r="B428" t="str">
            <v>Acarreo de 0 - 5 km</v>
          </cell>
          <cell r="C428" t="str">
            <v>m3e-km</v>
          </cell>
          <cell r="D428">
            <v>24.76</v>
          </cell>
        </row>
        <row r="429">
          <cell r="B429" t="str">
            <v>Acarreo de 5.1 - 10 km</v>
          </cell>
          <cell r="C429" t="str">
            <v>m3e-km</v>
          </cell>
          <cell r="D429">
            <v>19.22</v>
          </cell>
        </row>
        <row r="430">
          <cell r="B430" t="str">
            <v>Acarreo de 10.1 - 20 km</v>
          </cell>
          <cell r="C430" t="str">
            <v>m3e-km</v>
          </cell>
          <cell r="D430">
            <v>18.21</v>
          </cell>
        </row>
        <row r="431">
          <cell r="B431" t="str">
            <v>Acarreo de &gt; 20 km</v>
          </cell>
          <cell r="C431" t="str">
            <v>m3e-km</v>
          </cell>
          <cell r="D431">
            <v>17.88</v>
          </cell>
        </row>
        <row r="432">
          <cell r="B432" t="str">
            <v>Bombeo de hormigon</v>
          </cell>
          <cell r="C432" t="str">
            <v>m3</v>
          </cell>
          <cell r="D432">
            <v>400</v>
          </cell>
        </row>
        <row r="433">
          <cell r="B433" t="str">
            <v>Transporte de banco</v>
          </cell>
          <cell r="C433" t="str">
            <v>viaje</v>
          </cell>
          <cell r="D433">
            <v>0</v>
          </cell>
        </row>
        <row r="434">
          <cell r="B434" t="str">
            <v>Movimiento Interno</v>
          </cell>
          <cell r="C434" t="str">
            <v>hr</v>
          </cell>
          <cell r="D434">
            <v>5690</v>
          </cell>
        </row>
        <row r="435">
          <cell r="B435" t="str">
            <v>Encofrado metalico fondo y laterales</v>
          </cell>
          <cell r="C435" t="str">
            <v>m2</v>
          </cell>
          <cell r="D435">
            <v>853.5</v>
          </cell>
        </row>
        <row r="436">
          <cell r="B436" t="str">
            <v>Encofrado Negativo</v>
          </cell>
          <cell r="C436" t="str">
            <v>ml</v>
          </cell>
          <cell r="D436">
            <v>227.6</v>
          </cell>
        </row>
        <row r="437">
          <cell r="B437" t="str">
            <v>Retroexcavadora 320D (Inc. operador, combustible y lubricantes)</v>
          </cell>
          <cell r="C437" t="str">
            <v>hr</v>
          </cell>
          <cell r="D437">
            <v>3000</v>
          </cell>
        </row>
        <row r="438">
          <cell r="B438" t="str">
            <v>Retroexcavadora (Inc.combustible y operador)</v>
          </cell>
          <cell r="C438" t="str">
            <v>hr</v>
          </cell>
          <cell r="D438">
            <v>1790</v>
          </cell>
        </row>
        <row r="439">
          <cell r="B439" t="str">
            <v>Instalación Bancos</v>
          </cell>
          <cell r="C439" t="str">
            <v>Ud</v>
          </cell>
          <cell r="D439">
            <v>682.8</v>
          </cell>
        </row>
        <row r="440">
          <cell r="B440" t="str">
            <v>Pulidora tipo  Helicoptero (Incluye equipo y Operador)</v>
          </cell>
          <cell r="C440" t="str">
            <v>dia</v>
          </cell>
          <cell r="D440">
            <v>3000</v>
          </cell>
        </row>
        <row r="441">
          <cell r="B441" t="str">
            <v>Camioneta (inc. combustible y lubricantes)</v>
          </cell>
          <cell r="C441" t="str">
            <v>mes</v>
          </cell>
          <cell r="D441">
            <v>25000</v>
          </cell>
        </row>
        <row r="442">
          <cell r="B442" t="str">
            <v>Broca Hilti 3/8"</v>
          </cell>
          <cell r="C442" t="str">
            <v>Ud</v>
          </cell>
          <cell r="D442">
            <v>111.53</v>
          </cell>
        </row>
        <row r="443">
          <cell r="B443" t="str">
            <v>Martillo de goma (chapulin)</v>
          </cell>
          <cell r="C443" t="str">
            <v>Ud</v>
          </cell>
          <cell r="D443">
            <v>176.10000000000002</v>
          </cell>
        </row>
        <row r="444">
          <cell r="B444" t="str">
            <v>Cargue en patana</v>
          </cell>
          <cell r="C444" t="str">
            <v>hr</v>
          </cell>
          <cell r="D444">
            <v>5870</v>
          </cell>
        </row>
        <row r="445">
          <cell r="B445" t="str">
            <v>Camion de bote</v>
          </cell>
          <cell r="C445" t="str">
            <v>dia</v>
          </cell>
          <cell r="D445">
            <v>2500</v>
          </cell>
        </row>
        <row r="446">
          <cell r="B446" t="str">
            <v>Camion cama larga (Inc.combustible y operador)</v>
          </cell>
          <cell r="C446" t="str">
            <v>dia</v>
          </cell>
          <cell r="D446">
            <v>8000</v>
          </cell>
        </row>
        <row r="447">
          <cell r="B447" t="str">
            <v>Grua 20 ton (inc operador, combustible y lubricantes)</v>
          </cell>
          <cell r="C447" t="str">
            <v>dia</v>
          </cell>
          <cell r="D447">
            <v>55000</v>
          </cell>
        </row>
        <row r="448">
          <cell r="B448" t="str">
            <v>Compresor para descabece de pilotes</v>
          </cell>
          <cell r="C448" t="str">
            <v>dia</v>
          </cell>
          <cell r="D448">
            <v>4000</v>
          </cell>
        </row>
        <row r="449">
          <cell r="B449">
            <v>0</v>
          </cell>
          <cell r="C449">
            <v>0</v>
          </cell>
          <cell r="D449">
            <v>0</v>
          </cell>
        </row>
        <row r="450">
          <cell r="B450">
            <v>0</v>
          </cell>
          <cell r="C450">
            <v>0</v>
          </cell>
          <cell r="D450">
            <v>0</v>
          </cell>
        </row>
        <row r="451">
          <cell r="B451">
            <v>0</v>
          </cell>
          <cell r="C451">
            <v>0</v>
          </cell>
          <cell r="D451">
            <v>0</v>
          </cell>
        </row>
        <row r="452">
          <cell r="B452">
            <v>0</v>
          </cell>
          <cell r="C452">
            <v>0</v>
          </cell>
          <cell r="D452">
            <v>0</v>
          </cell>
        </row>
        <row r="453">
          <cell r="B453">
            <v>0</v>
          </cell>
          <cell r="C453">
            <v>0</v>
          </cell>
          <cell r="D453">
            <v>0</v>
          </cell>
        </row>
        <row r="454">
          <cell r="B454">
            <v>0</v>
          </cell>
          <cell r="C454">
            <v>0</v>
          </cell>
          <cell r="D454">
            <v>0</v>
          </cell>
        </row>
        <row r="455">
          <cell r="B455">
            <v>0</v>
          </cell>
          <cell r="C455">
            <v>0</v>
          </cell>
          <cell r="D455">
            <v>0</v>
          </cell>
        </row>
        <row r="456">
          <cell r="B456">
            <v>0</v>
          </cell>
          <cell r="C456">
            <v>0</v>
          </cell>
          <cell r="D456">
            <v>0</v>
          </cell>
        </row>
        <row r="457">
          <cell r="B457">
            <v>0</v>
          </cell>
          <cell r="C457">
            <v>0</v>
          </cell>
          <cell r="D457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</row>
        <row r="459">
          <cell r="B459">
            <v>0</v>
          </cell>
          <cell r="C459">
            <v>0</v>
          </cell>
          <cell r="D459">
            <v>0</v>
          </cell>
        </row>
        <row r="460">
          <cell r="B460">
            <v>0</v>
          </cell>
          <cell r="C460">
            <v>0</v>
          </cell>
          <cell r="D460">
            <v>0</v>
          </cell>
        </row>
        <row r="461">
          <cell r="B461">
            <v>0</v>
          </cell>
          <cell r="C461">
            <v>0</v>
          </cell>
          <cell r="D461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"/>
      <sheetName val="Presupuesto Parque Lineal"/>
      <sheetName val="Presupuesto Las ballenas"/>
      <sheetName val="Analisis Parque lineal"/>
      <sheetName val="Sheet1"/>
      <sheetName val="Analisis Parque las ballenas"/>
      <sheetName val="BASICS"/>
      <sheetName val="INSTALACIONES ELECTRICAS"/>
      <sheetName val="ANALISIS DE COSTOS"/>
      <sheetName val="Presupuesto  (2)"/>
    </sheetNames>
    <sheetDataSet>
      <sheetData sheetId="0"/>
      <sheetData sheetId="1"/>
      <sheetData sheetId="2"/>
      <sheetData sheetId="3">
        <row r="1027">
          <cell r="G1027">
            <v>309.76039047619048</v>
          </cell>
        </row>
        <row r="1491">
          <cell r="G1491">
            <v>1323.3770280000001</v>
          </cell>
        </row>
        <row r="1544">
          <cell r="G1544">
            <v>64.826999999999998</v>
          </cell>
        </row>
      </sheetData>
      <sheetData sheetId="4"/>
      <sheetData sheetId="5"/>
      <sheetData sheetId="6">
        <row r="2">
          <cell r="C2" t="str">
            <v>Unidad</v>
          </cell>
        </row>
      </sheetData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"/>
      <sheetName val="Insumos"/>
      <sheetName val="MO"/>
      <sheetName val="Precio de Vigas"/>
      <sheetName val="analisis"/>
      <sheetName val="Hss 10&quot; x 3&quot; x .125&quot;"/>
      <sheetName val="C 5&quot; x 10&quot; x 2 mm"/>
      <sheetName val="C 2&quot; x 10&quot; x 2mm"/>
      <sheetName val="ANALISIS STO DGO"/>
      <sheetName val="análisis"/>
      <sheetName val="Precio_de_Vigas"/>
      <sheetName val="Hss_10&quot;_x_3&quot;_x__125&quot;"/>
      <sheetName val="C_5&quot;_x_10&quot;_x_2_mm"/>
      <sheetName val="C_2&quot;_x_10&quot;_x_2mm"/>
      <sheetName val="ANALISIS_STO_DGO"/>
      <sheetName val="Precio_de_Vigas1"/>
      <sheetName val="Hss_10&quot;_x_3&quot;_x__125&quot;1"/>
      <sheetName val="C_5&quot;_x_10&quot;_x_2_mm1"/>
      <sheetName val="C_2&quot;_x_10&quot;_x_2mm1"/>
      <sheetName val="ANALISIS_STO_DGO1"/>
      <sheetName val="Precio_de_Vigas2"/>
      <sheetName val="Hss_10&quot;_x_3&quot;_x__125&quot;2"/>
      <sheetName val="C_5&quot;_x_10&quot;_x_2_mm2"/>
      <sheetName val="C_2&quot;_x_10&quot;_x_2mm2"/>
      <sheetName val="ANALISIS_STO_DGO2"/>
      <sheetName val="Precio_de_Vigas3"/>
      <sheetName val="Hss_10&quot;_x_3&quot;_x__125&quot;3"/>
      <sheetName val="C_5&quot;_x_10&quot;_x_2_mm3"/>
      <sheetName val="C_2&quot;_x_10&quot;_x_2mm3"/>
      <sheetName val="ANALISIS_STO_DGO3"/>
      <sheetName val="COSTO INDIRECTO"/>
      <sheetName val="OPERADORES EQUIPOS"/>
      <sheetName val="Mat"/>
      <sheetName val="anal term"/>
      <sheetName val="Jornal"/>
      <sheetName val="Anal. horm."/>
      <sheetName val="PU-Elect."/>
      <sheetName val="Ana-Sanit."/>
      <sheetName val="Pu-Sanit."/>
      <sheetName val="MOJornal"/>
    </sheetNames>
    <sheetDataSet>
      <sheetData sheetId="0"/>
      <sheetData sheetId="1" refreshError="1"/>
      <sheetData sheetId="2" refreshError="1"/>
      <sheetData sheetId="3" refreshError="1"/>
      <sheetData sheetId="4">
        <row r="4">
          <cell r="F4">
            <v>35.75</v>
          </cell>
        </row>
        <row r="1453">
          <cell r="G1453">
            <v>1.18</v>
          </cell>
        </row>
        <row r="1637">
          <cell r="G1637">
            <v>1.1100000000000001</v>
          </cell>
        </row>
        <row r="1814">
          <cell r="G1814">
            <v>1.0990083501452665</v>
          </cell>
        </row>
        <row r="1872">
          <cell r="G1872">
            <v>1.04</v>
          </cell>
        </row>
        <row r="1977">
          <cell r="G1977">
            <v>1.01</v>
          </cell>
        </row>
        <row r="2313">
          <cell r="G2313">
            <v>1.5546306759858588</v>
          </cell>
        </row>
        <row r="2322">
          <cell r="G2322">
            <v>1.1959693269503306</v>
          </cell>
        </row>
        <row r="2477">
          <cell r="G2477">
            <v>1.5569471130991022</v>
          </cell>
        </row>
        <row r="2486">
          <cell r="G2486">
            <v>1.5907568128034648</v>
          </cell>
        </row>
        <row r="2513">
          <cell r="G2513">
            <v>1.4007248423901459</v>
          </cell>
        </row>
        <row r="2860">
          <cell r="G2860">
            <v>0.92456503968147008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caseta_de_planta_(2)"/>
      <sheetName val="cisterna_"/>
      <sheetName val="caseta_de_planta"/>
      <sheetName val="Relacion_de_proyecto"/>
      <sheetName val="Análisis_de_Precios"/>
      <sheetName val="M.O."/>
      <sheetName val="Ins"/>
      <sheetName val="M_O_"/>
      <sheetName val="caseta_de_planta_(2)1"/>
      <sheetName val="cisterna_1"/>
      <sheetName val="caseta_de_planta1"/>
      <sheetName val="Relacion_de_proyecto1"/>
      <sheetName val="Análisis_de_Precios1"/>
      <sheetName val="analisis"/>
      <sheetName val="M_O_1"/>
      <sheetName val="caseta_de_planta_(2)2"/>
      <sheetName val="cisterna_2"/>
      <sheetName val="caseta_de_planta2"/>
      <sheetName val="Relacion_de_proyecto2"/>
      <sheetName val="Análisis_de_Precios2"/>
      <sheetName val="M_O_2"/>
      <sheetName val="caseta_de_planta_(2)3"/>
      <sheetName val="cisterna_3"/>
      <sheetName val="caseta_de_planta3"/>
      <sheetName val="Relacion_de_proyecto3"/>
      <sheetName val="Análisis_de_Precios3"/>
      <sheetName val="M_O_3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</sheetData>
      <sheetData sheetId="3" refreshError="1"/>
      <sheetData sheetId="4"/>
      <sheetData sheetId="5"/>
      <sheetData sheetId="6"/>
      <sheetData sheetId="7"/>
      <sheetData sheetId="8">
        <row r="8">
          <cell r="C8" t="str">
            <v>Cant.</v>
          </cell>
          <cell r="E8" t="str">
            <v>P.U. RD$</v>
          </cell>
        </row>
        <row r="10">
          <cell r="E10" t="str">
            <v>P.A.</v>
          </cell>
        </row>
        <row r="12">
          <cell r="E12" t="str">
            <v xml:space="preserve"> </v>
          </cell>
        </row>
        <row r="13">
          <cell r="E13" t="e">
            <v>#REF!</v>
          </cell>
        </row>
        <row r="14">
          <cell r="E14" t="e">
            <v>#REF!</v>
          </cell>
        </row>
        <row r="15">
          <cell r="E15" t="e">
            <v>#NAME?</v>
          </cell>
        </row>
        <row r="16">
          <cell r="E16" t="e">
            <v>#REF!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#REF!</v>
          </cell>
        </row>
        <row r="20">
          <cell r="E20" t="e">
            <v>#REF!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 t="e">
            <v>#REF!</v>
          </cell>
        </row>
        <row r="24">
          <cell r="E24">
            <v>0</v>
          </cell>
        </row>
        <row r="27">
          <cell r="E27" t="e">
            <v>#REF!</v>
          </cell>
        </row>
        <row r="28">
          <cell r="E28" t="e">
            <v>#REF!</v>
          </cell>
        </row>
        <row r="29">
          <cell r="E29" t="e">
            <v>#REF!</v>
          </cell>
        </row>
        <row r="32">
          <cell r="E32" t="e">
            <v>#REF!</v>
          </cell>
        </row>
        <row r="33">
          <cell r="E33" t="e">
            <v>#REF!</v>
          </cell>
        </row>
        <row r="34">
          <cell r="E34" t="e">
            <v>#REF!</v>
          </cell>
        </row>
        <row r="35">
          <cell r="E35">
            <v>80</v>
          </cell>
        </row>
        <row r="36">
          <cell r="E36" t="e">
            <v>#REF!</v>
          </cell>
        </row>
        <row r="37">
          <cell r="E37">
            <v>0</v>
          </cell>
        </row>
        <row r="38">
          <cell r="E38">
            <v>0</v>
          </cell>
        </row>
        <row r="41">
          <cell r="E41">
            <v>210</v>
          </cell>
        </row>
        <row r="42">
          <cell r="E42">
            <v>450</v>
          </cell>
        </row>
        <row r="43">
          <cell r="E43">
            <v>0</v>
          </cell>
        </row>
        <row r="44">
          <cell r="E44">
            <v>200</v>
          </cell>
        </row>
        <row r="45">
          <cell r="E45">
            <v>100</v>
          </cell>
        </row>
        <row r="46">
          <cell r="E46">
            <v>80</v>
          </cell>
        </row>
        <row r="49">
          <cell r="E49">
            <v>0</v>
          </cell>
        </row>
        <row r="52">
          <cell r="E52" t="e">
            <v>#VALUE!</v>
          </cell>
        </row>
        <row r="54">
          <cell r="E54" t="e">
            <v>#VALUE!</v>
          </cell>
        </row>
        <row r="55">
          <cell r="E55" t="e">
            <v>#REF!</v>
          </cell>
        </row>
        <row r="56">
          <cell r="E56">
            <v>318.20400000000001</v>
          </cell>
        </row>
        <row r="57">
          <cell r="E57" t="e">
            <v>#REF!</v>
          </cell>
        </row>
        <row r="58">
          <cell r="E58" t="e">
            <v>#REF!</v>
          </cell>
        </row>
        <row r="59">
          <cell r="E59">
            <v>0</v>
          </cell>
        </row>
        <row r="63">
          <cell r="E63" t="e">
            <v>#REF!</v>
          </cell>
        </row>
        <row r="64">
          <cell r="E64" t="e">
            <v>#REF!</v>
          </cell>
        </row>
        <row r="65">
          <cell r="E65" t="e">
            <v>#REF!</v>
          </cell>
        </row>
        <row r="66">
          <cell r="E66" t="e">
            <v>#REF!</v>
          </cell>
        </row>
        <row r="67">
          <cell r="E67">
            <v>6919.2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E99">
            <v>0</v>
          </cell>
        </row>
        <row r="102">
          <cell r="E102" t="str">
            <v>P.A.</v>
          </cell>
        </row>
        <row r="103">
          <cell r="E103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2">
          <cell r="E112" t="str">
            <v>P.A.</v>
          </cell>
        </row>
        <row r="113">
          <cell r="E113" t="str">
            <v>P.A.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5">
          <cell r="E125">
            <v>0</v>
          </cell>
        </row>
        <row r="126">
          <cell r="E126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 t="str">
            <v xml:space="preserve"> 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 t="str">
            <v xml:space="preserve"> </v>
          </cell>
        </row>
        <row r="139">
          <cell r="E139">
            <v>0</v>
          </cell>
        </row>
        <row r="140"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C7" t="str">
            <v>Cant.</v>
          </cell>
        </row>
      </sheetData>
      <sheetData sheetId="18"/>
      <sheetData sheetId="19"/>
      <sheetData sheetId="20" refreshError="1"/>
      <sheetData sheetId="21" refreshError="1"/>
      <sheetData sheetId="22"/>
      <sheetData sheetId="23"/>
      <sheetData sheetId="24"/>
      <sheetData sheetId="25">
        <row r="7">
          <cell r="C7" t="str">
            <v>Cant.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7">
          <cell r="C7" t="str">
            <v>Cant.</v>
          </cell>
        </row>
      </sheetData>
      <sheetData sheetId="33"/>
      <sheetData sheetId="34"/>
      <sheetData sheetId="35"/>
      <sheetData sheetId="36"/>
      <sheetData sheetId="37"/>
      <sheetData sheetId="38">
        <row r="7">
          <cell r="C7" t="str">
            <v>Cant.</v>
          </cell>
        </row>
      </sheetData>
      <sheetData sheetId="39"/>
      <sheetData sheetId="40"/>
      <sheetData sheetId="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"/>
      <sheetName val="Hormigon"/>
      <sheetName val="Sheet4"/>
      <sheetName val="Sheet5"/>
      <sheetName val="presup."/>
      <sheetName val="presup_"/>
      <sheetName val="presup_1"/>
      <sheetName val="presup_2"/>
      <sheetName val="presup_3"/>
      <sheetName val="Ana"/>
      <sheetName val="Ins"/>
      <sheetName val="Ins 2"/>
      <sheetName val="med.mov.de tierras"/>
      <sheetName val="Analisis"/>
    </sheetNames>
    <sheetDataSet>
      <sheetData sheetId="0">
        <row r="9">
          <cell r="F9">
            <v>280</v>
          </cell>
        </row>
        <row r="11">
          <cell r="F11">
            <v>1796.9451931716083</v>
          </cell>
        </row>
        <row r="15">
          <cell r="F15">
            <v>45</v>
          </cell>
        </row>
        <row r="20">
          <cell r="F20">
            <v>1100</v>
          </cell>
        </row>
        <row r="21">
          <cell r="F21">
            <v>1100</v>
          </cell>
        </row>
        <row r="31">
          <cell r="F31">
            <v>500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C"/>
      <sheetName val="POLIETILENO"/>
      <sheetName val="Analisis formato"/>
      <sheetName val="REGISTROS DE LADRILLOS Y H.A. "/>
      <sheetName val="ANCLAJES DE H.A."/>
      <sheetName val=" MOVIMIENTO DE TIERRA EQUIP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IV564"/>
  <sheetViews>
    <sheetView topLeftCell="A84" workbookViewId="0">
      <selection sqref="A1:F1"/>
    </sheetView>
  </sheetViews>
  <sheetFormatPr baseColWidth="10" defaultColWidth="11.42578125" defaultRowHeight="12.75"/>
  <cols>
    <col min="1" max="1" width="6.140625" style="119" customWidth="1"/>
    <col min="2" max="2" width="53.5703125" style="119" customWidth="1"/>
    <col min="3" max="3" width="13.140625" style="409" customWidth="1"/>
    <col min="4" max="4" width="8.85546875" style="119" customWidth="1"/>
    <col min="5" max="5" width="14.85546875" style="119" customWidth="1"/>
    <col min="6" max="6" width="15.85546875" style="119" customWidth="1"/>
    <col min="7" max="7" width="14" style="185" customWidth="1"/>
    <col min="8" max="16384" width="11.42578125" style="119"/>
  </cols>
  <sheetData>
    <row r="1" spans="1:256" s="2" customFormat="1" ht="12.75" customHeight="1">
      <c r="A1" s="1416" t="s">
        <v>0</v>
      </c>
      <c r="B1" s="1416"/>
      <c r="C1" s="1416"/>
      <c r="D1" s="1416"/>
      <c r="E1" s="1416"/>
      <c r="F1" s="1416"/>
      <c r="G1" s="1"/>
    </row>
    <row r="2" spans="1:256" s="2" customFormat="1" ht="12.75" customHeight="1">
      <c r="A2" s="1416" t="s">
        <v>1</v>
      </c>
      <c r="B2" s="1416"/>
      <c r="C2" s="1416"/>
      <c r="D2" s="1416"/>
      <c r="E2" s="1416"/>
      <c r="F2" s="1416"/>
      <c r="G2" s="1416"/>
      <c r="H2" s="1416"/>
      <c r="I2" s="1416"/>
      <c r="J2" s="1416"/>
      <c r="K2" s="1416"/>
      <c r="L2" s="1416"/>
      <c r="M2" s="1416"/>
      <c r="N2" s="1416"/>
      <c r="O2" s="1416"/>
      <c r="P2" s="1416"/>
      <c r="Q2" s="1416"/>
      <c r="R2" s="1416"/>
      <c r="S2" s="1416"/>
      <c r="T2" s="1416"/>
      <c r="U2" s="1416"/>
      <c r="V2" s="1416"/>
      <c r="W2" s="1416"/>
      <c r="X2" s="1416"/>
      <c r="Y2" s="1416"/>
      <c r="Z2" s="1416"/>
      <c r="AA2" s="1416"/>
      <c r="AB2" s="1416"/>
      <c r="AC2" s="1416"/>
      <c r="AD2" s="1416"/>
      <c r="AE2" s="1416"/>
      <c r="AF2" s="1416"/>
      <c r="AG2" s="1416"/>
      <c r="AH2" s="1416"/>
      <c r="AI2" s="1416"/>
      <c r="AJ2" s="1416"/>
      <c r="AK2" s="1416"/>
      <c r="AL2" s="1416"/>
      <c r="AM2" s="1416"/>
      <c r="AN2" s="1416"/>
      <c r="AO2" s="1416"/>
      <c r="AP2" s="1416"/>
      <c r="AQ2" s="1416"/>
      <c r="AR2" s="1416"/>
      <c r="AS2" s="1416"/>
      <c r="AT2" s="1416"/>
      <c r="AU2" s="1416"/>
      <c r="AV2" s="1416"/>
      <c r="AW2" s="1416"/>
      <c r="AX2" s="1416"/>
      <c r="AY2" s="1416"/>
      <c r="AZ2" s="1416"/>
      <c r="BA2" s="1416"/>
      <c r="BB2" s="1416"/>
      <c r="BC2" s="1416"/>
      <c r="BD2" s="1416"/>
      <c r="BE2" s="1416"/>
      <c r="BF2" s="1416"/>
      <c r="BG2" s="1416"/>
      <c r="BH2" s="1416"/>
      <c r="BI2" s="1416"/>
      <c r="BJ2" s="1416"/>
      <c r="BK2" s="1416"/>
      <c r="BL2" s="1416"/>
      <c r="BM2" s="1416"/>
      <c r="BN2" s="1416"/>
      <c r="BO2" s="1416"/>
      <c r="BP2" s="1416"/>
      <c r="BQ2" s="1416"/>
      <c r="BR2" s="1416"/>
      <c r="BS2" s="1416"/>
      <c r="BT2" s="1416"/>
      <c r="BU2" s="1416"/>
      <c r="BV2" s="1416"/>
      <c r="BW2" s="1416"/>
      <c r="BX2" s="1416"/>
      <c r="BY2" s="1416"/>
      <c r="BZ2" s="1416"/>
      <c r="CA2" s="1416"/>
      <c r="CB2" s="1416"/>
      <c r="CC2" s="1416"/>
      <c r="CD2" s="1416"/>
      <c r="CE2" s="1416"/>
      <c r="CF2" s="1416"/>
      <c r="CG2" s="1416"/>
      <c r="CH2" s="1416"/>
      <c r="CI2" s="1416"/>
      <c r="CJ2" s="1416"/>
      <c r="CK2" s="1416"/>
      <c r="CL2" s="1416"/>
      <c r="CM2" s="1416"/>
      <c r="CN2" s="1416"/>
      <c r="CO2" s="1416"/>
      <c r="CP2" s="1416"/>
      <c r="CQ2" s="1416"/>
      <c r="CR2" s="1416"/>
      <c r="CS2" s="1416"/>
      <c r="CT2" s="1416"/>
      <c r="CU2" s="1416"/>
      <c r="CV2" s="1416"/>
      <c r="CW2" s="1416"/>
      <c r="CX2" s="1416"/>
      <c r="CY2" s="1416"/>
      <c r="CZ2" s="1416"/>
      <c r="DA2" s="1416"/>
      <c r="DB2" s="1416"/>
      <c r="DC2" s="1416"/>
      <c r="DD2" s="1416"/>
      <c r="DE2" s="1416"/>
      <c r="DF2" s="1416"/>
      <c r="DG2" s="1416"/>
      <c r="DH2" s="1416"/>
      <c r="DI2" s="1416"/>
      <c r="DJ2" s="1416"/>
      <c r="DK2" s="1416"/>
      <c r="DL2" s="1416"/>
      <c r="DM2" s="1416"/>
      <c r="DN2" s="1416"/>
      <c r="DO2" s="1416"/>
      <c r="DP2" s="1416"/>
      <c r="DQ2" s="1416"/>
      <c r="DR2" s="1416"/>
      <c r="DS2" s="1416"/>
      <c r="DT2" s="1416"/>
      <c r="DU2" s="1416"/>
      <c r="DV2" s="1416"/>
      <c r="DW2" s="1416"/>
      <c r="DX2" s="1416"/>
      <c r="DY2" s="1416"/>
      <c r="DZ2" s="1416"/>
      <c r="EA2" s="1416"/>
      <c r="EB2" s="1416"/>
      <c r="EC2" s="1416"/>
      <c r="ED2" s="1416"/>
      <c r="EE2" s="1416"/>
      <c r="EF2" s="1416"/>
      <c r="EG2" s="1416"/>
      <c r="EH2" s="1416"/>
      <c r="EI2" s="1416"/>
      <c r="EJ2" s="1416"/>
      <c r="EK2" s="1416"/>
      <c r="EL2" s="1416"/>
      <c r="EM2" s="1416"/>
      <c r="EN2" s="1416"/>
      <c r="EO2" s="1416"/>
      <c r="EP2" s="1416"/>
      <c r="EQ2" s="1416"/>
      <c r="ER2" s="1416"/>
      <c r="ES2" s="1416"/>
      <c r="ET2" s="1416"/>
      <c r="EU2" s="1416"/>
      <c r="EV2" s="1416"/>
      <c r="EW2" s="1416"/>
      <c r="EX2" s="1416"/>
      <c r="EY2" s="1416"/>
      <c r="EZ2" s="1416"/>
      <c r="FA2" s="1416"/>
      <c r="FB2" s="1416"/>
      <c r="FC2" s="1416"/>
      <c r="FD2" s="1416"/>
      <c r="FE2" s="1416"/>
      <c r="FF2" s="1416"/>
      <c r="FG2" s="1416"/>
      <c r="FH2" s="1416"/>
      <c r="FI2" s="1416"/>
      <c r="FJ2" s="1416"/>
      <c r="FK2" s="1416"/>
      <c r="FL2" s="1416"/>
      <c r="FM2" s="1416"/>
      <c r="FN2" s="1416"/>
      <c r="FO2" s="1416"/>
      <c r="FP2" s="1416"/>
      <c r="FQ2" s="1416"/>
      <c r="FR2" s="1416"/>
      <c r="FS2" s="1416"/>
      <c r="FT2" s="1416"/>
      <c r="FU2" s="1416"/>
      <c r="FV2" s="1416"/>
      <c r="FW2" s="1416"/>
      <c r="FX2" s="1416"/>
      <c r="FY2" s="1416"/>
      <c r="FZ2" s="1416"/>
      <c r="GA2" s="1416"/>
      <c r="GB2" s="1416"/>
      <c r="GC2" s="1416"/>
      <c r="GD2" s="1416"/>
      <c r="GE2" s="1416"/>
      <c r="GF2" s="1416"/>
      <c r="GG2" s="1416"/>
      <c r="GH2" s="1416"/>
      <c r="GI2" s="1416"/>
      <c r="GJ2" s="1416"/>
      <c r="GK2" s="1416"/>
      <c r="GL2" s="1416"/>
      <c r="GM2" s="1416"/>
      <c r="GN2" s="1416"/>
      <c r="GO2" s="1416"/>
      <c r="GP2" s="1416"/>
      <c r="GQ2" s="1416"/>
      <c r="GR2" s="1416"/>
      <c r="GS2" s="1416"/>
      <c r="GT2" s="1416"/>
      <c r="GU2" s="1416"/>
      <c r="GV2" s="1416"/>
      <c r="GW2" s="1416"/>
      <c r="GX2" s="1416"/>
      <c r="GY2" s="1416"/>
      <c r="GZ2" s="1416"/>
      <c r="HA2" s="1416"/>
      <c r="HB2" s="1416"/>
      <c r="HC2" s="1416"/>
      <c r="HD2" s="1416"/>
      <c r="HE2" s="1416"/>
      <c r="HF2" s="1416"/>
      <c r="HG2" s="1416"/>
      <c r="HH2" s="1416"/>
      <c r="HI2" s="1416"/>
      <c r="HJ2" s="1416"/>
      <c r="HK2" s="1416"/>
      <c r="HL2" s="1416"/>
      <c r="HM2" s="1416"/>
      <c r="HN2" s="1416"/>
      <c r="HO2" s="1416"/>
      <c r="HP2" s="1416"/>
      <c r="HQ2" s="1416"/>
      <c r="HR2" s="1416"/>
      <c r="HS2" s="1416"/>
      <c r="HT2" s="1416"/>
      <c r="HU2" s="1416"/>
      <c r="HV2" s="1416"/>
      <c r="HW2" s="1416"/>
      <c r="HX2" s="1416"/>
      <c r="HY2" s="1416"/>
      <c r="HZ2" s="1416"/>
      <c r="IA2" s="1416"/>
      <c r="IB2" s="1416"/>
      <c r="IC2" s="1416"/>
      <c r="ID2" s="1416"/>
      <c r="IE2" s="1416"/>
      <c r="IF2" s="1416"/>
      <c r="IG2" s="1416"/>
      <c r="IH2" s="1416"/>
      <c r="II2" s="1416"/>
      <c r="IJ2" s="1416"/>
      <c r="IK2" s="1416"/>
      <c r="IL2" s="1416"/>
      <c r="IM2" s="1416"/>
      <c r="IN2" s="1416"/>
      <c r="IO2" s="1416"/>
      <c r="IP2" s="1416"/>
      <c r="IQ2" s="1416"/>
      <c r="IR2" s="1416"/>
      <c r="IS2" s="1416"/>
      <c r="IT2" s="1416"/>
      <c r="IU2" s="1416"/>
      <c r="IV2" s="1416"/>
    </row>
    <row r="3" spans="1:256" s="2" customFormat="1" ht="12.75" customHeight="1">
      <c r="A3" s="1416" t="s">
        <v>2</v>
      </c>
      <c r="B3" s="1416"/>
      <c r="C3" s="1416"/>
      <c r="D3" s="1416"/>
      <c r="E3" s="1416"/>
      <c r="F3" s="1416"/>
      <c r="G3" s="1416"/>
      <c r="H3" s="1416"/>
      <c r="I3" s="1416"/>
      <c r="J3" s="1416"/>
      <c r="K3" s="1416"/>
      <c r="L3" s="1416"/>
      <c r="M3" s="1416"/>
      <c r="N3" s="1416"/>
      <c r="O3" s="1416"/>
      <c r="P3" s="1416"/>
      <c r="Q3" s="1416"/>
      <c r="R3" s="1416"/>
      <c r="S3" s="1416"/>
      <c r="T3" s="1416"/>
      <c r="U3" s="1416"/>
      <c r="V3" s="1416"/>
      <c r="W3" s="1416"/>
      <c r="X3" s="1416"/>
      <c r="Y3" s="1416"/>
      <c r="Z3" s="1416"/>
      <c r="AA3" s="1416"/>
      <c r="AB3" s="1416"/>
      <c r="AC3" s="1416"/>
      <c r="AD3" s="1416"/>
      <c r="AE3" s="1416"/>
      <c r="AF3" s="1416"/>
      <c r="AG3" s="1416"/>
      <c r="AH3" s="1416"/>
      <c r="AI3" s="1416"/>
      <c r="AJ3" s="1416"/>
      <c r="AK3" s="1416"/>
      <c r="AL3" s="1416"/>
      <c r="AM3" s="1416"/>
      <c r="AN3" s="1416"/>
      <c r="AO3" s="1416"/>
      <c r="AP3" s="1416"/>
      <c r="AQ3" s="1416"/>
      <c r="AR3" s="1416"/>
      <c r="AS3" s="1416"/>
      <c r="AT3" s="1416"/>
      <c r="AU3" s="1416"/>
      <c r="AV3" s="1416"/>
      <c r="AW3" s="1416"/>
      <c r="AX3" s="1416"/>
      <c r="AY3" s="1416"/>
      <c r="AZ3" s="1416"/>
      <c r="BA3" s="1416"/>
      <c r="BB3" s="1416"/>
      <c r="BC3" s="1416"/>
      <c r="BD3" s="1416"/>
      <c r="BE3" s="1416"/>
      <c r="BF3" s="1416"/>
      <c r="BG3" s="1416"/>
      <c r="BH3" s="1416"/>
      <c r="BI3" s="1416"/>
      <c r="BJ3" s="1416"/>
      <c r="BK3" s="1416"/>
      <c r="BL3" s="1416"/>
      <c r="BM3" s="1416"/>
      <c r="BN3" s="1416"/>
      <c r="BO3" s="1416"/>
      <c r="BP3" s="1416"/>
      <c r="BQ3" s="1416"/>
      <c r="BR3" s="1416"/>
      <c r="BS3" s="1416"/>
      <c r="BT3" s="1416"/>
      <c r="BU3" s="1416"/>
      <c r="BV3" s="1416"/>
      <c r="BW3" s="1416"/>
      <c r="BX3" s="1416"/>
      <c r="BY3" s="1416"/>
      <c r="BZ3" s="1416"/>
      <c r="CA3" s="1416"/>
      <c r="CB3" s="1416"/>
      <c r="CC3" s="1416"/>
      <c r="CD3" s="1416"/>
      <c r="CE3" s="1416"/>
      <c r="CF3" s="1416"/>
      <c r="CG3" s="1416"/>
      <c r="CH3" s="1416"/>
      <c r="CI3" s="1416"/>
      <c r="CJ3" s="1416"/>
      <c r="CK3" s="1416"/>
      <c r="CL3" s="1416"/>
      <c r="CM3" s="1416"/>
      <c r="CN3" s="1416"/>
      <c r="CO3" s="1416"/>
      <c r="CP3" s="1416"/>
      <c r="CQ3" s="1416"/>
      <c r="CR3" s="1416"/>
      <c r="CS3" s="1416"/>
      <c r="CT3" s="1416"/>
      <c r="CU3" s="1416"/>
      <c r="CV3" s="1416"/>
      <c r="CW3" s="1416"/>
      <c r="CX3" s="1416"/>
      <c r="CY3" s="1416"/>
      <c r="CZ3" s="1416"/>
      <c r="DA3" s="1416"/>
      <c r="DB3" s="1416"/>
      <c r="DC3" s="1416"/>
      <c r="DD3" s="1416"/>
      <c r="DE3" s="1416"/>
      <c r="DF3" s="1416"/>
      <c r="DG3" s="1416"/>
      <c r="DH3" s="1416"/>
      <c r="DI3" s="1416"/>
      <c r="DJ3" s="1416"/>
      <c r="DK3" s="1416"/>
      <c r="DL3" s="1416"/>
      <c r="DM3" s="1416"/>
      <c r="DN3" s="1416"/>
      <c r="DO3" s="1416"/>
      <c r="DP3" s="1416"/>
      <c r="DQ3" s="1416"/>
      <c r="DR3" s="1416"/>
      <c r="DS3" s="1416"/>
      <c r="DT3" s="1416"/>
      <c r="DU3" s="1416"/>
      <c r="DV3" s="1416"/>
      <c r="DW3" s="1416"/>
      <c r="DX3" s="1416"/>
      <c r="DY3" s="1416"/>
      <c r="DZ3" s="1416"/>
      <c r="EA3" s="1416"/>
      <c r="EB3" s="1416"/>
      <c r="EC3" s="1416"/>
      <c r="ED3" s="1416"/>
      <c r="EE3" s="1416"/>
      <c r="EF3" s="1416"/>
      <c r="EG3" s="1416"/>
      <c r="EH3" s="1416"/>
      <c r="EI3" s="1416"/>
      <c r="EJ3" s="1416"/>
      <c r="EK3" s="1416"/>
      <c r="EL3" s="1416"/>
      <c r="EM3" s="1416"/>
      <c r="EN3" s="1416"/>
      <c r="EO3" s="1416"/>
      <c r="EP3" s="1416"/>
      <c r="EQ3" s="1416"/>
      <c r="ER3" s="1416"/>
      <c r="ES3" s="1416"/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6"/>
      <c r="FM3" s="1416"/>
      <c r="FN3" s="1416"/>
      <c r="FO3" s="1416"/>
      <c r="FP3" s="1416"/>
      <c r="FQ3" s="1416"/>
      <c r="FR3" s="1416"/>
      <c r="FS3" s="1416"/>
      <c r="FT3" s="1416"/>
      <c r="FU3" s="1416"/>
      <c r="FV3" s="1416"/>
      <c r="FW3" s="1416"/>
      <c r="FX3" s="1416"/>
      <c r="FY3" s="1416"/>
      <c r="FZ3" s="1416"/>
      <c r="GA3" s="1416"/>
      <c r="GB3" s="1416"/>
      <c r="GC3" s="1416"/>
      <c r="GD3" s="1416"/>
      <c r="GE3" s="1416"/>
      <c r="GF3" s="1416"/>
      <c r="GG3" s="1416"/>
      <c r="GH3" s="1416"/>
      <c r="GI3" s="1416"/>
      <c r="GJ3" s="1416"/>
      <c r="GK3" s="1416"/>
      <c r="GL3" s="1416"/>
      <c r="GM3" s="1416"/>
      <c r="GN3" s="1416"/>
      <c r="GO3" s="1416"/>
      <c r="GP3" s="1416"/>
      <c r="GQ3" s="1416"/>
      <c r="GR3" s="1416"/>
      <c r="GS3" s="1416"/>
      <c r="GT3" s="1416"/>
      <c r="GU3" s="1416"/>
      <c r="GV3" s="1416"/>
      <c r="GW3" s="1416"/>
      <c r="GX3" s="1416"/>
      <c r="GY3" s="1416"/>
      <c r="GZ3" s="1416"/>
      <c r="HA3" s="1416"/>
      <c r="HB3" s="1416"/>
      <c r="HC3" s="1416"/>
      <c r="HD3" s="1416"/>
      <c r="HE3" s="1416"/>
      <c r="HF3" s="1416"/>
      <c r="HG3" s="1416"/>
      <c r="HH3" s="1416"/>
      <c r="HI3" s="1416"/>
      <c r="HJ3" s="1416"/>
      <c r="HK3" s="1416"/>
      <c r="HL3" s="1416"/>
      <c r="HM3" s="1416"/>
      <c r="HN3" s="1416"/>
      <c r="HO3" s="1416"/>
      <c r="HP3" s="1416"/>
      <c r="HQ3" s="1416"/>
      <c r="HR3" s="1416"/>
      <c r="HS3" s="1416"/>
      <c r="HT3" s="1416"/>
      <c r="HU3" s="1416"/>
      <c r="HV3" s="1416"/>
      <c r="HW3" s="1416"/>
      <c r="HX3" s="1416"/>
      <c r="HY3" s="1416"/>
      <c r="HZ3" s="1416"/>
      <c r="IA3" s="1416"/>
      <c r="IB3" s="1416"/>
      <c r="IC3" s="1416"/>
      <c r="ID3" s="1416"/>
      <c r="IE3" s="1416"/>
      <c r="IF3" s="1416"/>
      <c r="IG3" s="1416"/>
      <c r="IH3" s="1416"/>
      <c r="II3" s="1416"/>
      <c r="IJ3" s="1416"/>
      <c r="IK3" s="1416"/>
      <c r="IL3" s="1416"/>
      <c r="IM3" s="1416"/>
      <c r="IN3" s="1416"/>
      <c r="IO3" s="1416"/>
      <c r="IP3" s="1416"/>
      <c r="IQ3" s="1416"/>
      <c r="IR3" s="1416"/>
      <c r="IS3" s="1416"/>
      <c r="IT3" s="1416"/>
      <c r="IU3" s="1416"/>
      <c r="IV3" s="1416"/>
    </row>
    <row r="4" spans="1:256" s="2" customFormat="1" ht="12.75" customHeight="1">
      <c r="A4" s="1416" t="s">
        <v>3</v>
      </c>
      <c r="B4" s="1416"/>
      <c r="C4" s="1416"/>
      <c r="D4" s="1416"/>
      <c r="E4" s="1416"/>
      <c r="F4" s="1416"/>
      <c r="G4" s="1416"/>
      <c r="H4" s="1416"/>
      <c r="I4" s="1416"/>
      <c r="J4" s="1416"/>
      <c r="K4" s="1416"/>
      <c r="L4" s="1416"/>
      <c r="M4" s="1416"/>
      <c r="N4" s="1416"/>
      <c r="O4" s="1416"/>
      <c r="P4" s="1416"/>
      <c r="Q4" s="1416"/>
      <c r="R4" s="1416"/>
      <c r="S4" s="1416"/>
      <c r="T4" s="1416"/>
      <c r="U4" s="1416"/>
      <c r="V4" s="1416"/>
      <c r="W4" s="1416"/>
      <c r="X4" s="1416"/>
      <c r="Y4" s="1416"/>
      <c r="Z4" s="1416"/>
      <c r="AA4" s="1416"/>
      <c r="AB4" s="1416"/>
      <c r="AC4" s="1416"/>
      <c r="AD4" s="1416"/>
      <c r="AE4" s="1416"/>
      <c r="AF4" s="1416"/>
      <c r="AG4" s="1416"/>
      <c r="AH4" s="1416"/>
      <c r="AI4" s="1416"/>
      <c r="AJ4" s="1416"/>
      <c r="AK4" s="1416"/>
      <c r="AL4" s="1416"/>
      <c r="AM4" s="1416"/>
      <c r="AN4" s="1416"/>
      <c r="AO4" s="1416"/>
      <c r="AP4" s="1416"/>
      <c r="AQ4" s="1416"/>
      <c r="AR4" s="1416"/>
      <c r="AS4" s="1416"/>
      <c r="AT4" s="1416"/>
      <c r="AU4" s="1416"/>
      <c r="AV4" s="1416"/>
      <c r="AW4" s="1416"/>
      <c r="AX4" s="1416"/>
      <c r="AY4" s="1416"/>
      <c r="AZ4" s="1416"/>
      <c r="BA4" s="1416"/>
      <c r="BB4" s="1416"/>
      <c r="BC4" s="1416"/>
      <c r="BD4" s="1416"/>
      <c r="BE4" s="1416"/>
      <c r="BF4" s="1416"/>
      <c r="BG4" s="1416"/>
      <c r="BH4" s="1416"/>
      <c r="BI4" s="1416"/>
      <c r="BJ4" s="1416"/>
      <c r="BK4" s="1416"/>
      <c r="BL4" s="1416"/>
      <c r="BM4" s="1416"/>
      <c r="BN4" s="1416"/>
      <c r="BO4" s="1416"/>
      <c r="BP4" s="1416"/>
      <c r="BQ4" s="1416"/>
      <c r="BR4" s="1416"/>
      <c r="BS4" s="1416"/>
      <c r="BT4" s="1416"/>
      <c r="BU4" s="1416"/>
      <c r="BV4" s="1416"/>
      <c r="BW4" s="1416"/>
      <c r="BX4" s="1416"/>
      <c r="BY4" s="1416"/>
      <c r="BZ4" s="1416"/>
      <c r="CA4" s="1416"/>
      <c r="CB4" s="1416"/>
      <c r="CC4" s="1416"/>
      <c r="CD4" s="1416"/>
      <c r="CE4" s="1416"/>
      <c r="CF4" s="1416"/>
      <c r="CG4" s="1416"/>
      <c r="CH4" s="1416"/>
      <c r="CI4" s="1416"/>
      <c r="CJ4" s="1416"/>
      <c r="CK4" s="1416"/>
      <c r="CL4" s="1416"/>
      <c r="CM4" s="1416"/>
      <c r="CN4" s="1416"/>
      <c r="CO4" s="1416"/>
      <c r="CP4" s="1416"/>
      <c r="CQ4" s="1416"/>
      <c r="CR4" s="1416"/>
      <c r="CS4" s="1416"/>
      <c r="CT4" s="1416"/>
      <c r="CU4" s="1416"/>
      <c r="CV4" s="1416"/>
      <c r="CW4" s="1416"/>
      <c r="CX4" s="1416"/>
      <c r="CY4" s="1416"/>
      <c r="CZ4" s="1416"/>
      <c r="DA4" s="1416"/>
      <c r="DB4" s="1416"/>
      <c r="DC4" s="1416"/>
      <c r="DD4" s="1416"/>
      <c r="DE4" s="1416"/>
      <c r="DF4" s="1416"/>
      <c r="DG4" s="1416"/>
      <c r="DH4" s="1416"/>
      <c r="DI4" s="1416"/>
      <c r="DJ4" s="1416"/>
      <c r="DK4" s="1416"/>
      <c r="DL4" s="1416"/>
      <c r="DM4" s="1416"/>
      <c r="DN4" s="1416"/>
      <c r="DO4" s="1416"/>
      <c r="DP4" s="1416"/>
      <c r="DQ4" s="1416"/>
      <c r="DR4" s="1416"/>
      <c r="DS4" s="1416"/>
      <c r="DT4" s="1416"/>
      <c r="DU4" s="1416"/>
      <c r="DV4" s="1416"/>
      <c r="DW4" s="1416"/>
      <c r="DX4" s="1416"/>
      <c r="DY4" s="1416"/>
      <c r="DZ4" s="1416"/>
      <c r="EA4" s="1416"/>
      <c r="EB4" s="1416"/>
      <c r="EC4" s="1416"/>
      <c r="ED4" s="1416"/>
      <c r="EE4" s="1416"/>
      <c r="EF4" s="1416"/>
      <c r="EG4" s="1416"/>
      <c r="EH4" s="1416"/>
      <c r="EI4" s="1416"/>
      <c r="EJ4" s="1416"/>
      <c r="EK4" s="1416"/>
      <c r="EL4" s="1416"/>
      <c r="EM4" s="1416"/>
      <c r="EN4" s="1416"/>
      <c r="EO4" s="1416"/>
      <c r="EP4" s="1416"/>
      <c r="EQ4" s="1416"/>
      <c r="ER4" s="1416"/>
      <c r="ES4" s="1416"/>
      <c r="ET4" s="1416"/>
      <c r="EU4" s="1416"/>
      <c r="EV4" s="1416"/>
      <c r="EW4" s="1416"/>
      <c r="EX4" s="1416"/>
      <c r="EY4" s="1416"/>
      <c r="EZ4" s="1416"/>
      <c r="FA4" s="1416"/>
      <c r="FB4" s="1416"/>
      <c r="FC4" s="1416"/>
      <c r="FD4" s="1416"/>
      <c r="FE4" s="1416"/>
      <c r="FF4" s="1416"/>
      <c r="FG4" s="1416"/>
      <c r="FH4" s="1416"/>
      <c r="FI4" s="1416"/>
      <c r="FJ4" s="1416"/>
      <c r="FK4" s="1416"/>
      <c r="FL4" s="1416"/>
      <c r="FM4" s="1416"/>
      <c r="FN4" s="1416"/>
      <c r="FO4" s="1416"/>
      <c r="FP4" s="1416"/>
      <c r="FQ4" s="1416"/>
      <c r="FR4" s="1416"/>
      <c r="FS4" s="1416"/>
      <c r="FT4" s="1416"/>
      <c r="FU4" s="1416"/>
      <c r="FV4" s="1416"/>
      <c r="FW4" s="1416"/>
      <c r="FX4" s="1416"/>
      <c r="FY4" s="1416"/>
      <c r="FZ4" s="1416"/>
      <c r="GA4" s="1416"/>
      <c r="GB4" s="1416"/>
      <c r="GC4" s="1416"/>
      <c r="GD4" s="1416"/>
      <c r="GE4" s="1416"/>
      <c r="GF4" s="1416"/>
      <c r="GG4" s="1416"/>
      <c r="GH4" s="1416"/>
      <c r="GI4" s="1416"/>
      <c r="GJ4" s="1416"/>
      <c r="GK4" s="1416"/>
      <c r="GL4" s="1416"/>
      <c r="GM4" s="1416"/>
      <c r="GN4" s="1416"/>
      <c r="GO4" s="1416"/>
      <c r="GP4" s="1416"/>
      <c r="GQ4" s="1416"/>
      <c r="GR4" s="1416"/>
      <c r="GS4" s="1416"/>
      <c r="GT4" s="1416"/>
      <c r="GU4" s="1416"/>
      <c r="GV4" s="1416"/>
      <c r="GW4" s="1416"/>
      <c r="GX4" s="1416"/>
      <c r="GY4" s="1416"/>
      <c r="GZ4" s="1416"/>
      <c r="HA4" s="1416"/>
      <c r="HB4" s="1416"/>
      <c r="HC4" s="1416"/>
      <c r="HD4" s="1416"/>
      <c r="HE4" s="1416"/>
      <c r="HF4" s="1416"/>
      <c r="HG4" s="1416"/>
      <c r="HH4" s="1416"/>
      <c r="HI4" s="1416"/>
      <c r="HJ4" s="1416"/>
      <c r="HK4" s="1416"/>
      <c r="HL4" s="1416"/>
      <c r="HM4" s="1416"/>
      <c r="HN4" s="1416"/>
      <c r="HO4" s="1416"/>
      <c r="HP4" s="1416"/>
      <c r="HQ4" s="1416"/>
      <c r="HR4" s="1416"/>
      <c r="HS4" s="1416"/>
      <c r="HT4" s="1416"/>
      <c r="HU4" s="1416"/>
      <c r="HV4" s="1416"/>
      <c r="HW4" s="1416"/>
      <c r="HX4" s="1416"/>
      <c r="HY4" s="1416"/>
      <c r="HZ4" s="1416"/>
      <c r="IA4" s="1416"/>
      <c r="IB4" s="1416"/>
      <c r="IC4" s="1416"/>
      <c r="ID4" s="1416"/>
      <c r="IE4" s="1416"/>
      <c r="IF4" s="1416"/>
      <c r="IG4" s="1416"/>
      <c r="IH4" s="1416"/>
      <c r="II4" s="1416"/>
      <c r="IJ4" s="1416"/>
      <c r="IK4" s="1416"/>
      <c r="IL4" s="1416"/>
      <c r="IM4" s="1416"/>
      <c r="IN4" s="1416"/>
      <c r="IO4" s="1416"/>
      <c r="IP4" s="1416"/>
      <c r="IQ4" s="1416"/>
      <c r="IR4" s="1416"/>
      <c r="IS4" s="1416"/>
      <c r="IT4" s="1416"/>
      <c r="IU4" s="1416"/>
      <c r="IV4" s="1416"/>
    </row>
    <row r="5" spans="1:256" s="2" customFormat="1">
      <c r="A5" s="3"/>
      <c r="B5" s="3"/>
      <c r="C5" s="4"/>
      <c r="D5" s="3"/>
      <c r="G5" s="1"/>
    </row>
    <row r="6" spans="1:256" s="8" customFormat="1" ht="18.75" customHeight="1">
      <c r="A6" s="5" t="s">
        <v>4</v>
      </c>
      <c r="B6" s="5" t="s">
        <v>256</v>
      </c>
      <c r="C6" s="5"/>
      <c r="D6" s="5"/>
      <c r="E6" s="6"/>
      <c r="F6" s="6"/>
      <c r="G6" s="7"/>
    </row>
    <row r="7" spans="1:256" s="8" customFormat="1" ht="15" customHeight="1">
      <c r="A7" s="5" t="s">
        <v>5</v>
      </c>
      <c r="B7" s="9"/>
      <c r="C7" s="10" t="s">
        <v>6</v>
      </c>
      <c r="D7" s="5"/>
      <c r="G7" s="7"/>
    </row>
    <row r="8" spans="1:256" s="8" customFormat="1" ht="8.25" customHeight="1">
      <c r="A8" s="5"/>
      <c r="B8" s="9"/>
      <c r="C8" s="4"/>
      <c r="D8" s="5"/>
      <c r="G8" s="7"/>
    </row>
    <row r="9" spans="1:256" s="13" customFormat="1" ht="21.75" customHeight="1">
      <c r="A9" s="11" t="s">
        <v>7</v>
      </c>
      <c r="B9" s="11" t="s">
        <v>8</v>
      </c>
      <c r="C9" s="11" t="s">
        <v>9</v>
      </c>
      <c r="D9" s="11" t="s">
        <v>10</v>
      </c>
      <c r="E9" s="11" t="s">
        <v>11</v>
      </c>
      <c r="F9" s="11" t="s">
        <v>12</v>
      </c>
      <c r="G9" s="12"/>
    </row>
    <row r="10" spans="1:256" s="8" customFormat="1" ht="12.75" customHeight="1">
      <c r="A10" s="14"/>
      <c r="B10" s="15"/>
      <c r="C10" s="16"/>
      <c r="D10" s="17"/>
      <c r="E10" s="18"/>
      <c r="F10" s="18"/>
      <c r="G10" s="7"/>
    </row>
    <row r="11" spans="1:256" s="8" customFormat="1" ht="12.75" customHeight="1">
      <c r="A11" s="19" t="s">
        <v>13</v>
      </c>
      <c r="B11" s="20" t="s">
        <v>257</v>
      </c>
      <c r="C11" s="21"/>
      <c r="D11" s="22"/>
      <c r="E11" s="23"/>
      <c r="F11" s="23"/>
      <c r="G11" s="7"/>
    </row>
    <row r="12" spans="1:256" s="8" customFormat="1" ht="12.75" customHeight="1">
      <c r="A12" s="24"/>
      <c r="B12" s="20"/>
      <c r="C12" s="21"/>
      <c r="D12" s="22"/>
      <c r="E12" s="23"/>
      <c r="F12" s="23"/>
      <c r="G12" s="7"/>
    </row>
    <row r="13" spans="1:256" s="8" customFormat="1" ht="12.75" customHeight="1">
      <c r="A13" s="25">
        <v>1</v>
      </c>
      <c r="B13" s="26" t="s">
        <v>14</v>
      </c>
      <c r="C13" s="21">
        <v>470</v>
      </c>
      <c r="D13" s="22" t="s">
        <v>15</v>
      </c>
      <c r="E13" s="21">
        <v>44.18</v>
      </c>
      <c r="F13" s="27">
        <f>+ROUND(C13*E13,2)</f>
        <v>20764.599999999999</v>
      </c>
      <c r="G13" s="7"/>
    </row>
    <row r="14" spans="1:256" s="8" customFormat="1" ht="12.75" customHeight="1">
      <c r="A14" s="25"/>
      <c r="B14" s="26"/>
      <c r="C14" s="21"/>
      <c r="D14" s="22"/>
      <c r="E14" s="28"/>
      <c r="F14" s="27"/>
      <c r="G14" s="7"/>
    </row>
    <row r="15" spans="1:256" s="8" customFormat="1" ht="12.75" customHeight="1">
      <c r="A15" s="29">
        <v>2</v>
      </c>
      <c r="B15" s="20" t="s">
        <v>16</v>
      </c>
      <c r="C15" s="21"/>
      <c r="D15" s="22"/>
      <c r="E15" s="28"/>
      <c r="F15" s="27"/>
      <c r="G15" s="7"/>
    </row>
    <row r="16" spans="1:256" s="8" customFormat="1">
      <c r="A16" s="411">
        <v>2.1</v>
      </c>
      <c r="B16" s="412" t="s">
        <v>17</v>
      </c>
      <c r="C16" s="410">
        <v>915.42</v>
      </c>
      <c r="D16" s="413" t="s">
        <v>18</v>
      </c>
      <c r="E16" s="34">
        <v>74.849999999999994</v>
      </c>
      <c r="F16" s="27">
        <f>+ROUND(C16*E16,2)</f>
        <v>68519.19</v>
      </c>
      <c r="G16" s="7"/>
    </row>
    <row r="17" spans="1:7" s="8" customFormat="1" ht="12.75" customHeight="1">
      <c r="A17" s="35">
        <v>2.2000000000000002</v>
      </c>
      <c r="B17" s="36" t="s">
        <v>19</v>
      </c>
      <c r="C17" s="32">
        <f>+C13*1</f>
        <v>470</v>
      </c>
      <c r="D17" s="33" t="s">
        <v>20</v>
      </c>
      <c r="E17" s="34">
        <v>40.65</v>
      </c>
      <c r="F17" s="27">
        <f>+ROUND(C17*E17,2)</f>
        <v>19105.5</v>
      </c>
      <c r="G17" s="7"/>
    </row>
    <row r="18" spans="1:7" s="8" customFormat="1" ht="12.75" customHeight="1">
      <c r="A18" s="30">
        <v>2.2999999999999998</v>
      </c>
      <c r="B18" s="31" t="s">
        <v>21</v>
      </c>
      <c r="C18" s="32">
        <v>32.9</v>
      </c>
      <c r="D18" s="33" t="s">
        <v>22</v>
      </c>
      <c r="E18" s="34">
        <v>165</v>
      </c>
      <c r="F18" s="27">
        <f>+ROUND(C18*E18,2)</f>
        <v>5428.5</v>
      </c>
      <c r="G18" s="7"/>
    </row>
    <row r="19" spans="1:7" s="8" customFormat="1" ht="12.75" customHeight="1">
      <c r="A19" s="37"/>
      <c r="B19" s="26"/>
      <c r="C19" s="21"/>
      <c r="D19" s="22"/>
      <c r="E19" s="28"/>
      <c r="F19" s="27">
        <f t="shared" ref="F19:F39" si="0">+ROUND(C19*E19,2)</f>
        <v>0</v>
      </c>
      <c r="G19" s="7"/>
    </row>
    <row r="20" spans="1:7" s="41" customFormat="1" ht="12.75" customHeight="1">
      <c r="A20" s="38">
        <v>3</v>
      </c>
      <c r="B20" s="39" t="s">
        <v>23</v>
      </c>
      <c r="C20" s="32"/>
      <c r="D20" s="33"/>
      <c r="E20" s="34"/>
      <c r="F20" s="27">
        <f t="shared" si="0"/>
        <v>0</v>
      </c>
      <c r="G20" s="40"/>
    </row>
    <row r="21" spans="1:7" s="8" customFormat="1" ht="25.5" customHeight="1">
      <c r="A21" s="30">
        <v>3.1</v>
      </c>
      <c r="B21" s="31" t="s">
        <v>24</v>
      </c>
      <c r="C21" s="32">
        <v>825</v>
      </c>
      <c r="D21" s="33" t="s">
        <v>22</v>
      </c>
      <c r="E21" s="42">
        <v>185.42</v>
      </c>
      <c r="F21" s="43">
        <f t="shared" si="0"/>
        <v>152971.5</v>
      </c>
      <c r="G21" s="7">
        <f>+G29*1*2.5+G30*1*1.5</f>
        <v>2484.79</v>
      </c>
    </row>
    <row r="22" spans="1:7" s="51" customFormat="1">
      <c r="A22" s="44">
        <v>3.2</v>
      </c>
      <c r="B22" s="45" t="s">
        <v>25</v>
      </c>
      <c r="C22" s="46">
        <f>+C17</f>
        <v>470</v>
      </c>
      <c r="D22" s="47" t="s">
        <v>20</v>
      </c>
      <c r="E22" s="48">
        <v>21.67</v>
      </c>
      <c r="F22" s="49">
        <f>ROUND(E22*C22,2)</f>
        <v>10184.9</v>
      </c>
      <c r="G22" s="50">
        <f>+E22*C22</f>
        <v>10184.9</v>
      </c>
    </row>
    <row r="23" spans="1:7" s="8" customFormat="1" ht="12.75" customHeight="1">
      <c r="A23" s="35">
        <v>3.3</v>
      </c>
      <c r="B23" s="36" t="s">
        <v>26</v>
      </c>
      <c r="C23" s="32">
        <v>47</v>
      </c>
      <c r="D23" s="33" t="s">
        <v>22</v>
      </c>
      <c r="E23" s="42">
        <v>1068.3599999999999</v>
      </c>
      <c r="F23" s="43">
        <f t="shared" si="0"/>
        <v>50212.92</v>
      </c>
      <c r="G23" s="7">
        <f>+(G29+G30)*0.1*1</f>
        <v>106.97</v>
      </c>
    </row>
    <row r="24" spans="1:7" s="8" customFormat="1" ht="12.75" customHeight="1">
      <c r="A24" s="30">
        <v>3.4</v>
      </c>
      <c r="B24" s="31" t="s">
        <v>27</v>
      </c>
      <c r="C24" s="32">
        <v>900.01</v>
      </c>
      <c r="D24" s="33" t="s">
        <v>22</v>
      </c>
      <c r="E24" s="42">
        <v>651.17999999999995</v>
      </c>
      <c r="F24" s="43">
        <f t="shared" si="0"/>
        <v>586068.51</v>
      </c>
      <c r="G24" s="7">
        <f>+G25*1.25</f>
        <v>2740.06</v>
      </c>
    </row>
    <row r="25" spans="1:7" s="8" customFormat="1" ht="25.5" customHeight="1">
      <c r="A25" s="30">
        <v>3.5</v>
      </c>
      <c r="B25" s="52" t="s">
        <v>28</v>
      </c>
      <c r="C25" s="32">
        <v>720.01</v>
      </c>
      <c r="D25" s="33" t="s">
        <v>22</v>
      </c>
      <c r="E25" s="42">
        <v>183.68</v>
      </c>
      <c r="F25" s="43">
        <f t="shared" si="0"/>
        <v>132251.44</v>
      </c>
      <c r="G25" s="7">
        <f>ROUND((G21-G23-0.073*G29-0.0324*G30)*0.95,2)</f>
        <v>2192.0500000000002</v>
      </c>
    </row>
    <row r="26" spans="1:7" s="8" customFormat="1" ht="12.75" customHeight="1">
      <c r="A26" s="30">
        <v>3.6</v>
      </c>
      <c r="B26" s="36" t="s">
        <v>29</v>
      </c>
      <c r="C26" s="32">
        <v>990</v>
      </c>
      <c r="D26" s="33" t="s">
        <v>22</v>
      </c>
      <c r="E26" s="42">
        <v>165</v>
      </c>
      <c r="F26" s="43">
        <f t="shared" si="0"/>
        <v>163350</v>
      </c>
      <c r="G26" s="7">
        <f>+G21*1.2</f>
        <v>2981.75</v>
      </c>
    </row>
    <row r="27" spans="1:7" s="8" customFormat="1" ht="12.75" customHeight="1">
      <c r="A27" s="30"/>
      <c r="B27" s="36"/>
      <c r="C27" s="32"/>
      <c r="D27" s="33"/>
      <c r="E27" s="42"/>
      <c r="F27" s="27">
        <f t="shared" si="0"/>
        <v>0</v>
      </c>
      <c r="G27" s="7"/>
    </row>
    <row r="28" spans="1:7" s="8" customFormat="1" ht="12.75" customHeight="1">
      <c r="A28" s="53">
        <v>4</v>
      </c>
      <c r="B28" s="39" t="s">
        <v>30</v>
      </c>
      <c r="C28" s="32"/>
      <c r="D28" s="33"/>
      <c r="E28" s="42"/>
      <c r="F28" s="27">
        <f t="shared" si="0"/>
        <v>0</v>
      </c>
      <c r="G28" s="7"/>
    </row>
    <row r="29" spans="1:7" s="8" customFormat="1" ht="25.5" customHeight="1">
      <c r="A29" s="414">
        <v>4.0999999999999996</v>
      </c>
      <c r="B29" s="415" t="s">
        <v>258</v>
      </c>
      <c r="C29" s="416">
        <v>915.42</v>
      </c>
      <c r="D29" s="417" t="s">
        <v>15</v>
      </c>
      <c r="E29" s="55">
        <v>2755.86</v>
      </c>
      <c r="F29" s="27">
        <f t="shared" si="0"/>
        <v>2522769.36</v>
      </c>
      <c r="G29" s="7">
        <f>+C29/1.04</f>
        <v>880.21</v>
      </c>
    </row>
    <row r="30" spans="1:7" s="8" customFormat="1" ht="25.5" customHeight="1">
      <c r="A30" s="414">
        <v>4.2</v>
      </c>
      <c r="B30" s="415" t="s">
        <v>32</v>
      </c>
      <c r="C30" s="416">
        <v>195.2</v>
      </c>
      <c r="D30" s="417" t="s">
        <v>15</v>
      </c>
      <c r="E30" s="55">
        <v>1219.23</v>
      </c>
      <c r="F30" s="27">
        <f t="shared" si="0"/>
        <v>237993.7</v>
      </c>
      <c r="G30" s="7">
        <f>+C30/1.03</f>
        <v>189.51</v>
      </c>
    </row>
    <row r="31" spans="1:7" s="8" customFormat="1" ht="12.75" customHeight="1">
      <c r="A31" s="37"/>
      <c r="B31" s="20"/>
      <c r="C31" s="21"/>
      <c r="D31" s="22"/>
      <c r="E31" s="21"/>
      <c r="F31" s="27">
        <f t="shared" si="0"/>
        <v>0</v>
      </c>
      <c r="G31" s="7"/>
    </row>
    <row r="32" spans="1:7" s="8" customFormat="1" ht="12.75" customHeight="1">
      <c r="A32" s="29">
        <v>5</v>
      </c>
      <c r="B32" s="20" t="s">
        <v>33</v>
      </c>
      <c r="C32" s="21"/>
      <c r="D32" s="22"/>
      <c r="E32" s="21"/>
      <c r="F32" s="27">
        <f t="shared" si="0"/>
        <v>0</v>
      </c>
      <c r="G32" s="7"/>
    </row>
    <row r="33" spans="1:10" s="8" customFormat="1" ht="25.5" customHeight="1">
      <c r="A33" s="414">
        <v>5.0999999999999996</v>
      </c>
      <c r="B33" s="415" t="s">
        <v>34</v>
      </c>
      <c r="C33" s="418">
        <v>915.42</v>
      </c>
      <c r="D33" s="419" t="s">
        <v>15</v>
      </c>
      <c r="E33" s="59">
        <v>88.72</v>
      </c>
      <c r="F33" s="43">
        <f t="shared" si="0"/>
        <v>81216.06</v>
      </c>
      <c r="G33" s="7"/>
    </row>
    <row r="34" spans="1:10" s="8" customFormat="1" ht="25.5" customHeight="1">
      <c r="A34" s="414">
        <v>5.2</v>
      </c>
      <c r="B34" s="415" t="s">
        <v>35</v>
      </c>
      <c r="C34" s="418">
        <v>195.2</v>
      </c>
      <c r="D34" s="419" t="s">
        <v>15</v>
      </c>
      <c r="E34" s="59">
        <v>79.28</v>
      </c>
      <c r="F34" s="43">
        <f t="shared" si="0"/>
        <v>15475.46</v>
      </c>
      <c r="G34" s="7"/>
    </row>
    <row r="35" spans="1:10" s="8" customFormat="1" ht="12.75" customHeight="1">
      <c r="A35" s="37"/>
      <c r="B35" s="60"/>
      <c r="C35" s="21"/>
      <c r="D35" s="22"/>
      <c r="E35" s="21"/>
      <c r="F35" s="27">
        <f t="shared" si="0"/>
        <v>0</v>
      </c>
      <c r="G35" s="7"/>
    </row>
    <row r="36" spans="1:10" s="8" customFormat="1" ht="12.75" customHeight="1">
      <c r="A36" s="29">
        <v>6</v>
      </c>
      <c r="B36" s="20" t="s">
        <v>36</v>
      </c>
      <c r="C36" s="21"/>
      <c r="D36" s="22"/>
      <c r="E36" s="21"/>
      <c r="F36" s="27">
        <f t="shared" si="0"/>
        <v>0</v>
      </c>
      <c r="G36" s="7"/>
    </row>
    <row r="37" spans="1:10" s="8" customFormat="1" ht="12.75" customHeight="1">
      <c r="A37" s="37">
        <v>6.1</v>
      </c>
      <c r="B37" s="61" t="s">
        <v>37</v>
      </c>
      <c r="C37" s="21">
        <v>6</v>
      </c>
      <c r="D37" s="22" t="s">
        <v>38</v>
      </c>
      <c r="E37" s="21">
        <v>3500</v>
      </c>
      <c r="F37" s="27">
        <f t="shared" si="0"/>
        <v>21000</v>
      </c>
      <c r="G37" s="7"/>
    </row>
    <row r="38" spans="1:10" s="8" customFormat="1" ht="12.75" customHeight="1">
      <c r="A38" s="37">
        <v>6.2</v>
      </c>
      <c r="B38" s="31" t="s">
        <v>39</v>
      </c>
      <c r="C38" s="21">
        <v>6</v>
      </c>
      <c r="D38" s="22" t="s">
        <v>38</v>
      </c>
      <c r="E38" s="62">
        <v>38384.660000000003</v>
      </c>
      <c r="F38" s="27">
        <f t="shared" si="0"/>
        <v>230307.96</v>
      </c>
      <c r="G38" s="7"/>
    </row>
    <row r="39" spans="1:10" s="8" customFormat="1" ht="12.75" customHeight="1">
      <c r="A39" s="63"/>
      <c r="B39" s="61" t="s">
        <v>40</v>
      </c>
      <c r="C39" s="32"/>
      <c r="D39" s="64"/>
      <c r="E39" s="42"/>
      <c r="F39" s="27">
        <f t="shared" si="0"/>
        <v>0</v>
      </c>
      <c r="G39" s="7"/>
    </row>
    <row r="40" spans="1:10" s="72" customFormat="1" ht="25.5" customHeight="1">
      <c r="A40" s="65">
        <v>7</v>
      </c>
      <c r="B40" s="66" t="s">
        <v>41</v>
      </c>
      <c r="C40" s="67">
        <v>470</v>
      </c>
      <c r="D40" s="68" t="s">
        <v>15</v>
      </c>
      <c r="E40" s="69">
        <v>50.15</v>
      </c>
      <c r="F40" s="70">
        <f>ROUND(C40*E40,2)</f>
        <v>23570.5</v>
      </c>
      <c r="G40" s="71"/>
      <c r="I40" s="73"/>
      <c r="J40" s="51"/>
    </row>
    <row r="41" spans="1:10" s="72" customFormat="1">
      <c r="A41" s="65"/>
      <c r="B41" s="66"/>
      <c r="C41" s="67"/>
      <c r="D41" s="68"/>
      <c r="E41" s="69"/>
      <c r="F41" s="70"/>
      <c r="G41" s="74"/>
      <c r="I41" s="73"/>
      <c r="J41" s="51"/>
    </row>
    <row r="42" spans="1:10" s="72" customFormat="1">
      <c r="A42" s="65">
        <v>8</v>
      </c>
      <c r="B42" s="66" t="s">
        <v>42</v>
      </c>
      <c r="C42" s="67">
        <v>1</v>
      </c>
      <c r="D42" s="68" t="s">
        <v>43</v>
      </c>
      <c r="E42" s="69">
        <v>5000</v>
      </c>
      <c r="F42" s="70">
        <f>ROUND(C42*E42,2)</f>
        <v>5000</v>
      </c>
      <c r="G42" s="74"/>
      <c r="I42" s="73"/>
      <c r="J42" s="51"/>
    </row>
    <row r="43" spans="1:10" s="82" customFormat="1" ht="12.75" customHeight="1">
      <c r="A43" s="75"/>
      <c r="B43" s="76" t="s">
        <v>44</v>
      </c>
      <c r="C43" s="77"/>
      <c r="D43" s="78"/>
      <c r="E43" s="79"/>
      <c r="F43" s="80">
        <f>SUM(F13:F42)</f>
        <v>4346190.0999999996</v>
      </c>
      <c r="G43" s="81"/>
    </row>
    <row r="44" spans="1:10" s="8" customFormat="1" ht="12.75" customHeight="1">
      <c r="A44" s="83"/>
      <c r="B44" s="61"/>
      <c r="C44" s="32"/>
      <c r="D44" s="33"/>
      <c r="E44" s="42"/>
      <c r="F44" s="27"/>
      <c r="G44" s="7"/>
    </row>
    <row r="45" spans="1:10" s="8" customFormat="1" ht="12.75" customHeight="1">
      <c r="A45" s="19" t="s">
        <v>45</v>
      </c>
      <c r="B45" s="20" t="s">
        <v>46</v>
      </c>
      <c r="C45" s="21"/>
      <c r="D45" s="22"/>
      <c r="E45" s="21"/>
      <c r="F45" s="27"/>
      <c r="G45" s="7"/>
    </row>
    <row r="46" spans="1:10" s="8" customFormat="1" ht="12.75" customHeight="1">
      <c r="A46" s="19"/>
      <c r="B46" s="20"/>
      <c r="C46" s="21"/>
      <c r="D46" s="22"/>
      <c r="E46" s="21"/>
      <c r="F46" s="27"/>
      <c r="G46" s="7"/>
    </row>
    <row r="47" spans="1:10" s="8" customFormat="1" ht="12.75" customHeight="1">
      <c r="A47" s="25">
        <v>1</v>
      </c>
      <c r="B47" s="26" t="s">
        <v>14</v>
      </c>
      <c r="C47" s="21">
        <f>175+200</f>
        <v>375</v>
      </c>
      <c r="D47" s="22" t="s">
        <v>15</v>
      </c>
      <c r="E47" s="21">
        <v>44.18</v>
      </c>
      <c r="F47" s="27">
        <f t="shared" ref="F47:F71" si="1">+ROUND(C47*E47,2)</f>
        <v>16567.5</v>
      </c>
      <c r="G47" s="7"/>
    </row>
    <row r="48" spans="1:10" s="8" customFormat="1" ht="12.75" customHeight="1">
      <c r="A48" s="29"/>
      <c r="B48" s="26"/>
      <c r="C48" s="21"/>
      <c r="D48" s="22"/>
      <c r="E48" s="21"/>
      <c r="F48" s="27">
        <f t="shared" si="1"/>
        <v>0</v>
      </c>
      <c r="G48" s="7"/>
    </row>
    <row r="49" spans="1:7" s="8" customFormat="1" ht="12.75" customHeight="1">
      <c r="A49" s="29">
        <v>2</v>
      </c>
      <c r="B49" s="20" t="s">
        <v>16</v>
      </c>
      <c r="C49" s="21"/>
      <c r="D49" s="22"/>
      <c r="E49" s="28"/>
      <c r="F49" s="27"/>
      <c r="G49" s="7"/>
    </row>
    <row r="50" spans="1:7" s="8" customFormat="1">
      <c r="A50" s="30">
        <v>2.1</v>
      </c>
      <c r="B50" s="31" t="s">
        <v>17</v>
      </c>
      <c r="C50" s="32">
        <v>750</v>
      </c>
      <c r="D50" s="33" t="s">
        <v>18</v>
      </c>
      <c r="E50" s="34">
        <v>74.849999999999994</v>
      </c>
      <c r="F50" s="27">
        <f>+ROUND(C50*E50,2)</f>
        <v>56137.5</v>
      </c>
      <c r="G50" s="7"/>
    </row>
    <row r="51" spans="1:7" s="8" customFormat="1" ht="12.75" customHeight="1">
      <c r="A51" s="35">
        <v>2.2000000000000002</v>
      </c>
      <c r="B51" s="36" t="s">
        <v>19</v>
      </c>
      <c r="C51" s="32">
        <v>375</v>
      </c>
      <c r="D51" s="33" t="s">
        <v>20</v>
      </c>
      <c r="E51" s="34">
        <v>40.65</v>
      </c>
      <c r="F51" s="27">
        <f>+ROUND(C51*E51,2)</f>
        <v>15243.75</v>
      </c>
      <c r="G51" s="7"/>
    </row>
    <row r="52" spans="1:7" s="8" customFormat="1" ht="12.75" customHeight="1">
      <c r="A52" s="30">
        <v>2.2999999999999998</v>
      </c>
      <c r="B52" s="31" t="s">
        <v>21</v>
      </c>
      <c r="C52" s="32">
        <v>26.25</v>
      </c>
      <c r="D52" s="33" t="s">
        <v>22</v>
      </c>
      <c r="E52" s="34">
        <v>165</v>
      </c>
      <c r="F52" s="27">
        <f>+ROUND(C52*E52,2)</f>
        <v>4331.25</v>
      </c>
      <c r="G52" s="7"/>
    </row>
    <row r="53" spans="1:7" s="8" customFormat="1" ht="12.75" customHeight="1">
      <c r="A53" s="30"/>
      <c r="B53" s="31"/>
      <c r="C53" s="32"/>
      <c r="D53" s="33"/>
      <c r="E53" s="84"/>
      <c r="F53" s="27"/>
      <c r="G53" s="7"/>
    </row>
    <row r="54" spans="1:7" s="8" customFormat="1" ht="12.75" customHeight="1">
      <c r="A54" s="38">
        <v>3</v>
      </c>
      <c r="B54" s="39" t="s">
        <v>23</v>
      </c>
      <c r="C54" s="32"/>
      <c r="D54" s="33"/>
      <c r="E54" s="42"/>
      <c r="F54" s="27">
        <f t="shared" si="1"/>
        <v>0</v>
      </c>
      <c r="G54" s="7"/>
    </row>
    <row r="55" spans="1:7" s="92" customFormat="1" ht="24" customHeight="1">
      <c r="A55" s="85">
        <v>3.1</v>
      </c>
      <c r="B55" s="86" t="s">
        <v>47</v>
      </c>
      <c r="C55" s="87">
        <v>562.5</v>
      </c>
      <c r="D55" s="88" t="s">
        <v>22</v>
      </c>
      <c r="E55" s="89">
        <v>185.42</v>
      </c>
      <c r="F55" s="90">
        <f t="shared" si="1"/>
        <v>104298.75</v>
      </c>
      <c r="G55" s="91">
        <f>375*1.5*1</f>
        <v>562.5</v>
      </c>
    </row>
    <row r="56" spans="1:7" s="51" customFormat="1">
      <c r="A56" s="44">
        <v>3.2</v>
      </c>
      <c r="B56" s="45" t="s">
        <v>25</v>
      </c>
      <c r="C56" s="46">
        <f>+C51</f>
        <v>375</v>
      </c>
      <c r="D56" s="47" t="s">
        <v>20</v>
      </c>
      <c r="E56" s="48">
        <v>21.67</v>
      </c>
      <c r="F56" s="49">
        <f>ROUND(E56*C56,2)</f>
        <v>8126.25</v>
      </c>
      <c r="G56" s="50">
        <f>+E56*C56</f>
        <v>8126.25</v>
      </c>
    </row>
    <row r="57" spans="1:7" s="8" customFormat="1" ht="12.75" customHeight="1">
      <c r="A57" s="30">
        <v>3.3</v>
      </c>
      <c r="B57" s="36" t="s">
        <v>26</v>
      </c>
      <c r="C57" s="32">
        <v>37.5</v>
      </c>
      <c r="D57" s="33" t="s">
        <v>22</v>
      </c>
      <c r="E57" s="42">
        <v>1068.3599999999999</v>
      </c>
      <c r="F57" s="43">
        <f t="shared" si="1"/>
        <v>40063.5</v>
      </c>
      <c r="G57" s="7">
        <f>1*0.1*375</f>
        <v>37.5</v>
      </c>
    </row>
    <row r="58" spans="1:7" s="8" customFormat="1" ht="12.75" customHeight="1">
      <c r="A58" s="44">
        <v>3.4</v>
      </c>
      <c r="B58" s="52" t="s">
        <v>27</v>
      </c>
      <c r="C58" s="32">
        <v>609.01</v>
      </c>
      <c r="D58" s="33" t="s">
        <v>22</v>
      </c>
      <c r="E58" s="42">
        <v>651.17999999999995</v>
      </c>
      <c r="F58" s="43">
        <f t="shared" si="1"/>
        <v>396575.13</v>
      </c>
      <c r="G58" s="7">
        <f>+G59*1.25</f>
        <v>609.01</v>
      </c>
    </row>
    <row r="59" spans="1:7" s="8" customFormat="1" ht="25.5">
      <c r="A59" s="30">
        <v>3.5</v>
      </c>
      <c r="B59" s="52" t="s">
        <v>28</v>
      </c>
      <c r="C59" s="32">
        <v>487.21</v>
      </c>
      <c r="D59" s="33" t="s">
        <v>22</v>
      </c>
      <c r="E59" s="42">
        <v>183.68</v>
      </c>
      <c r="F59" s="43">
        <f t="shared" si="1"/>
        <v>89490.73</v>
      </c>
      <c r="G59" s="7">
        <f>+(G55-G57-0.0324*375)*0.95</f>
        <v>487.21</v>
      </c>
    </row>
    <row r="60" spans="1:7" s="8" customFormat="1">
      <c r="A60" s="44">
        <v>3.6</v>
      </c>
      <c r="B60" s="36" t="s">
        <v>29</v>
      </c>
      <c r="C60" s="32">
        <v>338.63</v>
      </c>
      <c r="D60" s="33" t="s">
        <v>22</v>
      </c>
      <c r="E60" s="42">
        <v>165</v>
      </c>
      <c r="F60" s="43">
        <f t="shared" si="1"/>
        <v>55873.95</v>
      </c>
      <c r="G60" s="7">
        <f>+(G55-G59)*1.2</f>
        <v>90.35</v>
      </c>
    </row>
    <row r="61" spans="1:7" s="8" customFormat="1" ht="12.75" customHeight="1">
      <c r="A61" s="30"/>
      <c r="B61" s="36"/>
      <c r="C61" s="32"/>
      <c r="D61" s="33"/>
      <c r="E61" s="42"/>
      <c r="F61" s="27">
        <f t="shared" si="1"/>
        <v>0</v>
      </c>
      <c r="G61" s="7"/>
    </row>
    <row r="62" spans="1:7" s="8" customFormat="1" ht="12.75" customHeight="1">
      <c r="A62" s="53">
        <v>4</v>
      </c>
      <c r="B62" s="39" t="s">
        <v>30</v>
      </c>
      <c r="C62" s="32"/>
      <c r="D62" s="33"/>
      <c r="E62" s="42"/>
      <c r="F62" s="27">
        <f t="shared" si="1"/>
        <v>0</v>
      </c>
      <c r="G62" s="7"/>
    </row>
    <row r="63" spans="1:7" s="8" customFormat="1" ht="25.5" customHeight="1">
      <c r="A63" s="54">
        <v>4.0999999999999996</v>
      </c>
      <c r="B63" s="26" t="s">
        <v>35</v>
      </c>
      <c r="C63" s="55">
        <v>386.25</v>
      </c>
      <c r="D63" s="56" t="s">
        <v>15</v>
      </c>
      <c r="E63" s="55">
        <v>1219.23</v>
      </c>
      <c r="F63" s="27">
        <f t="shared" si="1"/>
        <v>470927.59</v>
      </c>
      <c r="G63" s="7"/>
    </row>
    <row r="64" spans="1:7" s="8" customFormat="1" ht="12.75" customHeight="1">
      <c r="A64" s="93"/>
      <c r="B64" s="20"/>
      <c r="C64" s="21"/>
      <c r="D64" s="22"/>
      <c r="E64" s="21"/>
      <c r="F64" s="27">
        <f t="shared" si="1"/>
        <v>0</v>
      </c>
      <c r="G64" s="7"/>
    </row>
    <row r="65" spans="1:10" s="8" customFormat="1" ht="12.75" customHeight="1">
      <c r="A65" s="29">
        <v>5</v>
      </c>
      <c r="B65" s="20" t="s">
        <v>33</v>
      </c>
      <c r="C65" s="21"/>
      <c r="D65" s="22"/>
      <c r="E65" s="21"/>
      <c r="F65" s="27">
        <f t="shared" si="1"/>
        <v>0</v>
      </c>
      <c r="G65" s="7"/>
    </row>
    <row r="66" spans="1:10" s="8" customFormat="1" ht="25.5" customHeight="1">
      <c r="A66" s="54">
        <v>5.0999999999999996</v>
      </c>
      <c r="B66" s="26" t="s">
        <v>48</v>
      </c>
      <c r="C66" s="55">
        <v>386.25</v>
      </c>
      <c r="D66" s="56" t="s">
        <v>15</v>
      </c>
      <c r="E66" s="55">
        <v>79.28</v>
      </c>
      <c r="F66" s="27">
        <f t="shared" si="1"/>
        <v>30621.9</v>
      </c>
      <c r="G66" s="7"/>
    </row>
    <row r="67" spans="1:10" s="8" customFormat="1" ht="12.75" customHeight="1">
      <c r="A67" s="54"/>
      <c r="B67" s="26"/>
      <c r="C67" s="55"/>
      <c r="D67" s="56"/>
      <c r="E67" s="94"/>
      <c r="F67" s="27">
        <f t="shared" si="1"/>
        <v>0</v>
      </c>
      <c r="G67" s="7"/>
    </row>
    <row r="68" spans="1:10" s="8" customFormat="1" ht="12.75" customHeight="1">
      <c r="A68" s="29">
        <v>6</v>
      </c>
      <c r="B68" s="20" t="s">
        <v>49</v>
      </c>
      <c r="C68" s="21"/>
      <c r="D68" s="22"/>
      <c r="E68" s="21"/>
      <c r="F68" s="27">
        <f t="shared" si="1"/>
        <v>0</v>
      </c>
      <c r="G68" s="7"/>
    </row>
    <row r="69" spans="1:10" s="8" customFormat="1" ht="12.75" customHeight="1">
      <c r="A69" s="30">
        <v>6.1</v>
      </c>
      <c r="B69" s="61" t="s">
        <v>50</v>
      </c>
      <c r="C69" s="32">
        <v>4</v>
      </c>
      <c r="D69" s="33" t="s">
        <v>38</v>
      </c>
      <c r="E69" s="42">
        <v>3500</v>
      </c>
      <c r="F69" s="27">
        <f t="shared" si="1"/>
        <v>14000</v>
      </c>
      <c r="G69" s="7"/>
    </row>
    <row r="70" spans="1:10" s="8" customFormat="1" ht="12.75" customHeight="1">
      <c r="A70" s="54">
        <v>6.2</v>
      </c>
      <c r="B70" s="31" t="s">
        <v>51</v>
      </c>
      <c r="C70" s="95">
        <v>4</v>
      </c>
      <c r="D70" s="96" t="s">
        <v>38</v>
      </c>
      <c r="E70" s="62">
        <v>43909.93</v>
      </c>
      <c r="F70" s="27">
        <f t="shared" si="1"/>
        <v>175639.72</v>
      </c>
      <c r="G70" s="7"/>
    </row>
    <row r="71" spans="1:10" s="8" customFormat="1" ht="12.75" customHeight="1">
      <c r="A71" s="63"/>
      <c r="B71" s="61" t="s">
        <v>40</v>
      </c>
      <c r="C71" s="32"/>
      <c r="D71" s="64"/>
      <c r="E71" s="42"/>
      <c r="F71" s="27">
        <f t="shared" si="1"/>
        <v>0</v>
      </c>
      <c r="G71" s="7"/>
    </row>
    <row r="72" spans="1:10" s="72" customFormat="1" ht="25.5" customHeight="1">
      <c r="A72" s="65">
        <v>7</v>
      </c>
      <c r="B72" s="66" t="s">
        <v>41</v>
      </c>
      <c r="C72" s="67">
        <v>375</v>
      </c>
      <c r="D72" s="68" t="s">
        <v>15</v>
      </c>
      <c r="E72" s="69">
        <v>50.15</v>
      </c>
      <c r="F72" s="70">
        <f>ROUND(C72*E72,2)</f>
        <v>18806.25</v>
      </c>
      <c r="G72" s="71"/>
      <c r="I72" s="73"/>
      <c r="J72" s="51"/>
    </row>
    <row r="73" spans="1:10" s="72" customFormat="1">
      <c r="A73" s="65"/>
      <c r="B73" s="66"/>
      <c r="C73" s="67"/>
      <c r="D73" s="68"/>
      <c r="E73" s="69"/>
      <c r="F73" s="70"/>
      <c r="G73" s="74"/>
      <c r="I73" s="73"/>
      <c r="J73" s="51"/>
    </row>
    <row r="74" spans="1:10" s="72" customFormat="1">
      <c r="A74" s="65">
        <v>8</v>
      </c>
      <c r="B74" s="66" t="s">
        <v>42</v>
      </c>
      <c r="C74" s="67">
        <v>1</v>
      </c>
      <c r="D74" s="68" t="s">
        <v>43</v>
      </c>
      <c r="E74" s="69">
        <v>5000</v>
      </c>
      <c r="F74" s="70">
        <f>ROUND(C74*E74,2)</f>
        <v>5000</v>
      </c>
      <c r="G74" s="74"/>
      <c r="I74" s="73"/>
      <c r="J74" s="51"/>
    </row>
    <row r="75" spans="1:10" s="82" customFormat="1" ht="12.75" customHeight="1">
      <c r="A75" s="75"/>
      <c r="B75" s="76" t="s">
        <v>52</v>
      </c>
      <c r="C75" s="77"/>
      <c r="D75" s="78"/>
      <c r="E75" s="79"/>
      <c r="F75" s="80">
        <f>SUM(F47:F74)</f>
        <v>1501703.77</v>
      </c>
      <c r="G75" s="81"/>
    </row>
    <row r="76" spans="1:10" s="8" customFormat="1" ht="12.75" customHeight="1">
      <c r="A76" s="97"/>
      <c r="B76" s="98"/>
      <c r="C76" s="32"/>
      <c r="D76" s="33"/>
      <c r="E76" s="42"/>
      <c r="F76" s="27"/>
      <c r="G76" s="7"/>
    </row>
    <row r="77" spans="1:10" s="8" customFormat="1" ht="12.75" customHeight="1">
      <c r="A77" s="99" t="s">
        <v>53</v>
      </c>
      <c r="B77" s="1417" t="s">
        <v>54</v>
      </c>
      <c r="C77" s="32"/>
      <c r="D77" s="33"/>
      <c r="E77" s="42"/>
      <c r="F77" s="27"/>
      <c r="G77" s="7"/>
    </row>
    <row r="78" spans="1:10" s="8" customFormat="1" ht="12.75" customHeight="1">
      <c r="A78" s="35"/>
      <c r="B78" s="1417"/>
      <c r="C78" s="32"/>
      <c r="D78" s="33"/>
      <c r="E78" s="42"/>
      <c r="F78" s="27"/>
      <c r="G78" s="7"/>
    </row>
    <row r="79" spans="1:10" s="8" customFormat="1" ht="12" customHeight="1">
      <c r="A79" s="100"/>
      <c r="B79" s="36"/>
      <c r="C79" s="32"/>
      <c r="D79" s="33"/>
      <c r="E79" s="42"/>
      <c r="F79" s="27"/>
      <c r="G79" s="7"/>
    </row>
    <row r="80" spans="1:10" s="8" customFormat="1" ht="12.75" customHeight="1">
      <c r="A80" s="25">
        <v>1</v>
      </c>
      <c r="B80" s="26" t="s">
        <v>14</v>
      </c>
      <c r="C80" s="21">
        <v>50</v>
      </c>
      <c r="D80" s="22" t="s">
        <v>15</v>
      </c>
      <c r="E80" s="21">
        <v>44.18</v>
      </c>
      <c r="F80" s="27">
        <f t="shared" ref="F80:F104" si="2">+ROUND(C80*E80,2)</f>
        <v>2209</v>
      </c>
      <c r="G80" s="7"/>
    </row>
    <row r="81" spans="1:7" s="8" customFormat="1" ht="8.25" customHeight="1">
      <c r="A81" s="29"/>
      <c r="B81" s="26"/>
      <c r="C81" s="21"/>
      <c r="D81" s="22"/>
      <c r="E81" s="21"/>
      <c r="F81" s="27"/>
      <c r="G81" s="7"/>
    </row>
    <row r="82" spans="1:7" s="8" customFormat="1" ht="12.75" customHeight="1">
      <c r="A82" s="29">
        <v>2</v>
      </c>
      <c r="B82" s="20" t="s">
        <v>16</v>
      </c>
      <c r="C82" s="21"/>
      <c r="D82" s="22"/>
      <c r="E82" s="21"/>
      <c r="F82" s="27"/>
      <c r="G82" s="7"/>
    </row>
    <row r="83" spans="1:7" s="8" customFormat="1">
      <c r="A83" s="30">
        <v>2.1</v>
      </c>
      <c r="B83" s="31" t="s">
        <v>17</v>
      </c>
      <c r="C83" s="32">
        <v>100</v>
      </c>
      <c r="D83" s="33" t="s">
        <v>18</v>
      </c>
      <c r="E83" s="34">
        <v>74.849999999999994</v>
      </c>
      <c r="F83" s="27">
        <f>+ROUND(C83*E83,2)</f>
        <v>7485</v>
      </c>
      <c r="G83" s="7"/>
    </row>
    <row r="84" spans="1:7" s="8" customFormat="1" ht="12.75" customHeight="1">
      <c r="A84" s="35">
        <v>2.2000000000000002</v>
      </c>
      <c r="B84" s="36" t="s">
        <v>19</v>
      </c>
      <c r="C84" s="32">
        <v>50</v>
      </c>
      <c r="D84" s="33" t="s">
        <v>20</v>
      </c>
      <c r="E84" s="34">
        <v>40.65</v>
      </c>
      <c r="F84" s="27">
        <f>+ROUND(C84*E84,2)</f>
        <v>2032.5</v>
      </c>
      <c r="G84" s="7"/>
    </row>
    <row r="85" spans="1:7" s="8" customFormat="1" ht="12.75" customHeight="1">
      <c r="A85" s="30">
        <v>2.2999999999999998</v>
      </c>
      <c r="B85" s="31" t="s">
        <v>21</v>
      </c>
      <c r="C85" s="32">
        <v>3.5</v>
      </c>
      <c r="D85" s="33" t="s">
        <v>22</v>
      </c>
      <c r="E85" s="34">
        <v>165</v>
      </c>
      <c r="F85" s="27">
        <f>+ROUND(C85*E85,2)</f>
        <v>577.5</v>
      </c>
      <c r="G85" s="7"/>
    </row>
    <row r="86" spans="1:7" s="8" customFormat="1" ht="12.75" customHeight="1">
      <c r="A86" s="30"/>
      <c r="B86" s="31"/>
      <c r="C86" s="32"/>
      <c r="D86" s="33"/>
      <c r="E86" s="33"/>
      <c r="F86" s="27"/>
      <c r="G86" s="7"/>
    </row>
    <row r="87" spans="1:7" s="8" customFormat="1" ht="12.75" customHeight="1">
      <c r="A87" s="38">
        <v>3</v>
      </c>
      <c r="B87" s="39" t="s">
        <v>23</v>
      </c>
      <c r="C87" s="32"/>
      <c r="D87" s="33"/>
      <c r="E87" s="42"/>
      <c r="F87" s="27">
        <f t="shared" si="2"/>
        <v>0</v>
      </c>
      <c r="G87" s="7"/>
    </row>
    <row r="88" spans="1:7" s="8" customFormat="1" ht="25.5" customHeight="1">
      <c r="A88" s="30">
        <v>3.1</v>
      </c>
      <c r="B88" s="31" t="s">
        <v>47</v>
      </c>
      <c r="C88" s="95">
        <v>75</v>
      </c>
      <c r="D88" s="101" t="s">
        <v>22</v>
      </c>
      <c r="E88" s="102">
        <v>185.42</v>
      </c>
      <c r="F88" s="27">
        <f t="shared" si="2"/>
        <v>13906.5</v>
      </c>
      <c r="G88" s="7">
        <f>50*1*1.5</f>
        <v>75</v>
      </c>
    </row>
    <row r="89" spans="1:7" s="51" customFormat="1">
      <c r="A89" s="44">
        <v>3.2</v>
      </c>
      <c r="B89" s="45" t="s">
        <v>25</v>
      </c>
      <c r="C89" s="46">
        <f>+C84</f>
        <v>50</v>
      </c>
      <c r="D89" s="47" t="s">
        <v>20</v>
      </c>
      <c r="E89" s="48">
        <v>21.67</v>
      </c>
      <c r="F89" s="49">
        <f>ROUND(E89*C89,2)</f>
        <v>1083.5</v>
      </c>
      <c r="G89" s="50">
        <f>+E89*C89</f>
        <v>1083.5</v>
      </c>
    </row>
    <row r="90" spans="1:7" s="8" customFormat="1" ht="12.75" customHeight="1">
      <c r="A90" s="30">
        <v>3.3</v>
      </c>
      <c r="B90" s="36" t="s">
        <v>26</v>
      </c>
      <c r="C90" s="32">
        <f>50*1*0.1</f>
        <v>5</v>
      </c>
      <c r="D90" s="33" t="s">
        <v>22</v>
      </c>
      <c r="E90" s="42">
        <v>1068.3599999999999</v>
      </c>
      <c r="F90" s="27">
        <f t="shared" si="2"/>
        <v>5341.8</v>
      </c>
      <c r="G90" s="7"/>
    </row>
    <row r="91" spans="1:7" s="8" customFormat="1" ht="12.75" customHeight="1">
      <c r="A91" s="44">
        <v>3.4</v>
      </c>
      <c r="B91" s="31" t="s">
        <v>55</v>
      </c>
      <c r="C91" s="32">
        <v>81.2</v>
      </c>
      <c r="D91" s="33" t="s">
        <v>22</v>
      </c>
      <c r="E91" s="42">
        <v>651.17999999999995</v>
      </c>
      <c r="F91" s="27">
        <f t="shared" si="2"/>
        <v>52875.82</v>
      </c>
      <c r="G91" s="7">
        <f>+G92*1.25</f>
        <v>81.2</v>
      </c>
    </row>
    <row r="92" spans="1:7" s="8" customFormat="1" ht="12.75" customHeight="1">
      <c r="A92" s="30">
        <v>3.5</v>
      </c>
      <c r="B92" s="52" t="s">
        <v>28</v>
      </c>
      <c r="C92" s="32">
        <v>64.959999999999994</v>
      </c>
      <c r="D92" s="33" t="s">
        <v>22</v>
      </c>
      <c r="E92" s="42">
        <v>183.68</v>
      </c>
      <c r="F92" s="27">
        <f t="shared" si="2"/>
        <v>11931.85</v>
      </c>
      <c r="G92" s="7">
        <f>+(G88-C90-50*0.0324)*0.95</f>
        <v>64.959999999999994</v>
      </c>
    </row>
    <row r="93" spans="1:7" s="8" customFormat="1" ht="12.75" customHeight="1">
      <c r="A93" s="44">
        <v>3.6</v>
      </c>
      <c r="B93" s="36" t="s">
        <v>29</v>
      </c>
      <c r="C93" s="32">
        <v>90</v>
      </c>
      <c r="D93" s="33" t="s">
        <v>22</v>
      </c>
      <c r="E93" s="42">
        <v>165</v>
      </c>
      <c r="F93" s="27">
        <f t="shared" si="2"/>
        <v>14850</v>
      </c>
      <c r="G93" s="7">
        <f>+(G88*1.2)</f>
        <v>90</v>
      </c>
    </row>
    <row r="94" spans="1:7" s="8" customFormat="1" ht="12.75" customHeight="1">
      <c r="A94" s="30"/>
      <c r="B94" s="20"/>
      <c r="C94" s="21"/>
      <c r="D94" s="22"/>
      <c r="E94" s="21"/>
      <c r="F94" s="27">
        <f t="shared" si="2"/>
        <v>0</v>
      </c>
      <c r="G94" s="7"/>
    </row>
    <row r="95" spans="1:7" s="8" customFormat="1" ht="12.75" customHeight="1">
      <c r="A95" s="53">
        <v>3</v>
      </c>
      <c r="B95" s="39" t="s">
        <v>30</v>
      </c>
      <c r="C95" s="32"/>
      <c r="D95" s="33"/>
      <c r="E95" s="42"/>
      <c r="F95" s="27">
        <f t="shared" si="2"/>
        <v>0</v>
      </c>
      <c r="G95" s="7"/>
    </row>
    <row r="96" spans="1:7" s="92" customFormat="1" ht="12.75" customHeight="1">
      <c r="A96" s="54">
        <v>3.1</v>
      </c>
      <c r="B96" s="26" t="s">
        <v>48</v>
      </c>
      <c r="C96" s="55">
        <v>51.5</v>
      </c>
      <c r="D96" s="56" t="s">
        <v>15</v>
      </c>
      <c r="E96" s="55">
        <v>1219.23</v>
      </c>
      <c r="F96" s="27">
        <f t="shared" si="2"/>
        <v>62790.35</v>
      </c>
      <c r="G96" s="91"/>
    </row>
    <row r="97" spans="1:10" s="8" customFormat="1" ht="12.75" customHeight="1">
      <c r="A97" s="93"/>
      <c r="B97" s="20"/>
      <c r="C97" s="21"/>
      <c r="D97" s="22"/>
      <c r="E97" s="21"/>
      <c r="F97" s="27">
        <f t="shared" si="2"/>
        <v>0</v>
      </c>
      <c r="G97" s="7"/>
    </row>
    <row r="98" spans="1:10" s="8" customFormat="1" ht="12.75" customHeight="1">
      <c r="A98" s="29">
        <v>4</v>
      </c>
      <c r="B98" s="20" t="s">
        <v>33</v>
      </c>
      <c r="C98" s="21"/>
      <c r="D98" s="22"/>
      <c r="E98" s="21"/>
      <c r="F98" s="27">
        <f t="shared" si="2"/>
        <v>0</v>
      </c>
      <c r="G98" s="7"/>
    </row>
    <row r="99" spans="1:10" s="8" customFormat="1" ht="12.75" customHeight="1">
      <c r="A99" s="54">
        <v>4.0999999999999996</v>
      </c>
      <c r="B99" s="26" t="s">
        <v>48</v>
      </c>
      <c r="C99" s="55">
        <v>51.5</v>
      </c>
      <c r="D99" s="56" t="s">
        <v>15</v>
      </c>
      <c r="E99" s="94">
        <v>79.28</v>
      </c>
      <c r="F99" s="27">
        <f t="shared" si="2"/>
        <v>4082.92</v>
      </c>
      <c r="G99" s="7"/>
    </row>
    <row r="100" spans="1:10" s="8" customFormat="1" ht="12.75" customHeight="1">
      <c r="A100" s="100"/>
      <c r="B100" s="60"/>
      <c r="C100" s="21"/>
      <c r="D100" s="22"/>
      <c r="E100" s="21"/>
      <c r="F100" s="27">
        <f t="shared" si="2"/>
        <v>0</v>
      </c>
      <c r="G100" s="7"/>
    </row>
    <row r="101" spans="1:10" s="8" customFormat="1" ht="12.75" customHeight="1">
      <c r="A101" s="38">
        <v>5</v>
      </c>
      <c r="B101" s="20" t="s">
        <v>56</v>
      </c>
      <c r="C101" s="21"/>
      <c r="D101" s="22"/>
      <c r="E101" s="21"/>
      <c r="F101" s="27">
        <f t="shared" si="2"/>
        <v>0</v>
      </c>
      <c r="G101" s="7"/>
    </row>
    <row r="102" spans="1:10" s="8" customFormat="1" ht="12.75" customHeight="1">
      <c r="A102" s="103">
        <v>5.0999999999999996</v>
      </c>
      <c r="B102" s="61" t="s">
        <v>50</v>
      </c>
      <c r="C102" s="32">
        <v>2</v>
      </c>
      <c r="D102" s="33" t="s">
        <v>38</v>
      </c>
      <c r="E102" s="104">
        <v>3500</v>
      </c>
      <c r="F102" s="27">
        <f t="shared" si="2"/>
        <v>7000</v>
      </c>
      <c r="G102" s="7"/>
    </row>
    <row r="103" spans="1:10" s="92" customFormat="1" ht="12.75" customHeight="1">
      <c r="A103" s="105">
        <v>5.2</v>
      </c>
      <c r="B103" s="86" t="s">
        <v>57</v>
      </c>
      <c r="C103" s="106">
        <v>1</v>
      </c>
      <c r="D103" s="107" t="s">
        <v>38</v>
      </c>
      <c r="E103" s="108">
        <v>38384.660000000003</v>
      </c>
      <c r="F103" s="109">
        <f t="shared" si="2"/>
        <v>38384.660000000003</v>
      </c>
      <c r="G103" s="91"/>
    </row>
    <row r="104" spans="1:10" s="8" customFormat="1" ht="12.75" customHeight="1">
      <c r="A104" s="63"/>
      <c r="B104" s="61" t="s">
        <v>40</v>
      </c>
      <c r="C104" s="32"/>
      <c r="D104" s="64"/>
      <c r="E104" s="42"/>
      <c r="F104" s="27">
        <f t="shared" si="2"/>
        <v>0</v>
      </c>
      <c r="G104" s="7"/>
    </row>
    <row r="105" spans="1:10" s="72" customFormat="1" ht="25.5" customHeight="1">
      <c r="A105" s="65">
        <v>6</v>
      </c>
      <c r="B105" s="66" t="s">
        <v>41</v>
      </c>
      <c r="C105" s="67">
        <v>50</v>
      </c>
      <c r="D105" s="68" t="s">
        <v>15</v>
      </c>
      <c r="E105" s="69">
        <v>50.15</v>
      </c>
      <c r="F105" s="70">
        <f>ROUND(C105*E105,2)</f>
        <v>2507.5</v>
      </c>
      <c r="G105" s="71"/>
      <c r="I105" s="73"/>
      <c r="J105" s="51"/>
    </row>
    <row r="106" spans="1:10" s="72" customFormat="1">
      <c r="A106" s="65"/>
      <c r="B106" s="66"/>
      <c r="C106" s="67"/>
      <c r="D106" s="68"/>
      <c r="E106" s="69"/>
      <c r="F106" s="70"/>
      <c r="G106" s="74"/>
      <c r="I106" s="73"/>
      <c r="J106" s="51"/>
    </row>
    <row r="107" spans="1:10" s="72" customFormat="1">
      <c r="A107" s="65">
        <v>7</v>
      </c>
      <c r="B107" s="66" t="s">
        <v>42</v>
      </c>
      <c r="C107" s="67">
        <v>1</v>
      </c>
      <c r="D107" s="68" t="s">
        <v>43</v>
      </c>
      <c r="E107" s="69">
        <v>2000</v>
      </c>
      <c r="F107" s="70">
        <f>ROUND(C107*E107,2)</f>
        <v>2000</v>
      </c>
      <c r="G107" s="74"/>
      <c r="I107" s="73"/>
      <c r="J107" s="51"/>
    </row>
    <row r="108" spans="1:10" s="82" customFormat="1" ht="12.75" customHeight="1">
      <c r="A108" s="110"/>
      <c r="B108" s="111" t="s">
        <v>58</v>
      </c>
      <c r="C108" s="77"/>
      <c r="D108" s="78"/>
      <c r="E108" s="79"/>
      <c r="F108" s="80">
        <f>SUM(F80:F107)</f>
        <v>229058.9</v>
      </c>
      <c r="G108" s="81"/>
    </row>
    <row r="109" spans="1:10" s="8" customFormat="1" ht="12.75" customHeight="1">
      <c r="A109" s="112"/>
      <c r="B109" s="113"/>
      <c r="C109" s="21"/>
      <c r="D109" s="22"/>
      <c r="E109" s="104"/>
      <c r="F109" s="27"/>
      <c r="G109" s="7"/>
    </row>
    <row r="110" spans="1:10" ht="14.25" customHeight="1">
      <c r="A110" s="114" t="s">
        <v>59</v>
      </c>
      <c r="B110" s="115" t="s">
        <v>60</v>
      </c>
      <c r="C110" s="116"/>
      <c r="D110" s="117"/>
      <c r="E110" s="104"/>
      <c r="F110" s="27"/>
      <c r="G110" s="118"/>
    </row>
    <row r="111" spans="1:10">
      <c r="A111" s="120"/>
      <c r="B111" s="121"/>
      <c r="C111" s="122"/>
      <c r="D111" s="123"/>
      <c r="E111" s="124"/>
      <c r="F111" s="27"/>
      <c r="G111" s="118"/>
    </row>
    <row r="112" spans="1:10" s="8" customFormat="1" ht="12.75" customHeight="1">
      <c r="A112" s="25">
        <v>1</v>
      </c>
      <c r="B112" s="26" t="s">
        <v>14</v>
      </c>
      <c r="C112" s="124">
        <v>597</v>
      </c>
      <c r="D112" s="58" t="s">
        <v>15</v>
      </c>
      <c r="E112" s="57">
        <v>44.18</v>
      </c>
      <c r="F112" s="43">
        <f>+ROUND(C112*E112,2)</f>
        <v>26375.46</v>
      </c>
      <c r="G112" s="7"/>
    </row>
    <row r="113" spans="1:7" s="8" customFormat="1" ht="12.75" customHeight="1">
      <c r="A113" s="29"/>
      <c r="B113" s="26"/>
      <c r="C113" s="57"/>
      <c r="D113" s="58"/>
      <c r="E113" s="125"/>
      <c r="F113" s="43"/>
      <c r="G113" s="7"/>
    </row>
    <row r="114" spans="1:7" s="8" customFormat="1" ht="12.75" customHeight="1">
      <c r="A114" s="29">
        <v>2</v>
      </c>
      <c r="B114" s="20" t="s">
        <v>16</v>
      </c>
      <c r="C114" s="57"/>
      <c r="D114" s="58"/>
      <c r="E114" s="125"/>
      <c r="F114" s="43"/>
      <c r="G114" s="7"/>
    </row>
    <row r="115" spans="1:7" s="8" customFormat="1">
      <c r="A115" s="30">
        <v>2.1</v>
      </c>
      <c r="B115" s="31" t="s">
        <v>17</v>
      </c>
      <c r="C115" s="32">
        <f>+C112*2</f>
        <v>1194</v>
      </c>
      <c r="D115" s="33" t="s">
        <v>18</v>
      </c>
      <c r="E115" s="34">
        <v>74.849999999999994</v>
      </c>
      <c r="F115" s="43">
        <f>+ROUND(C115*E115,2)</f>
        <v>89370.9</v>
      </c>
      <c r="G115" s="7"/>
    </row>
    <row r="116" spans="1:7" s="8" customFormat="1" ht="12.75" customHeight="1">
      <c r="A116" s="35">
        <v>2.2000000000000002</v>
      </c>
      <c r="B116" s="36" t="s">
        <v>19</v>
      </c>
      <c r="C116" s="32">
        <v>597</v>
      </c>
      <c r="D116" s="33" t="s">
        <v>20</v>
      </c>
      <c r="E116" s="34">
        <v>40.65</v>
      </c>
      <c r="F116" s="43">
        <f>+ROUND(C116*E116,2)</f>
        <v>24268.05</v>
      </c>
      <c r="G116" s="7"/>
    </row>
    <row r="117" spans="1:7" s="8" customFormat="1" ht="12.75" customHeight="1">
      <c r="A117" s="30">
        <v>2.2999999999999998</v>
      </c>
      <c r="B117" s="31" t="s">
        <v>21</v>
      </c>
      <c r="C117" s="32">
        <v>41.79</v>
      </c>
      <c r="D117" s="33" t="s">
        <v>22</v>
      </c>
      <c r="E117" s="34">
        <v>165</v>
      </c>
      <c r="F117" s="43">
        <f>+ROUND(C117*E117,2)</f>
        <v>6895.35</v>
      </c>
      <c r="G117" s="7"/>
    </row>
    <row r="118" spans="1:7" s="8" customFormat="1" ht="12.75" customHeight="1">
      <c r="A118" s="30"/>
      <c r="B118" s="31"/>
      <c r="C118" s="32"/>
      <c r="D118" s="33"/>
      <c r="E118" s="84"/>
      <c r="F118" s="43"/>
      <c r="G118" s="7"/>
    </row>
    <row r="119" spans="1:7">
      <c r="A119" s="126">
        <v>3</v>
      </c>
      <c r="B119" s="127" t="s">
        <v>23</v>
      </c>
      <c r="C119" s="124"/>
      <c r="D119" s="33"/>
      <c r="E119" s="128"/>
      <c r="F119" s="43">
        <f t="shared" ref="F119:F138" si="3">+ROUND(C119*E119,2)</f>
        <v>0</v>
      </c>
      <c r="G119" s="118"/>
    </row>
    <row r="120" spans="1:7" ht="23.25" customHeight="1">
      <c r="A120" s="97">
        <v>3.1</v>
      </c>
      <c r="B120" s="129" t="s">
        <v>61</v>
      </c>
      <c r="C120" s="124">
        <v>1440.26</v>
      </c>
      <c r="D120" s="33" t="s">
        <v>22</v>
      </c>
      <c r="E120" s="124">
        <v>185.42</v>
      </c>
      <c r="F120" s="43">
        <f t="shared" si="3"/>
        <v>267053.01</v>
      </c>
      <c r="G120" s="118"/>
    </row>
    <row r="121" spans="1:7" s="51" customFormat="1">
      <c r="A121" s="44">
        <v>3.2</v>
      </c>
      <c r="B121" s="45" t="s">
        <v>25</v>
      </c>
      <c r="C121" s="46">
        <f>+C116</f>
        <v>597</v>
      </c>
      <c r="D121" s="47" t="s">
        <v>20</v>
      </c>
      <c r="E121" s="48">
        <v>21.67</v>
      </c>
      <c r="F121" s="49">
        <f>ROUND(E121*C121,2)</f>
        <v>12936.99</v>
      </c>
      <c r="G121" s="50">
        <f>+E121*C121</f>
        <v>12936.99</v>
      </c>
    </row>
    <row r="122" spans="1:7">
      <c r="A122" s="97">
        <v>3.3</v>
      </c>
      <c r="B122" s="121" t="s">
        <v>26</v>
      </c>
      <c r="C122" s="124">
        <v>44.77</v>
      </c>
      <c r="D122" s="33" t="s">
        <v>22</v>
      </c>
      <c r="E122" s="124">
        <v>1068.3599999999999</v>
      </c>
      <c r="F122" s="43">
        <f t="shared" si="3"/>
        <v>47830.48</v>
      </c>
      <c r="G122" s="118"/>
    </row>
    <row r="123" spans="1:7">
      <c r="A123" s="44">
        <v>3.4</v>
      </c>
      <c r="B123" s="31" t="s">
        <v>55</v>
      </c>
      <c r="C123" s="124">
        <v>1651.66</v>
      </c>
      <c r="D123" s="33" t="s">
        <v>22</v>
      </c>
      <c r="E123" s="42">
        <v>651.17999999999995</v>
      </c>
      <c r="F123" s="43">
        <f t="shared" si="3"/>
        <v>1075527.96</v>
      </c>
      <c r="G123" s="118"/>
    </row>
    <row r="124" spans="1:7" ht="25.5">
      <c r="A124" s="97">
        <v>3.5</v>
      </c>
      <c r="B124" s="52" t="s">
        <v>28</v>
      </c>
      <c r="C124" s="124">
        <v>1307.56</v>
      </c>
      <c r="D124" s="33" t="s">
        <v>22</v>
      </c>
      <c r="E124" s="124">
        <v>183.68</v>
      </c>
      <c r="F124" s="43">
        <f t="shared" si="3"/>
        <v>240172.62</v>
      </c>
      <c r="G124" s="118"/>
    </row>
    <row r="125" spans="1:7">
      <c r="A125" s="44">
        <v>3.6</v>
      </c>
      <c r="B125" s="36" t="s">
        <v>29</v>
      </c>
      <c r="C125" s="124">
        <v>1728.32</v>
      </c>
      <c r="D125" s="33" t="s">
        <v>22</v>
      </c>
      <c r="E125" s="124">
        <v>165</v>
      </c>
      <c r="F125" s="43">
        <f t="shared" si="3"/>
        <v>285172.8</v>
      </c>
      <c r="G125" s="118"/>
    </row>
    <row r="126" spans="1:7">
      <c r="A126" s="130"/>
      <c r="B126" s="121"/>
      <c r="C126" s="124"/>
      <c r="D126" s="33"/>
      <c r="E126" s="124"/>
      <c r="F126" s="43">
        <f t="shared" si="3"/>
        <v>0</v>
      </c>
      <c r="G126" s="118"/>
    </row>
    <row r="127" spans="1:7">
      <c r="A127" s="126">
        <v>4</v>
      </c>
      <c r="B127" s="127" t="s">
        <v>62</v>
      </c>
      <c r="C127" s="124"/>
      <c r="D127" s="33"/>
      <c r="E127" s="124"/>
      <c r="F127" s="43">
        <f t="shared" si="3"/>
        <v>0</v>
      </c>
      <c r="G127" s="118"/>
    </row>
    <row r="128" spans="1:7" ht="28.5" customHeight="1">
      <c r="A128" s="97">
        <v>4.0999999999999996</v>
      </c>
      <c r="B128" s="131" t="s">
        <v>63</v>
      </c>
      <c r="C128" s="124">
        <v>614.91</v>
      </c>
      <c r="D128" s="33" t="s">
        <v>15</v>
      </c>
      <c r="E128" s="124">
        <v>1219.23</v>
      </c>
      <c r="F128" s="43">
        <f t="shared" si="3"/>
        <v>749716.72</v>
      </c>
      <c r="G128" s="118"/>
    </row>
    <row r="129" spans="1:10">
      <c r="A129" s="97"/>
      <c r="B129" s="131"/>
      <c r="C129" s="124"/>
      <c r="D129" s="33"/>
      <c r="E129" s="124"/>
      <c r="F129" s="43">
        <f t="shared" si="3"/>
        <v>0</v>
      </c>
      <c r="G129" s="118"/>
    </row>
    <row r="130" spans="1:10" ht="15" customHeight="1">
      <c r="A130" s="132">
        <v>5</v>
      </c>
      <c r="B130" s="127" t="s">
        <v>64</v>
      </c>
      <c r="C130" s="124"/>
      <c r="D130" s="33"/>
      <c r="E130" s="124"/>
      <c r="F130" s="43">
        <f t="shared" si="3"/>
        <v>0</v>
      </c>
      <c r="G130" s="118"/>
    </row>
    <row r="131" spans="1:10" ht="25.5">
      <c r="A131" s="97">
        <v>5.0999999999999996</v>
      </c>
      <c r="B131" s="131" t="s">
        <v>65</v>
      </c>
      <c r="C131" s="124">
        <v>614.91</v>
      </c>
      <c r="D131" s="33" t="s">
        <v>15</v>
      </c>
      <c r="E131" s="124">
        <v>79.28</v>
      </c>
      <c r="F131" s="43">
        <f t="shared" si="3"/>
        <v>48750.06</v>
      </c>
      <c r="G131" s="118"/>
    </row>
    <row r="132" spans="1:10">
      <c r="A132" s="133"/>
      <c r="B132" s="131"/>
      <c r="C132" s="124"/>
      <c r="D132" s="33"/>
      <c r="E132" s="124"/>
      <c r="F132" s="43">
        <f t="shared" si="3"/>
        <v>0</v>
      </c>
      <c r="G132" s="118"/>
    </row>
    <row r="133" spans="1:10" ht="12" customHeight="1">
      <c r="A133" s="134">
        <v>6</v>
      </c>
      <c r="B133" s="131" t="s">
        <v>66</v>
      </c>
      <c r="C133" s="124">
        <v>1</v>
      </c>
      <c r="D133" s="33" t="s">
        <v>43</v>
      </c>
      <c r="E133" s="124">
        <v>54185.61</v>
      </c>
      <c r="F133" s="43">
        <f t="shared" si="3"/>
        <v>54185.61</v>
      </c>
      <c r="G133" s="118"/>
    </row>
    <row r="134" spans="1:10">
      <c r="A134" s="134"/>
      <c r="B134" s="131"/>
      <c r="C134" s="124"/>
      <c r="D134" s="33"/>
      <c r="E134" s="124"/>
      <c r="F134" s="27">
        <f t="shared" si="3"/>
        <v>0</v>
      </c>
      <c r="G134" s="118"/>
    </row>
    <row r="135" spans="1:10" ht="12" customHeight="1">
      <c r="A135" s="126">
        <v>7</v>
      </c>
      <c r="B135" s="127" t="s">
        <v>67</v>
      </c>
      <c r="C135" s="135"/>
      <c r="D135" s="135"/>
      <c r="E135" s="135"/>
      <c r="F135" s="27">
        <f t="shared" si="3"/>
        <v>0</v>
      </c>
      <c r="G135" s="118"/>
    </row>
    <row r="136" spans="1:10" ht="12" customHeight="1">
      <c r="A136" s="136">
        <v>7.1</v>
      </c>
      <c r="B136" s="129" t="s">
        <v>68</v>
      </c>
      <c r="C136" s="122">
        <v>7</v>
      </c>
      <c r="D136" s="123" t="s">
        <v>38</v>
      </c>
      <c r="E136" s="122">
        <v>1004.25</v>
      </c>
      <c r="F136" s="27">
        <f t="shared" si="3"/>
        <v>7029.75</v>
      </c>
      <c r="G136" s="118"/>
    </row>
    <row r="137" spans="1:10" ht="12" customHeight="1">
      <c r="A137" s="136">
        <v>7.2</v>
      </c>
      <c r="B137" s="131" t="s">
        <v>69</v>
      </c>
      <c r="C137" s="122">
        <v>10</v>
      </c>
      <c r="D137" s="123" t="s">
        <v>38</v>
      </c>
      <c r="E137" s="122">
        <v>297.19</v>
      </c>
      <c r="F137" s="27">
        <f t="shared" si="3"/>
        <v>2971.9</v>
      </c>
      <c r="G137" s="118"/>
    </row>
    <row r="138" spans="1:10" s="8" customFormat="1" ht="12.75" customHeight="1">
      <c r="A138" s="63"/>
      <c r="B138" s="61" t="s">
        <v>40</v>
      </c>
      <c r="C138" s="32"/>
      <c r="D138" s="64"/>
      <c r="E138" s="42"/>
      <c r="F138" s="27">
        <f t="shared" si="3"/>
        <v>0</v>
      </c>
      <c r="G138" s="7"/>
    </row>
    <row r="139" spans="1:10" s="72" customFormat="1" ht="25.5" customHeight="1">
      <c r="A139" s="65">
        <v>8</v>
      </c>
      <c r="B139" s="66" t="s">
        <v>41</v>
      </c>
      <c r="C139" s="67">
        <v>597</v>
      </c>
      <c r="D139" s="68" t="s">
        <v>15</v>
      </c>
      <c r="E139" s="69">
        <v>50.15</v>
      </c>
      <c r="F139" s="70">
        <f>ROUND(C139*E139,2)</f>
        <v>29939.55</v>
      </c>
      <c r="G139" s="71"/>
      <c r="I139" s="73"/>
      <c r="J139" s="51"/>
    </row>
    <row r="140" spans="1:10" s="72" customFormat="1">
      <c r="A140" s="65"/>
      <c r="B140" s="66"/>
      <c r="C140" s="67"/>
      <c r="D140" s="68"/>
      <c r="E140" s="69"/>
      <c r="F140" s="70"/>
      <c r="G140" s="74"/>
      <c r="I140" s="73"/>
      <c r="J140" s="51"/>
    </row>
    <row r="141" spans="1:10" s="72" customFormat="1">
      <c r="A141" s="65">
        <v>9</v>
      </c>
      <c r="B141" s="66" t="s">
        <v>42</v>
      </c>
      <c r="C141" s="67">
        <v>1</v>
      </c>
      <c r="D141" s="68" t="s">
        <v>43</v>
      </c>
      <c r="E141" s="69">
        <v>10000</v>
      </c>
      <c r="F141" s="70">
        <f>ROUND(C141*E141,2)</f>
        <v>10000</v>
      </c>
      <c r="G141" s="74"/>
      <c r="I141" s="73"/>
      <c r="J141" s="51"/>
    </row>
    <row r="142" spans="1:10" s="82" customFormat="1" ht="12.75" customHeight="1">
      <c r="A142" s="75"/>
      <c r="B142" s="76" t="s">
        <v>70</v>
      </c>
      <c r="C142" s="77"/>
      <c r="D142" s="78"/>
      <c r="E142" s="79"/>
      <c r="F142" s="80">
        <f>SUM(F111:F141)</f>
        <v>2978197.21</v>
      </c>
      <c r="G142" s="81"/>
    </row>
    <row r="143" spans="1:10">
      <c r="A143" s="137"/>
      <c r="B143" s="137"/>
      <c r="C143" s="116"/>
      <c r="D143" s="117"/>
      <c r="E143" s="116"/>
      <c r="F143" s="27"/>
      <c r="G143" s="118"/>
    </row>
    <row r="144" spans="1:10" ht="32.25" customHeight="1">
      <c r="A144" s="99" t="s">
        <v>71</v>
      </c>
      <c r="B144" s="115" t="s">
        <v>72</v>
      </c>
      <c r="C144" s="116"/>
      <c r="D144" s="117"/>
      <c r="E144" s="116"/>
      <c r="F144" s="27"/>
      <c r="G144" s="118"/>
    </row>
    <row r="145" spans="1:7" ht="3.75" customHeight="1">
      <c r="A145" s="99"/>
      <c r="B145" s="115"/>
      <c r="C145" s="116"/>
      <c r="D145" s="117"/>
      <c r="E145" s="116"/>
      <c r="F145" s="27"/>
      <c r="G145" s="118"/>
    </row>
    <row r="146" spans="1:7" s="8" customFormat="1" ht="12.75" customHeight="1">
      <c r="A146" s="25">
        <v>1</v>
      </c>
      <c r="B146" s="26" t="s">
        <v>14</v>
      </c>
      <c r="C146" s="122">
        <v>587</v>
      </c>
      <c r="D146" s="22" t="s">
        <v>15</v>
      </c>
      <c r="E146" s="21">
        <v>44.18</v>
      </c>
      <c r="F146" s="27">
        <f>+ROUND(C146*E146,2)</f>
        <v>25933.66</v>
      </c>
      <c r="G146" s="7"/>
    </row>
    <row r="147" spans="1:7" s="8" customFormat="1" ht="9.75" customHeight="1">
      <c r="A147" s="29"/>
      <c r="B147" s="26"/>
      <c r="C147" s="21"/>
      <c r="D147" s="22"/>
      <c r="E147" s="28"/>
      <c r="F147" s="27"/>
      <c r="G147" s="7"/>
    </row>
    <row r="148" spans="1:7" s="8" customFormat="1" ht="12.75" customHeight="1">
      <c r="A148" s="29">
        <v>2</v>
      </c>
      <c r="B148" s="20" t="s">
        <v>16</v>
      </c>
      <c r="C148" s="21"/>
      <c r="D148" s="22"/>
      <c r="E148" s="28"/>
      <c r="F148" s="27"/>
      <c r="G148" s="7"/>
    </row>
    <row r="149" spans="1:7" s="8" customFormat="1">
      <c r="A149" s="30">
        <v>2.1</v>
      </c>
      <c r="B149" s="31" t="s">
        <v>17</v>
      </c>
      <c r="C149" s="32">
        <f>+C146*2</f>
        <v>1174</v>
      </c>
      <c r="D149" s="33" t="s">
        <v>18</v>
      </c>
      <c r="E149" s="34">
        <v>74.849999999999994</v>
      </c>
      <c r="F149" s="27">
        <f>+ROUND(C149*E149,2)</f>
        <v>87873.9</v>
      </c>
      <c r="G149" s="7"/>
    </row>
    <row r="150" spans="1:7" s="8" customFormat="1" ht="12.75" customHeight="1">
      <c r="A150" s="35">
        <v>2.2000000000000002</v>
      </c>
      <c r="B150" s="36" t="s">
        <v>19</v>
      </c>
      <c r="C150" s="32">
        <f>+C146</f>
        <v>587</v>
      </c>
      <c r="D150" s="33" t="s">
        <v>20</v>
      </c>
      <c r="E150" s="34">
        <v>40.65</v>
      </c>
      <c r="F150" s="27">
        <f>+ROUND(C150*E150,2)</f>
        <v>23861.55</v>
      </c>
      <c r="G150" s="7"/>
    </row>
    <row r="151" spans="1:7" s="92" customFormat="1" ht="12.75" customHeight="1">
      <c r="A151" s="85">
        <v>2.2999999999999998</v>
      </c>
      <c r="B151" s="86" t="s">
        <v>21</v>
      </c>
      <c r="C151" s="87">
        <f>+C150*0.05*1.4</f>
        <v>41.09</v>
      </c>
      <c r="D151" s="88" t="s">
        <v>22</v>
      </c>
      <c r="E151" s="138">
        <v>165</v>
      </c>
      <c r="F151" s="109">
        <f>+ROUND(C151*E151,2)</f>
        <v>6779.85</v>
      </c>
      <c r="G151" s="91"/>
    </row>
    <row r="152" spans="1:7">
      <c r="A152" s="130"/>
      <c r="B152" s="121"/>
      <c r="C152" s="124"/>
      <c r="D152" s="33"/>
      <c r="E152" s="128"/>
      <c r="F152" s="27">
        <f t="shared" ref="F152:F171" si="4">+ROUND(C152*E152,2)</f>
        <v>0</v>
      </c>
      <c r="G152" s="118"/>
    </row>
    <row r="153" spans="1:7">
      <c r="A153" s="126">
        <v>3</v>
      </c>
      <c r="B153" s="127" t="s">
        <v>23</v>
      </c>
      <c r="C153" s="124"/>
      <c r="D153" s="33"/>
      <c r="E153" s="124"/>
      <c r="F153" s="27">
        <f t="shared" si="4"/>
        <v>0</v>
      </c>
      <c r="G153" s="118"/>
    </row>
    <row r="154" spans="1:7" ht="25.5">
      <c r="A154" s="136">
        <v>3.1</v>
      </c>
      <c r="B154" s="129" t="s">
        <v>61</v>
      </c>
      <c r="C154" s="124">
        <v>1819.69</v>
      </c>
      <c r="D154" s="33" t="s">
        <v>22</v>
      </c>
      <c r="E154" s="124">
        <v>185.42</v>
      </c>
      <c r="F154" s="43">
        <f t="shared" si="4"/>
        <v>337406.92</v>
      </c>
      <c r="G154" s="118"/>
    </row>
    <row r="155" spans="1:7" s="51" customFormat="1">
      <c r="A155" s="44">
        <v>3.2</v>
      </c>
      <c r="B155" s="45" t="s">
        <v>25</v>
      </c>
      <c r="C155" s="46">
        <f>+C150</f>
        <v>587</v>
      </c>
      <c r="D155" s="47" t="s">
        <v>20</v>
      </c>
      <c r="E155" s="48">
        <v>21.67</v>
      </c>
      <c r="F155" s="49">
        <f>ROUND(E155*C155,2)</f>
        <v>12720.29</v>
      </c>
      <c r="G155" s="50">
        <f>+E155*C155</f>
        <v>12720.29</v>
      </c>
    </row>
    <row r="156" spans="1:7">
      <c r="A156" s="136">
        <v>3.3</v>
      </c>
      <c r="B156" s="121" t="s">
        <v>26</v>
      </c>
      <c r="C156" s="124">
        <v>49.5</v>
      </c>
      <c r="D156" s="33" t="s">
        <v>22</v>
      </c>
      <c r="E156" s="124">
        <v>1068.3599999999999</v>
      </c>
      <c r="F156" s="43">
        <f t="shared" si="4"/>
        <v>52883.82</v>
      </c>
      <c r="G156" s="118"/>
    </row>
    <row r="157" spans="1:7">
      <c r="A157" s="44">
        <v>3.4</v>
      </c>
      <c r="B157" s="31" t="s">
        <v>55</v>
      </c>
      <c r="C157" s="124">
        <v>2073.2199999999998</v>
      </c>
      <c r="D157" s="33" t="s">
        <v>22</v>
      </c>
      <c r="E157" s="42">
        <v>651.17999999999995</v>
      </c>
      <c r="F157" s="43">
        <f t="shared" si="4"/>
        <v>1350039.4</v>
      </c>
      <c r="G157" s="118"/>
    </row>
    <row r="158" spans="1:7" ht="25.5">
      <c r="A158" s="136">
        <v>3.5</v>
      </c>
      <c r="B158" s="52" t="s">
        <v>28</v>
      </c>
      <c r="C158" s="124">
        <v>1641.3</v>
      </c>
      <c r="D158" s="33" t="s">
        <v>22</v>
      </c>
      <c r="E158" s="124">
        <v>183.68</v>
      </c>
      <c r="F158" s="43">
        <f t="shared" si="4"/>
        <v>301473.98</v>
      </c>
      <c r="G158" s="118"/>
    </row>
    <row r="159" spans="1:7">
      <c r="A159" s="44">
        <v>3.6</v>
      </c>
      <c r="B159" s="36" t="s">
        <v>29</v>
      </c>
      <c r="C159" s="124">
        <v>2183.63</v>
      </c>
      <c r="D159" s="33" t="s">
        <v>22</v>
      </c>
      <c r="E159" s="124">
        <v>165</v>
      </c>
      <c r="F159" s="43">
        <f t="shared" si="4"/>
        <v>360298.95</v>
      </c>
      <c r="G159" s="118"/>
    </row>
    <row r="160" spans="1:7">
      <c r="A160" s="136"/>
      <c r="B160" s="121"/>
      <c r="C160" s="124"/>
      <c r="D160" s="33"/>
      <c r="E160" s="124"/>
      <c r="F160" s="27">
        <f t="shared" si="4"/>
        <v>0</v>
      </c>
      <c r="G160" s="118"/>
    </row>
    <row r="161" spans="1:10">
      <c r="A161" s="126">
        <v>4</v>
      </c>
      <c r="B161" s="127" t="s">
        <v>62</v>
      </c>
      <c r="C161" s="124"/>
      <c r="D161" s="33"/>
      <c r="E161" s="124"/>
      <c r="F161" s="27">
        <f t="shared" si="4"/>
        <v>0</v>
      </c>
      <c r="G161" s="118"/>
    </row>
    <row r="162" spans="1:10" ht="25.5">
      <c r="A162" s="136">
        <v>4.0999999999999996</v>
      </c>
      <c r="B162" s="131" t="s">
        <v>73</v>
      </c>
      <c r="C162" s="124">
        <v>605.59</v>
      </c>
      <c r="D162" s="33" t="s">
        <v>15</v>
      </c>
      <c r="E162" s="124">
        <v>2755.86</v>
      </c>
      <c r="F162" s="43">
        <f t="shared" si="4"/>
        <v>1668921.26</v>
      </c>
      <c r="G162" s="118"/>
    </row>
    <row r="163" spans="1:10">
      <c r="A163" s="134"/>
      <c r="B163" s="131"/>
      <c r="C163" s="124"/>
      <c r="D163" s="33"/>
      <c r="E163" s="124"/>
      <c r="F163" s="27">
        <f t="shared" si="4"/>
        <v>0</v>
      </c>
      <c r="G163" s="118"/>
    </row>
    <row r="164" spans="1:10" ht="11.25" customHeight="1">
      <c r="A164" s="126">
        <v>5</v>
      </c>
      <c r="B164" s="127" t="s">
        <v>64</v>
      </c>
      <c r="C164" s="124"/>
      <c r="D164" s="33"/>
      <c r="E164" s="124"/>
      <c r="F164" s="27">
        <f t="shared" si="4"/>
        <v>0</v>
      </c>
      <c r="G164" s="118"/>
    </row>
    <row r="165" spans="1:10" ht="26.25" customHeight="1">
      <c r="A165" s="136">
        <v>5.0999999999999996</v>
      </c>
      <c r="B165" s="131" t="s">
        <v>74</v>
      </c>
      <c r="C165" s="124">
        <v>605.59</v>
      </c>
      <c r="D165" s="33" t="s">
        <v>15</v>
      </c>
      <c r="E165" s="124">
        <v>117.05</v>
      </c>
      <c r="F165" s="43">
        <f t="shared" si="4"/>
        <v>70884.31</v>
      </c>
      <c r="G165" s="118"/>
    </row>
    <row r="166" spans="1:10" ht="9" customHeight="1">
      <c r="A166" s="134"/>
      <c r="B166" s="131"/>
      <c r="C166" s="124"/>
      <c r="D166" s="33"/>
      <c r="E166" s="124"/>
      <c r="F166" s="27">
        <f t="shared" si="4"/>
        <v>0</v>
      </c>
      <c r="G166" s="118"/>
    </row>
    <row r="167" spans="1:10" ht="15" customHeight="1">
      <c r="A167" s="126">
        <v>6</v>
      </c>
      <c r="B167" s="127" t="s">
        <v>36</v>
      </c>
      <c r="C167" s="124"/>
      <c r="D167" s="33"/>
      <c r="E167" s="124"/>
      <c r="F167" s="27">
        <f t="shared" si="4"/>
        <v>0</v>
      </c>
      <c r="G167" s="118"/>
    </row>
    <row r="168" spans="1:10" ht="27.75" customHeight="1">
      <c r="A168" s="136">
        <v>6.1</v>
      </c>
      <c r="B168" s="131" t="s">
        <v>75</v>
      </c>
      <c r="C168" s="124">
        <v>2</v>
      </c>
      <c r="D168" s="33" t="s">
        <v>43</v>
      </c>
      <c r="E168" s="124">
        <v>57479.49</v>
      </c>
      <c r="F168" s="43">
        <f t="shared" si="4"/>
        <v>114958.98</v>
      </c>
      <c r="G168" s="118"/>
    </row>
    <row r="169" spans="1:10" ht="12" customHeight="1">
      <c r="A169" s="136">
        <v>6.2</v>
      </c>
      <c r="B169" s="129" t="s">
        <v>68</v>
      </c>
      <c r="C169" s="122">
        <v>7</v>
      </c>
      <c r="D169" s="123" t="s">
        <v>38</v>
      </c>
      <c r="E169" s="122">
        <v>1004.25</v>
      </c>
      <c r="F169" s="43">
        <f t="shared" si="4"/>
        <v>7029.75</v>
      </c>
      <c r="G169" s="118"/>
    </row>
    <row r="170" spans="1:10" ht="14.25" customHeight="1">
      <c r="A170" s="136">
        <v>6.3</v>
      </c>
      <c r="B170" s="131" t="s">
        <v>69</v>
      </c>
      <c r="C170" s="122">
        <v>7</v>
      </c>
      <c r="D170" s="123" t="s">
        <v>38</v>
      </c>
      <c r="E170" s="122">
        <v>297.19</v>
      </c>
      <c r="F170" s="43">
        <f t="shared" si="4"/>
        <v>2080.33</v>
      </c>
      <c r="G170" s="118"/>
    </row>
    <row r="171" spans="1:10" s="8" customFormat="1" ht="12.75" customHeight="1">
      <c r="A171" s="63"/>
      <c r="B171" s="61" t="s">
        <v>40</v>
      </c>
      <c r="C171" s="32"/>
      <c r="D171" s="64"/>
      <c r="E171" s="42"/>
      <c r="F171" s="27">
        <f t="shared" si="4"/>
        <v>0</v>
      </c>
      <c r="G171" s="7"/>
    </row>
    <row r="172" spans="1:10" s="72" customFormat="1" ht="25.5" customHeight="1">
      <c r="A172" s="65">
        <v>7</v>
      </c>
      <c r="B172" s="66" t="s">
        <v>41</v>
      </c>
      <c r="C172" s="67">
        <v>587</v>
      </c>
      <c r="D172" s="68" t="s">
        <v>15</v>
      </c>
      <c r="E172" s="69">
        <v>50.15</v>
      </c>
      <c r="F172" s="70">
        <f>ROUND(C172*E172,2)</f>
        <v>29438.05</v>
      </c>
      <c r="G172" s="71"/>
      <c r="I172" s="73"/>
      <c r="J172" s="51"/>
    </row>
    <row r="173" spans="1:10" s="72" customFormat="1">
      <c r="A173" s="65"/>
      <c r="B173" s="66"/>
      <c r="C173" s="67"/>
      <c r="D173" s="68"/>
      <c r="E173" s="69"/>
      <c r="F173" s="70"/>
      <c r="G173" s="74"/>
      <c r="I173" s="73"/>
      <c r="J173" s="51"/>
    </row>
    <row r="174" spans="1:10" s="72" customFormat="1">
      <c r="A174" s="65">
        <v>8</v>
      </c>
      <c r="B174" s="66" t="s">
        <v>42</v>
      </c>
      <c r="C174" s="67">
        <v>1</v>
      </c>
      <c r="D174" s="68" t="s">
        <v>43</v>
      </c>
      <c r="E174" s="69">
        <v>10000</v>
      </c>
      <c r="F174" s="70">
        <f>ROUND(C174*E174,2)</f>
        <v>10000</v>
      </c>
      <c r="G174" s="74"/>
      <c r="I174" s="73"/>
      <c r="J174" s="51"/>
    </row>
    <row r="175" spans="1:10" s="144" customFormat="1">
      <c r="A175" s="139"/>
      <c r="B175" s="111" t="s">
        <v>76</v>
      </c>
      <c r="C175" s="140"/>
      <c r="D175" s="141"/>
      <c r="E175" s="142"/>
      <c r="F175" s="80">
        <f>SUM(F145:F174)</f>
        <v>4462585</v>
      </c>
      <c r="G175" s="143"/>
    </row>
    <row r="176" spans="1:10">
      <c r="A176" s="145"/>
      <c r="B176" s="146"/>
      <c r="C176" s="147"/>
      <c r="D176" s="148"/>
      <c r="E176" s="149"/>
      <c r="F176" s="27"/>
      <c r="G176" s="118"/>
    </row>
    <row r="177" spans="1:7" ht="25.5">
      <c r="A177" s="114" t="s">
        <v>77</v>
      </c>
      <c r="B177" s="115" t="s">
        <v>78</v>
      </c>
      <c r="C177" s="116"/>
      <c r="D177" s="117"/>
      <c r="E177" s="116"/>
      <c r="F177" s="27"/>
      <c r="G177" s="118"/>
    </row>
    <row r="178" spans="1:7">
      <c r="A178" s="114"/>
      <c r="B178" s="115"/>
      <c r="C178" s="116"/>
      <c r="D178" s="117"/>
      <c r="E178" s="116"/>
      <c r="F178" s="27"/>
      <c r="G178" s="118"/>
    </row>
    <row r="179" spans="1:7" s="8" customFormat="1" ht="12.75" customHeight="1">
      <c r="A179" s="25">
        <v>1</v>
      </c>
      <c r="B179" s="26" t="s">
        <v>14</v>
      </c>
      <c r="C179" s="122">
        <v>100</v>
      </c>
      <c r="D179" s="22" t="s">
        <v>15</v>
      </c>
      <c r="E179" s="21">
        <v>44.18</v>
      </c>
      <c r="F179" s="27">
        <f>+ROUND(C179*E179,2)</f>
        <v>4418</v>
      </c>
      <c r="G179" s="7"/>
    </row>
    <row r="180" spans="1:7" s="8" customFormat="1" ht="12.75" customHeight="1">
      <c r="A180" s="29"/>
      <c r="B180" s="26"/>
      <c r="C180" s="21"/>
      <c r="D180" s="22"/>
      <c r="E180" s="28"/>
      <c r="F180" s="27"/>
      <c r="G180" s="7"/>
    </row>
    <row r="181" spans="1:7" s="8" customFormat="1" ht="12.75" customHeight="1">
      <c r="A181" s="29">
        <v>2</v>
      </c>
      <c r="B181" s="20" t="s">
        <v>16</v>
      </c>
      <c r="C181" s="21"/>
      <c r="D181" s="22"/>
      <c r="E181" s="28"/>
      <c r="F181" s="27"/>
      <c r="G181" s="7"/>
    </row>
    <row r="182" spans="1:7" s="8" customFormat="1">
      <c r="A182" s="30">
        <v>2.1</v>
      </c>
      <c r="B182" s="31" t="s">
        <v>17</v>
      </c>
      <c r="C182" s="32">
        <f>+C179*2</f>
        <v>200</v>
      </c>
      <c r="D182" s="33" t="s">
        <v>18</v>
      </c>
      <c r="E182" s="34">
        <v>74.849999999999994</v>
      </c>
      <c r="F182" s="27">
        <f>+ROUND(C182*E182,2)</f>
        <v>14970</v>
      </c>
      <c r="G182" s="7"/>
    </row>
    <row r="183" spans="1:7" s="8" customFormat="1" ht="12.75" customHeight="1">
      <c r="A183" s="35">
        <v>2.2000000000000002</v>
      </c>
      <c r="B183" s="36" t="s">
        <v>19</v>
      </c>
      <c r="C183" s="32">
        <f>+C179</f>
        <v>100</v>
      </c>
      <c r="D183" s="33" t="s">
        <v>20</v>
      </c>
      <c r="E183" s="34">
        <v>40.65</v>
      </c>
      <c r="F183" s="27">
        <f>+ROUND(C183*E183,2)</f>
        <v>4065</v>
      </c>
      <c r="G183" s="7"/>
    </row>
    <row r="184" spans="1:7" s="8" customFormat="1" ht="12.75" customHeight="1">
      <c r="A184" s="30">
        <v>2.2999999999999998</v>
      </c>
      <c r="B184" s="31" t="s">
        <v>21</v>
      </c>
      <c r="C184" s="32">
        <f>+C183*0.05*1.4</f>
        <v>7</v>
      </c>
      <c r="D184" s="33" t="s">
        <v>22</v>
      </c>
      <c r="E184" s="34">
        <v>165</v>
      </c>
      <c r="F184" s="27">
        <f>+ROUND(C184*E184,2)</f>
        <v>1155</v>
      </c>
      <c r="G184" s="7"/>
    </row>
    <row r="185" spans="1:7">
      <c r="A185" s="120"/>
      <c r="B185" s="121"/>
      <c r="C185" s="122"/>
      <c r="D185" s="123"/>
      <c r="E185" s="128"/>
      <c r="F185" s="27">
        <f t="shared" ref="F185:F201" si="5">+ROUND(C185*E185,2)</f>
        <v>0</v>
      </c>
      <c r="G185" s="118"/>
    </row>
    <row r="186" spans="1:7">
      <c r="A186" s="126">
        <v>3</v>
      </c>
      <c r="B186" s="127" t="s">
        <v>23</v>
      </c>
      <c r="C186" s="122"/>
      <c r="D186" s="123"/>
      <c r="E186" s="150"/>
      <c r="F186" s="27">
        <f t="shared" si="5"/>
        <v>0</v>
      </c>
      <c r="G186" s="118"/>
    </row>
    <row r="187" spans="1:7" ht="25.5">
      <c r="A187" s="136">
        <v>3.1</v>
      </c>
      <c r="B187" s="129" t="s">
        <v>61</v>
      </c>
      <c r="C187" s="124">
        <v>332.5</v>
      </c>
      <c r="D187" s="33" t="s">
        <v>22</v>
      </c>
      <c r="E187" s="128">
        <v>185.42</v>
      </c>
      <c r="F187" s="27">
        <f t="shared" si="5"/>
        <v>61652.15</v>
      </c>
      <c r="G187" s="118"/>
    </row>
    <row r="188" spans="1:7" s="51" customFormat="1">
      <c r="A188" s="44">
        <v>3.2</v>
      </c>
      <c r="B188" s="45" t="s">
        <v>25</v>
      </c>
      <c r="C188" s="46">
        <f>+C183</f>
        <v>100</v>
      </c>
      <c r="D188" s="47" t="s">
        <v>20</v>
      </c>
      <c r="E188" s="48">
        <v>21.67</v>
      </c>
      <c r="F188" s="49">
        <f>ROUND(E188*C188,2)</f>
        <v>2167</v>
      </c>
      <c r="G188" s="50">
        <f>+E188*C188</f>
        <v>2167</v>
      </c>
    </row>
    <row r="189" spans="1:7">
      <c r="A189" s="136">
        <v>3.3</v>
      </c>
      <c r="B189" s="121" t="s">
        <v>26</v>
      </c>
      <c r="C189" s="122">
        <v>7.5</v>
      </c>
      <c r="D189" s="123" t="s">
        <v>22</v>
      </c>
      <c r="E189" s="124">
        <v>1068.3599999999999</v>
      </c>
      <c r="F189" s="27">
        <f t="shared" si="5"/>
        <v>8012.7</v>
      </c>
      <c r="G189" s="118"/>
    </row>
    <row r="190" spans="1:7">
      <c r="A190" s="44">
        <v>3.4</v>
      </c>
      <c r="B190" s="31" t="s">
        <v>55</v>
      </c>
      <c r="C190" s="122">
        <v>386.16</v>
      </c>
      <c r="D190" s="123" t="s">
        <v>22</v>
      </c>
      <c r="E190" s="42">
        <v>651.17999999999995</v>
      </c>
      <c r="F190" s="27">
        <f t="shared" si="5"/>
        <v>251459.67</v>
      </c>
      <c r="G190" s="118"/>
    </row>
    <row r="191" spans="1:7" ht="25.5">
      <c r="A191" s="136">
        <v>3.5</v>
      </c>
      <c r="B191" s="52" t="s">
        <v>28</v>
      </c>
      <c r="C191" s="122">
        <v>305.70999999999998</v>
      </c>
      <c r="D191" s="123" t="s">
        <v>22</v>
      </c>
      <c r="E191" s="124">
        <v>126.55</v>
      </c>
      <c r="F191" s="27">
        <f t="shared" si="5"/>
        <v>38687.599999999999</v>
      </c>
      <c r="G191" s="118"/>
    </row>
    <row r="192" spans="1:7">
      <c r="A192" s="44">
        <v>3.6</v>
      </c>
      <c r="B192" s="36" t="s">
        <v>29</v>
      </c>
      <c r="C192" s="122">
        <v>399</v>
      </c>
      <c r="D192" s="123" t="s">
        <v>22</v>
      </c>
      <c r="E192" s="124">
        <v>150</v>
      </c>
      <c r="F192" s="27">
        <f t="shared" si="5"/>
        <v>59850</v>
      </c>
      <c r="G192" s="118"/>
    </row>
    <row r="193" spans="1:10">
      <c r="A193" s="136"/>
      <c r="B193" s="121"/>
      <c r="C193" s="122"/>
      <c r="D193" s="123"/>
      <c r="E193" s="122"/>
      <c r="F193" s="27">
        <f t="shared" si="5"/>
        <v>0</v>
      </c>
      <c r="G193" s="118"/>
    </row>
    <row r="194" spans="1:10">
      <c r="A194" s="126">
        <v>4</v>
      </c>
      <c r="B194" s="127" t="s">
        <v>62</v>
      </c>
      <c r="C194" s="122"/>
      <c r="D194" s="123"/>
      <c r="E194" s="124"/>
      <c r="F194" s="27">
        <f t="shared" si="5"/>
        <v>0</v>
      </c>
      <c r="G194" s="118"/>
    </row>
    <row r="195" spans="1:10" s="155" customFormat="1" ht="25.5">
      <c r="A195" s="151">
        <v>4.0999999999999996</v>
      </c>
      <c r="B195" s="152" t="s">
        <v>79</v>
      </c>
      <c r="C195" s="153">
        <v>103</v>
      </c>
      <c r="D195" s="88" t="s">
        <v>18</v>
      </c>
      <c r="E195" s="153">
        <v>1219.23</v>
      </c>
      <c r="F195" s="109">
        <f t="shared" si="5"/>
        <v>125580.69</v>
      </c>
      <c r="G195" s="154"/>
    </row>
    <row r="196" spans="1:10" ht="6.95" customHeight="1">
      <c r="A196" s="133"/>
      <c r="B196" s="131"/>
      <c r="C196" s="124"/>
      <c r="D196" s="33"/>
      <c r="E196" s="124"/>
      <c r="F196" s="27">
        <f t="shared" si="5"/>
        <v>0</v>
      </c>
      <c r="G196" s="118"/>
    </row>
    <row r="197" spans="1:10">
      <c r="A197" s="132">
        <v>5</v>
      </c>
      <c r="B197" s="127" t="s">
        <v>64</v>
      </c>
      <c r="C197" s="124"/>
      <c r="D197" s="33"/>
      <c r="E197" s="124"/>
      <c r="F197" s="27">
        <f t="shared" si="5"/>
        <v>0</v>
      </c>
      <c r="G197" s="118"/>
    </row>
    <row r="198" spans="1:10" ht="25.5">
      <c r="A198" s="136">
        <v>5.0999999999999996</v>
      </c>
      <c r="B198" s="131" t="s">
        <v>80</v>
      </c>
      <c r="C198" s="124">
        <v>103</v>
      </c>
      <c r="D198" s="33" t="s">
        <v>18</v>
      </c>
      <c r="E198" s="124">
        <v>103.83</v>
      </c>
      <c r="F198" s="27">
        <f t="shared" si="5"/>
        <v>10694.49</v>
      </c>
      <c r="G198" s="118"/>
    </row>
    <row r="199" spans="1:10">
      <c r="A199" s="134"/>
      <c r="B199" s="131"/>
      <c r="C199" s="124"/>
      <c r="D199" s="33"/>
      <c r="E199" s="124"/>
      <c r="F199" s="27">
        <f t="shared" si="5"/>
        <v>0</v>
      </c>
      <c r="G199" s="118"/>
    </row>
    <row r="200" spans="1:10">
      <c r="A200" s="134">
        <v>6</v>
      </c>
      <c r="B200" s="131" t="s">
        <v>81</v>
      </c>
      <c r="C200" s="124">
        <v>1</v>
      </c>
      <c r="D200" s="33" t="s">
        <v>43</v>
      </c>
      <c r="E200" s="124">
        <v>60479.49</v>
      </c>
      <c r="F200" s="27">
        <f t="shared" si="5"/>
        <v>60479.49</v>
      </c>
      <c r="G200" s="118"/>
    </row>
    <row r="201" spans="1:10" s="8" customFormat="1" ht="12.75" customHeight="1">
      <c r="A201" s="63"/>
      <c r="B201" s="61" t="s">
        <v>40</v>
      </c>
      <c r="C201" s="32"/>
      <c r="D201" s="64"/>
      <c r="E201" s="42"/>
      <c r="F201" s="27">
        <f t="shared" si="5"/>
        <v>0</v>
      </c>
      <c r="G201" s="7"/>
    </row>
    <row r="202" spans="1:10" s="72" customFormat="1" ht="25.5" customHeight="1">
      <c r="A202" s="65">
        <v>7</v>
      </c>
      <c r="B202" s="66" t="s">
        <v>41</v>
      </c>
      <c r="C202" s="67">
        <v>100</v>
      </c>
      <c r="D202" s="68" t="s">
        <v>15</v>
      </c>
      <c r="E202" s="69">
        <v>50.15</v>
      </c>
      <c r="F202" s="70">
        <f>ROUND(C202*E202,2)</f>
        <v>5015</v>
      </c>
      <c r="G202" s="71"/>
      <c r="I202" s="73"/>
      <c r="J202" s="51"/>
    </row>
    <row r="203" spans="1:10" s="72" customFormat="1">
      <c r="A203" s="65"/>
      <c r="B203" s="66"/>
      <c r="C203" s="67"/>
      <c r="D203" s="68"/>
      <c r="E203" s="69"/>
      <c r="F203" s="70"/>
      <c r="G203" s="74"/>
      <c r="I203" s="73"/>
      <c r="J203" s="51"/>
    </row>
    <row r="204" spans="1:10" s="72" customFormat="1">
      <c r="A204" s="65">
        <v>8</v>
      </c>
      <c r="B204" s="66" t="s">
        <v>42</v>
      </c>
      <c r="C204" s="67">
        <v>1</v>
      </c>
      <c r="D204" s="68" t="s">
        <v>43</v>
      </c>
      <c r="E204" s="69">
        <v>4000</v>
      </c>
      <c r="F204" s="70">
        <f>ROUND(C204*E204,2)</f>
        <v>4000</v>
      </c>
      <c r="G204" s="74"/>
      <c r="I204" s="73"/>
      <c r="J204" s="51"/>
    </row>
    <row r="205" spans="1:10" s="144" customFormat="1">
      <c r="A205" s="139"/>
      <c r="B205" s="111" t="s">
        <v>82</v>
      </c>
      <c r="C205" s="140"/>
      <c r="D205" s="141"/>
      <c r="E205" s="142"/>
      <c r="F205" s="80">
        <f>SUM(F178:F204)</f>
        <v>652206.79</v>
      </c>
      <c r="G205" s="143"/>
    </row>
    <row r="206" spans="1:10" s="144" customFormat="1">
      <c r="A206" s="145"/>
      <c r="B206" s="146"/>
      <c r="C206" s="147"/>
      <c r="D206" s="148"/>
      <c r="E206" s="116"/>
      <c r="F206" s="27"/>
      <c r="G206" s="143"/>
    </row>
    <row r="207" spans="1:10" ht="25.5">
      <c r="A207" s="114" t="s">
        <v>83</v>
      </c>
      <c r="B207" s="115" t="s">
        <v>84</v>
      </c>
      <c r="C207" s="116"/>
      <c r="D207" s="117"/>
      <c r="E207" s="124"/>
      <c r="F207" s="27"/>
      <c r="G207" s="118"/>
    </row>
    <row r="208" spans="1:10">
      <c r="A208" s="114"/>
      <c r="B208" s="115"/>
      <c r="C208" s="116"/>
      <c r="D208" s="117"/>
      <c r="E208" s="124"/>
      <c r="F208" s="27"/>
      <c r="G208" s="118"/>
    </row>
    <row r="209" spans="1:7" s="8" customFormat="1" ht="12.75" customHeight="1">
      <c r="A209" s="156">
        <v>1</v>
      </c>
      <c r="B209" s="26" t="s">
        <v>14</v>
      </c>
      <c r="C209" s="122">
        <v>100</v>
      </c>
      <c r="D209" s="22" t="s">
        <v>15</v>
      </c>
      <c r="E209" s="21">
        <v>44.18</v>
      </c>
      <c r="F209" s="27">
        <f>+ROUND(C209*E209,2)</f>
        <v>4418</v>
      </c>
      <c r="G209" s="7"/>
    </row>
    <row r="210" spans="1:7" s="8" customFormat="1" ht="12.75" customHeight="1">
      <c r="A210" s="157"/>
      <c r="B210" s="26"/>
      <c r="C210" s="21"/>
      <c r="D210" s="22"/>
      <c r="E210" s="21"/>
      <c r="F210" s="27"/>
      <c r="G210" s="7"/>
    </row>
    <row r="211" spans="1:7" s="8" customFormat="1" ht="12.75" customHeight="1">
      <c r="A211" s="157">
        <v>2</v>
      </c>
      <c r="B211" s="20" t="s">
        <v>16</v>
      </c>
      <c r="C211" s="21"/>
      <c r="D211" s="22"/>
      <c r="E211" s="28"/>
      <c r="F211" s="27"/>
      <c r="G211" s="7"/>
    </row>
    <row r="212" spans="1:7" s="8" customFormat="1">
      <c r="A212" s="30">
        <v>2.1</v>
      </c>
      <c r="B212" s="31" t="s">
        <v>17</v>
      </c>
      <c r="C212" s="32">
        <f>+C209*2</f>
        <v>200</v>
      </c>
      <c r="D212" s="33" t="s">
        <v>18</v>
      </c>
      <c r="E212" s="34">
        <v>74.849999999999994</v>
      </c>
      <c r="F212" s="27">
        <f>+ROUND(C212*E212,2)</f>
        <v>14970</v>
      </c>
      <c r="G212" s="7"/>
    </row>
    <row r="213" spans="1:7" s="8" customFormat="1" ht="12.75" customHeight="1">
      <c r="A213" s="35">
        <v>2.2000000000000002</v>
      </c>
      <c r="B213" s="36" t="s">
        <v>19</v>
      </c>
      <c r="C213" s="32">
        <f>+C209</f>
        <v>100</v>
      </c>
      <c r="D213" s="33" t="s">
        <v>20</v>
      </c>
      <c r="E213" s="34">
        <v>40.65</v>
      </c>
      <c r="F213" s="27">
        <f>+ROUND(C213*E213,2)</f>
        <v>4065</v>
      </c>
      <c r="G213" s="7"/>
    </row>
    <row r="214" spans="1:7" s="8" customFormat="1" ht="12.75" customHeight="1">
      <c r="A214" s="30">
        <v>2.2999999999999998</v>
      </c>
      <c r="B214" s="31" t="s">
        <v>21</v>
      </c>
      <c r="C214" s="32">
        <f>+C213*0.05*1.4</f>
        <v>7</v>
      </c>
      <c r="D214" s="33" t="s">
        <v>22</v>
      </c>
      <c r="E214" s="34">
        <v>165</v>
      </c>
      <c r="F214" s="27">
        <f>+ROUND(C214*E214,2)</f>
        <v>1155</v>
      </c>
      <c r="G214" s="7"/>
    </row>
    <row r="215" spans="1:7">
      <c r="A215" s="158"/>
      <c r="B215" s="121"/>
      <c r="C215" s="122"/>
      <c r="D215" s="123"/>
      <c r="E215" s="128"/>
      <c r="F215" s="27">
        <f t="shared" ref="F215:F235" si="6">+ROUND(C215*E215,2)</f>
        <v>0</v>
      </c>
      <c r="G215" s="118"/>
    </row>
    <row r="216" spans="1:7">
      <c r="A216" s="159">
        <v>4</v>
      </c>
      <c r="B216" s="127" t="s">
        <v>23</v>
      </c>
      <c r="C216" s="122"/>
      <c r="D216" s="123"/>
      <c r="E216" s="150"/>
      <c r="F216" s="27">
        <f t="shared" si="6"/>
        <v>0</v>
      </c>
      <c r="G216" s="118"/>
    </row>
    <row r="217" spans="1:7" ht="25.5">
      <c r="A217" s="160">
        <v>3.1</v>
      </c>
      <c r="B217" s="129" t="s">
        <v>61</v>
      </c>
      <c r="C217" s="124">
        <v>241.25</v>
      </c>
      <c r="D217" s="33" t="s">
        <v>22</v>
      </c>
      <c r="E217" s="128">
        <v>185.42</v>
      </c>
      <c r="F217" s="27">
        <f t="shared" si="6"/>
        <v>44732.58</v>
      </c>
      <c r="G217" s="118"/>
    </row>
    <row r="218" spans="1:7" s="51" customFormat="1">
      <c r="A218" s="44">
        <v>3.2</v>
      </c>
      <c r="B218" s="45" t="s">
        <v>25</v>
      </c>
      <c r="C218" s="46">
        <f>+C213</f>
        <v>100</v>
      </c>
      <c r="D218" s="47" t="s">
        <v>20</v>
      </c>
      <c r="E218" s="48">
        <v>21.67</v>
      </c>
      <c r="F218" s="49">
        <f>ROUND(E218*C218,2)</f>
        <v>2167</v>
      </c>
      <c r="G218" s="50">
        <f>+E218*C218</f>
        <v>2167</v>
      </c>
    </row>
    <row r="219" spans="1:7">
      <c r="A219" s="160">
        <v>3.3</v>
      </c>
      <c r="B219" s="121" t="s">
        <v>26</v>
      </c>
      <c r="C219" s="122">
        <v>7.5</v>
      </c>
      <c r="D219" s="123" t="s">
        <v>22</v>
      </c>
      <c r="E219" s="124">
        <v>1068.3599999999999</v>
      </c>
      <c r="F219" s="27">
        <f t="shared" si="6"/>
        <v>8012.7</v>
      </c>
      <c r="G219" s="118"/>
    </row>
    <row r="220" spans="1:7">
      <c r="A220" s="44">
        <v>3.4</v>
      </c>
      <c r="B220" s="31" t="s">
        <v>55</v>
      </c>
      <c r="C220" s="122">
        <v>276.66000000000003</v>
      </c>
      <c r="D220" s="123" t="s">
        <v>22</v>
      </c>
      <c r="E220" s="42">
        <v>651.17999999999995</v>
      </c>
      <c r="F220" s="27">
        <f t="shared" si="6"/>
        <v>180155.46</v>
      </c>
      <c r="G220" s="118"/>
    </row>
    <row r="221" spans="1:7" ht="25.5">
      <c r="A221" s="160">
        <v>3.5</v>
      </c>
      <c r="B221" s="52" t="s">
        <v>28</v>
      </c>
      <c r="C221" s="122">
        <v>219.02</v>
      </c>
      <c r="D221" s="123" t="s">
        <v>22</v>
      </c>
      <c r="E221" s="124">
        <v>126.55</v>
      </c>
      <c r="F221" s="27">
        <f t="shared" si="6"/>
        <v>27716.98</v>
      </c>
      <c r="G221" s="118"/>
    </row>
    <row r="222" spans="1:7">
      <c r="A222" s="44">
        <v>3.6</v>
      </c>
      <c r="B222" s="36" t="s">
        <v>29</v>
      </c>
      <c r="C222" s="122">
        <v>289.5</v>
      </c>
      <c r="D222" s="123" t="s">
        <v>22</v>
      </c>
      <c r="E222" s="124">
        <v>150</v>
      </c>
      <c r="F222" s="27">
        <f t="shared" si="6"/>
        <v>43425</v>
      </c>
      <c r="G222" s="118"/>
    </row>
    <row r="223" spans="1:7" ht="9.75" customHeight="1">
      <c r="A223" s="160"/>
      <c r="B223" s="121"/>
      <c r="C223" s="122"/>
      <c r="D223" s="123"/>
      <c r="E223" s="124"/>
      <c r="F223" s="27">
        <f t="shared" si="6"/>
        <v>0</v>
      </c>
      <c r="G223" s="118"/>
    </row>
    <row r="224" spans="1:7">
      <c r="A224" s="159">
        <v>4</v>
      </c>
      <c r="B224" s="127" t="s">
        <v>62</v>
      </c>
      <c r="C224" s="122"/>
      <c r="D224" s="123"/>
      <c r="E224" s="122"/>
      <c r="F224" s="27">
        <f t="shared" si="6"/>
        <v>0</v>
      </c>
      <c r="G224" s="118"/>
    </row>
    <row r="225" spans="1:10" ht="25.5">
      <c r="A225" s="160">
        <v>4.0999999999999996</v>
      </c>
      <c r="B225" s="131" t="s">
        <v>85</v>
      </c>
      <c r="C225" s="124">
        <v>103</v>
      </c>
      <c r="D225" s="33" t="s">
        <v>18</v>
      </c>
      <c r="E225" s="124">
        <v>1219.23</v>
      </c>
      <c r="F225" s="27">
        <f t="shared" si="6"/>
        <v>125580.69</v>
      </c>
      <c r="G225" s="118"/>
    </row>
    <row r="226" spans="1:10" ht="10.5" customHeight="1">
      <c r="A226" s="158"/>
      <c r="B226" s="131"/>
      <c r="C226" s="124"/>
      <c r="D226" s="33"/>
      <c r="E226" s="124"/>
      <c r="F226" s="27">
        <f t="shared" si="6"/>
        <v>0</v>
      </c>
      <c r="G226" s="118"/>
    </row>
    <row r="227" spans="1:10">
      <c r="A227" s="161">
        <v>5</v>
      </c>
      <c r="B227" s="127" t="s">
        <v>64</v>
      </c>
      <c r="C227" s="124"/>
      <c r="D227" s="33"/>
      <c r="E227" s="124"/>
      <c r="F227" s="27">
        <f t="shared" si="6"/>
        <v>0</v>
      </c>
      <c r="G227" s="118"/>
    </row>
    <row r="228" spans="1:10" ht="25.5">
      <c r="A228" s="160">
        <v>5.0999999999999996</v>
      </c>
      <c r="B228" s="131" t="s">
        <v>65</v>
      </c>
      <c r="C228" s="124">
        <v>103</v>
      </c>
      <c r="D228" s="33" t="s">
        <v>18</v>
      </c>
      <c r="E228" s="124">
        <v>79.28</v>
      </c>
      <c r="F228" s="27">
        <f t="shared" si="6"/>
        <v>8165.84</v>
      </c>
      <c r="G228" s="118"/>
    </row>
    <row r="229" spans="1:10" ht="11.25" customHeight="1">
      <c r="A229" s="158"/>
      <c r="B229" s="131"/>
      <c r="C229" s="124"/>
      <c r="D229" s="33"/>
      <c r="E229" s="124"/>
      <c r="F229" s="27">
        <f t="shared" si="6"/>
        <v>0</v>
      </c>
      <c r="G229" s="118"/>
    </row>
    <row r="230" spans="1:10" ht="12.75" customHeight="1">
      <c r="A230" s="162">
        <v>6</v>
      </c>
      <c r="B230" s="163" t="s">
        <v>86</v>
      </c>
      <c r="C230" s="124">
        <v>1</v>
      </c>
      <c r="D230" s="33" t="s">
        <v>43</v>
      </c>
      <c r="E230" s="124">
        <v>54185.61</v>
      </c>
      <c r="F230" s="27">
        <f t="shared" si="6"/>
        <v>54185.61</v>
      </c>
      <c r="G230" s="118"/>
    </row>
    <row r="231" spans="1:10">
      <c r="A231" s="160"/>
      <c r="B231" s="164"/>
      <c r="C231" s="135"/>
      <c r="D231" s="135"/>
      <c r="E231" s="135"/>
      <c r="F231" s="27">
        <f t="shared" si="6"/>
        <v>0</v>
      </c>
      <c r="G231" s="118"/>
    </row>
    <row r="232" spans="1:10">
      <c r="A232" s="159">
        <v>7</v>
      </c>
      <c r="B232" s="127" t="s">
        <v>67</v>
      </c>
      <c r="C232" s="135"/>
      <c r="D232" s="135"/>
      <c r="E232" s="135"/>
      <c r="F232" s="27">
        <f t="shared" si="6"/>
        <v>0</v>
      </c>
      <c r="G232" s="118"/>
    </row>
    <row r="233" spans="1:10">
      <c r="A233" s="160">
        <v>7.1</v>
      </c>
      <c r="B233" s="129" t="s">
        <v>68</v>
      </c>
      <c r="C233" s="122">
        <v>1</v>
      </c>
      <c r="D233" s="123" t="s">
        <v>43</v>
      </c>
      <c r="E233" s="122">
        <v>1004.25</v>
      </c>
      <c r="F233" s="27">
        <f t="shared" si="6"/>
        <v>1004.25</v>
      </c>
      <c r="G233" s="118"/>
    </row>
    <row r="234" spans="1:10">
      <c r="A234" s="160">
        <v>7.2</v>
      </c>
      <c r="B234" s="131" t="s">
        <v>69</v>
      </c>
      <c r="C234" s="122">
        <v>1</v>
      </c>
      <c r="D234" s="123" t="s">
        <v>43</v>
      </c>
      <c r="E234" s="122">
        <v>297.19</v>
      </c>
      <c r="F234" s="27">
        <f t="shared" si="6"/>
        <v>297.19</v>
      </c>
      <c r="G234" s="118"/>
    </row>
    <row r="235" spans="1:10" s="8" customFormat="1" ht="12.75" customHeight="1">
      <c r="A235" s="165"/>
      <c r="B235" s="61" t="s">
        <v>40</v>
      </c>
      <c r="C235" s="32"/>
      <c r="D235" s="64"/>
      <c r="E235" s="42"/>
      <c r="F235" s="27">
        <f t="shared" si="6"/>
        <v>0</v>
      </c>
      <c r="G235" s="7"/>
    </row>
    <row r="236" spans="1:10" s="72" customFormat="1" ht="25.5" customHeight="1">
      <c r="A236" s="166">
        <v>8</v>
      </c>
      <c r="B236" s="66" t="s">
        <v>41</v>
      </c>
      <c r="C236" s="67">
        <v>100</v>
      </c>
      <c r="D236" s="68" t="s">
        <v>15</v>
      </c>
      <c r="E236" s="69">
        <v>50.15</v>
      </c>
      <c r="F236" s="70">
        <f>ROUND(C236*E236,2)</f>
        <v>5015</v>
      </c>
      <c r="G236" s="71"/>
      <c r="I236" s="73"/>
      <c r="J236" s="51"/>
    </row>
    <row r="237" spans="1:10" s="72" customFormat="1">
      <c r="A237" s="166"/>
      <c r="B237" s="66"/>
      <c r="C237" s="67"/>
      <c r="D237" s="68"/>
      <c r="E237" s="69"/>
      <c r="F237" s="70"/>
      <c r="G237" s="74"/>
      <c r="I237" s="73"/>
      <c r="J237" s="51"/>
    </row>
    <row r="238" spans="1:10" s="72" customFormat="1">
      <c r="A238" s="166">
        <v>9</v>
      </c>
      <c r="B238" s="66" t="s">
        <v>42</v>
      </c>
      <c r="C238" s="67">
        <v>1</v>
      </c>
      <c r="D238" s="68" t="s">
        <v>43</v>
      </c>
      <c r="E238" s="69">
        <v>4000</v>
      </c>
      <c r="F238" s="70">
        <f>ROUND(C238*E238,2)</f>
        <v>4000</v>
      </c>
      <c r="G238" s="74"/>
      <c r="I238" s="73"/>
      <c r="J238" s="51"/>
    </row>
    <row r="239" spans="1:10" s="82" customFormat="1" ht="12.75" customHeight="1">
      <c r="A239" s="75"/>
      <c r="B239" s="76" t="s">
        <v>87</v>
      </c>
      <c r="C239" s="77"/>
      <c r="D239" s="78"/>
      <c r="E239" s="79"/>
      <c r="F239" s="80">
        <f>SUM(F208:F238)</f>
        <v>529066.30000000005</v>
      </c>
      <c r="G239" s="81"/>
    </row>
    <row r="240" spans="1:10">
      <c r="A240" s="167"/>
      <c r="B240" s="167"/>
      <c r="C240" s="124"/>
      <c r="D240" s="168"/>
      <c r="E240" s="124"/>
      <c r="F240" s="27"/>
      <c r="G240" s="118"/>
    </row>
    <row r="241" spans="1:7">
      <c r="A241" s="114" t="s">
        <v>88</v>
      </c>
      <c r="B241" s="115" t="s">
        <v>89</v>
      </c>
      <c r="C241" s="116"/>
      <c r="D241" s="117"/>
      <c r="E241" s="116"/>
      <c r="F241" s="27"/>
      <c r="G241" s="118"/>
    </row>
    <row r="242" spans="1:7">
      <c r="A242" s="114"/>
      <c r="B242" s="115"/>
      <c r="C242" s="116"/>
      <c r="D242" s="117"/>
      <c r="E242" s="124"/>
      <c r="F242" s="27"/>
      <c r="G242" s="118"/>
    </row>
    <row r="243" spans="1:7" s="92" customFormat="1" ht="12.75" customHeight="1">
      <c r="A243" s="169">
        <v>1</v>
      </c>
      <c r="B243" s="170" t="s">
        <v>14</v>
      </c>
      <c r="C243" s="171">
        <v>100</v>
      </c>
      <c r="D243" s="172" t="s">
        <v>15</v>
      </c>
      <c r="E243" s="173">
        <v>44.18</v>
      </c>
      <c r="F243" s="109">
        <f>+ROUND(C243*E243,2)</f>
        <v>4418</v>
      </c>
      <c r="G243" s="91"/>
    </row>
    <row r="244" spans="1:7" s="8" customFormat="1" ht="12.75" customHeight="1">
      <c r="A244" s="29"/>
      <c r="B244" s="26"/>
      <c r="C244" s="21"/>
      <c r="D244" s="22"/>
      <c r="E244" s="28"/>
      <c r="F244" s="27"/>
      <c r="G244" s="7"/>
    </row>
    <row r="245" spans="1:7" s="8" customFormat="1" ht="12.75" customHeight="1">
      <c r="A245" s="29">
        <v>2</v>
      </c>
      <c r="B245" s="20" t="s">
        <v>16</v>
      </c>
      <c r="C245" s="21"/>
      <c r="D245" s="22"/>
      <c r="E245" s="28"/>
      <c r="F245" s="27"/>
      <c r="G245" s="7"/>
    </row>
    <row r="246" spans="1:7" s="8" customFormat="1">
      <c r="A246" s="30">
        <v>2.1</v>
      </c>
      <c r="B246" s="31" t="s">
        <v>17</v>
      </c>
      <c r="C246" s="32">
        <f>+C243*2</f>
        <v>200</v>
      </c>
      <c r="D246" s="33" t="s">
        <v>18</v>
      </c>
      <c r="E246" s="34">
        <v>74.849999999999994</v>
      </c>
      <c r="F246" s="27">
        <f>+ROUND(C246*E246,2)</f>
        <v>14970</v>
      </c>
      <c r="G246" s="7"/>
    </row>
    <row r="247" spans="1:7" s="8" customFormat="1" ht="12.75" customHeight="1">
      <c r="A247" s="35">
        <v>2.2000000000000002</v>
      </c>
      <c r="B247" s="36" t="s">
        <v>19</v>
      </c>
      <c r="C247" s="32">
        <f>+C243</f>
        <v>100</v>
      </c>
      <c r="D247" s="33" t="s">
        <v>20</v>
      </c>
      <c r="E247" s="34">
        <v>40.65</v>
      </c>
      <c r="F247" s="27">
        <f>+ROUND(C247*E247,2)</f>
        <v>4065</v>
      </c>
      <c r="G247" s="7"/>
    </row>
    <row r="248" spans="1:7" s="8" customFormat="1" ht="12.75" customHeight="1">
      <c r="A248" s="30">
        <v>2.2999999999999998</v>
      </c>
      <c r="B248" s="31" t="s">
        <v>21</v>
      </c>
      <c r="C248" s="32">
        <f>+C247*0.05*1.4</f>
        <v>7</v>
      </c>
      <c r="D248" s="33" t="s">
        <v>22</v>
      </c>
      <c r="E248" s="34">
        <v>165</v>
      </c>
      <c r="F248" s="27">
        <f>+ROUND(C248*E248,2)</f>
        <v>1155</v>
      </c>
      <c r="G248" s="7"/>
    </row>
    <row r="249" spans="1:7">
      <c r="A249" s="120"/>
      <c r="B249" s="121"/>
      <c r="C249" s="122"/>
      <c r="D249" s="123"/>
      <c r="E249" s="128"/>
      <c r="F249" s="27">
        <f t="shared" ref="F249:F265" si="7">+ROUND(C249*E249,2)</f>
        <v>0</v>
      </c>
      <c r="G249" s="118"/>
    </row>
    <row r="250" spans="1:7">
      <c r="A250" s="126">
        <v>3</v>
      </c>
      <c r="B250" s="127" t="s">
        <v>23</v>
      </c>
      <c r="C250" s="122"/>
      <c r="D250" s="123"/>
      <c r="E250" s="150"/>
      <c r="F250" s="27">
        <f t="shared" si="7"/>
        <v>0</v>
      </c>
      <c r="G250" s="118"/>
    </row>
    <row r="251" spans="1:7" ht="25.5">
      <c r="A251" s="136">
        <v>3.1</v>
      </c>
      <c r="B251" s="129" t="s">
        <v>61</v>
      </c>
      <c r="C251" s="124">
        <v>481.96</v>
      </c>
      <c r="D251" s="33" t="s">
        <v>22</v>
      </c>
      <c r="E251" s="124">
        <v>185.42</v>
      </c>
      <c r="F251" s="27">
        <f t="shared" si="7"/>
        <v>89365.02</v>
      </c>
      <c r="G251" s="118"/>
    </row>
    <row r="252" spans="1:7" s="51" customFormat="1">
      <c r="A252" s="44">
        <v>3.2</v>
      </c>
      <c r="B252" s="45" t="s">
        <v>25</v>
      </c>
      <c r="C252" s="46">
        <f>+C247</f>
        <v>100</v>
      </c>
      <c r="D252" s="47" t="s">
        <v>20</v>
      </c>
      <c r="E252" s="48">
        <v>21.67</v>
      </c>
      <c r="F252" s="49">
        <f>ROUND(E252*C252,2)</f>
        <v>2167</v>
      </c>
      <c r="G252" s="50">
        <f>+E252*C252</f>
        <v>2167</v>
      </c>
    </row>
    <row r="253" spans="1:7">
      <c r="A253" s="136">
        <v>3.3</v>
      </c>
      <c r="B253" s="121" t="s">
        <v>26</v>
      </c>
      <c r="C253" s="124">
        <v>14.45</v>
      </c>
      <c r="D253" s="33" t="s">
        <v>22</v>
      </c>
      <c r="E253" s="124">
        <v>1068.3599999999999</v>
      </c>
      <c r="F253" s="27">
        <f t="shared" si="7"/>
        <v>15437.8</v>
      </c>
      <c r="G253" s="118"/>
    </row>
    <row r="254" spans="1:7">
      <c r="A254" s="44">
        <v>3.4</v>
      </c>
      <c r="B254" s="31" t="s">
        <v>55</v>
      </c>
      <c r="C254" s="122">
        <v>546.11</v>
      </c>
      <c r="D254" s="123" t="s">
        <v>22</v>
      </c>
      <c r="E254" s="42">
        <v>651.17999999999995</v>
      </c>
      <c r="F254" s="27">
        <f t="shared" si="7"/>
        <v>355615.91</v>
      </c>
      <c r="G254" s="118"/>
    </row>
    <row r="255" spans="1:7" ht="25.5">
      <c r="A255" s="136">
        <v>3.5</v>
      </c>
      <c r="B255" s="52" t="s">
        <v>28</v>
      </c>
      <c r="C255" s="122">
        <v>432.34</v>
      </c>
      <c r="D255" s="123" t="s">
        <v>22</v>
      </c>
      <c r="E255" s="124">
        <v>126.55</v>
      </c>
      <c r="F255" s="27">
        <f t="shared" si="7"/>
        <v>54712.63</v>
      </c>
      <c r="G255" s="118"/>
    </row>
    <row r="256" spans="1:7">
      <c r="A256" s="44">
        <v>3.6</v>
      </c>
      <c r="B256" s="36" t="s">
        <v>29</v>
      </c>
      <c r="C256" s="122">
        <v>578.34</v>
      </c>
      <c r="D256" s="123" t="s">
        <v>22</v>
      </c>
      <c r="E256" s="124">
        <v>150</v>
      </c>
      <c r="F256" s="27">
        <f t="shared" si="7"/>
        <v>86751</v>
      </c>
      <c r="G256" s="118"/>
    </row>
    <row r="257" spans="1:10">
      <c r="A257" s="136"/>
      <c r="B257" s="121"/>
      <c r="C257" s="122"/>
      <c r="D257" s="123"/>
      <c r="E257" s="122"/>
      <c r="F257" s="27">
        <f t="shared" si="7"/>
        <v>0</v>
      </c>
      <c r="G257" s="118"/>
    </row>
    <row r="258" spans="1:10">
      <c r="A258" s="126">
        <v>4</v>
      </c>
      <c r="B258" s="127" t="s">
        <v>62</v>
      </c>
      <c r="C258" s="122"/>
      <c r="D258" s="123"/>
      <c r="E258" s="122"/>
      <c r="F258" s="27">
        <f t="shared" si="7"/>
        <v>0</v>
      </c>
      <c r="G258" s="118"/>
    </row>
    <row r="259" spans="1:10" s="155" customFormat="1" ht="25.5">
      <c r="A259" s="136">
        <v>4.0999999999999996</v>
      </c>
      <c r="B259" s="131" t="s">
        <v>90</v>
      </c>
      <c r="C259" s="124">
        <v>175.1</v>
      </c>
      <c r="D259" s="33" t="s">
        <v>18</v>
      </c>
      <c r="E259" s="124">
        <v>2755.86</v>
      </c>
      <c r="F259" s="27">
        <f t="shared" si="7"/>
        <v>482551.09</v>
      </c>
      <c r="G259" s="154"/>
    </row>
    <row r="260" spans="1:10" ht="9.75" customHeight="1">
      <c r="A260" s="134"/>
      <c r="B260" s="131"/>
      <c r="C260" s="124"/>
      <c r="D260" s="33"/>
      <c r="E260" s="124"/>
      <c r="F260" s="27">
        <f t="shared" si="7"/>
        <v>0</v>
      </c>
      <c r="G260" s="118"/>
    </row>
    <row r="261" spans="1:10">
      <c r="A261" s="126">
        <v>5</v>
      </c>
      <c r="B261" s="127" t="s">
        <v>64</v>
      </c>
      <c r="C261" s="124"/>
      <c r="D261" s="33"/>
      <c r="E261" s="124"/>
      <c r="F261" s="27">
        <f t="shared" si="7"/>
        <v>0</v>
      </c>
      <c r="G261" s="118"/>
    </row>
    <row r="262" spans="1:10" ht="25.5">
      <c r="A262" s="136">
        <v>5.0999999999999996</v>
      </c>
      <c r="B262" s="131" t="s">
        <v>91</v>
      </c>
      <c r="C262" s="124">
        <v>175.1</v>
      </c>
      <c r="D262" s="33" t="s">
        <v>18</v>
      </c>
      <c r="E262" s="124">
        <v>88.72</v>
      </c>
      <c r="F262" s="27">
        <f t="shared" si="7"/>
        <v>15534.87</v>
      </c>
      <c r="G262" s="118"/>
    </row>
    <row r="263" spans="1:10" ht="8.25" customHeight="1">
      <c r="A263" s="134"/>
      <c r="B263" s="131"/>
      <c r="C263" s="124"/>
      <c r="D263" s="33"/>
      <c r="E263" s="124"/>
      <c r="F263" s="27">
        <f t="shared" si="7"/>
        <v>0</v>
      </c>
      <c r="G263" s="118"/>
    </row>
    <row r="264" spans="1:10" ht="15" customHeight="1">
      <c r="A264" s="134">
        <v>6</v>
      </c>
      <c r="B264" s="163" t="s">
        <v>86</v>
      </c>
      <c r="C264" s="124">
        <v>1</v>
      </c>
      <c r="D264" s="33" t="s">
        <v>43</v>
      </c>
      <c r="E264" s="124">
        <v>54185.61</v>
      </c>
      <c r="F264" s="27">
        <f t="shared" si="7"/>
        <v>54185.61</v>
      </c>
      <c r="G264" s="118"/>
    </row>
    <row r="265" spans="1:10" s="8" customFormat="1" ht="12.75" customHeight="1">
      <c r="A265" s="63"/>
      <c r="B265" s="61" t="s">
        <v>40</v>
      </c>
      <c r="C265" s="32"/>
      <c r="D265" s="64"/>
      <c r="E265" s="42"/>
      <c r="F265" s="27">
        <f t="shared" si="7"/>
        <v>0</v>
      </c>
      <c r="G265" s="7"/>
    </row>
    <row r="266" spans="1:10" s="72" customFormat="1" ht="25.5" customHeight="1">
      <c r="A266" s="166">
        <v>7</v>
      </c>
      <c r="B266" s="66" t="s">
        <v>41</v>
      </c>
      <c r="C266" s="67">
        <v>100</v>
      </c>
      <c r="D266" s="68" t="s">
        <v>15</v>
      </c>
      <c r="E266" s="69">
        <v>50.15</v>
      </c>
      <c r="F266" s="70">
        <f>ROUND(C266*E266,2)</f>
        <v>5015</v>
      </c>
      <c r="G266" s="71"/>
      <c r="I266" s="73"/>
      <c r="J266" s="51"/>
    </row>
    <row r="267" spans="1:10" s="72" customFormat="1">
      <c r="A267" s="166"/>
      <c r="B267" s="66"/>
      <c r="C267" s="67"/>
      <c r="D267" s="68"/>
      <c r="E267" s="69"/>
      <c r="F267" s="70"/>
      <c r="G267" s="74"/>
      <c r="I267" s="73"/>
      <c r="J267" s="51"/>
    </row>
    <row r="268" spans="1:10" s="72" customFormat="1">
      <c r="A268" s="166">
        <v>8</v>
      </c>
      <c r="B268" s="66" t="s">
        <v>42</v>
      </c>
      <c r="C268" s="67">
        <v>1</v>
      </c>
      <c r="D268" s="68" t="s">
        <v>43</v>
      </c>
      <c r="E268" s="69">
        <v>4000</v>
      </c>
      <c r="F268" s="70">
        <f>ROUND(C268*E268,2)</f>
        <v>4000</v>
      </c>
      <c r="G268" s="74"/>
      <c r="I268" s="73"/>
      <c r="J268" s="51"/>
    </row>
    <row r="269" spans="1:10" s="82" customFormat="1" ht="12.75" customHeight="1">
      <c r="A269" s="75"/>
      <c r="B269" s="76" t="s">
        <v>92</v>
      </c>
      <c r="C269" s="77"/>
      <c r="D269" s="78"/>
      <c r="E269" s="79"/>
      <c r="F269" s="80">
        <f>SUM(F242:F268)</f>
        <v>1189943.93</v>
      </c>
      <c r="G269" s="81"/>
    </row>
    <row r="270" spans="1:10" s="144" customFormat="1">
      <c r="A270" s="145"/>
      <c r="B270" s="146"/>
      <c r="C270" s="147"/>
      <c r="D270" s="148"/>
      <c r="E270" s="149"/>
      <c r="F270" s="27"/>
      <c r="G270" s="143"/>
    </row>
    <row r="271" spans="1:10" s="144" customFormat="1" ht="25.5">
      <c r="A271" s="114" t="s">
        <v>93</v>
      </c>
      <c r="B271" s="115" t="s">
        <v>94</v>
      </c>
      <c r="C271" s="117"/>
      <c r="D271" s="117"/>
      <c r="E271" s="117"/>
      <c r="F271" s="27"/>
      <c r="G271" s="143"/>
    </row>
    <row r="272" spans="1:10" s="144" customFormat="1">
      <c r="A272" s="114"/>
      <c r="B272" s="115"/>
      <c r="C272" s="117"/>
      <c r="D272" s="117"/>
      <c r="E272" s="174"/>
      <c r="F272" s="27"/>
      <c r="G272" s="143"/>
    </row>
    <row r="273" spans="1:7" s="8" customFormat="1" ht="12.75" customHeight="1">
      <c r="A273" s="25">
        <v>1</v>
      </c>
      <c r="B273" s="26" t="s">
        <v>14</v>
      </c>
      <c r="C273" s="122">
        <v>158</v>
      </c>
      <c r="D273" s="22" t="s">
        <v>15</v>
      </c>
      <c r="E273" s="21">
        <v>44.18</v>
      </c>
      <c r="F273" s="27">
        <f>+ROUND(C273*E273,2)</f>
        <v>6980.44</v>
      </c>
      <c r="G273" s="7"/>
    </row>
    <row r="274" spans="1:7" s="8" customFormat="1" ht="12.75" customHeight="1">
      <c r="A274" s="29"/>
      <c r="B274" s="26"/>
      <c r="C274" s="21"/>
      <c r="D274" s="22"/>
      <c r="E274" s="21"/>
      <c r="F274" s="27"/>
      <c r="G274" s="7"/>
    </row>
    <row r="275" spans="1:7" s="8" customFormat="1" ht="12.75" customHeight="1">
      <c r="A275" s="29">
        <v>2</v>
      </c>
      <c r="B275" s="20" t="s">
        <v>16</v>
      </c>
      <c r="C275" s="21"/>
      <c r="D275" s="22"/>
      <c r="E275" s="28"/>
      <c r="F275" s="27"/>
      <c r="G275" s="7"/>
    </row>
    <row r="276" spans="1:7" s="8" customFormat="1">
      <c r="A276" s="30">
        <v>2.1</v>
      </c>
      <c r="B276" s="31" t="s">
        <v>17</v>
      </c>
      <c r="C276" s="32">
        <f>+C273*2</f>
        <v>316</v>
      </c>
      <c r="D276" s="33" t="s">
        <v>18</v>
      </c>
      <c r="E276" s="34">
        <v>74.849999999999994</v>
      </c>
      <c r="F276" s="27">
        <f>+ROUND(C276*E276,2)</f>
        <v>23652.6</v>
      </c>
      <c r="G276" s="7"/>
    </row>
    <row r="277" spans="1:7" s="8" customFormat="1" ht="12.75" customHeight="1">
      <c r="A277" s="35">
        <v>2.2000000000000002</v>
      </c>
      <c r="B277" s="36" t="s">
        <v>19</v>
      </c>
      <c r="C277" s="32">
        <f>+C273</f>
        <v>158</v>
      </c>
      <c r="D277" s="33" t="s">
        <v>20</v>
      </c>
      <c r="E277" s="34">
        <v>40.65</v>
      </c>
      <c r="F277" s="27">
        <f>+ROUND(C277*E277,2)</f>
        <v>6422.7</v>
      </c>
      <c r="G277" s="7"/>
    </row>
    <row r="278" spans="1:7" s="8" customFormat="1" ht="12.75" customHeight="1">
      <c r="A278" s="30">
        <v>2.2999999999999998</v>
      </c>
      <c r="B278" s="31" t="s">
        <v>21</v>
      </c>
      <c r="C278" s="32">
        <f>+C277*0.05*1.4</f>
        <v>11.06</v>
      </c>
      <c r="D278" s="33" t="s">
        <v>22</v>
      </c>
      <c r="E278" s="34">
        <v>165</v>
      </c>
      <c r="F278" s="27">
        <f>+ROUND(C278*E278,2)</f>
        <v>1824.9</v>
      </c>
      <c r="G278" s="7"/>
    </row>
    <row r="279" spans="1:7" s="144" customFormat="1">
      <c r="A279" s="130"/>
      <c r="B279" s="121"/>
      <c r="C279" s="174"/>
      <c r="D279" s="33"/>
      <c r="E279" s="175"/>
      <c r="F279" s="27">
        <f t="shared" ref="F279:F297" si="8">+ROUND(C279*E279,2)</f>
        <v>0</v>
      </c>
      <c r="G279" s="143"/>
    </row>
    <row r="280" spans="1:7" s="144" customFormat="1">
      <c r="A280" s="126">
        <v>3</v>
      </c>
      <c r="B280" s="127" t="s">
        <v>23</v>
      </c>
      <c r="C280" s="174"/>
      <c r="D280" s="33"/>
      <c r="E280" s="174"/>
      <c r="F280" s="27">
        <f t="shared" si="8"/>
        <v>0</v>
      </c>
      <c r="G280" s="143"/>
    </row>
    <row r="281" spans="1:7" s="144" customFormat="1" ht="25.5">
      <c r="A281" s="136">
        <v>3.1</v>
      </c>
      <c r="B281" s="129" t="s">
        <v>61</v>
      </c>
      <c r="C281" s="174">
        <v>409</v>
      </c>
      <c r="D281" s="33" t="s">
        <v>22</v>
      </c>
      <c r="E281" s="174">
        <v>185.42</v>
      </c>
      <c r="F281" s="27">
        <f t="shared" si="8"/>
        <v>75836.78</v>
      </c>
      <c r="G281" s="143"/>
    </row>
    <row r="282" spans="1:7" s="51" customFormat="1">
      <c r="A282" s="44">
        <v>3.2</v>
      </c>
      <c r="B282" s="45" t="s">
        <v>25</v>
      </c>
      <c r="C282" s="46">
        <f>+C277</f>
        <v>158</v>
      </c>
      <c r="D282" s="47" t="s">
        <v>20</v>
      </c>
      <c r="E282" s="48">
        <v>21.67</v>
      </c>
      <c r="F282" s="49">
        <f>ROUND(E282*C282,2)</f>
        <v>3423.86</v>
      </c>
      <c r="G282" s="50">
        <f>+E282*C282</f>
        <v>3423.86</v>
      </c>
    </row>
    <row r="283" spans="1:7" s="177" customFormat="1">
      <c r="A283" s="136">
        <v>3.3</v>
      </c>
      <c r="B283" s="121" t="s">
        <v>26</v>
      </c>
      <c r="C283" s="174">
        <v>13.51</v>
      </c>
      <c r="D283" s="33" t="s">
        <v>22</v>
      </c>
      <c r="E283" s="174">
        <v>1068.3599999999999</v>
      </c>
      <c r="F283" s="27">
        <f t="shared" si="8"/>
        <v>14433.54</v>
      </c>
      <c r="G283" s="176"/>
    </row>
    <row r="284" spans="1:7" s="144" customFormat="1">
      <c r="A284" s="44">
        <v>3.4</v>
      </c>
      <c r="B284" s="31" t="s">
        <v>55</v>
      </c>
      <c r="C284" s="174">
        <v>475.31</v>
      </c>
      <c r="D284" s="33" t="s">
        <v>22</v>
      </c>
      <c r="E284" s="42">
        <v>651.17999999999995</v>
      </c>
      <c r="F284" s="27">
        <f t="shared" si="8"/>
        <v>309512.37</v>
      </c>
      <c r="G284" s="143"/>
    </row>
    <row r="285" spans="1:7" s="144" customFormat="1" ht="25.5">
      <c r="A285" s="136">
        <v>3.5</v>
      </c>
      <c r="B285" s="52" t="s">
        <v>28</v>
      </c>
      <c r="C285" s="174">
        <v>396.09</v>
      </c>
      <c r="D285" s="33" t="s">
        <v>22</v>
      </c>
      <c r="E285" s="174">
        <v>126.55</v>
      </c>
      <c r="F285" s="27">
        <f t="shared" si="8"/>
        <v>50125.19</v>
      </c>
      <c r="G285" s="143"/>
    </row>
    <row r="286" spans="1:7" s="144" customFormat="1">
      <c r="A286" s="44">
        <v>3.6</v>
      </c>
      <c r="B286" s="36" t="s">
        <v>29</v>
      </c>
      <c r="C286" s="174">
        <v>507.73</v>
      </c>
      <c r="D286" s="33" t="s">
        <v>22</v>
      </c>
      <c r="E286" s="174">
        <v>150</v>
      </c>
      <c r="F286" s="27">
        <f t="shared" si="8"/>
        <v>76159.5</v>
      </c>
      <c r="G286" s="143"/>
    </row>
    <row r="287" spans="1:7" s="144" customFormat="1">
      <c r="A287" s="136"/>
      <c r="B287" s="121"/>
      <c r="C287" s="174"/>
      <c r="D287" s="33"/>
      <c r="E287" s="174"/>
      <c r="F287" s="27">
        <f t="shared" si="8"/>
        <v>0</v>
      </c>
      <c r="G287" s="143"/>
    </row>
    <row r="288" spans="1:7" s="144" customFormat="1">
      <c r="A288" s="126">
        <v>4</v>
      </c>
      <c r="B288" s="127" t="s">
        <v>62</v>
      </c>
      <c r="C288" s="174"/>
      <c r="D288" s="33"/>
      <c r="E288" s="174"/>
      <c r="F288" s="27">
        <f t="shared" si="8"/>
        <v>0</v>
      </c>
      <c r="G288" s="143"/>
    </row>
    <row r="289" spans="1:10" s="177" customFormat="1" ht="25.5">
      <c r="A289" s="178">
        <v>4.0999999999999996</v>
      </c>
      <c r="B289" s="152" t="s">
        <v>95</v>
      </c>
      <c r="C289" s="179">
        <v>164.32</v>
      </c>
      <c r="D289" s="88" t="s">
        <v>15</v>
      </c>
      <c r="E289" s="179">
        <v>2755.86</v>
      </c>
      <c r="F289" s="109">
        <f t="shared" si="8"/>
        <v>452842.92</v>
      </c>
      <c r="G289" s="176"/>
    </row>
    <row r="290" spans="1:10" s="144" customFormat="1">
      <c r="A290" s="134"/>
      <c r="B290" s="131"/>
      <c r="C290" s="174"/>
      <c r="D290" s="33"/>
      <c r="E290" s="174"/>
      <c r="F290" s="27">
        <f t="shared" si="8"/>
        <v>0</v>
      </c>
      <c r="G290" s="143"/>
    </row>
    <row r="291" spans="1:10" s="144" customFormat="1">
      <c r="A291" s="126">
        <v>5</v>
      </c>
      <c r="B291" s="127" t="s">
        <v>64</v>
      </c>
      <c r="C291" s="174"/>
      <c r="D291" s="33"/>
      <c r="E291" s="174"/>
      <c r="F291" s="27">
        <f t="shared" si="8"/>
        <v>0</v>
      </c>
      <c r="G291" s="143"/>
    </row>
    <row r="292" spans="1:10" s="144" customFormat="1" ht="25.5">
      <c r="A292" s="136">
        <v>5.0999999999999996</v>
      </c>
      <c r="B292" s="131" t="s">
        <v>91</v>
      </c>
      <c r="C292" s="174">
        <v>164.32</v>
      </c>
      <c r="D292" s="33" t="s">
        <v>15</v>
      </c>
      <c r="E292" s="174">
        <v>88.72</v>
      </c>
      <c r="F292" s="27">
        <f t="shared" si="8"/>
        <v>14578.47</v>
      </c>
      <c r="G292" s="143"/>
    </row>
    <row r="293" spans="1:10" s="144" customFormat="1" ht="8.25" customHeight="1">
      <c r="A293" s="134"/>
      <c r="B293" s="131"/>
      <c r="C293" s="174"/>
      <c r="D293" s="33"/>
      <c r="E293" s="174"/>
      <c r="F293" s="27">
        <f t="shared" si="8"/>
        <v>0</v>
      </c>
      <c r="G293" s="143"/>
    </row>
    <row r="294" spans="1:10" s="144" customFormat="1">
      <c r="A294" s="126">
        <v>6</v>
      </c>
      <c r="B294" s="127" t="s">
        <v>36</v>
      </c>
      <c r="C294" s="174"/>
      <c r="D294" s="33"/>
      <c r="E294" s="174"/>
      <c r="F294" s="27">
        <f t="shared" si="8"/>
        <v>0</v>
      </c>
      <c r="G294" s="143"/>
    </row>
    <row r="295" spans="1:10" s="144" customFormat="1">
      <c r="A295" s="136">
        <v>6.1</v>
      </c>
      <c r="B295" s="129" t="s">
        <v>68</v>
      </c>
      <c r="C295" s="180">
        <v>3</v>
      </c>
      <c r="D295" s="123" t="s">
        <v>38</v>
      </c>
      <c r="E295" s="180">
        <v>1004.25</v>
      </c>
      <c r="F295" s="27">
        <f t="shared" si="8"/>
        <v>3012.75</v>
      </c>
      <c r="G295" s="143"/>
    </row>
    <row r="296" spans="1:10" s="144" customFormat="1">
      <c r="A296" s="136">
        <v>6.2</v>
      </c>
      <c r="B296" s="131" t="s">
        <v>69</v>
      </c>
      <c r="C296" s="180">
        <v>4</v>
      </c>
      <c r="D296" s="123" t="s">
        <v>38</v>
      </c>
      <c r="E296" s="180">
        <v>297.19</v>
      </c>
      <c r="F296" s="27">
        <f t="shared" si="8"/>
        <v>1188.76</v>
      </c>
      <c r="G296" s="143"/>
    </row>
    <row r="297" spans="1:10" s="8" customFormat="1" ht="12.75" customHeight="1">
      <c r="A297" s="63"/>
      <c r="B297" s="61" t="s">
        <v>40</v>
      </c>
      <c r="C297" s="32"/>
      <c r="D297" s="64"/>
      <c r="E297" s="42"/>
      <c r="F297" s="27">
        <f t="shared" si="8"/>
        <v>0</v>
      </c>
      <c r="G297" s="7"/>
    </row>
    <row r="298" spans="1:10" s="72" customFormat="1" ht="25.5" customHeight="1">
      <c r="A298" s="166">
        <v>7</v>
      </c>
      <c r="B298" s="66" t="s">
        <v>41</v>
      </c>
      <c r="C298" s="67">
        <v>100</v>
      </c>
      <c r="D298" s="68" t="s">
        <v>15</v>
      </c>
      <c r="E298" s="69">
        <v>50.15</v>
      </c>
      <c r="F298" s="70">
        <f>ROUND(C298*E298,2)</f>
        <v>5015</v>
      </c>
      <c r="G298" s="71"/>
      <c r="I298" s="73"/>
      <c r="J298" s="51"/>
    </row>
    <row r="299" spans="1:10" s="72" customFormat="1">
      <c r="A299" s="166"/>
      <c r="B299" s="66"/>
      <c r="C299" s="67"/>
      <c r="D299" s="68"/>
      <c r="E299" s="69"/>
      <c r="F299" s="70"/>
      <c r="G299" s="74"/>
      <c r="I299" s="73"/>
      <c r="J299" s="51"/>
    </row>
    <row r="300" spans="1:10" s="72" customFormat="1">
      <c r="A300" s="166">
        <v>8</v>
      </c>
      <c r="B300" s="66" t="s">
        <v>42</v>
      </c>
      <c r="C300" s="67">
        <v>1</v>
      </c>
      <c r="D300" s="68" t="s">
        <v>43</v>
      </c>
      <c r="E300" s="69">
        <v>4000</v>
      </c>
      <c r="F300" s="70">
        <f>ROUND(C300*E300,2)</f>
        <v>4000</v>
      </c>
      <c r="G300" s="74"/>
      <c r="I300" s="73"/>
      <c r="J300" s="51"/>
    </row>
    <row r="301" spans="1:10" s="82" customFormat="1" ht="12.75" customHeight="1">
      <c r="A301" s="75"/>
      <c r="B301" s="76" t="s">
        <v>96</v>
      </c>
      <c r="C301" s="77"/>
      <c r="D301" s="78"/>
      <c r="E301" s="79"/>
      <c r="F301" s="80">
        <f>SUM(F272:F300)</f>
        <v>1049009.78</v>
      </c>
      <c r="G301" s="81"/>
    </row>
    <row r="302" spans="1:10">
      <c r="A302" s="181"/>
      <c r="B302" s="182"/>
      <c r="C302" s="183"/>
      <c r="D302" s="184"/>
      <c r="E302" s="104"/>
      <c r="F302" s="27"/>
    </row>
    <row r="303" spans="1:10" s="51" customFormat="1">
      <c r="A303" s="186" t="s">
        <v>97</v>
      </c>
      <c r="B303" s="187" t="s">
        <v>98</v>
      </c>
      <c r="C303" s="46"/>
      <c r="D303" s="47"/>
      <c r="E303" s="188"/>
      <c r="F303" s="189"/>
      <c r="G303" s="50"/>
    </row>
    <row r="304" spans="1:10" s="51" customFormat="1">
      <c r="A304" s="190"/>
      <c r="B304" s="44"/>
      <c r="C304" s="46"/>
      <c r="D304" s="47"/>
      <c r="E304" s="188"/>
      <c r="F304" s="191"/>
      <c r="G304" s="50"/>
    </row>
    <row r="305" spans="1:9" s="51" customFormat="1">
      <c r="A305" s="192">
        <v>1</v>
      </c>
      <c r="B305" s="44" t="s">
        <v>14</v>
      </c>
      <c r="C305" s="46">
        <v>378.15</v>
      </c>
      <c r="D305" s="47" t="s">
        <v>18</v>
      </c>
      <c r="E305" s="48">
        <v>40</v>
      </c>
      <c r="F305" s="191">
        <f>ROUND(E305*C305,2)</f>
        <v>15126</v>
      </c>
      <c r="G305" s="50"/>
    </row>
    <row r="306" spans="1:9" s="51" customFormat="1">
      <c r="A306" s="190"/>
      <c r="B306" s="44"/>
      <c r="C306" s="46"/>
      <c r="D306" s="47"/>
      <c r="E306" s="48"/>
      <c r="F306" s="191"/>
      <c r="G306" s="50"/>
    </row>
    <row r="307" spans="1:9" s="51" customFormat="1">
      <c r="A307" s="193">
        <v>2</v>
      </c>
      <c r="B307" s="194" t="s">
        <v>23</v>
      </c>
      <c r="C307" s="46"/>
      <c r="D307" s="47"/>
      <c r="E307" s="48"/>
      <c r="F307" s="191"/>
      <c r="G307" s="50"/>
    </row>
    <row r="308" spans="1:9" s="51" customFormat="1" ht="25.5">
      <c r="A308" s="195">
        <v>2.1</v>
      </c>
      <c r="B308" s="31" t="s">
        <v>24</v>
      </c>
      <c r="C308" s="196">
        <v>756.3</v>
      </c>
      <c r="D308" s="68" t="s">
        <v>22</v>
      </c>
      <c r="E308" s="42">
        <v>185.42</v>
      </c>
      <c r="F308" s="191">
        <f>ROUND(E308*C308,2)</f>
        <v>140233.15</v>
      </c>
      <c r="G308" s="50"/>
      <c r="H308" s="51">
        <f>378.15*1*2</f>
        <v>756.3</v>
      </c>
    </row>
    <row r="309" spans="1:9" s="51" customFormat="1">
      <c r="A309" s="44">
        <v>2.2000000000000002</v>
      </c>
      <c r="B309" s="45" t="s">
        <v>25</v>
      </c>
      <c r="C309" s="46">
        <v>378.15</v>
      </c>
      <c r="D309" s="47" t="s">
        <v>20</v>
      </c>
      <c r="E309" s="48">
        <v>21.67</v>
      </c>
      <c r="F309" s="49">
        <f>ROUND(E309*C309,2)</f>
        <v>8194.51</v>
      </c>
      <c r="G309" s="50"/>
    </row>
    <row r="310" spans="1:9" s="51" customFormat="1" ht="12.75" customHeight="1">
      <c r="A310" s="195">
        <v>2.2999999999999998</v>
      </c>
      <c r="B310" s="36" t="s">
        <v>26</v>
      </c>
      <c r="C310" s="197">
        <v>37.82</v>
      </c>
      <c r="D310" s="198" t="s">
        <v>22</v>
      </c>
      <c r="E310" s="199">
        <v>1061.58</v>
      </c>
      <c r="F310" s="200">
        <f>ROUND(E310*C310,2)</f>
        <v>40148.959999999999</v>
      </c>
      <c r="G310" s="50"/>
    </row>
    <row r="311" spans="1:9">
      <c r="A311" s="201">
        <v>2.4</v>
      </c>
      <c r="B311" s="202" t="s">
        <v>55</v>
      </c>
      <c r="C311" s="175">
        <v>402.55</v>
      </c>
      <c r="D311" s="84" t="s">
        <v>22</v>
      </c>
      <c r="E311" s="34">
        <v>651.17999999999995</v>
      </c>
      <c r="F311" s="203">
        <f>+ROUND(C311*E311,2)</f>
        <v>262132.51</v>
      </c>
      <c r="G311" s="185">
        <f>+G312*0.6</f>
        <v>402.55</v>
      </c>
    </row>
    <row r="312" spans="1:9" ht="25.5">
      <c r="A312" s="204">
        <v>2.5</v>
      </c>
      <c r="B312" s="205" t="s">
        <v>28</v>
      </c>
      <c r="C312" s="175">
        <v>670.92</v>
      </c>
      <c r="D312" s="84" t="s">
        <v>22</v>
      </c>
      <c r="E312" s="175">
        <v>183.68</v>
      </c>
      <c r="F312" s="203">
        <f>+ROUND(C312*E312,2)</f>
        <v>123234.59</v>
      </c>
      <c r="G312" s="185">
        <f>+(C308-C310-378.15*0.0324)*0.95</f>
        <v>670.92</v>
      </c>
    </row>
    <row r="313" spans="1:9" s="51" customFormat="1">
      <c r="A313" s="44">
        <v>2.6</v>
      </c>
      <c r="B313" s="44" t="s">
        <v>99</v>
      </c>
      <c r="C313" s="46">
        <v>585.52</v>
      </c>
      <c r="D313" s="47" t="s">
        <v>22</v>
      </c>
      <c r="E313" s="48">
        <v>165</v>
      </c>
      <c r="F313" s="191">
        <f>ROUND(E313*C313,2)</f>
        <v>96610.8</v>
      </c>
      <c r="G313" s="50"/>
    </row>
    <row r="314" spans="1:9" s="51" customFormat="1">
      <c r="A314" s="206"/>
      <c r="B314" s="44"/>
      <c r="C314" s="46"/>
      <c r="D314" s="47"/>
      <c r="E314" s="48"/>
      <c r="F314" s="191"/>
      <c r="G314" s="50"/>
    </row>
    <row r="315" spans="1:9" s="51" customFormat="1">
      <c r="A315" s="193">
        <v>3</v>
      </c>
      <c r="B315" s="194" t="s">
        <v>30</v>
      </c>
      <c r="C315" s="46"/>
      <c r="D315" s="47"/>
      <c r="E315" s="48"/>
      <c r="F315" s="191"/>
      <c r="G315" s="50">
        <f t="shared" ref="G315:G331" si="9">+E315*C315</f>
        <v>0</v>
      </c>
    </row>
    <row r="316" spans="1:9" s="51" customFormat="1" ht="13.5" customHeight="1">
      <c r="A316" s="206">
        <v>3.1</v>
      </c>
      <c r="B316" s="44" t="s">
        <v>100</v>
      </c>
      <c r="C316" s="197">
        <v>389.49</v>
      </c>
      <c r="D316" s="198" t="s">
        <v>15</v>
      </c>
      <c r="E316" s="199">
        <v>1219.23</v>
      </c>
      <c r="F316" s="200">
        <f>ROUND(E316*C316,2)</f>
        <v>474877.89</v>
      </c>
      <c r="G316" s="50">
        <f t="shared" si="9"/>
        <v>474877.89</v>
      </c>
      <c r="H316" s="51">
        <f>24+18</f>
        <v>42</v>
      </c>
      <c r="I316" s="207">
        <f>+C316/1.03</f>
        <v>378.15</v>
      </c>
    </row>
    <row r="317" spans="1:9" s="51" customFormat="1">
      <c r="A317" s="206"/>
      <c r="B317" s="44"/>
      <c r="C317" s="46"/>
      <c r="D317" s="47"/>
      <c r="E317" s="48"/>
      <c r="F317" s="191"/>
      <c r="G317" s="50">
        <f t="shared" si="9"/>
        <v>0</v>
      </c>
    </row>
    <row r="318" spans="1:9" s="51" customFormat="1">
      <c r="A318" s="208">
        <v>4</v>
      </c>
      <c r="B318" s="209" t="s">
        <v>101</v>
      </c>
      <c r="C318" s="197"/>
      <c r="D318" s="198"/>
      <c r="E318" s="199"/>
      <c r="F318" s="191"/>
      <c r="G318" s="50">
        <f t="shared" si="9"/>
        <v>0</v>
      </c>
    </row>
    <row r="319" spans="1:9" s="51" customFormat="1" ht="12.75" customHeight="1">
      <c r="A319" s="206">
        <v>4.0999999999999996</v>
      </c>
      <c r="B319" s="44" t="s">
        <v>100</v>
      </c>
      <c r="C319" s="197">
        <v>389.49</v>
      </c>
      <c r="D319" s="198" t="s">
        <v>15</v>
      </c>
      <c r="E319" s="199">
        <v>90.38</v>
      </c>
      <c r="F319" s="200">
        <f>ROUND(E319*C319,2)</f>
        <v>35202.11</v>
      </c>
      <c r="G319" s="50">
        <f t="shared" si="9"/>
        <v>35202.11</v>
      </c>
    </row>
    <row r="320" spans="1:9" s="51" customFormat="1">
      <c r="A320" s="210"/>
      <c r="B320" s="44"/>
      <c r="C320" s="46"/>
      <c r="D320" s="47"/>
      <c r="E320" s="48"/>
      <c r="F320" s="191"/>
      <c r="G320" s="50">
        <f t="shared" si="9"/>
        <v>0</v>
      </c>
    </row>
    <row r="321" spans="1:9" s="51" customFormat="1">
      <c r="A321" s="211">
        <v>5</v>
      </c>
      <c r="B321" s="212" t="s">
        <v>102</v>
      </c>
      <c r="C321" s="213"/>
      <c r="D321" s="214"/>
      <c r="E321" s="215"/>
      <c r="F321" s="216"/>
      <c r="G321" s="50">
        <f t="shared" si="9"/>
        <v>0</v>
      </c>
    </row>
    <row r="322" spans="1:9" s="51" customFormat="1">
      <c r="A322" s="217">
        <v>5.0999999999999996</v>
      </c>
      <c r="B322" s="218" t="s">
        <v>103</v>
      </c>
      <c r="C322" s="218">
        <v>12</v>
      </c>
      <c r="D322" s="214" t="s">
        <v>38</v>
      </c>
      <c r="E322" s="62">
        <v>38384.660000000003</v>
      </c>
      <c r="F322" s="216">
        <f>ROUND(E322*C322,2)</f>
        <v>460615.92</v>
      </c>
      <c r="G322" s="50">
        <f t="shared" si="9"/>
        <v>460615.92</v>
      </c>
      <c r="H322" s="51">
        <v>2643.84</v>
      </c>
    </row>
    <row r="323" spans="1:9" s="51" customFormat="1">
      <c r="A323" s="217">
        <v>5.2</v>
      </c>
      <c r="B323" s="218" t="s">
        <v>104</v>
      </c>
      <c r="C323" s="218">
        <v>6</v>
      </c>
      <c r="D323" s="214" t="s">
        <v>38</v>
      </c>
      <c r="E323" s="62">
        <v>43909.93</v>
      </c>
      <c r="F323" s="216">
        <f>ROUND(E323*C323,2)</f>
        <v>263459.58</v>
      </c>
      <c r="G323" s="50">
        <f t="shared" si="9"/>
        <v>263459.58</v>
      </c>
      <c r="H323" s="51">
        <v>2938.84</v>
      </c>
    </row>
    <row r="324" spans="1:9" s="51" customFormat="1">
      <c r="A324" s="217">
        <v>5.3</v>
      </c>
      <c r="B324" s="218" t="s">
        <v>105</v>
      </c>
      <c r="C324" s="218">
        <v>2</v>
      </c>
      <c r="D324" s="214" t="s">
        <v>38</v>
      </c>
      <c r="E324" s="199">
        <v>54185.61</v>
      </c>
      <c r="F324" s="216">
        <f>ROUND(E324*C324,2)</f>
        <v>108371.22</v>
      </c>
      <c r="G324" s="50">
        <f t="shared" si="9"/>
        <v>108371.22</v>
      </c>
      <c r="H324" s="51">
        <v>3478.25</v>
      </c>
    </row>
    <row r="325" spans="1:9" s="51" customFormat="1">
      <c r="A325" s="219"/>
      <c r="B325" s="218"/>
      <c r="C325" s="218"/>
      <c r="D325" s="214"/>
      <c r="E325" s="215"/>
      <c r="F325" s="216"/>
      <c r="G325" s="50">
        <f t="shared" si="9"/>
        <v>0</v>
      </c>
    </row>
    <row r="326" spans="1:9" s="51" customFormat="1">
      <c r="A326" s="193">
        <v>6</v>
      </c>
      <c r="B326" s="194" t="s">
        <v>106</v>
      </c>
      <c r="C326" s="46"/>
      <c r="D326" s="47"/>
      <c r="E326" s="48"/>
      <c r="F326" s="191"/>
      <c r="G326" s="50">
        <f t="shared" si="9"/>
        <v>0</v>
      </c>
    </row>
    <row r="327" spans="1:9" s="51" customFormat="1">
      <c r="A327" s="220">
        <v>6.1</v>
      </c>
      <c r="B327" s="44" t="s">
        <v>107</v>
      </c>
      <c r="C327" s="197">
        <v>2</v>
      </c>
      <c r="D327" s="198" t="s">
        <v>38</v>
      </c>
      <c r="E327" s="199">
        <v>7566.03</v>
      </c>
      <c r="F327" s="200">
        <f>ROUND(E327*C327,2)</f>
        <v>15132.06</v>
      </c>
      <c r="G327" s="50">
        <f t="shared" si="9"/>
        <v>15132.06</v>
      </c>
    </row>
    <row r="328" spans="1:9" s="51" customFormat="1">
      <c r="A328" s="221"/>
      <c r="B328" s="36"/>
      <c r="C328" s="222"/>
      <c r="D328" s="223"/>
      <c r="E328" s="224"/>
      <c r="F328" s="191"/>
      <c r="G328" s="50"/>
      <c r="I328" s="225"/>
    </row>
    <row r="329" spans="1:9" s="51" customFormat="1" ht="25.5">
      <c r="A329" s="226">
        <v>7</v>
      </c>
      <c r="B329" s="61" t="s">
        <v>108</v>
      </c>
      <c r="C329" s="227">
        <v>378.15</v>
      </c>
      <c r="D329" s="228" t="s">
        <v>18</v>
      </c>
      <c r="E329" s="229">
        <v>50.15</v>
      </c>
      <c r="F329" s="200">
        <f>ROUND(E329*C329,2)</f>
        <v>18964.22</v>
      </c>
      <c r="G329" s="50">
        <f t="shared" si="9"/>
        <v>18964.22</v>
      </c>
    </row>
    <row r="330" spans="1:9" s="51" customFormat="1">
      <c r="A330" s="206"/>
      <c r="B330" s="61"/>
      <c r="C330" s="222"/>
      <c r="D330" s="223"/>
      <c r="E330" s="224"/>
      <c r="F330" s="191"/>
      <c r="G330" s="50"/>
    </row>
    <row r="331" spans="1:9" s="51" customFormat="1">
      <c r="A331" s="230">
        <v>8</v>
      </c>
      <c r="B331" s="44" t="s">
        <v>42</v>
      </c>
      <c r="C331" s="227">
        <v>1</v>
      </c>
      <c r="D331" s="228" t="s">
        <v>43</v>
      </c>
      <c r="E331" s="231">
        <v>5000</v>
      </c>
      <c r="F331" s="200">
        <f>ROUND(E331*C331,2)</f>
        <v>5000</v>
      </c>
      <c r="G331" s="50">
        <f t="shared" si="9"/>
        <v>5000</v>
      </c>
    </row>
    <row r="332" spans="1:9" s="177" customFormat="1">
      <c r="A332" s="139"/>
      <c r="B332" s="111" t="s">
        <v>109</v>
      </c>
      <c r="C332" s="232"/>
      <c r="D332" s="141"/>
      <c r="E332" s="233"/>
      <c r="F332" s="80">
        <f>SUM(F304:F331)</f>
        <v>2067303.52</v>
      </c>
      <c r="G332" s="176"/>
    </row>
    <row r="333" spans="1:9" s="51" customFormat="1">
      <c r="A333" s="234"/>
      <c r="B333" s="194"/>
      <c r="C333" s="227"/>
      <c r="D333" s="228"/>
      <c r="E333" s="231"/>
      <c r="F333" s="200"/>
      <c r="G333" s="50"/>
    </row>
    <row r="334" spans="1:9" s="239" customFormat="1" ht="12.75" customHeight="1">
      <c r="A334" s="235" t="s">
        <v>110</v>
      </c>
      <c r="B334" s="236" t="s">
        <v>111</v>
      </c>
      <c r="C334" s="28"/>
      <c r="D334" s="237"/>
      <c r="E334" s="23"/>
      <c r="F334" s="23"/>
      <c r="G334" s="238"/>
    </row>
    <row r="335" spans="1:9" s="239" customFormat="1" ht="12.75" customHeight="1">
      <c r="A335" s="240"/>
      <c r="B335" s="236"/>
      <c r="C335" s="28"/>
      <c r="D335" s="237"/>
      <c r="E335" s="23"/>
      <c r="F335" s="23"/>
      <c r="G335" s="238"/>
    </row>
    <row r="336" spans="1:9" s="239" customFormat="1" ht="12.75" customHeight="1">
      <c r="A336" s="241">
        <v>1</v>
      </c>
      <c r="B336" s="242" t="s">
        <v>14</v>
      </c>
      <c r="C336" s="28">
        <v>3610</v>
      </c>
      <c r="D336" s="237" t="s">
        <v>15</v>
      </c>
      <c r="E336" s="28">
        <v>44.18</v>
      </c>
      <c r="F336" s="203">
        <f>+ROUND(C336*E336,2)</f>
        <v>159489.79999999999</v>
      </c>
      <c r="G336" s="238"/>
    </row>
    <row r="337" spans="1:8" s="8" customFormat="1" ht="12.75" customHeight="1">
      <c r="A337" s="243"/>
      <c r="B337" s="242"/>
      <c r="C337" s="28"/>
      <c r="D337" s="237"/>
      <c r="E337" s="28"/>
      <c r="F337" s="203"/>
      <c r="G337" s="7"/>
    </row>
    <row r="338" spans="1:8" s="8" customFormat="1" ht="12.75" customHeight="1">
      <c r="A338" s="243">
        <v>2</v>
      </c>
      <c r="B338" s="236" t="s">
        <v>16</v>
      </c>
      <c r="C338" s="28"/>
      <c r="D338" s="237"/>
      <c r="E338" s="28"/>
      <c r="F338" s="203"/>
      <c r="G338" s="7"/>
    </row>
    <row r="339" spans="1:8" s="92" customFormat="1">
      <c r="A339" s="244">
        <v>2.1</v>
      </c>
      <c r="B339" s="245" t="s">
        <v>17</v>
      </c>
      <c r="C339" s="246">
        <f>+C336*2</f>
        <v>7220</v>
      </c>
      <c r="D339" s="247" t="s">
        <v>18</v>
      </c>
      <c r="E339" s="138">
        <v>74.849999999999994</v>
      </c>
      <c r="F339" s="248">
        <f>+ROUND(C339*E339,2)</f>
        <v>540417</v>
      </c>
      <c r="G339" s="91"/>
    </row>
    <row r="340" spans="1:8" s="8" customFormat="1" ht="12.75" customHeight="1">
      <c r="A340" s="249">
        <v>2.2000000000000002</v>
      </c>
      <c r="B340" s="250" t="s">
        <v>19</v>
      </c>
      <c r="C340" s="251">
        <f>+C336</f>
        <v>3610</v>
      </c>
      <c r="D340" s="84" t="s">
        <v>20</v>
      </c>
      <c r="E340" s="34">
        <v>40.65</v>
      </c>
      <c r="F340" s="203">
        <f>+ROUND(C340*E340,2)</f>
        <v>146746.5</v>
      </c>
      <c r="G340" s="7"/>
    </row>
    <row r="341" spans="1:8" s="8" customFormat="1" ht="12.75" customHeight="1">
      <c r="A341" s="252">
        <v>2.2999999999999998</v>
      </c>
      <c r="B341" s="202" t="s">
        <v>21</v>
      </c>
      <c r="C341" s="251">
        <f>+C340*0.05*1.4</f>
        <v>252.7</v>
      </c>
      <c r="D341" s="84" t="s">
        <v>22</v>
      </c>
      <c r="E341" s="34">
        <v>165</v>
      </c>
      <c r="F341" s="203">
        <f>+ROUND(C341*E341,2)</f>
        <v>41695.5</v>
      </c>
      <c r="G341" s="7"/>
    </row>
    <row r="342" spans="1:8" s="239" customFormat="1" ht="12.75" customHeight="1">
      <c r="A342" s="253"/>
      <c r="B342" s="242"/>
      <c r="C342" s="28"/>
      <c r="D342" s="237"/>
      <c r="E342" s="28"/>
      <c r="F342" s="203">
        <f t="shared" ref="F342:F358" si="10">+ROUND(C342*E342,2)</f>
        <v>0</v>
      </c>
      <c r="G342" s="238"/>
    </row>
    <row r="343" spans="1:8" s="239" customFormat="1" ht="12.75" customHeight="1">
      <c r="A343" s="254">
        <v>3</v>
      </c>
      <c r="B343" s="255" t="s">
        <v>23</v>
      </c>
      <c r="C343" s="251"/>
      <c r="D343" s="84"/>
      <c r="E343" s="34"/>
      <c r="F343" s="203">
        <f t="shared" si="10"/>
        <v>0</v>
      </c>
      <c r="G343" s="238"/>
    </row>
    <row r="344" spans="1:8" s="239" customFormat="1">
      <c r="A344" s="252">
        <v>3.1</v>
      </c>
      <c r="B344" s="202" t="s">
        <v>112</v>
      </c>
      <c r="C344" s="251">
        <v>5415</v>
      </c>
      <c r="D344" s="84" t="s">
        <v>22</v>
      </c>
      <c r="E344" s="34">
        <v>154.52000000000001</v>
      </c>
      <c r="F344" s="256">
        <f t="shared" si="10"/>
        <v>836725.8</v>
      </c>
      <c r="G344" s="238">
        <f>+C336*1*1.5</f>
        <v>5415</v>
      </c>
    </row>
    <row r="345" spans="1:8" s="51" customFormat="1">
      <c r="A345" s="44">
        <v>3.2</v>
      </c>
      <c r="B345" s="45" t="s">
        <v>25</v>
      </c>
      <c r="C345" s="46">
        <f>+C340</f>
        <v>3610</v>
      </c>
      <c r="D345" s="47" t="s">
        <v>20</v>
      </c>
      <c r="E345" s="48">
        <v>21.67</v>
      </c>
      <c r="F345" s="49">
        <f>ROUND(E345*C345,2)</f>
        <v>78228.7</v>
      </c>
      <c r="G345" s="50">
        <f>+E345*C345</f>
        <v>78228.7</v>
      </c>
    </row>
    <row r="346" spans="1:8" s="239" customFormat="1" ht="12.75" customHeight="1">
      <c r="A346" s="249">
        <v>3.2</v>
      </c>
      <c r="B346" s="250" t="s">
        <v>26</v>
      </c>
      <c r="C346" s="251">
        <v>361</v>
      </c>
      <c r="D346" s="84" t="s">
        <v>22</v>
      </c>
      <c r="E346" s="34">
        <v>1068.3599999999999</v>
      </c>
      <c r="F346" s="256">
        <f t="shared" si="10"/>
        <v>385677.96</v>
      </c>
      <c r="G346" s="238">
        <f>+C336*0.1*1</f>
        <v>361</v>
      </c>
    </row>
    <row r="347" spans="1:8" s="239" customFormat="1" ht="12.75" customHeight="1">
      <c r="A347" s="252">
        <v>3.3</v>
      </c>
      <c r="B347" s="202" t="s">
        <v>27</v>
      </c>
      <c r="C347" s="251">
        <v>3376.93</v>
      </c>
      <c r="D347" s="84" t="s">
        <v>22</v>
      </c>
      <c r="E347" s="34">
        <v>651.17999999999995</v>
      </c>
      <c r="F347" s="256">
        <f t="shared" si="10"/>
        <v>2198989.2799999998</v>
      </c>
      <c r="G347" s="238"/>
    </row>
    <row r="348" spans="1:8" s="239" customFormat="1" ht="25.5" customHeight="1">
      <c r="A348" s="252">
        <v>3.4</v>
      </c>
      <c r="B348" s="205" t="s">
        <v>28</v>
      </c>
      <c r="C348" s="251">
        <v>4690.18</v>
      </c>
      <c r="D348" s="84" t="s">
        <v>22</v>
      </c>
      <c r="E348" s="34">
        <v>183.68</v>
      </c>
      <c r="F348" s="256">
        <f t="shared" si="10"/>
        <v>861492.26</v>
      </c>
      <c r="G348" s="238">
        <f>+(G344-G346-C336*0.0324)*0.95</f>
        <v>4690.18</v>
      </c>
      <c r="H348" s="239">
        <f>+G348*0.6*1.2</f>
        <v>3376.9295999999999</v>
      </c>
    </row>
    <row r="349" spans="1:8" s="239" customFormat="1" ht="12.75" customHeight="1">
      <c r="A349" s="252">
        <v>3.5</v>
      </c>
      <c r="B349" s="250" t="s">
        <v>29</v>
      </c>
      <c r="C349" s="251">
        <v>4246.71</v>
      </c>
      <c r="D349" s="84" t="s">
        <v>22</v>
      </c>
      <c r="E349" s="34">
        <v>165</v>
      </c>
      <c r="F349" s="256">
        <f t="shared" si="10"/>
        <v>700707.15</v>
      </c>
      <c r="G349" s="238">
        <f>+(G344-G348*0.4)*1.2</f>
        <v>4246.71</v>
      </c>
    </row>
    <row r="350" spans="1:8" s="239" customFormat="1" ht="12.75" customHeight="1">
      <c r="A350" s="252"/>
      <c r="B350" s="250"/>
      <c r="C350" s="251"/>
      <c r="D350" s="84"/>
      <c r="E350" s="34"/>
      <c r="F350" s="203">
        <f t="shared" si="10"/>
        <v>0</v>
      </c>
      <c r="G350" s="238"/>
    </row>
    <row r="351" spans="1:8" s="239" customFormat="1" ht="12.75" customHeight="1">
      <c r="A351" s="257">
        <v>4</v>
      </c>
      <c r="B351" s="255" t="s">
        <v>30</v>
      </c>
      <c r="C351" s="251"/>
      <c r="D351" s="84"/>
      <c r="E351" s="34"/>
      <c r="F351" s="203">
        <f t="shared" si="10"/>
        <v>0</v>
      </c>
      <c r="G351" s="238"/>
    </row>
    <row r="352" spans="1:8" s="239" customFormat="1" ht="25.5" customHeight="1">
      <c r="A352" s="258">
        <v>4.0999999999999996</v>
      </c>
      <c r="B352" s="242" t="s">
        <v>32</v>
      </c>
      <c r="C352" s="28">
        <v>3718.3</v>
      </c>
      <c r="D352" s="237" t="s">
        <v>15</v>
      </c>
      <c r="E352" s="28">
        <v>1219.23</v>
      </c>
      <c r="F352" s="259">
        <f t="shared" si="10"/>
        <v>4533462.91</v>
      </c>
      <c r="G352" s="238">
        <f>+C336*1.03</f>
        <v>3718.3</v>
      </c>
    </row>
    <row r="353" spans="1:10" s="239" customFormat="1" ht="12.75" customHeight="1">
      <c r="A353" s="253"/>
      <c r="B353" s="236"/>
      <c r="C353" s="28"/>
      <c r="D353" s="237"/>
      <c r="E353" s="28"/>
      <c r="F353" s="259">
        <f t="shared" si="10"/>
        <v>0</v>
      </c>
      <c r="G353" s="238"/>
    </row>
    <row r="354" spans="1:10" s="239" customFormat="1" ht="12.75" customHeight="1">
      <c r="A354" s="243">
        <v>5</v>
      </c>
      <c r="B354" s="236" t="s">
        <v>33</v>
      </c>
      <c r="C354" s="28"/>
      <c r="D354" s="237"/>
      <c r="E354" s="28"/>
      <c r="F354" s="259">
        <f t="shared" si="10"/>
        <v>0</v>
      </c>
      <c r="G354" s="238"/>
    </row>
    <row r="355" spans="1:10" s="239" customFormat="1" ht="25.5" customHeight="1">
      <c r="A355" s="258">
        <v>5.0999999999999996</v>
      </c>
      <c r="B355" s="242" t="s">
        <v>35</v>
      </c>
      <c r="C355" s="28">
        <v>3718.3</v>
      </c>
      <c r="D355" s="237" t="s">
        <v>15</v>
      </c>
      <c r="E355" s="260">
        <v>79.28</v>
      </c>
      <c r="F355" s="259">
        <f t="shared" si="10"/>
        <v>294786.82</v>
      </c>
      <c r="G355" s="238"/>
    </row>
    <row r="356" spans="1:10" s="239" customFormat="1" ht="9" customHeight="1">
      <c r="A356" s="253"/>
      <c r="B356" s="261"/>
      <c r="C356" s="28"/>
      <c r="D356" s="237"/>
      <c r="E356" s="28"/>
      <c r="F356" s="203">
        <f t="shared" si="10"/>
        <v>0</v>
      </c>
      <c r="G356" s="238"/>
    </row>
    <row r="357" spans="1:10" s="239" customFormat="1" ht="12.75" customHeight="1">
      <c r="A357" s="241">
        <v>6</v>
      </c>
      <c r="B357" s="202" t="s">
        <v>39</v>
      </c>
      <c r="C357" s="28">
        <v>60</v>
      </c>
      <c r="D357" s="237" t="s">
        <v>38</v>
      </c>
      <c r="E357" s="62">
        <v>38384.660000000003</v>
      </c>
      <c r="F357" s="203">
        <f t="shared" si="10"/>
        <v>2303079.6</v>
      </c>
      <c r="G357" s="238"/>
    </row>
    <row r="358" spans="1:10" s="8" customFormat="1" ht="10.5" customHeight="1">
      <c r="A358" s="262"/>
      <c r="B358" s="263" t="s">
        <v>40</v>
      </c>
      <c r="C358" s="251"/>
      <c r="D358" s="264"/>
      <c r="E358" s="34"/>
      <c r="F358" s="203">
        <f t="shared" si="10"/>
        <v>0</v>
      </c>
      <c r="G358" s="7"/>
    </row>
    <row r="359" spans="1:10" s="72" customFormat="1" ht="25.5" customHeight="1">
      <c r="A359" s="166">
        <v>7</v>
      </c>
      <c r="B359" s="265" t="s">
        <v>41</v>
      </c>
      <c r="C359" s="266">
        <v>3610</v>
      </c>
      <c r="D359" s="267" t="s">
        <v>15</v>
      </c>
      <c r="E359" s="268">
        <v>50.15</v>
      </c>
      <c r="F359" s="70">
        <f>ROUND(C359*E359,2)</f>
        <v>181041.5</v>
      </c>
      <c r="G359" s="71"/>
      <c r="I359" s="73"/>
      <c r="J359" s="51"/>
    </row>
    <row r="360" spans="1:10" s="72" customFormat="1" ht="7.5" customHeight="1">
      <c r="A360" s="166"/>
      <c r="B360" s="265"/>
      <c r="C360" s="266"/>
      <c r="D360" s="267"/>
      <c r="E360" s="268"/>
      <c r="F360" s="70"/>
      <c r="G360" s="74"/>
      <c r="I360" s="73"/>
      <c r="J360" s="51"/>
    </row>
    <row r="361" spans="1:10" s="72" customFormat="1">
      <c r="A361" s="166">
        <v>8</v>
      </c>
      <c r="B361" s="265" t="s">
        <v>42</v>
      </c>
      <c r="C361" s="266">
        <v>1</v>
      </c>
      <c r="D361" s="267" t="s">
        <v>43</v>
      </c>
      <c r="E361" s="268">
        <v>25000</v>
      </c>
      <c r="F361" s="70">
        <f>ROUND(C361*E361,2)</f>
        <v>25000</v>
      </c>
      <c r="G361" s="74"/>
      <c r="I361" s="73"/>
      <c r="J361" s="51"/>
    </row>
    <row r="362" spans="1:10" s="82" customFormat="1" ht="12.75" customHeight="1">
      <c r="A362" s="75"/>
      <c r="B362" s="76" t="s">
        <v>113</v>
      </c>
      <c r="C362" s="77"/>
      <c r="D362" s="78"/>
      <c r="E362" s="79"/>
      <c r="F362" s="80">
        <f>SUM(F336:F361)</f>
        <v>13287540.779999999</v>
      </c>
      <c r="G362" s="81"/>
    </row>
    <row r="363" spans="1:10" s="8" customFormat="1" ht="12.75" customHeight="1">
      <c r="A363" s="262"/>
      <c r="B363" s="263"/>
      <c r="C363" s="251"/>
      <c r="D363" s="264"/>
      <c r="E363" s="34"/>
      <c r="F363" s="203"/>
      <c r="G363" s="7"/>
    </row>
    <row r="364" spans="1:10" s="239" customFormat="1" ht="12.75" customHeight="1">
      <c r="A364" s="235" t="s">
        <v>114</v>
      </c>
      <c r="B364" s="236" t="s">
        <v>115</v>
      </c>
      <c r="C364" s="28"/>
      <c r="D364" s="237"/>
      <c r="E364" s="23"/>
      <c r="F364" s="23"/>
      <c r="G364" s="238"/>
    </row>
    <row r="365" spans="1:10" s="239" customFormat="1" ht="12.75" customHeight="1">
      <c r="A365" s="240"/>
      <c r="B365" s="236"/>
      <c r="C365" s="28"/>
      <c r="D365" s="237"/>
      <c r="E365" s="23"/>
      <c r="F365" s="23"/>
      <c r="G365" s="238"/>
    </row>
    <row r="366" spans="1:10" s="239" customFormat="1" ht="12.75" customHeight="1">
      <c r="A366" s="241">
        <v>1</v>
      </c>
      <c r="B366" s="242" t="s">
        <v>14</v>
      </c>
      <c r="C366" s="28">
        <f>10033.8+2424</f>
        <v>12457.8</v>
      </c>
      <c r="D366" s="237" t="s">
        <v>15</v>
      </c>
      <c r="E366" s="28">
        <v>44.18</v>
      </c>
      <c r="F366" s="203">
        <f>+ROUND(C366*E366,2)</f>
        <v>550385.6</v>
      </c>
      <c r="G366" s="238"/>
    </row>
    <row r="367" spans="1:10" s="239" customFormat="1" ht="12.75" customHeight="1">
      <c r="A367" s="253"/>
      <c r="B367" s="242"/>
      <c r="C367" s="28"/>
      <c r="D367" s="237"/>
      <c r="E367" s="28"/>
      <c r="F367" s="203">
        <f t="shared" ref="F367:F391" si="11">+ROUND(C367*E367,2)</f>
        <v>0</v>
      </c>
      <c r="G367" s="238"/>
    </row>
    <row r="368" spans="1:10" s="8" customFormat="1" ht="12.75" customHeight="1">
      <c r="A368" s="243">
        <v>2</v>
      </c>
      <c r="B368" s="236" t="s">
        <v>16</v>
      </c>
      <c r="C368" s="28"/>
      <c r="D368" s="237"/>
      <c r="E368" s="28"/>
      <c r="F368" s="203"/>
      <c r="G368" s="7"/>
    </row>
    <row r="369" spans="1:9" s="8" customFormat="1">
      <c r="A369" s="252">
        <v>2.1</v>
      </c>
      <c r="B369" s="202" t="s">
        <v>17</v>
      </c>
      <c r="C369" s="251">
        <f>+C366*2</f>
        <v>24915.599999999999</v>
      </c>
      <c r="D369" s="84" t="s">
        <v>18</v>
      </c>
      <c r="E369" s="34">
        <v>74.849999999999994</v>
      </c>
      <c r="F369" s="203">
        <f>+ROUND(C369*E369,2)</f>
        <v>1864932.66</v>
      </c>
      <c r="G369" s="7"/>
    </row>
    <row r="370" spans="1:9" s="8" customFormat="1" ht="12.75" customHeight="1">
      <c r="A370" s="249">
        <v>2.2000000000000002</v>
      </c>
      <c r="B370" s="250" t="s">
        <v>19</v>
      </c>
      <c r="C370" s="251">
        <f>+C366*1</f>
        <v>12457.8</v>
      </c>
      <c r="D370" s="84" t="s">
        <v>20</v>
      </c>
      <c r="E370" s="34">
        <v>40.65</v>
      </c>
      <c r="F370" s="203">
        <f>+ROUND(C370*E370,2)</f>
        <v>506409.57</v>
      </c>
      <c r="G370" s="7"/>
    </row>
    <row r="371" spans="1:9" s="8" customFormat="1" ht="12.75" customHeight="1">
      <c r="A371" s="252">
        <v>2.2999999999999998</v>
      </c>
      <c r="B371" s="202" t="s">
        <v>21</v>
      </c>
      <c r="C371" s="251">
        <f>+C370*0.05*1.4</f>
        <v>872.05</v>
      </c>
      <c r="D371" s="84" t="s">
        <v>22</v>
      </c>
      <c r="E371" s="34">
        <v>165</v>
      </c>
      <c r="F371" s="203">
        <f>+ROUND(C371*E371,2)</f>
        <v>143888.25</v>
      </c>
      <c r="G371" s="7"/>
    </row>
    <row r="372" spans="1:9" s="144" customFormat="1">
      <c r="A372" s="269"/>
      <c r="B372" s="270"/>
      <c r="C372" s="175"/>
      <c r="D372" s="84"/>
      <c r="E372" s="175"/>
      <c r="F372" s="203">
        <f>+ROUND(C372*E372,2)</f>
        <v>0</v>
      </c>
      <c r="G372" s="143"/>
    </row>
    <row r="373" spans="1:9" s="239" customFormat="1" ht="12.75" customHeight="1">
      <c r="A373" s="254">
        <v>3</v>
      </c>
      <c r="B373" s="255" t="s">
        <v>23</v>
      </c>
      <c r="C373" s="251"/>
      <c r="D373" s="84"/>
      <c r="E373" s="34"/>
      <c r="F373" s="203">
        <f t="shared" si="11"/>
        <v>0</v>
      </c>
      <c r="G373" s="238"/>
    </row>
    <row r="374" spans="1:9" s="239" customFormat="1">
      <c r="A374" s="252">
        <v>3.1</v>
      </c>
      <c r="B374" s="202" t="s">
        <v>112</v>
      </c>
      <c r="C374" s="251">
        <v>21110.7</v>
      </c>
      <c r="D374" s="84" t="s">
        <v>22</v>
      </c>
      <c r="E374" s="34">
        <v>154.52000000000001</v>
      </c>
      <c r="F374" s="203">
        <f t="shared" si="11"/>
        <v>3262025.36</v>
      </c>
      <c r="G374" s="238">
        <f>10033.8*1*1.5</f>
        <v>15050.7</v>
      </c>
      <c r="H374" s="239">
        <f>2424*1*2.5</f>
        <v>6060</v>
      </c>
      <c r="I374" s="238">
        <f>+H374+G374</f>
        <v>21110.7</v>
      </c>
    </row>
    <row r="375" spans="1:9" s="51" customFormat="1">
      <c r="A375" s="44">
        <v>3.2</v>
      </c>
      <c r="B375" s="45" t="s">
        <v>25</v>
      </c>
      <c r="C375" s="46">
        <f>+C370</f>
        <v>12457.8</v>
      </c>
      <c r="D375" s="47" t="s">
        <v>20</v>
      </c>
      <c r="E375" s="48">
        <v>21.67</v>
      </c>
      <c r="F375" s="49">
        <f>ROUND(E375*C375,2)</f>
        <v>269960.53000000003</v>
      </c>
      <c r="G375" s="50">
        <f>+E375*C375</f>
        <v>269960.53000000003</v>
      </c>
    </row>
    <row r="376" spans="1:9" s="239" customFormat="1" ht="12.75" customHeight="1">
      <c r="A376" s="249">
        <v>3.2</v>
      </c>
      <c r="B376" s="250" t="s">
        <v>26</v>
      </c>
      <c r="C376" s="251">
        <v>1245.78</v>
      </c>
      <c r="D376" s="84" t="s">
        <v>22</v>
      </c>
      <c r="E376" s="34">
        <v>1068.3599999999999</v>
      </c>
      <c r="F376" s="203">
        <f t="shared" si="11"/>
        <v>1330941.52</v>
      </c>
      <c r="G376" s="238">
        <f>1*10033.8*0.1</f>
        <v>1003.38</v>
      </c>
      <c r="H376" s="239">
        <f>1*2424*0.1</f>
        <v>242.4</v>
      </c>
      <c r="I376" s="238">
        <f>+H376+G376</f>
        <v>1245.78</v>
      </c>
    </row>
    <row r="377" spans="1:9" s="239" customFormat="1" ht="12.75" customHeight="1">
      <c r="A377" s="252">
        <v>3.3</v>
      </c>
      <c r="B377" s="202" t="s">
        <v>27</v>
      </c>
      <c r="C377" s="251">
        <v>11036.84</v>
      </c>
      <c r="D377" s="84" t="s">
        <v>22</v>
      </c>
      <c r="E377" s="34">
        <v>651.17999999999995</v>
      </c>
      <c r="F377" s="203">
        <f t="shared" si="11"/>
        <v>7186969.4699999997</v>
      </c>
      <c r="G377" s="238"/>
      <c r="I377" s="238">
        <f>+I378*0.6</f>
        <v>11036.83</v>
      </c>
    </row>
    <row r="378" spans="1:9" s="239" customFormat="1" ht="25.5" customHeight="1">
      <c r="A378" s="252">
        <v>3.4</v>
      </c>
      <c r="B378" s="205" t="s">
        <v>28</v>
      </c>
      <c r="C378" s="251">
        <v>18394.73</v>
      </c>
      <c r="D378" s="84" t="s">
        <v>22</v>
      </c>
      <c r="E378" s="34">
        <v>183.68</v>
      </c>
      <c r="F378" s="203">
        <f t="shared" si="11"/>
        <v>3378744.01</v>
      </c>
      <c r="G378" s="238">
        <f>+(G374-G376-10033.8*0.0324)</f>
        <v>13722.22</v>
      </c>
      <c r="H378" s="239">
        <f>+(H374-H376-2424*0.073)</f>
        <v>5640.6480000000001</v>
      </c>
      <c r="I378" s="238">
        <f>+(G378+H378)*0.95</f>
        <v>18394.72</v>
      </c>
    </row>
    <row r="379" spans="1:9" s="239" customFormat="1" ht="12.75" customHeight="1">
      <c r="A379" s="252">
        <v>3.5</v>
      </c>
      <c r="B379" s="250" t="s">
        <v>29</v>
      </c>
      <c r="C379" s="251">
        <v>16503.37</v>
      </c>
      <c r="D379" s="84" t="s">
        <v>22</v>
      </c>
      <c r="E379" s="34">
        <v>165</v>
      </c>
      <c r="F379" s="203">
        <f t="shared" si="11"/>
        <v>2723056.05</v>
      </c>
      <c r="G379" s="238"/>
      <c r="I379" s="238">
        <f>+(I374-I378*0.4)*1.2</f>
        <v>16503.37</v>
      </c>
    </row>
    <row r="380" spans="1:9" s="239" customFormat="1" ht="12.75" customHeight="1">
      <c r="A380" s="252"/>
      <c r="B380" s="250"/>
      <c r="C380" s="251"/>
      <c r="D380" s="84"/>
      <c r="E380" s="34"/>
      <c r="F380" s="203">
        <f t="shared" si="11"/>
        <v>0</v>
      </c>
      <c r="G380" s="238"/>
      <c r="I380" s="238"/>
    </row>
    <row r="381" spans="1:9" s="239" customFormat="1" ht="12.75" customHeight="1">
      <c r="A381" s="257">
        <v>4</v>
      </c>
      <c r="B381" s="255" t="s">
        <v>30</v>
      </c>
      <c r="C381" s="251"/>
      <c r="D381" s="84"/>
      <c r="E381" s="34"/>
      <c r="F381" s="203">
        <f t="shared" si="11"/>
        <v>0</v>
      </c>
      <c r="G381" s="238"/>
    </row>
    <row r="382" spans="1:9" s="239" customFormat="1" ht="25.5" customHeight="1">
      <c r="A382" s="258">
        <v>4.0999999999999996</v>
      </c>
      <c r="B382" s="242" t="s">
        <v>31</v>
      </c>
      <c r="C382" s="271">
        <v>2520.96</v>
      </c>
      <c r="D382" s="272" t="s">
        <v>15</v>
      </c>
      <c r="E382" s="271">
        <v>2755.86</v>
      </c>
      <c r="F382" s="203">
        <f t="shared" si="11"/>
        <v>6947412.8300000001</v>
      </c>
      <c r="G382" s="238">
        <f>2424*1.04</f>
        <v>2520.96</v>
      </c>
    </row>
    <row r="383" spans="1:9" s="239" customFormat="1" ht="25.5" customHeight="1">
      <c r="A383" s="258">
        <v>4.2</v>
      </c>
      <c r="B383" s="242" t="s">
        <v>32</v>
      </c>
      <c r="C383" s="271">
        <v>10334.81</v>
      </c>
      <c r="D383" s="272" t="s">
        <v>15</v>
      </c>
      <c r="E383" s="271">
        <v>1219.23</v>
      </c>
      <c r="F383" s="203">
        <f t="shared" si="11"/>
        <v>12600510.4</v>
      </c>
      <c r="G383" s="238">
        <f>10033.8*1.03</f>
        <v>10334.81</v>
      </c>
    </row>
    <row r="384" spans="1:9" s="239" customFormat="1" ht="12.75" customHeight="1">
      <c r="A384" s="253"/>
      <c r="B384" s="236"/>
      <c r="C384" s="28"/>
      <c r="D384" s="237"/>
      <c r="E384" s="28"/>
      <c r="F384" s="203">
        <f t="shared" si="11"/>
        <v>0</v>
      </c>
      <c r="G384" s="238"/>
    </row>
    <row r="385" spans="1:10" s="239" customFormat="1" ht="12.75" customHeight="1">
      <c r="A385" s="243">
        <v>5</v>
      </c>
      <c r="B385" s="236" t="s">
        <v>33</v>
      </c>
      <c r="C385" s="28"/>
      <c r="D385" s="237"/>
      <c r="E385" s="28"/>
      <c r="F385" s="203">
        <f t="shared" si="11"/>
        <v>0</v>
      </c>
      <c r="G385" s="238"/>
    </row>
    <row r="386" spans="1:10" s="280" customFormat="1" ht="25.5" customHeight="1">
      <c r="A386" s="273">
        <v>5.0999999999999996</v>
      </c>
      <c r="B386" s="274" t="s">
        <v>34</v>
      </c>
      <c r="C386" s="275">
        <v>2520.96</v>
      </c>
      <c r="D386" s="276" t="s">
        <v>15</v>
      </c>
      <c r="E386" s="277">
        <v>88.72</v>
      </c>
      <c r="F386" s="278">
        <f t="shared" si="11"/>
        <v>223659.57</v>
      </c>
      <c r="G386" s="279"/>
    </row>
    <row r="387" spans="1:10" s="239" customFormat="1" ht="25.5" customHeight="1">
      <c r="A387" s="258">
        <v>5.2</v>
      </c>
      <c r="B387" s="281" t="s">
        <v>35</v>
      </c>
      <c r="C387" s="125">
        <v>10334.81</v>
      </c>
      <c r="D387" s="282" t="s">
        <v>15</v>
      </c>
      <c r="E387" s="283">
        <v>79.28</v>
      </c>
      <c r="F387" s="256">
        <f t="shared" si="11"/>
        <v>819343.74</v>
      </c>
      <c r="G387" s="238"/>
    </row>
    <row r="388" spans="1:10" s="239" customFormat="1" ht="12.75" customHeight="1">
      <c r="A388" s="253"/>
      <c r="B388" s="261"/>
      <c r="C388" s="28"/>
      <c r="D388" s="237"/>
      <c r="E388" s="28"/>
      <c r="F388" s="203">
        <f t="shared" si="11"/>
        <v>0</v>
      </c>
      <c r="G388" s="238"/>
    </row>
    <row r="389" spans="1:10" s="239" customFormat="1" ht="12.75" customHeight="1">
      <c r="A389" s="243">
        <v>6</v>
      </c>
      <c r="B389" s="236" t="s">
        <v>36</v>
      </c>
      <c r="C389" s="28"/>
      <c r="D389" s="237"/>
      <c r="E389" s="28"/>
      <c r="F389" s="203">
        <f t="shared" si="11"/>
        <v>0</v>
      </c>
      <c r="G389" s="238"/>
    </row>
    <row r="390" spans="1:10" s="239" customFormat="1" ht="12.75" customHeight="1">
      <c r="A390" s="253">
        <v>6.2</v>
      </c>
      <c r="B390" s="202" t="s">
        <v>39</v>
      </c>
      <c r="C390" s="28">
        <v>208</v>
      </c>
      <c r="D390" s="237" t="s">
        <v>38</v>
      </c>
      <c r="E390" s="62">
        <v>38384.660000000003</v>
      </c>
      <c r="F390" s="203">
        <f t="shared" si="11"/>
        <v>7984009.2800000003</v>
      </c>
      <c r="G390" s="238"/>
    </row>
    <row r="391" spans="1:10" s="8" customFormat="1" ht="12.75" customHeight="1">
      <c r="A391" s="262"/>
      <c r="B391" s="263" t="s">
        <v>40</v>
      </c>
      <c r="C391" s="251"/>
      <c r="D391" s="264"/>
      <c r="E391" s="34"/>
      <c r="F391" s="203">
        <f t="shared" si="11"/>
        <v>0</v>
      </c>
      <c r="G391" s="7"/>
    </row>
    <row r="392" spans="1:10" s="72" customFormat="1" ht="25.5" customHeight="1">
      <c r="A392" s="166">
        <v>7</v>
      </c>
      <c r="B392" s="265" t="s">
        <v>41</v>
      </c>
      <c r="C392" s="266">
        <f>+C366</f>
        <v>12457.8</v>
      </c>
      <c r="D392" s="267" t="s">
        <v>15</v>
      </c>
      <c r="E392" s="268">
        <v>50.15</v>
      </c>
      <c r="F392" s="70">
        <f>ROUND(C392*E392,2)</f>
        <v>624758.67000000004</v>
      </c>
      <c r="G392" s="71"/>
      <c r="I392" s="73"/>
      <c r="J392" s="51"/>
    </row>
    <row r="393" spans="1:10" s="72" customFormat="1">
      <c r="A393" s="166"/>
      <c r="B393" s="265"/>
      <c r="C393" s="266"/>
      <c r="D393" s="267"/>
      <c r="E393" s="268"/>
      <c r="F393" s="70"/>
      <c r="G393" s="74"/>
      <c r="I393" s="73"/>
      <c r="J393" s="51"/>
    </row>
    <row r="394" spans="1:10" s="72" customFormat="1">
      <c r="A394" s="166">
        <v>8</v>
      </c>
      <c r="B394" s="265" t="s">
        <v>42</v>
      </c>
      <c r="C394" s="266">
        <v>1</v>
      </c>
      <c r="D394" s="267" t="s">
        <v>43</v>
      </c>
      <c r="E394" s="268">
        <v>45000</v>
      </c>
      <c r="F394" s="70">
        <f>ROUND(C394*E394,2)</f>
        <v>45000</v>
      </c>
      <c r="G394" s="74"/>
      <c r="I394" s="73"/>
      <c r="J394" s="51"/>
    </row>
    <row r="395" spans="1:10" s="82" customFormat="1" ht="12.75" customHeight="1">
      <c r="A395" s="75"/>
      <c r="B395" s="76" t="s">
        <v>116</v>
      </c>
      <c r="C395" s="77"/>
      <c r="D395" s="78"/>
      <c r="E395" s="79"/>
      <c r="F395" s="80">
        <f>SUM(F366:F394)</f>
        <v>50462007.509999998</v>
      </c>
      <c r="G395" s="81"/>
    </row>
    <row r="396" spans="1:10">
      <c r="A396" s="284"/>
      <c r="B396" s="202"/>
      <c r="C396" s="251"/>
      <c r="D396" s="84"/>
      <c r="E396" s="34"/>
      <c r="F396" s="285"/>
      <c r="G396" s="286"/>
      <c r="H396" s="32"/>
    </row>
    <row r="397" spans="1:10" s="239" customFormat="1" ht="12.75" customHeight="1">
      <c r="A397" s="235" t="s">
        <v>15</v>
      </c>
      <c r="B397" s="236" t="s">
        <v>117</v>
      </c>
      <c r="C397" s="28"/>
      <c r="D397" s="237"/>
      <c r="E397" s="23"/>
      <c r="F397" s="23"/>
      <c r="G397" s="238"/>
    </row>
    <row r="398" spans="1:10" s="239" customFormat="1" ht="12.75" customHeight="1">
      <c r="A398" s="240"/>
      <c r="B398" s="236"/>
      <c r="C398" s="28"/>
      <c r="D398" s="237"/>
      <c r="E398" s="23"/>
      <c r="F398" s="23"/>
      <c r="G398" s="238"/>
    </row>
    <row r="399" spans="1:10" s="239" customFormat="1" ht="12.75" customHeight="1">
      <c r="A399" s="241">
        <v>1</v>
      </c>
      <c r="B399" s="242" t="s">
        <v>14</v>
      </c>
      <c r="C399" s="28">
        <v>4593.67</v>
      </c>
      <c r="D399" s="237" t="s">
        <v>15</v>
      </c>
      <c r="E399" s="28">
        <v>44.18</v>
      </c>
      <c r="F399" s="203">
        <f>+ROUND(C399*E399,2)</f>
        <v>202948.34</v>
      </c>
      <c r="G399" s="238">
        <f>SUM(G415:G417)</f>
        <v>4593.67</v>
      </c>
    </row>
    <row r="400" spans="1:10" s="239" customFormat="1" ht="12.75" customHeight="1">
      <c r="A400" s="253"/>
      <c r="B400" s="242"/>
      <c r="C400" s="28"/>
      <c r="D400" s="237"/>
      <c r="E400" s="28"/>
      <c r="F400" s="203">
        <f>+ROUND(C400*E400,2)</f>
        <v>0</v>
      </c>
      <c r="G400" s="238"/>
    </row>
    <row r="401" spans="1:9" s="8" customFormat="1" ht="12.75" customHeight="1">
      <c r="A401" s="243">
        <v>2</v>
      </c>
      <c r="B401" s="236" t="s">
        <v>16</v>
      </c>
      <c r="C401" s="28"/>
      <c r="D401" s="237"/>
      <c r="E401" s="28"/>
      <c r="F401" s="203"/>
      <c r="G401" s="7"/>
    </row>
    <row r="402" spans="1:9" s="8" customFormat="1">
      <c r="A402" s="252">
        <v>2.1</v>
      </c>
      <c r="B402" s="202" t="s">
        <v>17</v>
      </c>
      <c r="C402" s="251">
        <f>+C399*2</f>
        <v>9187.34</v>
      </c>
      <c r="D402" s="84" t="s">
        <v>18</v>
      </c>
      <c r="E402" s="34">
        <v>74.849999999999994</v>
      </c>
      <c r="F402" s="203">
        <f>+ROUND(C402*E402,2)</f>
        <v>687672.4</v>
      </c>
      <c r="G402" s="7"/>
    </row>
    <row r="403" spans="1:9" s="8" customFormat="1" ht="12.75" customHeight="1">
      <c r="A403" s="249">
        <v>2.2000000000000002</v>
      </c>
      <c r="B403" s="250" t="s">
        <v>19</v>
      </c>
      <c r="C403" s="251">
        <f>+C399*1</f>
        <v>4593.67</v>
      </c>
      <c r="D403" s="84" t="s">
        <v>20</v>
      </c>
      <c r="E403" s="34">
        <v>40.65</v>
      </c>
      <c r="F403" s="203">
        <f>+ROUND(C403*E403,2)</f>
        <v>186732.69</v>
      </c>
      <c r="G403" s="7"/>
    </row>
    <row r="404" spans="1:9" s="8" customFormat="1" ht="12.75" customHeight="1">
      <c r="A404" s="252">
        <v>2.2999999999999998</v>
      </c>
      <c r="B404" s="202" t="s">
        <v>21</v>
      </c>
      <c r="C404" s="251">
        <f>+C403*0.05*1.4</f>
        <v>321.56</v>
      </c>
      <c r="D404" s="84" t="s">
        <v>22</v>
      </c>
      <c r="E404" s="34">
        <v>165</v>
      </c>
      <c r="F404" s="203">
        <f>+ROUND(C404*E404,2)</f>
        <v>53057.4</v>
      </c>
      <c r="G404" s="7"/>
    </row>
    <row r="405" spans="1:9" s="144" customFormat="1">
      <c r="A405" s="269"/>
      <c r="B405" s="270"/>
      <c r="C405" s="175"/>
      <c r="D405" s="84"/>
      <c r="E405" s="175"/>
      <c r="F405" s="203">
        <f t="shared" ref="F405:F423" si="12">+ROUND(C405*E405,2)</f>
        <v>0</v>
      </c>
      <c r="G405" s="143"/>
    </row>
    <row r="406" spans="1:9" s="239" customFormat="1" ht="12.75" customHeight="1">
      <c r="A406" s="254">
        <v>3</v>
      </c>
      <c r="B406" s="255" t="s">
        <v>23</v>
      </c>
      <c r="C406" s="251"/>
      <c r="D406" s="84"/>
      <c r="E406" s="34"/>
      <c r="F406" s="203">
        <f t="shared" si="12"/>
        <v>0</v>
      </c>
      <c r="G406" s="238"/>
    </row>
    <row r="407" spans="1:9" s="239" customFormat="1">
      <c r="A407" s="252">
        <v>3.1</v>
      </c>
      <c r="B407" s="202" t="s">
        <v>112</v>
      </c>
      <c r="C407" s="251">
        <v>11484.18</v>
      </c>
      <c r="D407" s="84" t="s">
        <v>22</v>
      </c>
      <c r="E407" s="34">
        <v>154.52000000000001</v>
      </c>
      <c r="F407" s="256">
        <f t="shared" si="12"/>
        <v>1774535.49</v>
      </c>
      <c r="G407" s="238">
        <f>+(G415*1*3.5+G416*1*2.5+G417*1*1.5)</f>
        <v>11484.18</v>
      </c>
      <c r="I407" s="238"/>
    </row>
    <row r="408" spans="1:9" s="51" customFormat="1">
      <c r="A408" s="44">
        <v>3.2</v>
      </c>
      <c r="B408" s="45" t="s">
        <v>25</v>
      </c>
      <c r="C408" s="46">
        <f>+C403</f>
        <v>4593.67</v>
      </c>
      <c r="D408" s="47" t="s">
        <v>20</v>
      </c>
      <c r="E408" s="48">
        <v>21.67</v>
      </c>
      <c r="F408" s="49">
        <f>ROUND(E408*C408,2)</f>
        <v>99544.83</v>
      </c>
      <c r="G408" s="50">
        <f>+E408*C408</f>
        <v>99544.83</v>
      </c>
    </row>
    <row r="409" spans="1:9" s="239" customFormat="1" ht="12.75" customHeight="1">
      <c r="A409" s="249">
        <v>3.2</v>
      </c>
      <c r="B409" s="250" t="s">
        <v>26</v>
      </c>
      <c r="C409" s="251">
        <v>459.37</v>
      </c>
      <c r="D409" s="84" t="s">
        <v>22</v>
      </c>
      <c r="E409" s="34">
        <v>1068.3599999999999</v>
      </c>
      <c r="F409" s="256">
        <f t="shared" si="12"/>
        <v>490772.53</v>
      </c>
      <c r="G409" s="238">
        <f>+(G415+G416+G417)*1*0.1</f>
        <v>459.37</v>
      </c>
      <c r="I409" s="238"/>
    </row>
    <row r="410" spans="1:9" s="239" customFormat="1" ht="12.75" customHeight="1">
      <c r="A410" s="252">
        <v>3.3</v>
      </c>
      <c r="B410" s="202" t="s">
        <v>27</v>
      </c>
      <c r="C410" s="251">
        <v>4053.78</v>
      </c>
      <c r="D410" s="84" t="s">
        <v>22</v>
      </c>
      <c r="E410" s="34">
        <v>651.17999999999995</v>
      </c>
      <c r="F410" s="256">
        <f t="shared" si="12"/>
        <v>2639740.46</v>
      </c>
      <c r="G410" s="238">
        <f>+G411*0.4</f>
        <v>4053.78</v>
      </c>
      <c r="I410" s="238"/>
    </row>
    <row r="411" spans="1:9" s="239" customFormat="1" ht="25.5" customHeight="1">
      <c r="A411" s="252">
        <v>3.4</v>
      </c>
      <c r="B411" s="205" t="s">
        <v>28</v>
      </c>
      <c r="C411" s="251">
        <v>10134.459999999999</v>
      </c>
      <c r="D411" s="84" t="s">
        <v>22</v>
      </c>
      <c r="E411" s="34">
        <v>183.68</v>
      </c>
      <c r="F411" s="256">
        <f t="shared" si="12"/>
        <v>1861497.61</v>
      </c>
      <c r="G411" s="238">
        <f>+(G407-G409-G417*0.0324-G416*0.073-G415*0.1297)*0.95</f>
        <v>10134.459999999999</v>
      </c>
      <c r="I411" s="238"/>
    </row>
    <row r="412" spans="1:9" s="239" customFormat="1" ht="12.75" customHeight="1">
      <c r="A412" s="252">
        <v>3.5</v>
      </c>
      <c r="B412" s="250" t="s">
        <v>29</v>
      </c>
      <c r="C412" s="251">
        <v>6484.2</v>
      </c>
      <c r="D412" s="84" t="s">
        <v>22</v>
      </c>
      <c r="E412" s="34">
        <v>165</v>
      </c>
      <c r="F412" s="256">
        <f t="shared" si="12"/>
        <v>1069893</v>
      </c>
      <c r="G412" s="238">
        <f>+(G407-G411*0.6)*1.2</f>
        <v>6484.2</v>
      </c>
      <c r="I412" s="238"/>
    </row>
    <row r="413" spans="1:9" s="239" customFormat="1" ht="12.75" customHeight="1">
      <c r="A413" s="252"/>
      <c r="B413" s="250"/>
      <c r="C413" s="251"/>
      <c r="D413" s="84"/>
      <c r="E413" s="34"/>
      <c r="F413" s="203">
        <f t="shared" si="12"/>
        <v>0</v>
      </c>
      <c r="G413" s="238"/>
      <c r="I413" s="238"/>
    </row>
    <row r="414" spans="1:9" s="239" customFormat="1" ht="12.75" customHeight="1">
      <c r="A414" s="257">
        <v>4</v>
      </c>
      <c r="B414" s="255" t="s">
        <v>30</v>
      </c>
      <c r="C414" s="251"/>
      <c r="D414" s="84"/>
      <c r="E414" s="34"/>
      <c r="F414" s="203">
        <f t="shared" si="12"/>
        <v>0</v>
      </c>
      <c r="G414" s="238"/>
    </row>
    <row r="415" spans="1:9" s="239" customFormat="1" ht="25.5" customHeight="1">
      <c r="A415" s="258">
        <v>4.0999999999999996</v>
      </c>
      <c r="B415" s="242" t="s">
        <v>118</v>
      </c>
      <c r="C415" s="125">
        <v>1409.85</v>
      </c>
      <c r="D415" s="282" t="s">
        <v>15</v>
      </c>
      <c r="E415" s="125">
        <v>4259.3</v>
      </c>
      <c r="F415" s="256">
        <f t="shared" si="12"/>
        <v>6004974.1100000003</v>
      </c>
      <c r="G415" s="238">
        <f>1342.71</f>
        <v>1342.71</v>
      </c>
    </row>
    <row r="416" spans="1:9" s="239" customFormat="1" ht="25.5" customHeight="1">
      <c r="A416" s="258">
        <v>4.0999999999999996</v>
      </c>
      <c r="B416" s="242" t="s">
        <v>31</v>
      </c>
      <c r="C416" s="125">
        <v>1984.58</v>
      </c>
      <c r="D416" s="282" t="s">
        <v>15</v>
      </c>
      <c r="E416" s="125">
        <v>2755.86</v>
      </c>
      <c r="F416" s="256">
        <f t="shared" si="12"/>
        <v>5469224.6399999997</v>
      </c>
      <c r="G416" s="238">
        <f>1908.25</f>
        <v>1908.25</v>
      </c>
    </row>
    <row r="417" spans="1:10" s="239" customFormat="1" ht="25.5" customHeight="1">
      <c r="A417" s="258">
        <v>4.2</v>
      </c>
      <c r="B417" s="242" t="s">
        <v>32</v>
      </c>
      <c r="C417" s="125">
        <v>1382.99</v>
      </c>
      <c r="D417" s="282" t="s">
        <v>15</v>
      </c>
      <c r="E417" s="125">
        <v>1219.23</v>
      </c>
      <c r="F417" s="256">
        <f t="shared" si="12"/>
        <v>1686182.9</v>
      </c>
      <c r="G417" s="238">
        <f>1342.71</f>
        <v>1342.71</v>
      </c>
    </row>
    <row r="418" spans="1:10" s="239" customFormat="1" ht="12.75" customHeight="1">
      <c r="A418" s="253"/>
      <c r="B418" s="236"/>
      <c r="C418" s="28"/>
      <c r="D418" s="237"/>
      <c r="E418" s="28"/>
      <c r="F418" s="203">
        <f t="shared" si="12"/>
        <v>0</v>
      </c>
      <c r="G418" s="238"/>
    </row>
    <row r="419" spans="1:10" s="239" customFormat="1" ht="12.75" customHeight="1">
      <c r="A419" s="243">
        <v>5</v>
      </c>
      <c r="B419" s="236" t="s">
        <v>33</v>
      </c>
      <c r="C419" s="28"/>
      <c r="D419" s="237"/>
      <c r="E419" s="28"/>
      <c r="F419" s="203">
        <f t="shared" si="12"/>
        <v>0</v>
      </c>
      <c r="G419" s="238"/>
    </row>
    <row r="420" spans="1:10" s="239" customFormat="1" ht="25.5" customHeight="1">
      <c r="A420" s="258">
        <v>4.0999999999999996</v>
      </c>
      <c r="B420" s="242" t="s">
        <v>118</v>
      </c>
      <c r="C420" s="125">
        <v>1409.85</v>
      </c>
      <c r="D420" s="282" t="s">
        <v>15</v>
      </c>
      <c r="E420" s="199">
        <v>90.38</v>
      </c>
      <c r="F420" s="256">
        <f t="shared" si="12"/>
        <v>127422.24</v>
      </c>
      <c r="G420" s="238"/>
    </row>
    <row r="421" spans="1:10" s="239" customFormat="1" ht="25.5" customHeight="1">
      <c r="A421" s="258">
        <v>5.0999999999999996</v>
      </c>
      <c r="B421" s="281" t="s">
        <v>34</v>
      </c>
      <c r="C421" s="125">
        <v>1984.58</v>
      </c>
      <c r="D421" s="282" t="s">
        <v>15</v>
      </c>
      <c r="E421" s="283">
        <v>88.72</v>
      </c>
      <c r="F421" s="256">
        <f t="shared" si="12"/>
        <v>176071.94</v>
      </c>
      <c r="G421" s="238"/>
    </row>
    <row r="422" spans="1:10" s="239" customFormat="1" ht="25.5" customHeight="1">
      <c r="A422" s="258">
        <v>5.2</v>
      </c>
      <c r="B422" s="281" t="s">
        <v>35</v>
      </c>
      <c r="C422" s="125">
        <v>1382.99</v>
      </c>
      <c r="D422" s="282" t="s">
        <v>15</v>
      </c>
      <c r="E422" s="283">
        <v>79.28</v>
      </c>
      <c r="F422" s="256">
        <f t="shared" si="12"/>
        <v>109643.45</v>
      </c>
      <c r="G422" s="238"/>
    </row>
    <row r="423" spans="1:10" s="239" customFormat="1" ht="12.75" customHeight="1">
      <c r="A423" s="253"/>
      <c r="B423" s="261"/>
      <c r="C423" s="28"/>
      <c r="D423" s="237"/>
      <c r="E423" s="28"/>
      <c r="F423" s="203">
        <f t="shared" si="12"/>
        <v>0</v>
      </c>
      <c r="G423" s="238"/>
    </row>
    <row r="424" spans="1:10" s="239" customFormat="1" ht="12.75" customHeight="1">
      <c r="A424" s="243">
        <v>6</v>
      </c>
      <c r="B424" s="287" t="s">
        <v>119</v>
      </c>
      <c r="C424" s="28"/>
      <c r="D424" s="237"/>
      <c r="E424" s="288"/>
      <c r="F424" s="203"/>
      <c r="G424" s="238"/>
    </row>
    <row r="425" spans="1:10" s="239" customFormat="1" ht="12.75" customHeight="1">
      <c r="A425" s="253">
        <v>6.1</v>
      </c>
      <c r="B425" s="202" t="s">
        <v>120</v>
      </c>
      <c r="C425" s="28">
        <v>180</v>
      </c>
      <c r="D425" s="237" t="s">
        <v>38</v>
      </c>
      <c r="E425" s="62">
        <v>38384.660000000003</v>
      </c>
      <c r="F425" s="203">
        <f>+ROUND(C425*E425,2)</f>
        <v>6909238.7999999998</v>
      </c>
      <c r="G425" s="238"/>
    </row>
    <row r="426" spans="1:10" s="239" customFormat="1" ht="12.75" customHeight="1">
      <c r="A426" s="253">
        <v>6.2</v>
      </c>
      <c r="B426" s="202" t="s">
        <v>121</v>
      </c>
      <c r="C426" s="28">
        <v>80</v>
      </c>
      <c r="D426" s="237" t="s">
        <v>38</v>
      </c>
      <c r="E426" s="62">
        <v>43909.93</v>
      </c>
      <c r="F426" s="203">
        <f>+ROUND(C426*E426,2)</f>
        <v>3512794.4</v>
      </c>
      <c r="G426" s="238"/>
    </row>
    <row r="427" spans="1:10" s="239" customFormat="1" ht="12.75" customHeight="1">
      <c r="A427" s="253">
        <v>6.3</v>
      </c>
      <c r="B427" s="202" t="s">
        <v>122</v>
      </c>
      <c r="C427" s="28">
        <v>55</v>
      </c>
      <c r="D427" s="237" t="s">
        <v>38</v>
      </c>
      <c r="E427" s="62">
        <v>49374.49</v>
      </c>
      <c r="F427" s="203">
        <f>+ROUND(C427*E427,2)</f>
        <v>2715596.95</v>
      </c>
      <c r="G427" s="238"/>
    </row>
    <row r="428" spans="1:10" s="239" customFormat="1" ht="12.75" customHeight="1">
      <c r="A428" s="253">
        <v>6.4</v>
      </c>
      <c r="B428" s="202" t="s">
        <v>123</v>
      </c>
      <c r="C428" s="28">
        <v>27</v>
      </c>
      <c r="D428" s="237" t="s">
        <v>38</v>
      </c>
      <c r="E428" s="62">
        <v>54185.61</v>
      </c>
      <c r="F428" s="203">
        <f>+ROUND(C428*E428,2)</f>
        <v>1463011.47</v>
      </c>
      <c r="G428" s="238"/>
    </row>
    <row r="429" spans="1:10" s="239" customFormat="1" ht="12.75" customHeight="1">
      <c r="A429" s="253">
        <v>6.5</v>
      </c>
      <c r="B429" s="202" t="s">
        <v>124</v>
      </c>
      <c r="C429" s="28">
        <v>15</v>
      </c>
      <c r="D429" s="237" t="s">
        <v>38</v>
      </c>
      <c r="E429" s="62">
        <v>60479.49</v>
      </c>
      <c r="F429" s="203">
        <f>+ROUND(C429*E429,2)</f>
        <v>907192.35</v>
      </c>
      <c r="G429" s="238"/>
    </row>
    <row r="430" spans="1:10" s="239" customFormat="1" ht="12.75" customHeight="1">
      <c r="A430" s="253"/>
      <c r="B430" s="202"/>
      <c r="C430" s="28"/>
      <c r="D430" s="237"/>
      <c r="E430" s="62"/>
      <c r="F430" s="203"/>
      <c r="G430" s="238"/>
    </row>
    <row r="431" spans="1:10" s="296" customFormat="1" ht="25.5" customHeight="1">
      <c r="A431" s="289">
        <v>8</v>
      </c>
      <c r="B431" s="290" t="s">
        <v>41</v>
      </c>
      <c r="C431" s="291">
        <f>+C399</f>
        <v>4593.67</v>
      </c>
      <c r="D431" s="292" t="s">
        <v>15</v>
      </c>
      <c r="E431" s="293">
        <v>50.15</v>
      </c>
      <c r="F431" s="294">
        <f>ROUND(C431*E431,2)</f>
        <v>230372.55</v>
      </c>
      <c r="G431" s="295"/>
      <c r="I431" s="297"/>
      <c r="J431" s="298"/>
    </row>
    <row r="432" spans="1:10" s="72" customFormat="1">
      <c r="A432" s="166"/>
      <c r="B432" s="265"/>
      <c r="C432" s="266"/>
      <c r="D432" s="267"/>
      <c r="E432" s="268"/>
      <c r="F432" s="70"/>
      <c r="G432" s="74"/>
      <c r="I432" s="73"/>
      <c r="J432" s="51"/>
    </row>
    <row r="433" spans="1:10" s="72" customFormat="1">
      <c r="A433" s="166">
        <v>9</v>
      </c>
      <c r="B433" s="265" t="s">
        <v>42</v>
      </c>
      <c r="C433" s="266">
        <v>1</v>
      </c>
      <c r="D433" s="267" t="s">
        <v>43</v>
      </c>
      <c r="E433" s="268">
        <v>45000</v>
      </c>
      <c r="F433" s="70">
        <f>ROUND(C433*E433,2)</f>
        <v>45000</v>
      </c>
      <c r="G433" s="74"/>
      <c r="I433" s="73"/>
      <c r="J433" s="51"/>
    </row>
    <row r="434" spans="1:10" s="82" customFormat="1" ht="12.75" customHeight="1">
      <c r="A434" s="75"/>
      <c r="B434" s="76" t="s">
        <v>125</v>
      </c>
      <c r="C434" s="77"/>
      <c r="D434" s="78"/>
      <c r="E434" s="79"/>
      <c r="F434" s="80">
        <f>SUM(F399:F433)</f>
        <v>38423120.549999997</v>
      </c>
      <c r="G434" s="81"/>
    </row>
    <row r="435" spans="1:10">
      <c r="A435" s="284"/>
      <c r="B435" s="202"/>
      <c r="C435" s="251"/>
      <c r="D435" s="84"/>
      <c r="E435" s="34"/>
      <c r="F435" s="285"/>
      <c r="G435" s="286"/>
      <c r="H435" s="32"/>
    </row>
    <row r="436" spans="1:10" s="239" customFormat="1" ht="12.75" customHeight="1">
      <c r="A436" s="235" t="s">
        <v>126</v>
      </c>
      <c r="B436" s="287" t="s">
        <v>127</v>
      </c>
      <c r="C436" s="28"/>
      <c r="D436" s="237"/>
      <c r="E436" s="62"/>
      <c r="F436" s="203">
        <f>+ROUND(C436*E436,2)</f>
        <v>0</v>
      </c>
      <c r="G436" s="238"/>
    </row>
    <row r="437" spans="1:10" s="239" customFormat="1" ht="12.75" customHeight="1">
      <c r="A437" s="253"/>
      <c r="B437" s="287"/>
      <c r="C437" s="28"/>
      <c r="D437" s="237"/>
      <c r="E437" s="62"/>
      <c r="F437" s="203"/>
      <c r="G437" s="238"/>
    </row>
    <row r="438" spans="1:10" s="5" customFormat="1">
      <c r="A438" s="254">
        <v>7</v>
      </c>
      <c r="B438" s="299" t="s">
        <v>128</v>
      </c>
      <c r="C438" s="222"/>
      <c r="D438" s="223"/>
      <c r="E438" s="300"/>
      <c r="F438" s="301"/>
    </row>
    <row r="439" spans="1:10" s="5" customFormat="1">
      <c r="A439" s="285">
        <v>7.1</v>
      </c>
      <c r="B439" s="302" t="s">
        <v>14</v>
      </c>
      <c r="C439" s="303">
        <v>463.2</v>
      </c>
      <c r="D439" s="96" t="s">
        <v>18</v>
      </c>
      <c r="E439" s="304">
        <v>44.18</v>
      </c>
      <c r="F439" s="301">
        <f t="shared" ref="F439:F450" si="13">ROUND(E439*C439,2)</f>
        <v>20464.18</v>
      </c>
    </row>
    <row r="440" spans="1:10" s="5" customFormat="1">
      <c r="A440" s="285">
        <v>7.2</v>
      </c>
      <c r="B440" s="66" t="s">
        <v>129</v>
      </c>
      <c r="C440" s="303">
        <v>463.2</v>
      </c>
      <c r="D440" s="96" t="s">
        <v>18</v>
      </c>
      <c r="E440" s="304">
        <v>661.37</v>
      </c>
      <c r="F440" s="301">
        <f t="shared" si="13"/>
        <v>306346.58</v>
      </c>
    </row>
    <row r="441" spans="1:10" s="5" customFormat="1">
      <c r="A441" s="285">
        <v>7.3</v>
      </c>
      <c r="B441" s="66" t="s">
        <v>130</v>
      </c>
      <c r="C441" s="303">
        <v>463.2</v>
      </c>
      <c r="D441" s="96" t="s">
        <v>18</v>
      </c>
      <c r="E441" s="304">
        <v>62.3</v>
      </c>
      <c r="F441" s="301">
        <f t="shared" si="13"/>
        <v>28857.360000000001</v>
      </c>
    </row>
    <row r="442" spans="1:10" s="5" customFormat="1">
      <c r="A442" s="285">
        <v>7.4</v>
      </c>
      <c r="B442" s="302" t="s">
        <v>131</v>
      </c>
      <c r="C442" s="303">
        <v>80</v>
      </c>
      <c r="D442" s="96" t="s">
        <v>43</v>
      </c>
      <c r="E442" s="304">
        <v>4500</v>
      </c>
      <c r="F442" s="301">
        <f t="shared" si="13"/>
        <v>360000</v>
      </c>
    </row>
    <row r="443" spans="1:10" s="5" customFormat="1">
      <c r="A443" s="285">
        <v>7.5</v>
      </c>
      <c r="B443" s="66" t="s">
        <v>132</v>
      </c>
      <c r="C443" s="303">
        <v>80</v>
      </c>
      <c r="D443" s="96" t="s">
        <v>43</v>
      </c>
      <c r="E443" s="304">
        <v>694</v>
      </c>
      <c r="F443" s="301">
        <f t="shared" si="13"/>
        <v>55520</v>
      </c>
    </row>
    <row r="444" spans="1:10" s="5" customFormat="1">
      <c r="A444" s="285">
        <v>7.6</v>
      </c>
      <c r="B444" s="66" t="s">
        <v>133</v>
      </c>
      <c r="C444" s="303">
        <v>80</v>
      </c>
      <c r="D444" s="96" t="s">
        <v>43</v>
      </c>
      <c r="E444" s="304">
        <v>500</v>
      </c>
      <c r="F444" s="301">
        <f t="shared" si="13"/>
        <v>40000</v>
      </c>
    </row>
    <row r="445" spans="1:10" s="305" customFormat="1">
      <c r="A445" s="285">
        <v>7.7</v>
      </c>
      <c r="B445" s="302" t="s">
        <v>134</v>
      </c>
      <c r="C445" s="303">
        <v>80</v>
      </c>
      <c r="D445" s="96" t="s">
        <v>135</v>
      </c>
      <c r="E445" s="304">
        <v>75</v>
      </c>
      <c r="F445" s="301">
        <f t="shared" si="13"/>
        <v>6000</v>
      </c>
      <c r="G445" s="5"/>
    </row>
    <row r="446" spans="1:10" s="308" customFormat="1">
      <c r="A446" s="285">
        <v>7.8</v>
      </c>
      <c r="B446" s="66" t="s">
        <v>136</v>
      </c>
      <c r="C446" s="303">
        <v>375.2</v>
      </c>
      <c r="D446" s="306" t="s">
        <v>22</v>
      </c>
      <c r="E446" s="307">
        <v>315.58999999999997</v>
      </c>
      <c r="F446" s="301">
        <f t="shared" si="13"/>
        <v>118409.37</v>
      </c>
      <c r="G446" s="5"/>
    </row>
    <row r="447" spans="1:10" s="309" customFormat="1">
      <c r="A447" s="285">
        <v>7.9</v>
      </c>
      <c r="B447" s="66" t="s">
        <v>26</v>
      </c>
      <c r="C447" s="303">
        <v>26.4</v>
      </c>
      <c r="D447" s="306" t="s">
        <v>22</v>
      </c>
      <c r="E447" s="304">
        <v>1000</v>
      </c>
      <c r="F447" s="301">
        <f t="shared" si="13"/>
        <v>26400</v>
      </c>
      <c r="G447" s="5"/>
    </row>
    <row r="448" spans="1:10" s="5" customFormat="1" ht="25.5">
      <c r="A448" s="310">
        <v>7.1</v>
      </c>
      <c r="B448" s="311" t="s">
        <v>137</v>
      </c>
      <c r="C448" s="303">
        <v>331.2</v>
      </c>
      <c r="D448" s="306" t="s">
        <v>22</v>
      </c>
      <c r="E448" s="304">
        <v>122.26</v>
      </c>
      <c r="F448" s="301">
        <f t="shared" si="13"/>
        <v>40492.51</v>
      </c>
    </row>
    <row r="449" spans="1:7" s="312" customFormat="1" ht="25.5">
      <c r="A449" s="310">
        <v>7.11</v>
      </c>
      <c r="B449" s="66" t="s">
        <v>138</v>
      </c>
      <c r="C449" s="303">
        <v>52.8</v>
      </c>
      <c r="D449" s="96" t="s">
        <v>22</v>
      </c>
      <c r="E449" s="307">
        <v>363.3</v>
      </c>
      <c r="F449" s="301">
        <f t="shared" si="13"/>
        <v>19182.240000000002</v>
      </c>
      <c r="G449" s="5"/>
    </row>
    <row r="450" spans="1:7" s="313" customFormat="1">
      <c r="A450" s="310">
        <v>7.12</v>
      </c>
      <c r="B450" s="66" t="s">
        <v>139</v>
      </c>
      <c r="C450" s="303">
        <v>80</v>
      </c>
      <c r="D450" s="96" t="s">
        <v>140</v>
      </c>
      <c r="E450" s="304">
        <v>300</v>
      </c>
      <c r="F450" s="301">
        <f t="shared" si="13"/>
        <v>24000</v>
      </c>
      <c r="G450" s="5"/>
    </row>
    <row r="451" spans="1:7" s="309" customFormat="1">
      <c r="A451" s="310"/>
      <c r="B451" s="9"/>
      <c r="C451" s="303"/>
      <c r="D451" s="96"/>
      <c r="E451" s="304"/>
      <c r="F451" s="301"/>
    </row>
    <row r="452" spans="1:7" s="239" customFormat="1" ht="12.75" customHeight="1">
      <c r="A452" s="254">
        <v>7</v>
      </c>
      <c r="B452" s="314" t="s">
        <v>141</v>
      </c>
      <c r="C452" s="28"/>
      <c r="D452" s="237"/>
      <c r="E452" s="28"/>
      <c r="F452" s="203">
        <f t="shared" ref="F452:F465" si="14">+ROUND(C452*E452,2)</f>
        <v>0</v>
      </c>
      <c r="G452" s="238"/>
    </row>
    <row r="453" spans="1:7" s="239" customFormat="1" ht="12.75" customHeight="1">
      <c r="A453" s="285">
        <v>7.1</v>
      </c>
      <c r="B453" s="315" t="s">
        <v>14</v>
      </c>
      <c r="C453" s="251">
        <v>5957.91</v>
      </c>
      <c r="D453" s="84" t="s">
        <v>15</v>
      </c>
      <c r="E453" s="34">
        <v>44.18</v>
      </c>
      <c r="F453" s="203">
        <f t="shared" si="14"/>
        <v>263220.46000000002</v>
      </c>
      <c r="G453" s="238"/>
    </row>
    <row r="454" spans="1:7" s="239" customFormat="1" ht="12.75" customHeight="1">
      <c r="A454" s="285">
        <v>7.2</v>
      </c>
      <c r="B454" s="263" t="s">
        <v>142</v>
      </c>
      <c r="C454" s="251">
        <v>5957.91</v>
      </c>
      <c r="D454" s="264" t="s">
        <v>15</v>
      </c>
      <c r="E454" s="34">
        <v>336.59</v>
      </c>
      <c r="F454" s="203">
        <f t="shared" si="14"/>
        <v>2005372.93</v>
      </c>
      <c r="G454" s="238"/>
    </row>
    <row r="455" spans="1:7" s="239" customFormat="1" ht="12.75" customHeight="1">
      <c r="A455" s="285">
        <v>7.3</v>
      </c>
      <c r="B455" s="263" t="s">
        <v>143</v>
      </c>
      <c r="C455" s="251">
        <v>5957.91</v>
      </c>
      <c r="D455" s="84" t="s">
        <v>15</v>
      </c>
      <c r="E455" s="34">
        <v>28.31</v>
      </c>
      <c r="F455" s="203">
        <f t="shared" si="14"/>
        <v>168668.43</v>
      </c>
      <c r="G455" s="238"/>
    </row>
    <row r="456" spans="1:7" s="239" customFormat="1" ht="12.75" customHeight="1">
      <c r="A456" s="285">
        <v>7.4</v>
      </c>
      <c r="B456" s="263" t="s">
        <v>144</v>
      </c>
      <c r="C456" s="251">
        <v>1029</v>
      </c>
      <c r="D456" s="84" t="s">
        <v>38</v>
      </c>
      <c r="E456" s="34">
        <v>4795</v>
      </c>
      <c r="F456" s="203">
        <f t="shared" si="14"/>
        <v>4934055</v>
      </c>
      <c r="G456" s="238"/>
    </row>
    <row r="457" spans="1:7" s="239" customFormat="1" ht="12.75" customHeight="1">
      <c r="A457" s="285">
        <v>7.5</v>
      </c>
      <c r="B457" s="263" t="s">
        <v>145</v>
      </c>
      <c r="C457" s="251">
        <v>1029</v>
      </c>
      <c r="D457" s="84" t="s">
        <v>38</v>
      </c>
      <c r="E457" s="34">
        <v>300</v>
      </c>
      <c r="F457" s="203">
        <f t="shared" si="14"/>
        <v>308700</v>
      </c>
      <c r="G457" s="238"/>
    </row>
    <row r="458" spans="1:7" s="239" customFormat="1" ht="12.75" customHeight="1">
      <c r="A458" s="285">
        <v>7.6</v>
      </c>
      <c r="B458" s="263" t="s">
        <v>146</v>
      </c>
      <c r="C458" s="251">
        <v>2058</v>
      </c>
      <c r="D458" s="84" t="s">
        <v>38</v>
      </c>
      <c r="E458" s="34">
        <v>163.69999999999999</v>
      </c>
      <c r="F458" s="203">
        <f t="shared" si="14"/>
        <v>336894.6</v>
      </c>
      <c r="G458" s="238"/>
    </row>
    <row r="459" spans="1:7" s="239" customFormat="1" ht="12.75" customHeight="1">
      <c r="A459" s="285">
        <v>7.7</v>
      </c>
      <c r="B459" s="263" t="s">
        <v>147</v>
      </c>
      <c r="C459" s="251">
        <v>2058</v>
      </c>
      <c r="D459" s="84" t="s">
        <v>38</v>
      </c>
      <c r="E459" s="34">
        <v>95.49</v>
      </c>
      <c r="F459" s="203">
        <f t="shared" si="14"/>
        <v>196518.42</v>
      </c>
      <c r="G459" s="238"/>
    </row>
    <row r="460" spans="1:7" s="239" customFormat="1" ht="12.75" customHeight="1">
      <c r="A460" s="285">
        <v>7.8</v>
      </c>
      <c r="B460" s="263" t="s">
        <v>134</v>
      </c>
      <c r="C460" s="251">
        <v>1029</v>
      </c>
      <c r="D460" s="84" t="s">
        <v>38</v>
      </c>
      <c r="E460" s="34">
        <v>75</v>
      </c>
      <c r="F460" s="203">
        <f t="shared" si="14"/>
        <v>77175</v>
      </c>
      <c r="G460" s="238"/>
    </row>
    <row r="461" spans="1:7" s="239" customFormat="1" ht="12.75" customHeight="1">
      <c r="A461" s="285">
        <v>7.9</v>
      </c>
      <c r="B461" s="315" t="s">
        <v>148</v>
      </c>
      <c r="C461" s="251">
        <v>3951.36</v>
      </c>
      <c r="D461" s="84" t="s">
        <v>22</v>
      </c>
      <c r="E461" s="34">
        <v>154.52000000000001</v>
      </c>
      <c r="F461" s="203">
        <f t="shared" si="14"/>
        <v>610564.15</v>
      </c>
      <c r="G461" s="238"/>
    </row>
    <row r="462" spans="1:7" s="239" customFormat="1" ht="12.75" customHeight="1">
      <c r="A462" s="310">
        <v>7.1</v>
      </c>
      <c r="B462" s="315" t="s">
        <v>26</v>
      </c>
      <c r="C462" s="251">
        <v>380.73</v>
      </c>
      <c r="D462" s="84" t="s">
        <v>22</v>
      </c>
      <c r="E462" s="34">
        <v>1068.3599999999999</v>
      </c>
      <c r="F462" s="203">
        <f t="shared" si="14"/>
        <v>406756.7</v>
      </c>
      <c r="G462" s="238"/>
    </row>
    <row r="463" spans="1:7" s="239" customFormat="1" ht="12.75" customHeight="1">
      <c r="A463" s="310">
        <v>7.11</v>
      </c>
      <c r="B463" s="315" t="s">
        <v>149</v>
      </c>
      <c r="C463" s="251">
        <v>3395.7</v>
      </c>
      <c r="D463" s="84" t="s">
        <v>22</v>
      </c>
      <c r="E463" s="34">
        <v>183.68</v>
      </c>
      <c r="F463" s="203">
        <f t="shared" si="14"/>
        <v>623722.18000000005</v>
      </c>
      <c r="G463" s="238"/>
    </row>
    <row r="464" spans="1:7" s="239" customFormat="1" ht="12.75" customHeight="1">
      <c r="A464" s="310">
        <v>7.12</v>
      </c>
      <c r="B464" s="250" t="s">
        <v>29</v>
      </c>
      <c r="C464" s="251">
        <v>668.85</v>
      </c>
      <c r="D464" s="84" t="s">
        <v>22</v>
      </c>
      <c r="E464" s="34">
        <v>165</v>
      </c>
      <c r="F464" s="203">
        <f t="shared" si="14"/>
        <v>110360.25</v>
      </c>
      <c r="G464" s="238"/>
    </row>
    <row r="465" spans="1:8" s="239" customFormat="1" ht="12.75" customHeight="1">
      <c r="A465" s="310">
        <v>7.13</v>
      </c>
      <c r="B465" s="263" t="s">
        <v>150</v>
      </c>
      <c r="C465" s="251">
        <v>1029</v>
      </c>
      <c r="D465" s="84" t="s">
        <v>38</v>
      </c>
      <c r="E465" s="34">
        <v>250</v>
      </c>
      <c r="F465" s="203">
        <f t="shared" si="14"/>
        <v>257250</v>
      </c>
      <c r="G465" s="238"/>
    </row>
    <row r="466" spans="1:8" s="82" customFormat="1" ht="12.75" customHeight="1">
      <c r="A466" s="75"/>
      <c r="B466" s="76" t="s">
        <v>151</v>
      </c>
      <c r="C466" s="77"/>
      <c r="D466" s="78"/>
      <c r="E466" s="79"/>
      <c r="F466" s="80">
        <f>SUM(F438:F465)</f>
        <v>11344930.359999999</v>
      </c>
      <c r="G466" s="81"/>
    </row>
    <row r="467" spans="1:8" s="8" customFormat="1" ht="12.75" customHeight="1">
      <c r="A467" s="316"/>
      <c r="B467" s="317"/>
      <c r="C467" s="318"/>
      <c r="D467" s="319"/>
      <c r="E467" s="23"/>
      <c r="F467" s="23"/>
      <c r="G467" s="7"/>
    </row>
    <row r="468" spans="1:8" s="8" customFormat="1" ht="12.75" customHeight="1">
      <c r="A468" s="182" t="s">
        <v>152</v>
      </c>
      <c r="B468" s="317" t="s">
        <v>153</v>
      </c>
      <c r="C468" s="28"/>
      <c r="D468" s="237"/>
      <c r="E468" s="28"/>
      <c r="F468" s="203"/>
      <c r="G468" s="7"/>
    </row>
    <row r="469" spans="1:8" s="8" customFormat="1" ht="12.75" customHeight="1">
      <c r="A469" s="182"/>
      <c r="B469" s="317"/>
      <c r="C469" s="28"/>
      <c r="D469" s="237"/>
      <c r="E469" s="28"/>
      <c r="F469" s="203"/>
      <c r="G469" s="7"/>
    </row>
    <row r="470" spans="1:8" s="2" customFormat="1" ht="12.75" customHeight="1">
      <c r="A470" s="320">
        <v>1</v>
      </c>
      <c r="B470" s="265" t="s">
        <v>154</v>
      </c>
      <c r="C470" s="28">
        <v>1</v>
      </c>
      <c r="D470" s="237" t="s">
        <v>43</v>
      </c>
      <c r="E470" s="28">
        <v>50000000</v>
      </c>
      <c r="F470" s="70">
        <f>ROUND(C470*E470,2)</f>
        <v>50000000</v>
      </c>
      <c r="G470" s="1"/>
    </row>
    <row r="471" spans="1:8" s="82" customFormat="1" ht="12.75" customHeight="1">
      <c r="A471" s="75"/>
      <c r="B471" s="76" t="s">
        <v>155</v>
      </c>
      <c r="C471" s="77"/>
      <c r="D471" s="78"/>
      <c r="E471" s="79"/>
      <c r="F471" s="80">
        <f>SUM(F470)</f>
        <v>50000000</v>
      </c>
      <c r="G471" s="81"/>
    </row>
    <row r="472" spans="1:8" s="328" customFormat="1">
      <c r="A472" s="321"/>
      <c r="B472" s="287"/>
      <c r="C472" s="322"/>
      <c r="D472" s="323"/>
      <c r="E472" s="324"/>
      <c r="F472" s="325"/>
      <c r="G472" s="326"/>
      <c r="H472" s="327"/>
    </row>
    <row r="473" spans="1:8" s="328" customFormat="1">
      <c r="A473" s="321" t="s">
        <v>156</v>
      </c>
      <c r="B473" s="287" t="s">
        <v>157</v>
      </c>
      <c r="C473" s="322"/>
      <c r="D473" s="323"/>
      <c r="E473" s="324"/>
      <c r="F473" s="325"/>
      <c r="G473" s="326"/>
      <c r="H473" s="327"/>
    </row>
    <row r="474" spans="1:8" s="328" customFormat="1" ht="6.75" customHeight="1">
      <c r="A474" s="321"/>
      <c r="B474" s="287"/>
      <c r="C474" s="322"/>
      <c r="D474" s="323"/>
      <c r="E474" s="324"/>
      <c r="F474" s="325"/>
      <c r="G474" s="326"/>
      <c r="H474" s="327"/>
    </row>
    <row r="475" spans="1:8" s="328" customFormat="1">
      <c r="A475" s="329">
        <v>1</v>
      </c>
      <c r="B475" s="330" t="s">
        <v>158</v>
      </c>
      <c r="C475" s="331"/>
      <c r="D475" s="332"/>
      <c r="E475" s="333"/>
      <c r="F475" s="334"/>
      <c r="G475" s="326"/>
      <c r="H475" s="327"/>
    </row>
    <row r="476" spans="1:8" s="328" customFormat="1" ht="6.75" customHeight="1">
      <c r="A476" s="335"/>
      <c r="B476" s="317"/>
      <c r="C476" s="336"/>
      <c r="D476" s="337"/>
      <c r="E476" s="338"/>
      <c r="F476" s="339"/>
      <c r="G476" s="326"/>
      <c r="H476" s="327"/>
    </row>
    <row r="477" spans="1:8" s="328" customFormat="1">
      <c r="A477" s="340">
        <v>1.1000000000000001</v>
      </c>
      <c r="B477" s="317" t="s">
        <v>159</v>
      </c>
      <c r="C477" s="336"/>
      <c r="D477" s="337"/>
      <c r="E477" s="338"/>
      <c r="F477" s="339"/>
      <c r="G477" s="326"/>
      <c r="H477" s="327"/>
    </row>
    <row r="478" spans="1:8" s="328" customFormat="1">
      <c r="A478" s="340" t="s">
        <v>160</v>
      </c>
      <c r="B478" s="317" t="s">
        <v>161</v>
      </c>
      <c r="C478" s="336"/>
      <c r="D478" s="337"/>
      <c r="E478" s="338"/>
      <c r="F478" s="339"/>
      <c r="G478" s="326"/>
      <c r="H478" s="327"/>
    </row>
    <row r="479" spans="1:8" s="328" customFormat="1">
      <c r="A479" s="341" t="s">
        <v>162</v>
      </c>
      <c r="B479" s="342" t="s">
        <v>163</v>
      </c>
      <c r="C479" s="343">
        <v>2500</v>
      </c>
      <c r="D479" s="344" t="s">
        <v>15</v>
      </c>
      <c r="E479" s="345">
        <v>65</v>
      </c>
      <c r="F479" s="346">
        <f t="shared" ref="F479:F511" si="15">ROUND(E479*C479,2)</f>
        <v>162500</v>
      </c>
      <c r="G479" s="326"/>
      <c r="H479" s="327"/>
    </row>
    <row r="480" spans="1:8" s="328" customFormat="1">
      <c r="A480" s="341" t="s">
        <v>164</v>
      </c>
      <c r="B480" s="342" t="s">
        <v>165</v>
      </c>
      <c r="C480" s="343">
        <v>630</v>
      </c>
      <c r="D480" s="344" t="s">
        <v>22</v>
      </c>
      <c r="E480" s="345">
        <v>165</v>
      </c>
      <c r="F480" s="346">
        <f t="shared" si="15"/>
        <v>103950</v>
      </c>
      <c r="G480" s="326"/>
      <c r="H480" s="327"/>
    </row>
    <row r="481" spans="1:8" s="328" customFormat="1">
      <c r="A481" s="335"/>
      <c r="B481" s="317"/>
      <c r="C481" s="336"/>
      <c r="D481" s="337"/>
      <c r="E481" s="338"/>
      <c r="F481" s="346">
        <f t="shared" si="15"/>
        <v>0</v>
      </c>
      <c r="G481" s="326"/>
      <c r="H481" s="327"/>
    </row>
    <row r="482" spans="1:8" s="328" customFormat="1">
      <c r="A482" s="340" t="s">
        <v>166</v>
      </c>
      <c r="B482" s="23" t="s">
        <v>167</v>
      </c>
      <c r="C482" s="343"/>
      <c r="D482" s="344"/>
      <c r="E482" s="345"/>
      <c r="F482" s="346">
        <f t="shared" si="15"/>
        <v>0</v>
      </c>
      <c r="G482" s="326"/>
      <c r="H482" s="327"/>
    </row>
    <row r="483" spans="1:8" s="328" customFormat="1">
      <c r="A483" s="341" t="s">
        <v>168</v>
      </c>
      <c r="B483" s="166" t="s">
        <v>169</v>
      </c>
      <c r="C483" s="343">
        <v>2000</v>
      </c>
      <c r="D483" s="344" t="s">
        <v>20</v>
      </c>
      <c r="E483" s="345">
        <v>638.45000000000005</v>
      </c>
      <c r="F483" s="346">
        <f t="shared" si="15"/>
        <v>1276900</v>
      </c>
      <c r="G483" s="326"/>
      <c r="H483" s="327"/>
    </row>
    <row r="484" spans="1:8" s="355" customFormat="1">
      <c r="A484" s="347" t="s">
        <v>170</v>
      </c>
      <c r="B484" s="348" t="s">
        <v>171</v>
      </c>
      <c r="C484" s="349">
        <v>2500</v>
      </c>
      <c r="D484" s="350" t="s">
        <v>15</v>
      </c>
      <c r="E484" s="351">
        <v>685.25</v>
      </c>
      <c r="F484" s="352">
        <f t="shared" si="15"/>
        <v>1713125</v>
      </c>
      <c r="G484" s="353"/>
      <c r="H484" s="354"/>
    </row>
    <row r="485" spans="1:8" s="328" customFormat="1">
      <c r="A485" s="341"/>
      <c r="B485" s="342"/>
      <c r="C485" s="343"/>
      <c r="D485" s="344"/>
      <c r="E485" s="345"/>
      <c r="F485" s="346">
        <f t="shared" si="15"/>
        <v>0</v>
      </c>
      <c r="G485" s="326"/>
      <c r="H485" s="327"/>
    </row>
    <row r="486" spans="1:8" s="328" customFormat="1">
      <c r="A486" s="340">
        <v>1.2</v>
      </c>
      <c r="B486" s="23" t="s">
        <v>172</v>
      </c>
      <c r="C486" s="356"/>
      <c r="D486" s="357"/>
      <c r="E486" s="358"/>
      <c r="F486" s="346">
        <f t="shared" si="15"/>
        <v>0</v>
      </c>
      <c r="G486" s="326"/>
      <c r="H486" s="327"/>
    </row>
    <row r="487" spans="1:8" s="328" customFormat="1">
      <c r="A487" s="340" t="s">
        <v>173</v>
      </c>
      <c r="B487" s="23" t="s">
        <v>174</v>
      </c>
      <c r="C487" s="356"/>
      <c r="D487" s="357"/>
      <c r="E487" s="358"/>
      <c r="F487" s="346">
        <f t="shared" si="15"/>
        <v>0</v>
      </c>
      <c r="G487" s="326"/>
      <c r="H487" s="327"/>
    </row>
    <row r="488" spans="1:8" s="328" customFormat="1">
      <c r="A488" s="341" t="s">
        <v>175</v>
      </c>
      <c r="B488" s="342" t="s">
        <v>176</v>
      </c>
      <c r="C488" s="343">
        <v>400</v>
      </c>
      <c r="D488" s="344" t="s">
        <v>15</v>
      </c>
      <c r="E488" s="345">
        <v>32.06</v>
      </c>
      <c r="F488" s="346">
        <f t="shared" si="15"/>
        <v>12824</v>
      </c>
      <c r="G488" s="326"/>
      <c r="H488" s="327"/>
    </row>
    <row r="489" spans="1:8" s="328" customFormat="1">
      <c r="A489" s="341" t="s">
        <v>177</v>
      </c>
      <c r="B489" s="342" t="s">
        <v>178</v>
      </c>
      <c r="C489" s="343">
        <v>200</v>
      </c>
      <c r="D489" s="344" t="s">
        <v>15</v>
      </c>
      <c r="E489" s="345">
        <v>42.59</v>
      </c>
      <c r="F489" s="346">
        <f t="shared" si="15"/>
        <v>8518</v>
      </c>
      <c r="G489" s="326"/>
      <c r="H489" s="327"/>
    </row>
    <row r="490" spans="1:8" s="328" customFormat="1">
      <c r="A490" s="341" t="s">
        <v>179</v>
      </c>
      <c r="B490" s="342" t="s">
        <v>180</v>
      </c>
      <c r="C490" s="343">
        <v>200</v>
      </c>
      <c r="D490" s="344" t="s">
        <v>15</v>
      </c>
      <c r="E490" s="345">
        <v>63.21</v>
      </c>
      <c r="F490" s="346">
        <f t="shared" si="15"/>
        <v>12642</v>
      </c>
      <c r="G490" s="326"/>
      <c r="H490" s="327"/>
    </row>
    <row r="491" spans="1:8" s="328" customFormat="1">
      <c r="A491" s="341" t="s">
        <v>181</v>
      </c>
      <c r="B491" s="342" t="s">
        <v>182</v>
      </c>
      <c r="C491" s="343">
        <v>100</v>
      </c>
      <c r="D491" s="344" t="s">
        <v>15</v>
      </c>
      <c r="E491" s="345">
        <v>130.66999999999999</v>
      </c>
      <c r="F491" s="346">
        <f t="shared" si="15"/>
        <v>13067</v>
      </c>
      <c r="G491" s="326"/>
      <c r="H491" s="327"/>
    </row>
    <row r="492" spans="1:8" s="328" customFormat="1">
      <c r="A492" s="341" t="s">
        <v>183</v>
      </c>
      <c r="B492" s="342" t="s">
        <v>184</v>
      </c>
      <c r="C492" s="343">
        <v>20</v>
      </c>
      <c r="D492" s="344" t="s">
        <v>15</v>
      </c>
      <c r="E492" s="345">
        <v>252.73</v>
      </c>
      <c r="F492" s="346">
        <f t="shared" si="15"/>
        <v>5054.6000000000004</v>
      </c>
      <c r="G492" s="326"/>
      <c r="H492" s="327"/>
    </row>
    <row r="493" spans="1:8" s="328" customFormat="1">
      <c r="A493" s="341" t="s">
        <v>183</v>
      </c>
      <c r="B493" s="342" t="s">
        <v>185</v>
      </c>
      <c r="C493" s="343">
        <v>20</v>
      </c>
      <c r="D493" s="344" t="s">
        <v>15</v>
      </c>
      <c r="E493" s="345">
        <v>405.68</v>
      </c>
      <c r="F493" s="346">
        <f>ROUND(E493*C493,2)</f>
        <v>8113.6</v>
      </c>
      <c r="G493" s="326"/>
      <c r="H493" s="327"/>
    </row>
    <row r="494" spans="1:8" s="328" customFormat="1">
      <c r="A494" s="341"/>
      <c r="B494" s="342"/>
      <c r="C494" s="343"/>
      <c r="D494" s="344"/>
      <c r="E494" s="345"/>
      <c r="F494" s="346"/>
      <c r="G494" s="326"/>
      <c r="H494" s="327"/>
    </row>
    <row r="495" spans="1:8" s="328" customFormat="1">
      <c r="A495" s="340" t="s">
        <v>186</v>
      </c>
      <c r="B495" s="23" t="s">
        <v>62</v>
      </c>
      <c r="C495" s="356"/>
      <c r="D495" s="357"/>
      <c r="E495" s="358"/>
      <c r="F495" s="346"/>
      <c r="G495" s="326"/>
      <c r="H495" s="327"/>
    </row>
    <row r="496" spans="1:8" s="328" customFormat="1">
      <c r="A496" s="341" t="s">
        <v>187</v>
      </c>
      <c r="B496" s="342" t="s">
        <v>188</v>
      </c>
      <c r="C496" s="343">
        <v>800</v>
      </c>
      <c r="D496" s="344" t="s">
        <v>43</v>
      </c>
      <c r="E496" s="345">
        <v>4.55</v>
      </c>
      <c r="F496" s="346">
        <f t="shared" si="15"/>
        <v>3640</v>
      </c>
      <c r="G496" s="326"/>
      <c r="H496" s="327"/>
    </row>
    <row r="497" spans="1:8" s="328" customFormat="1">
      <c r="A497" s="341" t="s">
        <v>189</v>
      </c>
      <c r="B497" s="342" t="s">
        <v>190</v>
      </c>
      <c r="C497" s="343">
        <v>400</v>
      </c>
      <c r="D497" s="344" t="s">
        <v>43</v>
      </c>
      <c r="E497" s="345">
        <v>5.46</v>
      </c>
      <c r="F497" s="346">
        <f t="shared" si="15"/>
        <v>2184</v>
      </c>
      <c r="G497" s="326"/>
      <c r="H497" s="327"/>
    </row>
    <row r="498" spans="1:8" s="328" customFormat="1">
      <c r="A498" s="341" t="s">
        <v>191</v>
      </c>
      <c r="B498" s="342" t="s">
        <v>192</v>
      </c>
      <c r="C498" s="343">
        <v>400</v>
      </c>
      <c r="D498" s="344" t="s">
        <v>43</v>
      </c>
      <c r="E498" s="345">
        <v>10.9</v>
      </c>
      <c r="F498" s="346">
        <f t="shared" si="15"/>
        <v>4360</v>
      </c>
      <c r="G498" s="326"/>
      <c r="H498" s="327"/>
    </row>
    <row r="499" spans="1:8" s="328" customFormat="1">
      <c r="A499" s="341" t="s">
        <v>193</v>
      </c>
      <c r="B499" s="342" t="s">
        <v>194</v>
      </c>
      <c r="C499" s="343">
        <v>200</v>
      </c>
      <c r="D499" s="344" t="s">
        <v>43</v>
      </c>
      <c r="E499" s="345">
        <v>25.48</v>
      </c>
      <c r="F499" s="346">
        <f t="shared" si="15"/>
        <v>5096</v>
      </c>
      <c r="G499" s="326"/>
      <c r="H499" s="327"/>
    </row>
    <row r="500" spans="1:8" s="328" customFormat="1">
      <c r="A500" s="341" t="s">
        <v>195</v>
      </c>
      <c r="B500" s="342" t="s">
        <v>196</v>
      </c>
      <c r="C500" s="343">
        <v>40</v>
      </c>
      <c r="D500" s="344" t="s">
        <v>43</v>
      </c>
      <c r="E500" s="345">
        <v>1272.97</v>
      </c>
      <c r="F500" s="346">
        <f t="shared" si="15"/>
        <v>50918.8</v>
      </c>
      <c r="G500" s="326"/>
      <c r="H500" s="327"/>
    </row>
    <row r="501" spans="1:8" s="328" customFormat="1">
      <c r="A501" s="341" t="s">
        <v>195</v>
      </c>
      <c r="B501" s="342" t="s">
        <v>197</v>
      </c>
      <c r="C501" s="343">
        <v>40</v>
      </c>
      <c r="D501" s="344" t="s">
        <v>43</v>
      </c>
      <c r="E501" s="345">
        <v>1356.41</v>
      </c>
      <c r="F501" s="346">
        <f>ROUND(E501*C501,2)</f>
        <v>54256.4</v>
      </c>
      <c r="G501" s="326"/>
      <c r="H501" s="327"/>
    </row>
    <row r="502" spans="1:8" s="328" customFormat="1">
      <c r="A502" s="341"/>
      <c r="B502" s="342"/>
      <c r="C502" s="343">
        <v>0</v>
      </c>
      <c r="D502" s="344"/>
      <c r="E502" s="345"/>
      <c r="F502" s="346">
        <f t="shared" si="15"/>
        <v>0</v>
      </c>
      <c r="G502" s="326"/>
      <c r="H502" s="327"/>
    </row>
    <row r="503" spans="1:8" s="328" customFormat="1">
      <c r="A503" s="340" t="s">
        <v>198</v>
      </c>
      <c r="B503" s="23" t="s">
        <v>199</v>
      </c>
      <c r="C503" s="356">
        <v>0</v>
      </c>
      <c r="D503" s="357"/>
      <c r="E503" s="358"/>
      <c r="F503" s="346">
        <f t="shared" si="15"/>
        <v>0</v>
      </c>
      <c r="G503" s="326"/>
      <c r="H503" s="327"/>
    </row>
    <row r="504" spans="1:8" s="328" customFormat="1">
      <c r="A504" s="341" t="s">
        <v>200</v>
      </c>
      <c r="B504" s="342" t="s">
        <v>201</v>
      </c>
      <c r="C504" s="343">
        <v>120</v>
      </c>
      <c r="D504" s="344" t="s">
        <v>202</v>
      </c>
      <c r="E504" s="345">
        <v>247.13</v>
      </c>
      <c r="F504" s="346">
        <f t="shared" si="15"/>
        <v>29655.599999999999</v>
      </c>
      <c r="G504" s="326"/>
      <c r="H504" s="327"/>
    </row>
    <row r="505" spans="1:8" s="328" customFormat="1">
      <c r="A505" s="341" t="s">
        <v>203</v>
      </c>
      <c r="B505" s="342" t="s">
        <v>204</v>
      </c>
      <c r="C505" s="343">
        <v>120</v>
      </c>
      <c r="D505" s="344" t="s">
        <v>202</v>
      </c>
      <c r="E505" s="345">
        <v>164.75</v>
      </c>
      <c r="F505" s="346">
        <f t="shared" si="15"/>
        <v>19770</v>
      </c>
      <c r="G505" s="326"/>
      <c r="H505" s="327"/>
    </row>
    <row r="506" spans="1:8" s="328" customFormat="1">
      <c r="A506" s="341"/>
      <c r="B506" s="342"/>
      <c r="C506" s="343">
        <v>0</v>
      </c>
      <c r="D506" s="344"/>
      <c r="E506" s="345"/>
      <c r="F506" s="346">
        <f>ROUND(E506*C506,2)</f>
        <v>0</v>
      </c>
      <c r="G506" s="326"/>
      <c r="H506" s="327"/>
    </row>
    <row r="507" spans="1:8" s="328" customFormat="1">
      <c r="A507" s="335">
        <v>2</v>
      </c>
      <c r="B507" s="23" t="s">
        <v>205</v>
      </c>
      <c r="C507" s="356">
        <v>0</v>
      </c>
      <c r="D507" s="357"/>
      <c r="E507" s="358"/>
      <c r="F507" s="346">
        <f>ROUND(E507*C507,2)</f>
        <v>0</v>
      </c>
      <c r="G507" s="326"/>
      <c r="H507" s="327"/>
    </row>
    <row r="508" spans="1:8" s="328" customFormat="1">
      <c r="A508" s="341">
        <v>2.1</v>
      </c>
      <c r="B508" s="342" t="s">
        <v>206</v>
      </c>
      <c r="C508" s="343">
        <v>160</v>
      </c>
      <c r="D508" s="344" t="s">
        <v>202</v>
      </c>
      <c r="E508" s="345">
        <v>388.1</v>
      </c>
      <c r="F508" s="346">
        <f>ROUND(E508*C508,2)</f>
        <v>62096</v>
      </c>
      <c r="G508" s="326"/>
      <c r="H508" s="327"/>
    </row>
    <row r="509" spans="1:8" s="328" customFormat="1">
      <c r="A509" s="341">
        <v>2.2000000000000002</v>
      </c>
      <c r="B509" s="359" t="s">
        <v>207</v>
      </c>
      <c r="C509" s="343">
        <v>80</v>
      </c>
      <c r="D509" s="344" t="s">
        <v>202</v>
      </c>
      <c r="E509" s="345">
        <v>588.75</v>
      </c>
      <c r="F509" s="346">
        <f>ROUND(E509*C509,2)</f>
        <v>47100</v>
      </c>
      <c r="G509" s="326"/>
      <c r="H509" s="327"/>
    </row>
    <row r="510" spans="1:8" s="328" customFormat="1">
      <c r="A510" s="341">
        <v>2.2999999999999998</v>
      </c>
      <c r="B510" s="359" t="s">
        <v>208</v>
      </c>
      <c r="C510" s="343">
        <v>60</v>
      </c>
      <c r="D510" s="344" t="s">
        <v>202</v>
      </c>
      <c r="E510" s="345">
        <v>879.38</v>
      </c>
      <c r="F510" s="346">
        <f>ROUND(E510*C510,2)</f>
        <v>52762.8</v>
      </c>
      <c r="G510" s="326"/>
      <c r="H510" s="327"/>
    </row>
    <row r="511" spans="1:8" s="328" customFormat="1">
      <c r="A511" s="182"/>
      <c r="B511" s="342"/>
      <c r="C511" s="360"/>
      <c r="D511" s="342"/>
      <c r="E511" s="361"/>
      <c r="F511" s="346">
        <f t="shared" si="15"/>
        <v>0</v>
      </c>
      <c r="G511" s="326"/>
      <c r="H511" s="327"/>
    </row>
    <row r="512" spans="1:8" s="328" customFormat="1">
      <c r="A512" s="316">
        <v>3</v>
      </c>
      <c r="B512" s="23" t="s">
        <v>209</v>
      </c>
      <c r="C512" s="360"/>
      <c r="D512" s="342"/>
      <c r="E512" s="361"/>
      <c r="F512" s="346"/>
      <c r="G512" s="362"/>
      <c r="H512" s="363"/>
    </row>
    <row r="513" spans="1:8" s="369" customFormat="1">
      <c r="A513" s="364">
        <v>3.1</v>
      </c>
      <c r="B513" s="365" t="s">
        <v>210</v>
      </c>
      <c r="C513" s="366"/>
      <c r="D513" s="344"/>
      <c r="E513" s="367"/>
      <c r="F513" s="346">
        <f t="shared" ref="F513:F519" si="16">ROUND(E513*C513,2)</f>
        <v>0</v>
      </c>
      <c r="G513" s="368"/>
    </row>
    <row r="514" spans="1:8" s="369" customFormat="1" ht="24.75" customHeight="1">
      <c r="A514" s="65" t="s">
        <v>211</v>
      </c>
      <c r="B514" s="265" t="s">
        <v>212</v>
      </c>
      <c r="C514" s="366">
        <v>190.28</v>
      </c>
      <c r="D514" s="344" t="s">
        <v>213</v>
      </c>
      <c r="E514" s="367">
        <v>1164.5999999999999</v>
      </c>
      <c r="F514" s="346">
        <f t="shared" si="16"/>
        <v>221600.09</v>
      </c>
      <c r="G514" s="368"/>
    </row>
    <row r="515" spans="1:8" s="369" customFormat="1" ht="9" customHeight="1">
      <c r="A515" s="181"/>
      <c r="B515" s="365"/>
      <c r="C515" s="366"/>
      <c r="D515" s="344"/>
      <c r="E515" s="367"/>
      <c r="F515" s="346">
        <f t="shared" si="16"/>
        <v>0</v>
      </c>
      <c r="G515" s="368"/>
    </row>
    <row r="516" spans="1:8" s="369" customFormat="1">
      <c r="A516" s="181">
        <v>3.2</v>
      </c>
      <c r="B516" s="365" t="s">
        <v>214</v>
      </c>
      <c r="C516" s="366">
        <v>0</v>
      </c>
      <c r="D516" s="344"/>
      <c r="E516" s="367"/>
      <c r="F516" s="346">
        <f t="shared" si="16"/>
        <v>0</v>
      </c>
      <c r="G516" s="368"/>
    </row>
    <row r="517" spans="1:8" s="369" customFormat="1">
      <c r="A517" s="65" t="s">
        <v>215</v>
      </c>
      <c r="B517" s="342" t="s">
        <v>216</v>
      </c>
      <c r="C517" s="366">
        <v>22978.47</v>
      </c>
      <c r="D517" s="344" t="s">
        <v>20</v>
      </c>
      <c r="E517" s="367">
        <v>30.04</v>
      </c>
      <c r="F517" s="370">
        <f t="shared" si="16"/>
        <v>690273.24</v>
      </c>
      <c r="G517" s="368">
        <f>+C17+C51+C84+C116+C150+C183+C213+C247+C277+C340+C370+C403</f>
        <v>23198.47</v>
      </c>
    </row>
    <row r="518" spans="1:8" s="369" customFormat="1">
      <c r="A518" s="65" t="s">
        <v>217</v>
      </c>
      <c r="B518" s="342" t="s">
        <v>218</v>
      </c>
      <c r="C518" s="371">
        <v>1148.92</v>
      </c>
      <c r="D518" s="372" t="s">
        <v>219</v>
      </c>
      <c r="E518" s="373">
        <f>+[48]Hoja1!F13</f>
        <v>11345.7</v>
      </c>
      <c r="F518" s="374">
        <f t="shared" si="16"/>
        <v>13035301.640000001</v>
      </c>
      <c r="G518" s="368">
        <f>+G517*0.05</f>
        <v>1159.92</v>
      </c>
    </row>
    <row r="519" spans="1:8" s="369" customFormat="1">
      <c r="A519" s="65" t="s">
        <v>220</v>
      </c>
      <c r="B519" s="342" t="s">
        <v>221</v>
      </c>
      <c r="C519" s="371">
        <f>ROUND(150*1.25*C518,2)</f>
        <v>215422.5</v>
      </c>
      <c r="D519" s="372" t="s">
        <v>222</v>
      </c>
      <c r="E519" s="373">
        <v>22.72</v>
      </c>
      <c r="F519" s="374">
        <f t="shared" si="16"/>
        <v>4894399.2</v>
      </c>
      <c r="G519" s="368"/>
    </row>
    <row r="520" spans="1:8" s="6" customFormat="1">
      <c r="A520" s="375"/>
      <c r="B520" s="342"/>
      <c r="C520" s="376"/>
      <c r="D520" s="344"/>
      <c r="E520" s="377"/>
      <c r="F520" s="346"/>
      <c r="G520" s="378"/>
    </row>
    <row r="521" spans="1:8" s="328" customFormat="1">
      <c r="A521" s="379">
        <v>4</v>
      </c>
      <c r="B521" s="265" t="s">
        <v>223</v>
      </c>
      <c r="C521" s="380">
        <v>12</v>
      </c>
      <c r="D521" s="381" t="s">
        <v>224</v>
      </c>
      <c r="E521" s="382">
        <v>40500</v>
      </c>
      <c r="F521" s="203">
        <f>ROUND(E521*C521,2)</f>
        <v>486000</v>
      </c>
      <c r="G521" s="326"/>
      <c r="H521" s="327"/>
    </row>
    <row r="522" spans="1:8" s="328" customFormat="1">
      <c r="A522" s="379"/>
      <c r="B522" s="265"/>
      <c r="C522" s="380"/>
      <c r="D522" s="381"/>
      <c r="E522" s="382"/>
      <c r="F522" s="203"/>
      <c r="G522" s="326"/>
      <c r="H522" s="327"/>
    </row>
    <row r="523" spans="1:8" s="328" customFormat="1" ht="63.75">
      <c r="A523" s="379">
        <v>5</v>
      </c>
      <c r="B523" s="201" t="s">
        <v>225</v>
      </c>
      <c r="C523" s="383">
        <v>3</v>
      </c>
      <c r="D523" s="384" t="s">
        <v>43</v>
      </c>
      <c r="E523" s="385">
        <v>42316.79</v>
      </c>
      <c r="F523" s="259">
        <f>ROUND(E523*C523,2)</f>
        <v>126950.37</v>
      </c>
      <c r="G523" s="326"/>
      <c r="H523" s="327"/>
    </row>
    <row r="524" spans="1:8" s="144" customFormat="1" ht="12.75" customHeight="1">
      <c r="A524" s="386"/>
      <c r="B524" s="111" t="s">
        <v>226</v>
      </c>
      <c r="C524" s="79"/>
      <c r="D524" s="387"/>
      <c r="E524" s="79"/>
      <c r="F524" s="80">
        <f>SUM(F476:F523)</f>
        <v>23103058.34</v>
      </c>
      <c r="G524" s="143"/>
    </row>
    <row r="525" spans="1:8">
      <c r="A525" s="112"/>
      <c r="B525" s="31"/>
      <c r="C525" s="32"/>
      <c r="D525" s="33"/>
      <c r="E525" s="42"/>
      <c r="F525" s="103"/>
      <c r="G525" s="286"/>
      <c r="H525" s="32"/>
    </row>
    <row r="526" spans="1:8" s="177" customFormat="1" ht="12.75" customHeight="1">
      <c r="A526" s="386"/>
      <c r="B526" s="111" t="s">
        <v>227</v>
      </c>
      <c r="C526" s="79"/>
      <c r="D526" s="387"/>
      <c r="E526" s="79"/>
      <c r="F526" s="388">
        <f>+F524+F471+F434+F395+F362+F301+F269+F239+F205+F175+F142+F108+F75+F43+F332+F466</f>
        <v>205625922.84</v>
      </c>
      <c r="G526" s="176"/>
    </row>
    <row r="527" spans="1:8" s="144" customFormat="1" ht="12.75" customHeight="1">
      <c r="A527" s="386"/>
      <c r="B527" s="111" t="s">
        <v>227</v>
      </c>
      <c r="C527" s="79"/>
      <c r="D527" s="387"/>
      <c r="E527" s="79"/>
      <c r="F527" s="80">
        <f>+F526</f>
        <v>205625922.84</v>
      </c>
      <c r="G527" s="143"/>
    </row>
    <row r="528" spans="1:8">
      <c r="A528" s="112"/>
      <c r="B528" s="389" t="s">
        <v>228</v>
      </c>
      <c r="C528" s="390"/>
      <c r="D528" s="315"/>
      <c r="E528" s="315"/>
      <c r="F528" s="315"/>
    </row>
    <row r="529" spans="1:7">
      <c r="A529" s="112"/>
      <c r="B529" s="391" t="s">
        <v>229</v>
      </c>
      <c r="C529" s="392">
        <v>0.1</v>
      </c>
      <c r="D529" s="315"/>
      <c r="E529" s="315"/>
      <c r="F529" s="393">
        <f t="shared" ref="F529:F535" si="17">+ROUND(C529*$F$527,2)</f>
        <v>20562592.280000001</v>
      </c>
    </row>
    <row r="530" spans="1:7">
      <c r="A530" s="112"/>
      <c r="B530" s="391" t="s">
        <v>230</v>
      </c>
      <c r="C530" s="392">
        <v>0.04</v>
      </c>
      <c r="D530" s="315"/>
      <c r="E530" s="315"/>
      <c r="F530" s="393">
        <f t="shared" si="17"/>
        <v>8225036.9100000001</v>
      </c>
    </row>
    <row r="531" spans="1:7">
      <c r="A531" s="112"/>
      <c r="B531" s="391" t="s">
        <v>231</v>
      </c>
      <c r="C531" s="392">
        <v>0.04</v>
      </c>
      <c r="D531" s="315"/>
      <c r="E531" s="315"/>
      <c r="F531" s="393">
        <f t="shared" si="17"/>
        <v>8225036.9100000001</v>
      </c>
    </row>
    <row r="532" spans="1:7">
      <c r="A532" s="112"/>
      <c r="B532" s="391" t="s">
        <v>232</v>
      </c>
      <c r="C532" s="392">
        <v>0.04</v>
      </c>
      <c r="D532" s="315"/>
      <c r="E532" s="315"/>
      <c r="F532" s="393">
        <f t="shared" si="17"/>
        <v>8225036.9100000001</v>
      </c>
    </row>
    <row r="533" spans="1:7">
      <c r="A533" s="112"/>
      <c r="B533" s="391" t="s">
        <v>233</v>
      </c>
      <c r="C533" s="392">
        <v>0.05</v>
      </c>
      <c r="D533" s="315"/>
      <c r="E533" s="315"/>
      <c r="F533" s="393">
        <f t="shared" si="17"/>
        <v>10281296.140000001</v>
      </c>
    </row>
    <row r="534" spans="1:7">
      <c r="A534" s="112"/>
      <c r="B534" s="391" t="s">
        <v>234</v>
      </c>
      <c r="C534" s="392">
        <v>0.05</v>
      </c>
      <c r="D534" s="315"/>
      <c r="E534" s="315"/>
      <c r="F534" s="393">
        <f t="shared" si="17"/>
        <v>10281296.140000001</v>
      </c>
    </row>
    <row r="535" spans="1:7">
      <c r="A535" s="315"/>
      <c r="B535" s="391" t="s">
        <v>235</v>
      </c>
      <c r="C535" s="392">
        <v>0.01</v>
      </c>
      <c r="D535" s="315"/>
      <c r="E535" s="315"/>
      <c r="F535" s="393">
        <f t="shared" si="17"/>
        <v>2056259.23</v>
      </c>
    </row>
    <row r="536" spans="1:7">
      <c r="A536" s="315"/>
      <c r="B536" s="391" t="s">
        <v>236</v>
      </c>
      <c r="C536" s="392">
        <v>0.18</v>
      </c>
      <c r="D536" s="315"/>
      <c r="E536" s="315"/>
      <c r="F536" s="393">
        <f>+ROUND(C536*$F$529,2)</f>
        <v>3701266.61</v>
      </c>
    </row>
    <row r="537" spans="1:7">
      <c r="A537" s="315"/>
      <c r="B537" s="391" t="s">
        <v>237</v>
      </c>
      <c r="C537" s="392">
        <v>0.1</v>
      </c>
      <c r="D537" s="315"/>
      <c r="E537" s="315"/>
      <c r="F537" s="393">
        <f>+ROUND(C537*$F$527,2)</f>
        <v>20562592.280000001</v>
      </c>
    </row>
    <row r="538" spans="1:7">
      <c r="A538" s="315"/>
      <c r="B538" s="391" t="s">
        <v>238</v>
      </c>
      <c r="C538" s="392">
        <v>0.1</v>
      </c>
      <c r="D538" s="315"/>
      <c r="E538" s="315"/>
      <c r="F538" s="393">
        <f>+ROUND(C538*$F$527,2)</f>
        <v>20562592.280000001</v>
      </c>
    </row>
    <row r="539" spans="1:7">
      <c r="A539" s="315"/>
      <c r="B539" s="391" t="s">
        <v>239</v>
      </c>
      <c r="C539" s="394">
        <v>1</v>
      </c>
      <c r="D539" s="395" t="s">
        <v>43</v>
      </c>
      <c r="E539" s="315"/>
      <c r="F539" s="393">
        <v>800000</v>
      </c>
    </row>
    <row r="540" spans="1:7" s="144" customFormat="1" ht="12.75" customHeight="1">
      <c r="A540" s="386"/>
      <c r="B540" s="111" t="s">
        <v>240</v>
      </c>
      <c r="C540" s="79"/>
      <c r="D540" s="387"/>
      <c r="E540" s="79"/>
      <c r="F540" s="80">
        <f>SUM(F529:F539)</f>
        <v>113483005.69</v>
      </c>
      <c r="G540" s="143"/>
    </row>
    <row r="541" spans="1:7">
      <c r="A541" s="315"/>
      <c r="B541" s="315"/>
      <c r="C541" s="390"/>
      <c r="D541" s="315"/>
      <c r="E541" s="315"/>
      <c r="F541" s="315"/>
    </row>
    <row r="542" spans="1:7" s="177" customFormat="1" ht="12.75" customHeight="1">
      <c r="A542" s="396"/>
      <c r="B542" s="397" t="s">
        <v>241</v>
      </c>
      <c r="C542" s="398"/>
      <c r="D542" s="399"/>
      <c r="E542" s="398"/>
      <c r="F542" s="400">
        <f>+F540+F527</f>
        <v>319108928.52999997</v>
      </c>
      <c r="G542" s="176"/>
    </row>
    <row r="544" spans="1:7">
      <c r="A544" s="51"/>
      <c r="B544" s="51"/>
      <c r="C544" s="401"/>
      <c r="D544" s="51"/>
      <c r="E544" s="401"/>
      <c r="F544" s="401"/>
    </row>
    <row r="545" spans="1:6">
      <c r="A545" s="51" t="s">
        <v>242</v>
      </c>
      <c r="B545" s="51"/>
      <c r="C545" s="1414" t="s">
        <v>243</v>
      </c>
      <c r="D545" s="1414"/>
      <c r="E545" s="1414"/>
      <c r="F545" s="1414"/>
    </row>
    <row r="546" spans="1:6">
      <c r="A546" s="402"/>
      <c r="B546" s="403"/>
      <c r="C546" s="404"/>
      <c r="D546" s="405"/>
      <c r="E546" s="404"/>
      <c r="F546" s="406"/>
    </row>
    <row r="547" spans="1:6">
      <c r="A547" s="51"/>
      <c r="B547" s="51"/>
      <c r="C547" s="401"/>
      <c r="D547" s="51"/>
      <c r="E547" s="401"/>
      <c r="F547" s="401"/>
    </row>
    <row r="548" spans="1:6">
      <c r="A548" s="51"/>
      <c r="B548" s="51"/>
      <c r="C548" s="401"/>
      <c r="D548" s="407"/>
      <c r="E548" s="401"/>
      <c r="F548" s="401"/>
    </row>
    <row r="549" spans="1:6">
      <c r="A549" s="408"/>
      <c r="B549" s="408" t="s">
        <v>244</v>
      </c>
      <c r="C549" s="1414" t="s">
        <v>245</v>
      </c>
      <c r="D549" s="1415"/>
      <c r="E549" s="1415"/>
      <c r="F549" s="1415"/>
    </row>
    <row r="550" spans="1:6">
      <c r="A550" s="51" t="s">
        <v>246</v>
      </c>
      <c r="B550" s="51"/>
      <c r="C550" s="1414" t="s">
        <v>246</v>
      </c>
      <c r="D550" s="1415"/>
      <c r="E550" s="1415"/>
      <c r="F550" s="1415"/>
    </row>
    <row r="551" spans="1:6">
      <c r="A551" s="51"/>
      <c r="B551" s="51"/>
      <c r="C551" s="401"/>
      <c r="D551" s="51"/>
      <c r="E551" s="401"/>
      <c r="F551" s="401"/>
    </row>
    <row r="552" spans="1:6">
      <c r="A552" s="51"/>
      <c r="B552" s="51"/>
      <c r="C552" s="401"/>
      <c r="D552" s="51"/>
      <c r="E552" s="401"/>
      <c r="F552" s="401"/>
    </row>
    <row r="553" spans="1:6">
      <c r="A553" s="51"/>
      <c r="B553" s="51"/>
      <c r="C553" s="401"/>
      <c r="D553" s="51"/>
      <c r="E553" s="401"/>
      <c r="F553" s="401"/>
    </row>
    <row r="554" spans="1:6">
      <c r="A554" s="51"/>
      <c r="B554" s="51"/>
      <c r="C554" s="401"/>
      <c r="D554" s="51"/>
      <c r="E554" s="401"/>
      <c r="F554" s="401"/>
    </row>
    <row r="555" spans="1:6">
      <c r="A555" s="51"/>
      <c r="B555" s="51"/>
      <c r="C555" s="401"/>
      <c r="D555" s="51"/>
      <c r="E555" s="401"/>
      <c r="F555" s="401"/>
    </row>
    <row r="556" spans="1:6">
      <c r="A556" s="51"/>
      <c r="B556" s="51"/>
      <c r="C556" s="401"/>
      <c r="D556" s="51"/>
      <c r="E556" s="401"/>
      <c r="F556" s="401"/>
    </row>
    <row r="557" spans="1:6">
      <c r="A557" s="407" t="s">
        <v>247</v>
      </c>
      <c r="B557" s="51" t="s">
        <v>248</v>
      </c>
      <c r="C557" s="1414" t="s">
        <v>249</v>
      </c>
      <c r="D557" s="1414"/>
      <c r="E557" s="1414"/>
      <c r="F557" s="1414"/>
    </row>
    <row r="558" spans="1:6">
      <c r="A558" s="407"/>
      <c r="B558" s="407"/>
      <c r="C558" s="401"/>
      <c r="D558" s="407"/>
      <c r="E558" s="401"/>
      <c r="F558" s="401"/>
    </row>
    <row r="559" spans="1:6">
      <c r="A559" s="407"/>
      <c r="B559" s="407" t="s">
        <v>250</v>
      </c>
      <c r="C559" s="1414"/>
      <c r="D559" s="1414"/>
      <c r="E559" s="1414"/>
      <c r="F559" s="1414"/>
    </row>
    <row r="560" spans="1:6">
      <c r="A560" s="51" t="s">
        <v>251</v>
      </c>
      <c r="B560" s="51" t="s">
        <v>252</v>
      </c>
      <c r="C560" s="1414" t="s">
        <v>253</v>
      </c>
      <c r="D560" s="1415"/>
      <c r="E560" s="1415"/>
      <c r="F560" s="1415"/>
    </row>
    <row r="561" spans="1:6">
      <c r="A561" s="51" t="s">
        <v>254</v>
      </c>
      <c r="B561" s="51"/>
      <c r="C561" s="1414" t="s">
        <v>255</v>
      </c>
      <c r="D561" s="1415"/>
      <c r="E561" s="1415"/>
      <c r="F561" s="1415"/>
    </row>
    <row r="562" spans="1:6">
      <c r="A562" s="51"/>
      <c r="B562" s="51"/>
      <c r="C562" s="401"/>
      <c r="D562" s="51"/>
      <c r="E562" s="401"/>
      <c r="F562" s="401"/>
    </row>
    <row r="563" spans="1:6">
      <c r="A563" s="51"/>
      <c r="B563" s="51"/>
      <c r="C563" s="401"/>
      <c r="D563" s="51"/>
      <c r="E563" s="401"/>
      <c r="F563" s="401"/>
    </row>
    <row r="564" spans="1:6">
      <c r="E564" s="409"/>
      <c r="F564" s="409"/>
    </row>
  </sheetData>
  <autoFilter ref="A9:F542"/>
  <mergeCells count="138">
    <mergeCell ref="AE2:AJ2"/>
    <mergeCell ref="AK2:AP2"/>
    <mergeCell ref="AQ2:AV2"/>
    <mergeCell ref="AW2:BB2"/>
    <mergeCell ref="BC2:BH2"/>
    <mergeCell ref="BI2:BN2"/>
    <mergeCell ref="A1:F1"/>
    <mergeCell ref="A2:F2"/>
    <mergeCell ref="G2:L2"/>
    <mergeCell ref="M2:R2"/>
    <mergeCell ref="S2:X2"/>
    <mergeCell ref="Y2:AD2"/>
    <mergeCell ref="CY2:DD2"/>
    <mergeCell ref="DE2:DJ2"/>
    <mergeCell ref="DK2:DP2"/>
    <mergeCell ref="DQ2:DV2"/>
    <mergeCell ref="DW2:EB2"/>
    <mergeCell ref="EC2:EH2"/>
    <mergeCell ref="BO2:BT2"/>
    <mergeCell ref="BU2:BZ2"/>
    <mergeCell ref="CA2:CF2"/>
    <mergeCell ref="CG2:CL2"/>
    <mergeCell ref="CM2:CR2"/>
    <mergeCell ref="CS2:CX2"/>
    <mergeCell ref="GE2:GJ2"/>
    <mergeCell ref="GK2:GP2"/>
    <mergeCell ref="GQ2:GV2"/>
    <mergeCell ref="GW2:HB2"/>
    <mergeCell ref="EI2:EN2"/>
    <mergeCell ref="EO2:ET2"/>
    <mergeCell ref="EU2:EZ2"/>
    <mergeCell ref="FA2:FF2"/>
    <mergeCell ref="FG2:FL2"/>
    <mergeCell ref="FM2:FR2"/>
    <mergeCell ref="AW3:BB3"/>
    <mergeCell ref="BC3:BH3"/>
    <mergeCell ref="BI3:BN3"/>
    <mergeCell ref="BO3:BT3"/>
    <mergeCell ref="BU3:BZ3"/>
    <mergeCell ref="CA3:CF3"/>
    <mergeCell ref="IM2:IR2"/>
    <mergeCell ref="IS2:IV2"/>
    <mergeCell ref="A3:F3"/>
    <mergeCell ref="G3:L3"/>
    <mergeCell ref="M3:R3"/>
    <mergeCell ref="S3:X3"/>
    <mergeCell ref="Y3:AD3"/>
    <mergeCell ref="AE3:AJ3"/>
    <mergeCell ref="AK3:AP3"/>
    <mergeCell ref="AQ3:AV3"/>
    <mergeCell ref="HC2:HH2"/>
    <mergeCell ref="HI2:HN2"/>
    <mergeCell ref="HO2:HT2"/>
    <mergeCell ref="HU2:HZ2"/>
    <mergeCell ref="IA2:IF2"/>
    <mergeCell ref="IG2:IL2"/>
    <mergeCell ref="FS2:FX2"/>
    <mergeCell ref="FY2:GD2"/>
    <mergeCell ref="EC3:EH3"/>
    <mergeCell ref="EI3:EN3"/>
    <mergeCell ref="EO3:ET3"/>
    <mergeCell ref="EU3:EZ3"/>
    <mergeCell ref="CG3:CL3"/>
    <mergeCell ref="CM3:CR3"/>
    <mergeCell ref="CS3:CX3"/>
    <mergeCell ref="CY3:DD3"/>
    <mergeCell ref="DE3:DJ3"/>
    <mergeCell ref="DK3:DP3"/>
    <mergeCell ref="HU3:HZ3"/>
    <mergeCell ref="IA3:IF3"/>
    <mergeCell ref="IG3:IL3"/>
    <mergeCell ref="IM3:IR3"/>
    <mergeCell ref="IS3:IV3"/>
    <mergeCell ref="A4:F4"/>
    <mergeCell ref="G4:L4"/>
    <mergeCell ref="M4:R4"/>
    <mergeCell ref="S4:X4"/>
    <mergeCell ref="Y4:AD4"/>
    <mergeCell ref="GK3:GP3"/>
    <mergeCell ref="GQ3:GV3"/>
    <mergeCell ref="GW3:HB3"/>
    <mergeCell ref="HC3:HH3"/>
    <mergeCell ref="HI3:HN3"/>
    <mergeCell ref="HO3:HT3"/>
    <mergeCell ref="FA3:FF3"/>
    <mergeCell ref="FG3:FL3"/>
    <mergeCell ref="FM3:FR3"/>
    <mergeCell ref="FS3:FX3"/>
    <mergeCell ref="FY3:GD3"/>
    <mergeCell ref="GE3:GJ3"/>
    <mergeCell ref="DQ3:DV3"/>
    <mergeCell ref="DW3:EB3"/>
    <mergeCell ref="BO4:BT4"/>
    <mergeCell ref="BU4:BZ4"/>
    <mergeCell ref="CA4:CF4"/>
    <mergeCell ref="CG4:CL4"/>
    <mergeCell ref="CM4:CR4"/>
    <mergeCell ref="CS4:CX4"/>
    <mergeCell ref="AE4:AJ4"/>
    <mergeCell ref="AK4:AP4"/>
    <mergeCell ref="AQ4:AV4"/>
    <mergeCell ref="AW4:BB4"/>
    <mergeCell ref="BC4:BH4"/>
    <mergeCell ref="BI4:BN4"/>
    <mergeCell ref="EU4:EZ4"/>
    <mergeCell ref="FA4:FF4"/>
    <mergeCell ref="FG4:FL4"/>
    <mergeCell ref="FM4:FR4"/>
    <mergeCell ref="CY4:DD4"/>
    <mergeCell ref="DE4:DJ4"/>
    <mergeCell ref="DK4:DP4"/>
    <mergeCell ref="DQ4:DV4"/>
    <mergeCell ref="DW4:EB4"/>
    <mergeCell ref="EC4:EH4"/>
    <mergeCell ref="C557:F557"/>
    <mergeCell ref="C559:F559"/>
    <mergeCell ref="C560:F560"/>
    <mergeCell ref="C561:F561"/>
    <mergeCell ref="IM4:IR4"/>
    <mergeCell ref="IS4:IV4"/>
    <mergeCell ref="B77:B78"/>
    <mergeCell ref="C545:F545"/>
    <mergeCell ref="C549:F549"/>
    <mergeCell ref="C550:F550"/>
    <mergeCell ref="HC4:HH4"/>
    <mergeCell ref="HI4:HN4"/>
    <mergeCell ref="HO4:HT4"/>
    <mergeCell ref="HU4:HZ4"/>
    <mergeCell ref="IA4:IF4"/>
    <mergeCell ref="IG4:IL4"/>
    <mergeCell ref="FS4:FX4"/>
    <mergeCell ref="FY4:GD4"/>
    <mergeCell ref="GE4:GJ4"/>
    <mergeCell ref="GK4:GP4"/>
    <mergeCell ref="GQ4:GV4"/>
    <mergeCell ref="GW4:HB4"/>
    <mergeCell ref="EI4:EN4"/>
    <mergeCell ref="EO4:ET4"/>
  </mergeCells>
  <conditionalFormatting sqref="G513:G516">
    <cfRule type="cellIs" dxfId="3" priority="4" stopIfTrue="1" operator="greaterThan">
      <formula>1</formula>
    </cfRule>
  </conditionalFormatting>
  <conditionalFormatting sqref="G517:G518">
    <cfRule type="cellIs" dxfId="2" priority="3" stopIfTrue="1" operator="greaterThan">
      <formula>1</formula>
    </cfRule>
  </conditionalFormatting>
  <conditionalFormatting sqref="G519">
    <cfRule type="cellIs" dxfId="1" priority="2" stopIfTrue="1" operator="greaterThan">
      <formula>1</formula>
    </cfRule>
  </conditionalFormatting>
  <conditionalFormatting sqref="G520">
    <cfRule type="cellIs" dxfId="0" priority="1" stopIfTrue="1" operator="greaterThan">
      <formula>1</formula>
    </cfRule>
  </conditionalFormatting>
  <pageMargins left="0.35433070866141736" right="0.23622047244094491" top="0.31496062992125984" bottom="0.35433070866141736" header="0.23622047244094491" footer="0.31496062992125984"/>
  <pageSetup scale="91" orientation="portrait" r:id="rId1"/>
  <rowBreaks count="11" manualBreakCount="11">
    <brk id="55" max="5" man="1"/>
    <brk id="103" max="5" man="1"/>
    <brk id="151" max="5" man="1"/>
    <brk id="195" max="5" man="1"/>
    <brk id="243" max="5" man="1"/>
    <brk id="289" max="5" man="1"/>
    <brk id="339" max="5" man="1"/>
    <brk id="386" max="5" man="1"/>
    <brk id="431" max="5" man="1"/>
    <brk id="484" max="5" man="1"/>
    <brk id="526" max="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5128"/>
  <sheetViews>
    <sheetView view="pageBreakPreview" topLeftCell="B209" zoomScale="70" zoomScaleNormal="55" zoomScaleSheetLayoutView="70" workbookViewId="0">
      <selection activeCell="M25" sqref="M25"/>
    </sheetView>
  </sheetViews>
  <sheetFormatPr baseColWidth="10" defaultRowHeight="12.75"/>
  <cols>
    <col min="2" max="2" width="11.42578125" style="1025"/>
    <col min="3" max="3" width="61.140625" customWidth="1"/>
    <col min="4" max="4" width="16.140625" style="961" customWidth="1"/>
    <col min="5" max="5" width="8.42578125" style="421" customWidth="1"/>
    <col min="6" max="6" width="21.42578125" style="1074" customWidth="1"/>
    <col min="7" max="7" width="16.140625" style="961" customWidth="1"/>
    <col min="8" max="8" width="18" style="1037" customWidth="1"/>
    <col min="9" max="9" width="24.5703125" customWidth="1"/>
  </cols>
  <sheetData>
    <row r="2" spans="2:9" ht="51" customHeight="1">
      <c r="B2" s="1437" t="s">
        <v>1718</v>
      </c>
      <c r="C2" s="1437"/>
      <c r="D2" s="1437"/>
      <c r="E2" s="1437"/>
      <c r="F2" s="1437"/>
      <c r="G2" s="1437"/>
      <c r="H2" s="1437"/>
      <c r="I2" s="1438"/>
    </row>
    <row r="3" spans="2:9" ht="15.75">
      <c r="C3" s="930"/>
      <c r="D3" s="931"/>
      <c r="E3" s="932"/>
      <c r="F3" s="1064"/>
      <c r="G3" s="931"/>
      <c r="H3" s="1027"/>
      <c r="I3" s="933"/>
    </row>
    <row r="4" spans="2:9" ht="18.75">
      <c r="C4" s="934"/>
      <c r="D4" s="935"/>
      <c r="E4" s="934"/>
      <c r="F4" s="1065"/>
      <c r="G4" s="935"/>
      <c r="H4" s="1028"/>
      <c r="I4" s="936"/>
    </row>
    <row r="5" spans="2:9" ht="18.75">
      <c r="B5" s="1435" t="s">
        <v>1516</v>
      </c>
      <c r="C5" s="1435"/>
      <c r="D5" s="1435"/>
      <c r="E5" s="1435"/>
      <c r="F5" s="1435"/>
      <c r="G5" s="1435"/>
      <c r="H5" s="1435"/>
      <c r="I5" s="1436"/>
    </row>
    <row r="6" spans="2:9" ht="15.75">
      <c r="C6" s="930"/>
      <c r="D6" s="931"/>
      <c r="E6" s="932"/>
      <c r="F6" s="1064"/>
      <c r="G6" s="931"/>
      <c r="H6" s="1027"/>
      <c r="I6" s="933"/>
    </row>
    <row r="7" spans="2:9" ht="15.75">
      <c r="C7" s="930"/>
      <c r="D7" s="931"/>
      <c r="E7" s="932"/>
      <c r="F7" s="1064"/>
      <c r="G7" s="931"/>
      <c r="H7" s="1027"/>
      <c r="I7" s="933"/>
    </row>
    <row r="8" spans="2:9" ht="15.75">
      <c r="B8" s="1024">
        <v>1</v>
      </c>
      <c r="C8" s="937" t="str">
        <f>+Presupuesto!B13</f>
        <v>REPLANTEO Y CONTROL TOPOGRÁFICO</v>
      </c>
      <c r="D8" s="938"/>
      <c r="E8" s="939" t="s">
        <v>224</v>
      </c>
      <c r="F8" s="1066"/>
      <c r="G8" s="938"/>
      <c r="H8" s="1029"/>
      <c r="I8" s="940">
        <f>I37</f>
        <v>60992.75</v>
      </c>
    </row>
    <row r="9" spans="2:9" ht="15.75">
      <c r="C9" s="941" t="s">
        <v>908</v>
      </c>
      <c r="D9" s="942" t="s">
        <v>9</v>
      </c>
      <c r="E9" s="943" t="s">
        <v>10</v>
      </c>
      <c r="F9" s="1067" t="s">
        <v>909</v>
      </c>
      <c r="G9" s="942" t="s">
        <v>910</v>
      </c>
      <c r="H9" s="1030" t="s">
        <v>911</v>
      </c>
      <c r="I9" s="944" t="s">
        <v>912</v>
      </c>
    </row>
    <row r="10" spans="2:9" ht="15.75">
      <c r="C10" s="945" t="s">
        <v>913</v>
      </c>
      <c r="D10" s="946"/>
      <c r="E10" s="947"/>
      <c r="F10" s="1054"/>
      <c r="G10" s="946"/>
      <c r="H10" s="1031"/>
      <c r="I10" s="948"/>
    </row>
    <row r="11" spans="2:9" ht="15.75">
      <c r="C11" s="949" t="s">
        <v>914</v>
      </c>
      <c r="D11" s="946">
        <f>33.94/28.83</f>
        <v>1.18</v>
      </c>
      <c r="E11" s="947" t="str">
        <f>+VLOOKUP(C11,[49]BASICS!B:E,2,FALSE)</f>
        <v>lb</v>
      </c>
      <c r="F11" s="1068">
        <f>'Basic (equilibrio) (2)'!$D$326</f>
        <v>78.2</v>
      </c>
      <c r="G11" s="946">
        <f>F11-(F11/1.18)</f>
        <v>11.93</v>
      </c>
      <c r="H11" s="1031"/>
      <c r="I11" s="948">
        <f>D11*F11</f>
        <v>92.28</v>
      </c>
    </row>
    <row r="12" spans="2:9" ht="15.75">
      <c r="C12" s="949" t="s">
        <v>915</v>
      </c>
      <c r="D12" s="946">
        <f>22/28.83</f>
        <v>0.76</v>
      </c>
      <c r="E12" s="950" t="str">
        <f>+VLOOKUP(C12,[49]BASICS!B:E,2,FALSE)</f>
        <v>fda</v>
      </c>
      <c r="F12" s="1068">
        <f>'Basic (equilibrio) (2)'!$D$327</f>
        <v>153.6</v>
      </c>
      <c r="G12" s="946">
        <f>F12-(F12/1.18)</f>
        <v>23.43</v>
      </c>
      <c r="H12" s="1031"/>
      <c r="I12" s="948">
        <f>D12*F12</f>
        <v>116.74</v>
      </c>
    </row>
    <row r="13" spans="2:9" ht="15.75">
      <c r="C13" s="949" t="s">
        <v>916</v>
      </c>
      <c r="D13" s="946">
        <f>160.42/28.83</f>
        <v>5.56</v>
      </c>
      <c r="E13" s="947" t="str">
        <f>+VLOOKUP(C13,[49]BASICS!B:E,2,FALSE)</f>
        <v>pt</v>
      </c>
      <c r="F13" s="1068">
        <f>'Basic (equilibrio) (2)'!$D$328</f>
        <v>107.7</v>
      </c>
      <c r="G13" s="946">
        <f>F13-(F13/1.18)</f>
        <v>16.43</v>
      </c>
      <c r="H13" s="1031"/>
      <c r="I13" s="948">
        <f>D13*F13</f>
        <v>598.80999999999995</v>
      </c>
    </row>
    <row r="14" spans="2:9" ht="15.75">
      <c r="C14" s="949" t="s">
        <v>917</v>
      </c>
      <c r="D14" s="946">
        <f>3/28.83</f>
        <v>0.1</v>
      </c>
      <c r="E14" s="950" t="str">
        <f>+VLOOKUP(C14,[49]BASICS!B:E,2,FALSE)</f>
        <v>u</v>
      </c>
      <c r="F14" s="1068">
        <f>'Basic (equilibrio) (2)'!$D$329</f>
        <v>139.19999999999999</v>
      </c>
      <c r="G14" s="946">
        <f>F14-(F14/1.18)</f>
        <v>21.23</v>
      </c>
      <c r="H14" s="1031"/>
      <c r="I14" s="948">
        <f>D14*F14</f>
        <v>13.92</v>
      </c>
    </row>
    <row r="15" spans="2:9" ht="15.75">
      <c r="C15" s="951" t="s">
        <v>918</v>
      </c>
      <c r="D15" s="946"/>
      <c r="E15" s="947"/>
      <c r="F15" s="1068"/>
      <c r="G15" s="946"/>
      <c r="H15" s="1031"/>
      <c r="I15" s="952">
        <f>SUM(I11:I14)</f>
        <v>821.75</v>
      </c>
    </row>
    <row r="16" spans="2:9" ht="15.75">
      <c r="C16" s="949"/>
      <c r="D16" s="946"/>
      <c r="E16" s="947"/>
      <c r="F16" s="1068"/>
      <c r="G16" s="946"/>
      <c r="H16" s="1031"/>
      <c r="I16" s="948"/>
    </row>
    <row r="17" spans="3:9" ht="15.75">
      <c r="C17" s="945" t="s">
        <v>919</v>
      </c>
      <c r="D17" s="946"/>
      <c r="E17" s="947"/>
      <c r="F17" s="1068"/>
      <c r="G17" s="946"/>
      <c r="H17" s="1031"/>
      <c r="I17" s="948"/>
    </row>
    <row r="18" spans="3:9" ht="15.75">
      <c r="C18" s="949" t="s">
        <v>920</v>
      </c>
      <c r="D18" s="953">
        <v>2</v>
      </c>
      <c r="E18" s="954" t="str">
        <f>+VLOOKUP(C18,[49]BASICS!B:E,2,FALSE)</f>
        <v>dia</v>
      </c>
      <c r="F18" s="1068">
        <f>+'Basic (equilibrio) (2)'!$D$18</f>
        <v>28535.5</v>
      </c>
      <c r="G18" s="946">
        <v>0</v>
      </c>
      <c r="H18" s="1031"/>
      <c r="I18" s="948">
        <f>D18*F18</f>
        <v>57071</v>
      </c>
    </row>
    <row r="19" spans="3:9" ht="15.75">
      <c r="C19" s="949" t="s">
        <v>921</v>
      </c>
      <c r="D19" s="946">
        <v>1</v>
      </c>
      <c r="E19" s="954" t="str">
        <f>+VLOOKUP(C19,[49]BASICS!B:E,2,FALSE)</f>
        <v>dia</v>
      </c>
      <c r="F19" s="1054">
        <f>'Basic (equilibrio) (2)'!$D$12</f>
        <v>1900</v>
      </c>
      <c r="G19" s="946">
        <v>0</v>
      </c>
      <c r="H19" s="1031"/>
      <c r="I19" s="948">
        <f>D19*F19</f>
        <v>1900</v>
      </c>
    </row>
    <row r="20" spans="3:9" ht="15.75">
      <c r="C20" s="949" t="s">
        <v>922</v>
      </c>
      <c r="D20" s="946">
        <v>1</v>
      </c>
      <c r="E20" s="954" t="str">
        <f>+VLOOKUP(C20,[49]BASICS!B:E,2,FALSE)</f>
        <v>dia</v>
      </c>
      <c r="F20" s="1054">
        <f>'Basic (equilibrio) (2)'!$D$13</f>
        <v>1200</v>
      </c>
      <c r="G20" s="946">
        <v>0</v>
      </c>
      <c r="H20" s="1031"/>
      <c r="I20" s="948">
        <f>D20*F20</f>
        <v>1200</v>
      </c>
    </row>
    <row r="21" spans="3:9" ht="15.75">
      <c r="C21" s="951" t="s">
        <v>918</v>
      </c>
      <c r="D21" s="946"/>
      <c r="E21" s="947"/>
      <c r="F21" s="1054"/>
      <c r="G21" s="946"/>
      <c r="H21" s="1031"/>
      <c r="I21" s="952">
        <f>SUM(I18:I20)</f>
        <v>60171</v>
      </c>
    </row>
    <row r="22" spans="3:9" ht="15.75">
      <c r="C22" s="949"/>
      <c r="D22" s="946"/>
      <c r="E22" s="947"/>
      <c r="F22" s="1054"/>
      <c r="G22" s="946"/>
      <c r="H22" s="1031"/>
      <c r="I22" s="948"/>
    </row>
    <row r="23" spans="3:9" ht="15.75">
      <c r="C23" s="945" t="s">
        <v>923</v>
      </c>
      <c r="D23" s="946"/>
      <c r="E23" s="947"/>
      <c r="F23" s="1054"/>
      <c r="G23" s="946"/>
      <c r="H23" s="1031"/>
      <c r="I23" s="948"/>
    </row>
    <row r="24" spans="3:9" ht="15.75">
      <c r="C24" s="949" t="s">
        <v>924</v>
      </c>
      <c r="D24" s="946"/>
      <c r="E24" s="947"/>
      <c r="F24" s="1054">
        <f>+VLOOKUP(C24,[49]BASICS!B:E,3,FALSE)</f>
        <v>0</v>
      </c>
      <c r="G24" s="946">
        <f>F24-(F24/1.18)</f>
        <v>0</v>
      </c>
      <c r="H24" s="1039"/>
      <c r="I24" s="955">
        <f>D24*F24</f>
        <v>0</v>
      </c>
    </row>
    <row r="25" spans="3:9" ht="15.75">
      <c r="C25" s="951" t="s">
        <v>918</v>
      </c>
      <c r="D25" s="946"/>
      <c r="E25" s="947"/>
      <c r="F25" s="1054"/>
      <c r="G25" s="946"/>
      <c r="H25" s="1031"/>
      <c r="I25" s="952">
        <f>SUM(I24)</f>
        <v>0</v>
      </c>
    </row>
    <row r="26" spans="3:9" ht="15.75">
      <c r="C26" s="949"/>
      <c r="D26" s="946"/>
      <c r="E26" s="947"/>
      <c r="F26" s="1054"/>
      <c r="G26" s="946"/>
      <c r="H26" s="1031"/>
      <c r="I26" s="948"/>
    </row>
    <row r="27" spans="3:9" ht="15.75">
      <c r="C27" s="945" t="s">
        <v>925</v>
      </c>
      <c r="D27" s="946"/>
      <c r="E27" s="947"/>
      <c r="F27" s="1054"/>
      <c r="G27" s="946"/>
      <c r="H27" s="1031"/>
      <c r="I27" s="948"/>
    </row>
    <row r="28" spans="3:9" ht="15.75">
      <c r="C28" s="949" t="s">
        <v>925</v>
      </c>
      <c r="D28" s="946">
        <f>+I15</f>
        <v>821.75</v>
      </c>
      <c r="E28" s="947" t="str">
        <f>VLOOKUP(C28,[50]BASICS!B:D,2,FALSE)</f>
        <v>Pa</v>
      </c>
      <c r="F28" s="1054">
        <f>+VLOOKUP(C28,[49]BASICS!B:E,3,FALSE)</f>
        <v>0</v>
      </c>
      <c r="G28" s="946">
        <f>F28-(F28/1.18)</f>
        <v>0</v>
      </c>
      <c r="H28" s="1031"/>
      <c r="I28" s="948">
        <f>D28*F28</f>
        <v>0</v>
      </c>
    </row>
    <row r="29" spans="3:9" ht="15.75">
      <c r="C29" s="951" t="s">
        <v>918</v>
      </c>
      <c r="D29" s="946"/>
      <c r="E29" s="947"/>
      <c r="F29" s="1054"/>
      <c r="G29" s="946"/>
      <c r="H29" s="1031"/>
      <c r="I29" s="952">
        <f>SUM(I28)</f>
        <v>0</v>
      </c>
    </row>
    <row r="30" spans="3:9" ht="15.75">
      <c r="C30" s="951"/>
      <c r="D30" s="946"/>
      <c r="E30" s="947"/>
      <c r="F30" s="1054"/>
      <c r="G30" s="946"/>
      <c r="H30" s="1031"/>
      <c r="I30" s="952"/>
    </row>
    <row r="31" spans="3:9" ht="15.75">
      <c r="C31" s="956" t="s">
        <v>926</v>
      </c>
      <c r="D31" s="957"/>
      <c r="E31" s="958"/>
      <c r="F31" s="1069"/>
      <c r="G31" s="957"/>
      <c r="H31" s="1032"/>
      <c r="I31" s="959">
        <f>+I15</f>
        <v>821.75</v>
      </c>
    </row>
    <row r="32" spans="3:9" ht="15.75">
      <c r="C32" s="956" t="s">
        <v>927</v>
      </c>
      <c r="D32" s="957"/>
      <c r="E32" s="958"/>
      <c r="F32" s="1069"/>
      <c r="G32" s="957"/>
      <c r="H32" s="1032"/>
      <c r="I32" s="959">
        <f>+I21</f>
        <v>60171</v>
      </c>
    </row>
    <row r="33" spans="2:9" ht="15.75">
      <c r="C33" s="956" t="s">
        <v>928</v>
      </c>
      <c r="D33" s="957"/>
      <c r="E33" s="958"/>
      <c r="F33" s="1069"/>
      <c r="G33" s="957"/>
      <c r="H33" s="1032"/>
      <c r="I33" s="959">
        <f>+I25</f>
        <v>0</v>
      </c>
    </row>
    <row r="34" spans="2:9" ht="15.75">
      <c r="C34" s="956" t="s">
        <v>929</v>
      </c>
      <c r="D34" s="957"/>
      <c r="E34" s="958"/>
      <c r="F34" s="1069"/>
      <c r="G34" s="957"/>
      <c r="H34" s="1032"/>
      <c r="I34" s="959">
        <f>+I29</f>
        <v>0</v>
      </c>
    </row>
    <row r="35" spans="2:9" ht="15.75">
      <c r="C35" s="949"/>
      <c r="D35" s="946"/>
      <c r="E35" s="947"/>
      <c r="F35" s="1054"/>
      <c r="G35" s="946"/>
      <c r="H35" s="1031"/>
      <c r="I35" s="948"/>
    </row>
    <row r="36" spans="2:9" ht="15.75">
      <c r="C36" s="949"/>
      <c r="D36" s="946"/>
      <c r="E36" s="947"/>
      <c r="F36" s="1054"/>
      <c r="G36" s="946"/>
      <c r="H36" s="1031"/>
      <c r="I36" s="948"/>
    </row>
    <row r="37" spans="2:9" ht="15.75">
      <c r="C37" s="951" t="s">
        <v>930</v>
      </c>
      <c r="D37" s="960"/>
      <c r="E37" s="943" t="str">
        <f>+E8</f>
        <v>MES</v>
      </c>
      <c r="F37" s="1070"/>
      <c r="G37" s="960"/>
      <c r="H37" s="1033"/>
      <c r="I37" s="952">
        <f>SUM(I31:I34)</f>
        <v>60992.75</v>
      </c>
    </row>
    <row r="38" spans="2:9" ht="15.75">
      <c r="C38" s="949"/>
      <c r="D38" s="946"/>
      <c r="E38" s="947"/>
      <c r="F38" s="1054"/>
      <c r="G38" s="946"/>
      <c r="H38" s="1031"/>
      <c r="I38" s="948"/>
    </row>
    <row r="40" spans="2:9" ht="15.75">
      <c r="B40" s="1026">
        <v>2.1</v>
      </c>
      <c r="C40" s="937" t="str">
        <f>+'[49]LISTA VIAS Y PAISAJISMO'!B15</f>
        <v>Corte material no clasificado c/equipo</v>
      </c>
      <c r="D40" s="938"/>
      <c r="E40" s="962" t="str">
        <f>+'[49]LISTA VIAS Y PAISAJISMO'!D15</f>
        <v>M³N</v>
      </c>
      <c r="F40" s="1066"/>
      <c r="G40" s="938"/>
      <c r="H40" s="1029"/>
      <c r="I40" s="940">
        <f>I65</f>
        <v>118.09</v>
      </c>
    </row>
    <row r="41" spans="2:9" ht="15.75">
      <c r="C41" s="941" t="s">
        <v>908</v>
      </c>
      <c r="D41" s="942" t="s">
        <v>9</v>
      </c>
      <c r="E41" s="943" t="s">
        <v>10</v>
      </c>
      <c r="F41" s="1067" t="s">
        <v>909</v>
      </c>
      <c r="G41" s="942" t="s">
        <v>910</v>
      </c>
      <c r="H41" s="1030" t="s">
        <v>911</v>
      </c>
      <c r="I41" s="944" t="s">
        <v>912</v>
      </c>
    </row>
    <row r="42" spans="2:9" ht="15.75">
      <c r="C42" s="945" t="s">
        <v>913</v>
      </c>
      <c r="D42" s="946"/>
      <c r="E42" s="947"/>
      <c r="F42" s="1054"/>
      <c r="G42" s="946"/>
      <c r="H42" s="1031"/>
      <c r="I42" s="948"/>
    </row>
    <row r="43" spans="2:9" ht="15.75">
      <c r="C43" s="949" t="s">
        <v>924</v>
      </c>
      <c r="D43" s="946"/>
      <c r="E43" s="947" t="str">
        <f>+VLOOKUP(C43,[49]BASICS!B:E,2,FALSE)</f>
        <v>n/a</v>
      </c>
      <c r="F43" s="1068">
        <f>+VLOOKUP(C43,[49]BASICS!B:E,3,FALSE)</f>
        <v>0</v>
      </c>
      <c r="G43" s="946">
        <f>F43-(F43/1.18)</f>
        <v>0</v>
      </c>
      <c r="H43" s="1031"/>
      <c r="I43" s="948">
        <f>D43*F43</f>
        <v>0</v>
      </c>
    </row>
    <row r="44" spans="2:9" ht="15.75">
      <c r="C44" s="951" t="s">
        <v>918</v>
      </c>
      <c r="D44" s="946"/>
      <c r="E44" s="947"/>
      <c r="F44" s="1068"/>
      <c r="G44" s="946"/>
      <c r="H44" s="1031"/>
      <c r="I44" s="952">
        <f>SUM(I43:I43)</f>
        <v>0</v>
      </c>
    </row>
    <row r="45" spans="2:9" ht="15.75">
      <c r="C45" s="949"/>
      <c r="D45" s="946"/>
      <c r="E45" s="947"/>
      <c r="F45" s="1068"/>
      <c r="G45" s="946"/>
      <c r="H45" s="1031"/>
      <c r="I45" s="948"/>
    </row>
    <row r="46" spans="2:9" ht="15.75">
      <c r="C46" s="945" t="s">
        <v>919</v>
      </c>
      <c r="D46" s="946"/>
      <c r="E46" s="947"/>
      <c r="F46" s="1068"/>
      <c r="G46" s="946"/>
      <c r="H46" s="1031"/>
      <c r="I46" s="948"/>
    </row>
    <row r="47" spans="2:9" ht="15.75">
      <c r="C47" s="949" t="s">
        <v>931</v>
      </c>
      <c r="D47" s="953">
        <v>0.13</v>
      </c>
      <c r="E47" s="954" t="str">
        <f>+VLOOKUP(C47,[49]BASICS!B:E,2,FALSE)</f>
        <v>dia</v>
      </c>
      <c r="F47" s="1068">
        <f>'Basic (equilibrio) (2)'!$D$14</f>
        <v>900</v>
      </c>
      <c r="G47" s="946">
        <v>0</v>
      </c>
      <c r="H47" s="1031">
        <v>70</v>
      </c>
      <c r="I47" s="948">
        <f>(D47*F47)/H47</f>
        <v>1.67</v>
      </c>
    </row>
    <row r="48" spans="2:9" ht="15.75">
      <c r="C48" s="951" t="s">
        <v>918</v>
      </c>
      <c r="D48" s="946"/>
      <c r="E48" s="947"/>
      <c r="F48" s="1054"/>
      <c r="G48" s="946"/>
      <c r="H48" s="1031"/>
      <c r="I48" s="952">
        <f>SUM(I47:I47)</f>
        <v>1.67</v>
      </c>
    </row>
    <row r="49" spans="3:9" ht="15.75">
      <c r="C49" s="949"/>
      <c r="D49" s="946"/>
      <c r="E49" s="947"/>
      <c r="F49" s="1054"/>
      <c r="G49" s="946"/>
      <c r="H49" s="1031"/>
      <c r="I49" s="948"/>
    </row>
    <row r="50" spans="3:9" ht="15.75">
      <c r="C50" s="945" t="s">
        <v>923</v>
      </c>
      <c r="D50" s="946"/>
      <c r="E50" s="947"/>
      <c r="F50" s="1054"/>
      <c r="G50" s="946"/>
      <c r="H50" s="1031"/>
      <c r="I50" s="948"/>
    </row>
    <row r="51" spans="3:9" ht="31.5">
      <c r="C51" s="949" t="s">
        <v>932</v>
      </c>
      <c r="D51" s="946">
        <v>1</v>
      </c>
      <c r="E51" s="947" t="str">
        <f>+VLOOKUP(C51,[49]BASICS!B:E,2,FALSE)</f>
        <v>hr</v>
      </c>
      <c r="F51" s="1054">
        <f>'Basic (equilibrio) (2)'!$D$690</f>
        <v>3900</v>
      </c>
      <c r="G51" s="946">
        <f>F51-(F51/1.18)</f>
        <v>594.91999999999996</v>
      </c>
      <c r="H51" s="1039">
        <v>70</v>
      </c>
      <c r="I51" s="955">
        <f>D51*F51/H51</f>
        <v>55.71</v>
      </c>
    </row>
    <row r="52" spans="3:9" ht="15.75">
      <c r="C52" s="949" t="s">
        <v>933</v>
      </c>
      <c r="D52" s="946">
        <v>1</v>
      </c>
      <c r="E52" s="947" t="str">
        <f>+VLOOKUP(C52,[49]BASICS!B:E,2,FALSE)</f>
        <v>hr</v>
      </c>
      <c r="F52" s="1054">
        <f>'Basic (equilibrio) (2)'!$D$682</f>
        <v>4250</v>
      </c>
      <c r="G52" s="946">
        <f>F52-(F52/1.18)</f>
        <v>648.30999999999995</v>
      </c>
      <c r="H52" s="1039">
        <v>70</v>
      </c>
      <c r="I52" s="955">
        <f>D52*F52/H52</f>
        <v>60.71</v>
      </c>
    </row>
    <row r="53" spans="3:9" ht="15.75">
      <c r="C53" s="951" t="s">
        <v>918</v>
      </c>
      <c r="D53" s="946"/>
      <c r="E53" s="947"/>
      <c r="F53" s="1054"/>
      <c r="G53" s="946"/>
      <c r="H53" s="1031"/>
      <c r="I53" s="952">
        <f>SUM(I51:I52)</f>
        <v>116.42</v>
      </c>
    </row>
    <row r="54" spans="3:9" ht="15.75">
      <c r="C54" s="949"/>
      <c r="D54" s="946"/>
      <c r="E54" s="947"/>
      <c r="F54" s="1054"/>
      <c r="G54" s="946"/>
      <c r="H54" s="1031"/>
      <c r="I54" s="948"/>
    </row>
    <row r="55" spans="3:9" ht="15.75">
      <c r="C55" s="945" t="s">
        <v>925</v>
      </c>
      <c r="D55" s="946"/>
      <c r="E55" s="947"/>
      <c r="F55" s="1054"/>
      <c r="G55" s="946"/>
      <c r="H55" s="1031"/>
      <c r="I55" s="948"/>
    </row>
    <row r="56" spans="3:9" ht="15.75">
      <c r="C56" s="949" t="s">
        <v>925</v>
      </c>
      <c r="D56" s="946">
        <f>+I48</f>
        <v>1.67</v>
      </c>
      <c r="E56" s="947" t="str">
        <f>VLOOKUP(C56,[50]BASICS!B:D,2,FALSE)</f>
        <v>Pa</v>
      </c>
      <c r="F56" s="1054">
        <f>+VLOOKUP(C56,[49]BASICS!B:E,3,FALSE)</f>
        <v>0</v>
      </c>
      <c r="G56" s="946"/>
      <c r="H56" s="1031"/>
      <c r="I56" s="948">
        <f>D56*F56</f>
        <v>0</v>
      </c>
    </row>
    <row r="57" spans="3:9" ht="15.75">
      <c r="C57" s="951" t="s">
        <v>918</v>
      </c>
      <c r="D57" s="946"/>
      <c r="E57" s="947"/>
      <c r="F57" s="1054"/>
      <c r="G57" s="946"/>
      <c r="H57" s="1031"/>
      <c r="I57" s="952">
        <f>SUM(I56)</f>
        <v>0</v>
      </c>
    </row>
    <row r="58" spans="3:9" ht="15.75">
      <c r="C58" s="951"/>
      <c r="D58" s="946"/>
      <c r="E58" s="947"/>
      <c r="F58" s="1054"/>
      <c r="G58" s="946"/>
      <c r="H58" s="1031"/>
      <c r="I58" s="952"/>
    </row>
    <row r="59" spans="3:9" ht="15.75">
      <c r="C59" s="956" t="s">
        <v>926</v>
      </c>
      <c r="D59" s="957"/>
      <c r="E59" s="958"/>
      <c r="F59" s="1069"/>
      <c r="G59" s="957"/>
      <c r="H59" s="1032"/>
      <c r="I59" s="959">
        <f>+I44</f>
        <v>0</v>
      </c>
    </row>
    <row r="60" spans="3:9" ht="15.75">
      <c r="C60" s="956" t="s">
        <v>927</v>
      </c>
      <c r="D60" s="957"/>
      <c r="E60" s="958"/>
      <c r="F60" s="1069"/>
      <c r="G60" s="957"/>
      <c r="H60" s="1032"/>
      <c r="I60" s="959">
        <f>+I48</f>
        <v>1.67</v>
      </c>
    </row>
    <row r="61" spans="3:9" ht="15.75">
      <c r="C61" s="956" t="s">
        <v>928</v>
      </c>
      <c r="D61" s="957"/>
      <c r="E61" s="958"/>
      <c r="F61" s="1069"/>
      <c r="G61" s="957"/>
      <c r="H61" s="1032"/>
      <c r="I61" s="959">
        <f>+I53</f>
        <v>116.42</v>
      </c>
    </row>
    <row r="62" spans="3:9" ht="15.75">
      <c r="C62" s="956" t="s">
        <v>929</v>
      </c>
      <c r="D62" s="957"/>
      <c r="E62" s="958"/>
      <c r="F62" s="1069"/>
      <c r="G62" s="957"/>
      <c r="H62" s="1032"/>
      <c r="I62" s="959">
        <f>+I57</f>
        <v>0</v>
      </c>
    </row>
    <row r="63" spans="3:9" ht="15.75">
      <c r="C63" s="949"/>
      <c r="D63" s="946"/>
      <c r="E63" s="947"/>
      <c r="F63" s="1054"/>
      <c r="G63" s="946"/>
      <c r="H63" s="1031"/>
      <c r="I63" s="948"/>
    </row>
    <row r="64" spans="3:9" ht="15.75">
      <c r="C64" s="949"/>
      <c r="D64" s="946"/>
      <c r="E64" s="947"/>
      <c r="F64" s="1054"/>
      <c r="G64" s="946"/>
      <c r="H64" s="1031"/>
      <c r="I64" s="948"/>
    </row>
    <row r="65" spans="2:9" ht="15.75">
      <c r="C65" s="951" t="s">
        <v>930</v>
      </c>
      <c r="D65" s="960"/>
      <c r="E65" s="943" t="str">
        <f>+E40</f>
        <v>M³N</v>
      </c>
      <c r="F65" s="1070"/>
      <c r="G65" s="960"/>
      <c r="H65" s="1033"/>
      <c r="I65" s="952">
        <f>SUM(I59:I62)</f>
        <v>118.09</v>
      </c>
    </row>
    <row r="66" spans="2:9" ht="15.75">
      <c r="C66" s="949"/>
      <c r="D66" s="946"/>
      <c r="E66" s="947"/>
      <c r="F66" s="1054"/>
      <c r="G66" s="946"/>
      <c r="H66" s="1031"/>
      <c r="I66" s="948"/>
    </row>
    <row r="68" spans="2:9" ht="31.5">
      <c r="B68" s="1038">
        <v>2.2000000000000002</v>
      </c>
      <c r="C68" s="937" t="str">
        <f>+'[49]LISTA VIAS Y PAISAJISMO'!B16</f>
        <v>Bote de  material c/camion dist.5km (incluye esparcimiento en botadero)</v>
      </c>
      <c r="D68" s="938"/>
      <c r="E68" s="962" t="str">
        <f>+'[49]LISTA VIAS Y PAISAJISMO'!D16</f>
        <v>M³E</v>
      </c>
      <c r="F68" s="1066"/>
      <c r="G68" s="938"/>
      <c r="H68" s="1029"/>
      <c r="I68" s="940">
        <f>I94</f>
        <v>455.24</v>
      </c>
    </row>
    <row r="69" spans="2:9" ht="15.75">
      <c r="C69" s="941" t="s">
        <v>908</v>
      </c>
      <c r="D69" s="942" t="s">
        <v>9</v>
      </c>
      <c r="E69" s="943" t="s">
        <v>10</v>
      </c>
      <c r="F69" s="1067" t="s">
        <v>909</v>
      </c>
      <c r="G69" s="942" t="s">
        <v>910</v>
      </c>
      <c r="H69" s="1030" t="s">
        <v>911</v>
      </c>
      <c r="I69" s="944" t="s">
        <v>912</v>
      </c>
    </row>
    <row r="70" spans="2:9" ht="15.75">
      <c r="C70" s="945" t="s">
        <v>913</v>
      </c>
      <c r="D70" s="946"/>
      <c r="E70" s="947"/>
      <c r="F70" s="1068">
        <f>+VLOOKUP(C71,[49]BASICS!B:E,3,FALSE)</f>
        <v>0</v>
      </c>
      <c r="G70" s="946"/>
      <c r="H70" s="1031"/>
      <c r="I70" s="948"/>
    </row>
    <row r="71" spans="2:9" ht="15.75">
      <c r="C71" s="949" t="s">
        <v>924</v>
      </c>
      <c r="D71" s="946"/>
      <c r="E71" s="947" t="str">
        <f>+VLOOKUP(C71,[49]BASICS!B:E,2,FALSE)</f>
        <v>n/a</v>
      </c>
      <c r="G71" s="946">
        <f>F70-(F70/1.18)</f>
        <v>0</v>
      </c>
      <c r="H71" s="1031"/>
      <c r="I71" s="948">
        <f>D71*F70</f>
        <v>0</v>
      </c>
    </row>
    <row r="72" spans="2:9" ht="15.75">
      <c r="C72" s="951" t="s">
        <v>918</v>
      </c>
      <c r="D72" s="946"/>
      <c r="E72" s="947"/>
      <c r="F72" s="1068"/>
      <c r="G72" s="946"/>
      <c r="H72" s="1031"/>
      <c r="I72" s="952">
        <f>SUM(I71:I71)</f>
        <v>0</v>
      </c>
    </row>
    <row r="73" spans="2:9" ht="15.75">
      <c r="C73" s="949"/>
      <c r="D73" s="946"/>
      <c r="E73" s="947"/>
      <c r="F73" s="1068"/>
      <c r="G73" s="946"/>
      <c r="H73" s="1031"/>
      <c r="I73" s="948"/>
    </row>
    <row r="74" spans="2:9" ht="15.75">
      <c r="C74" s="945" t="s">
        <v>919</v>
      </c>
      <c r="D74" s="946"/>
      <c r="E74" s="947"/>
      <c r="F74" s="1068"/>
      <c r="G74" s="946"/>
      <c r="H74" s="1031"/>
      <c r="I74" s="948"/>
    </row>
    <row r="75" spans="2:9" ht="15.75">
      <c r="C75" s="949" t="s">
        <v>931</v>
      </c>
      <c r="D75" s="953">
        <v>0.13</v>
      </c>
      <c r="E75" s="954" t="str">
        <f>+VLOOKUP(C75,[49]BASICS!B:E,2,FALSE)</f>
        <v>dia</v>
      </c>
      <c r="F75" s="1068">
        <f>'Basic (equilibrio) (2)'!$D$14</f>
        <v>900</v>
      </c>
      <c r="G75" s="946">
        <f>F75-(F75/1.18)</f>
        <v>137.29</v>
      </c>
      <c r="H75" s="1031">
        <v>70</v>
      </c>
      <c r="I75" s="948">
        <f>(D75*F75)/H75</f>
        <v>1.67</v>
      </c>
    </row>
    <row r="76" spans="2:9" ht="15.75">
      <c r="C76" s="951" t="s">
        <v>918</v>
      </c>
      <c r="D76" s="946"/>
      <c r="E76" s="947"/>
      <c r="F76" s="1054"/>
      <c r="G76" s="946"/>
      <c r="H76" s="1031"/>
      <c r="I76" s="952">
        <f>SUM(I75:I75)</f>
        <v>1.67</v>
      </c>
    </row>
    <row r="77" spans="2:9" ht="15.75">
      <c r="C77" s="949"/>
      <c r="D77" s="946"/>
      <c r="E77" s="947"/>
      <c r="F77" s="1054"/>
      <c r="G77" s="946"/>
      <c r="H77" s="1031"/>
      <c r="I77" s="948"/>
    </row>
    <row r="78" spans="2:9" ht="15.75">
      <c r="C78" s="945" t="s">
        <v>923</v>
      </c>
      <c r="D78" s="946"/>
      <c r="E78" s="947"/>
      <c r="F78" s="1054"/>
      <c r="G78" s="946"/>
      <c r="H78" s="1031"/>
      <c r="I78" s="948"/>
    </row>
    <row r="79" spans="2:9" ht="15.75">
      <c r="C79" s="949" t="s">
        <v>934</v>
      </c>
      <c r="D79" s="946">
        <v>1</v>
      </c>
      <c r="E79" s="947" t="str">
        <f>+VLOOKUP(C79,[49]BASICS!B:E,2,FALSE)</f>
        <v>m3e</v>
      </c>
      <c r="F79" s="1054">
        <f>'Basic (equilibrio) (2)'!$D$685</f>
        <v>350</v>
      </c>
      <c r="G79" s="946">
        <f>F79-(F79/1.18)</f>
        <v>53.39</v>
      </c>
      <c r="H79" s="1039"/>
      <c r="I79" s="955">
        <f>D79*F79</f>
        <v>350</v>
      </c>
    </row>
    <row r="80" spans="2:9" ht="15.75">
      <c r="C80" s="949" t="s">
        <v>933</v>
      </c>
      <c r="D80" s="946">
        <v>1</v>
      </c>
      <c r="E80" s="947" t="str">
        <f>+VLOOKUP(C80,[49]BASICS!B:E,2,FALSE)</f>
        <v>hr</v>
      </c>
      <c r="F80" s="1054">
        <f>'Basic (equilibrio) (2)'!$D$682</f>
        <v>4250</v>
      </c>
      <c r="G80" s="946">
        <f>F80-(F80/1.18)</f>
        <v>648.30999999999995</v>
      </c>
      <c r="H80" s="1039">
        <v>70</v>
      </c>
      <c r="I80" s="955">
        <f>D80*F80/H80</f>
        <v>60.71</v>
      </c>
    </row>
    <row r="81" spans="3:9" ht="15.75">
      <c r="C81" s="949" t="s">
        <v>935</v>
      </c>
      <c r="D81" s="946">
        <v>1</v>
      </c>
      <c r="E81" s="947" t="str">
        <f>+VLOOKUP(C81,[49]BASICS!B:E,2,FALSE)</f>
        <v>hr</v>
      </c>
      <c r="F81" s="1054">
        <f>'Basic (equilibrio) (2)'!$D$684</f>
        <v>3000</v>
      </c>
      <c r="G81" s="946">
        <f>F81-(F81/1.18)</f>
        <v>457.63</v>
      </c>
      <c r="H81" s="1039">
        <v>70</v>
      </c>
      <c r="I81" s="955">
        <f>D81*F81/H81</f>
        <v>42.86</v>
      </c>
    </row>
    <row r="82" spans="3:9" ht="15.75">
      <c r="C82" s="951" t="s">
        <v>918</v>
      </c>
      <c r="D82" s="946"/>
      <c r="E82" s="947"/>
      <c r="F82" s="1054"/>
      <c r="G82" s="946"/>
      <c r="H82" s="1031"/>
      <c r="I82" s="952">
        <f>SUM(I79:I81)</f>
        <v>453.57</v>
      </c>
    </row>
    <row r="83" spans="3:9" ht="15.75">
      <c r="C83" s="949"/>
      <c r="D83" s="946"/>
      <c r="E83" s="947"/>
      <c r="F83" s="1054"/>
      <c r="G83" s="946"/>
      <c r="H83" s="1031"/>
      <c r="I83" s="948"/>
    </row>
    <row r="84" spans="3:9" ht="15.75">
      <c r="C84" s="945" t="s">
        <v>925</v>
      </c>
      <c r="D84" s="946"/>
      <c r="E84" s="947"/>
      <c r="F84" s="1054"/>
      <c r="G84" s="946"/>
      <c r="H84" s="1031"/>
      <c r="I84" s="948"/>
    </row>
    <row r="85" spans="3:9" ht="15.75">
      <c r="C85" s="949" t="s">
        <v>925</v>
      </c>
      <c r="D85" s="946">
        <f>+I76</f>
        <v>1.67</v>
      </c>
      <c r="E85" s="947" t="str">
        <f>VLOOKUP(C85,[50]BASICS!B:D,2,FALSE)</f>
        <v>Pa</v>
      </c>
      <c r="F85" s="1054">
        <f>+VLOOKUP(C85,[49]BASICS!B:E,3,FALSE)</f>
        <v>0</v>
      </c>
      <c r="G85" s="946"/>
      <c r="H85" s="1031"/>
      <c r="I85" s="948">
        <f>D85*F85</f>
        <v>0</v>
      </c>
    </row>
    <row r="86" spans="3:9" ht="15.75">
      <c r="C86" s="951" t="s">
        <v>918</v>
      </c>
      <c r="D86" s="946"/>
      <c r="E86" s="947"/>
      <c r="F86" s="1054"/>
      <c r="G86" s="946"/>
      <c r="H86" s="1031"/>
      <c r="I86" s="952">
        <f>SUM(I85)</f>
        <v>0</v>
      </c>
    </row>
    <row r="87" spans="3:9" ht="15.75">
      <c r="C87" s="951"/>
      <c r="D87" s="946"/>
      <c r="E87" s="947"/>
      <c r="F87" s="1054"/>
      <c r="G87" s="946"/>
      <c r="H87" s="1031"/>
      <c r="I87" s="952"/>
    </row>
    <row r="88" spans="3:9" ht="15.75">
      <c r="C88" s="956" t="s">
        <v>926</v>
      </c>
      <c r="D88" s="957"/>
      <c r="E88" s="958"/>
      <c r="F88" s="1069"/>
      <c r="G88" s="957"/>
      <c r="H88" s="1032"/>
      <c r="I88" s="959">
        <f>+I72</f>
        <v>0</v>
      </c>
    </row>
    <row r="89" spans="3:9" ht="15.75">
      <c r="C89" s="956" t="s">
        <v>927</v>
      </c>
      <c r="D89" s="957"/>
      <c r="E89" s="958"/>
      <c r="F89" s="1069"/>
      <c r="G89" s="957"/>
      <c r="H89" s="1032"/>
      <c r="I89" s="959">
        <f>+I76</f>
        <v>1.67</v>
      </c>
    </row>
    <row r="90" spans="3:9" ht="15.75">
      <c r="C90" s="956" t="s">
        <v>928</v>
      </c>
      <c r="D90" s="957"/>
      <c r="E90" s="958"/>
      <c r="F90" s="1069"/>
      <c r="G90" s="957"/>
      <c r="H90" s="1032"/>
      <c r="I90" s="959">
        <f>+I82</f>
        <v>453.57</v>
      </c>
    </row>
    <row r="91" spans="3:9" ht="15.75">
      <c r="C91" s="956" t="s">
        <v>929</v>
      </c>
      <c r="D91" s="957"/>
      <c r="E91" s="958"/>
      <c r="F91" s="1069"/>
      <c r="G91" s="957"/>
      <c r="H91" s="1032"/>
      <c r="I91" s="959">
        <f>+I86</f>
        <v>0</v>
      </c>
    </row>
    <row r="92" spans="3:9" ht="15.75">
      <c r="C92" s="949"/>
      <c r="D92" s="946"/>
      <c r="E92" s="947"/>
      <c r="F92" s="1054"/>
      <c r="G92" s="946"/>
      <c r="H92" s="1031"/>
      <c r="I92" s="948"/>
    </row>
    <row r="93" spans="3:9" ht="15.75">
      <c r="C93" s="949"/>
      <c r="D93" s="946"/>
      <c r="E93" s="947"/>
      <c r="F93" s="1054"/>
      <c r="G93" s="946"/>
      <c r="H93" s="1031"/>
      <c r="I93" s="948"/>
    </row>
    <row r="94" spans="3:9" ht="15.75">
      <c r="C94" s="951" t="s">
        <v>930</v>
      </c>
      <c r="D94" s="960"/>
      <c r="E94" s="943" t="str">
        <f>+E68</f>
        <v>M³E</v>
      </c>
      <c r="F94" s="1070"/>
      <c r="G94" s="960"/>
      <c r="H94" s="1033"/>
      <c r="I94" s="952">
        <f>SUM(I88:I91)</f>
        <v>455.24</v>
      </c>
    </row>
    <row r="95" spans="3:9" ht="15.75">
      <c r="C95" s="949"/>
      <c r="D95" s="946"/>
      <c r="E95" s="947"/>
      <c r="F95" s="1054"/>
      <c r="G95" s="946"/>
      <c r="H95" s="1031"/>
      <c r="I95" s="948"/>
    </row>
    <row r="97" spans="2:9" ht="31.5">
      <c r="B97" s="1038">
        <v>2.2999999999999998</v>
      </c>
      <c r="C97" s="937" t="str">
        <f>+'[49]LISTA VIAS Y PAISAJISMO'!B17</f>
        <v>Suministro de material sub- base e=30 cm dist. aprox 20.00 km</v>
      </c>
      <c r="D97" s="938"/>
      <c r="E97" s="962" t="str">
        <f>+'[49]LISTA VIAS Y PAISAJISMO'!D17</f>
        <v>M³</v>
      </c>
      <c r="F97" s="1066"/>
      <c r="G97" s="938"/>
      <c r="H97" s="1029"/>
      <c r="I97" s="940">
        <f>I124</f>
        <v>1067.71</v>
      </c>
    </row>
    <row r="98" spans="2:9" ht="15.75">
      <c r="C98" s="941" t="s">
        <v>908</v>
      </c>
      <c r="D98" s="942" t="s">
        <v>9</v>
      </c>
      <c r="E98" s="943" t="s">
        <v>10</v>
      </c>
      <c r="F98" s="1067" t="s">
        <v>909</v>
      </c>
      <c r="G98" s="942" t="s">
        <v>910</v>
      </c>
      <c r="H98" s="1030" t="s">
        <v>911</v>
      </c>
      <c r="I98" s="944" t="s">
        <v>912</v>
      </c>
    </row>
    <row r="99" spans="2:9" ht="15.75">
      <c r="C99" s="945" t="s">
        <v>913</v>
      </c>
      <c r="D99" s="946"/>
      <c r="E99" s="947"/>
      <c r="F99" s="1054"/>
      <c r="G99" s="946"/>
      <c r="H99" s="1031"/>
      <c r="I99" s="948"/>
    </row>
    <row r="100" spans="2:9" ht="15.75">
      <c r="C100" s="949" t="s">
        <v>936</v>
      </c>
      <c r="D100" s="946">
        <v>1.3</v>
      </c>
      <c r="E100" s="947" t="str">
        <f>+VLOOKUP(C100,[49]BASICS!B:E,2,FALSE)</f>
        <v>m3</v>
      </c>
      <c r="F100" s="1068">
        <f>'Basic (equilibrio) (2)'!$D$186</f>
        <v>500</v>
      </c>
      <c r="G100" s="946">
        <f>F100-(F100/1.18)</f>
        <v>76.27</v>
      </c>
      <c r="H100" s="1031"/>
      <c r="I100" s="948">
        <f>D100*F100</f>
        <v>650</v>
      </c>
    </row>
    <row r="101" spans="2:9" ht="15.75">
      <c r="C101" s="951" t="s">
        <v>918</v>
      </c>
      <c r="D101" s="946"/>
      <c r="E101" s="947"/>
      <c r="F101" s="1068"/>
      <c r="G101" s="946"/>
      <c r="H101" s="1031"/>
      <c r="I101" s="952">
        <f>SUM(I100:I100)</f>
        <v>650</v>
      </c>
    </row>
    <row r="102" spans="2:9" ht="15.75">
      <c r="C102" s="949"/>
      <c r="D102" s="946"/>
      <c r="E102" s="947"/>
      <c r="F102" s="1068"/>
      <c r="G102" s="946"/>
      <c r="H102" s="1031"/>
      <c r="I102" s="948"/>
    </row>
    <row r="103" spans="2:9" ht="15.75">
      <c r="C103" s="945" t="s">
        <v>919</v>
      </c>
      <c r="D103" s="946"/>
      <c r="E103" s="947"/>
      <c r="F103" s="1068"/>
      <c r="G103" s="946"/>
      <c r="H103" s="1031"/>
      <c r="I103" s="948"/>
    </row>
    <row r="104" spans="2:9" ht="15.75">
      <c r="C104" s="949" t="s">
        <v>924</v>
      </c>
      <c r="D104" s="953"/>
      <c r="E104" s="954" t="str">
        <f>+VLOOKUP(C104,[49]BASICS!B:E,2,FALSE)</f>
        <v>n/a</v>
      </c>
      <c r="F104" s="1068">
        <f>+VLOOKUP(C104,[49]BASICS!B:E,3,FALSE)</f>
        <v>0</v>
      </c>
      <c r="G104" s="946">
        <f>F104-(F104/1.18)</f>
        <v>0</v>
      </c>
      <c r="H104" s="1031"/>
      <c r="I104" s="948">
        <f>(D104*F104)</f>
        <v>0</v>
      </c>
    </row>
    <row r="105" spans="2:9" ht="15.75">
      <c r="C105" s="951" t="s">
        <v>918</v>
      </c>
      <c r="D105" s="946"/>
      <c r="E105" s="947"/>
      <c r="F105" s="1054"/>
      <c r="G105" s="946"/>
      <c r="H105" s="1031"/>
      <c r="I105" s="952">
        <f>SUM(I104:I104)</f>
        <v>0</v>
      </c>
    </row>
    <row r="106" spans="2:9" ht="15.75">
      <c r="C106" s="949"/>
      <c r="D106" s="946"/>
      <c r="E106" s="947"/>
      <c r="F106" s="1054"/>
      <c r="G106" s="946"/>
      <c r="H106" s="1031"/>
      <c r="I106" s="948"/>
    </row>
    <row r="107" spans="2:9" ht="15.75">
      <c r="C107" s="945" t="s">
        <v>923</v>
      </c>
      <c r="D107" s="946"/>
      <c r="E107" s="947"/>
      <c r="F107" s="1054"/>
      <c r="G107" s="946"/>
      <c r="H107" s="1031"/>
      <c r="I107" s="948"/>
    </row>
    <row r="108" spans="2:9" ht="15.75">
      <c r="C108" s="949" t="s">
        <v>937</v>
      </c>
      <c r="D108" s="946">
        <v>1</v>
      </c>
      <c r="E108" s="947" t="str">
        <f>+VLOOKUP(C108,[49]BASICS!B:E,2,FALSE)</f>
        <v>m3e</v>
      </c>
      <c r="F108" s="1068">
        <f>'Basic (equilibrio) (2)'!$D$188</f>
        <v>342</v>
      </c>
      <c r="G108" s="946">
        <f>F108-(F108/1.18)</f>
        <v>52.17</v>
      </c>
      <c r="H108" s="1039"/>
      <c r="I108" s="955">
        <f>D108*F108</f>
        <v>342</v>
      </c>
    </row>
    <row r="109" spans="2:9" ht="15.75">
      <c r="C109" s="949" t="s">
        <v>938</v>
      </c>
      <c r="D109" s="946">
        <v>1</v>
      </c>
      <c r="E109" s="947" t="str">
        <f>+VLOOKUP(C109,[49]BASICS!B:E,2,FALSE)</f>
        <v>hr</v>
      </c>
      <c r="F109" s="1054">
        <f>'Basic (equilibrio) (2)'!$D$683</f>
        <v>2500</v>
      </c>
      <c r="G109" s="946">
        <f>F109-(F109/1.18)</f>
        <v>381.36</v>
      </c>
      <c r="H109" s="1039">
        <v>70</v>
      </c>
      <c r="I109" s="955">
        <f>D109*F109/H109</f>
        <v>35.71</v>
      </c>
    </row>
    <row r="110" spans="2:9" ht="15.75">
      <c r="C110" s="949" t="s">
        <v>935</v>
      </c>
      <c r="D110" s="946">
        <v>1</v>
      </c>
      <c r="E110" s="947" t="str">
        <f>+VLOOKUP(C110,[49]BASICS!B:E,2,FALSE)</f>
        <v>hr</v>
      </c>
      <c r="F110" s="1054">
        <f>+VLOOKUP(C110,[49]BASICS!B:E,3,FALSE)</f>
        <v>2400</v>
      </c>
      <c r="G110" s="946">
        <f>F110-(F110/1.18)</f>
        <v>366.1</v>
      </c>
      <c r="H110" s="1039">
        <v>70</v>
      </c>
      <c r="I110" s="955">
        <f>D110*F110/H110</f>
        <v>34.29</v>
      </c>
    </row>
    <row r="111" spans="2:9" ht="15.75">
      <c r="C111" s="949" t="s">
        <v>939</v>
      </c>
      <c r="D111" s="946">
        <v>1</v>
      </c>
      <c r="E111" s="947" t="str">
        <f>+VLOOKUP(C111,[49]BASICS!B:E,2,FALSE)</f>
        <v>hr</v>
      </c>
      <c r="F111" s="1054">
        <f>'Basic (equilibrio) (2)'!$D$688</f>
        <v>400</v>
      </c>
      <c r="G111" s="946">
        <f>F111-(F111/1.18)</f>
        <v>61.02</v>
      </c>
      <c r="H111" s="1039">
        <v>70</v>
      </c>
      <c r="I111" s="955">
        <f>D111*F111/H111</f>
        <v>5.71</v>
      </c>
    </row>
    <row r="112" spans="2:9" ht="15.75">
      <c r="C112" s="951" t="s">
        <v>918</v>
      </c>
      <c r="D112" s="946"/>
      <c r="E112" s="947"/>
      <c r="F112" s="1054"/>
      <c r="G112" s="946"/>
      <c r="H112" s="1031"/>
      <c r="I112" s="952">
        <f>SUM(I108:I111)</f>
        <v>417.71</v>
      </c>
    </row>
    <row r="113" spans="2:9" ht="15.75">
      <c r="C113" s="949"/>
      <c r="D113" s="946"/>
      <c r="E113" s="947"/>
      <c r="F113" s="1054"/>
      <c r="G113" s="946"/>
      <c r="H113" s="1031"/>
      <c r="I113" s="948"/>
    </row>
    <row r="114" spans="2:9" ht="15.75">
      <c r="C114" s="945" t="s">
        <v>925</v>
      </c>
      <c r="D114" s="946"/>
      <c r="E114" s="947"/>
      <c r="F114" s="1054"/>
      <c r="G114" s="946"/>
      <c r="H114" s="1031"/>
      <c r="I114" s="948"/>
    </row>
    <row r="115" spans="2:9" ht="15.75">
      <c r="C115" s="949" t="s">
        <v>924</v>
      </c>
      <c r="D115" s="946"/>
      <c r="E115" s="947" t="str">
        <f>VLOOKUP(C115,[50]BASICS!B:D,2,FALSE)</f>
        <v>n/a</v>
      </c>
      <c r="F115" s="1054">
        <f>+VLOOKUP(C115,[49]BASICS!B:E,3,FALSE)</f>
        <v>0</v>
      </c>
      <c r="G115" s="946"/>
      <c r="H115" s="1031"/>
      <c r="I115" s="948">
        <f>D115*F115</f>
        <v>0</v>
      </c>
    </row>
    <row r="116" spans="2:9" ht="15.75">
      <c r="C116" s="951" t="s">
        <v>918</v>
      </c>
      <c r="D116" s="946"/>
      <c r="E116" s="947"/>
      <c r="F116" s="1054"/>
      <c r="G116" s="946"/>
      <c r="H116" s="1031"/>
      <c r="I116" s="952">
        <f>SUM(I115)</f>
        <v>0</v>
      </c>
    </row>
    <row r="117" spans="2:9" ht="15.75">
      <c r="C117" s="951"/>
      <c r="D117" s="946"/>
      <c r="E117" s="947"/>
      <c r="F117" s="1054"/>
      <c r="G117" s="946"/>
      <c r="H117" s="1031"/>
      <c r="I117" s="952"/>
    </row>
    <row r="118" spans="2:9" ht="15.75">
      <c r="C118" s="956" t="s">
        <v>926</v>
      </c>
      <c r="D118" s="957"/>
      <c r="E118" s="958"/>
      <c r="F118" s="1069"/>
      <c r="G118" s="957"/>
      <c r="H118" s="1032"/>
      <c r="I118" s="959">
        <f>+I101</f>
        <v>650</v>
      </c>
    </row>
    <row r="119" spans="2:9" ht="15.75">
      <c r="C119" s="956" t="s">
        <v>927</v>
      </c>
      <c r="D119" s="957"/>
      <c r="E119" s="958"/>
      <c r="F119" s="1069"/>
      <c r="G119" s="957"/>
      <c r="H119" s="1032"/>
      <c r="I119" s="959">
        <f>+I105</f>
        <v>0</v>
      </c>
    </row>
    <row r="120" spans="2:9" ht="15.75">
      <c r="C120" s="956" t="s">
        <v>928</v>
      </c>
      <c r="D120" s="957"/>
      <c r="E120" s="958"/>
      <c r="F120" s="1069"/>
      <c r="G120" s="957"/>
      <c r="H120" s="1032"/>
      <c r="I120" s="959">
        <f>+I112</f>
        <v>417.71</v>
      </c>
    </row>
    <row r="121" spans="2:9" ht="15.75">
      <c r="C121" s="956" t="s">
        <v>929</v>
      </c>
      <c r="D121" s="957"/>
      <c r="E121" s="958"/>
      <c r="F121" s="1069"/>
      <c r="G121" s="957"/>
      <c r="H121" s="1032"/>
      <c r="I121" s="959">
        <f>+I116</f>
        <v>0</v>
      </c>
    </row>
    <row r="122" spans="2:9" ht="15.75">
      <c r="C122" s="949"/>
      <c r="D122" s="946"/>
      <c r="E122" s="947"/>
      <c r="F122" s="1054"/>
      <c r="G122" s="946"/>
      <c r="H122" s="1031"/>
      <c r="I122" s="948"/>
    </row>
    <row r="123" spans="2:9" ht="15.75">
      <c r="C123" s="949"/>
      <c r="D123" s="946"/>
      <c r="E123" s="947"/>
      <c r="F123" s="1054"/>
      <c r="G123" s="946"/>
      <c r="H123" s="1031"/>
      <c r="I123" s="948"/>
    </row>
    <row r="124" spans="2:9" ht="15.75">
      <c r="C124" s="951" t="s">
        <v>930</v>
      </c>
      <c r="D124" s="960"/>
      <c r="E124" s="943" t="str">
        <f>+E97</f>
        <v>M³</v>
      </c>
      <c r="F124" s="1070"/>
      <c r="G124" s="960"/>
      <c r="H124" s="1033"/>
      <c r="I124" s="952">
        <f>SUM(I118:I121)</f>
        <v>1067.71</v>
      </c>
    </row>
    <row r="125" spans="2:9" ht="15.75">
      <c r="C125" s="949"/>
      <c r="D125" s="946"/>
      <c r="E125" s="947"/>
      <c r="F125" s="1054"/>
      <c r="G125" s="946"/>
      <c r="H125" s="1031"/>
      <c r="I125" s="948"/>
    </row>
    <row r="127" spans="2:9" ht="15.75">
      <c r="B127" s="1038">
        <v>2.4</v>
      </c>
      <c r="C127" s="937" t="str">
        <f>+'[49]LISTA VIAS Y PAISAJISMO'!B18</f>
        <v>Suministro de material base e=20 cm dist. aprox 20.00 km</v>
      </c>
      <c r="D127" s="938"/>
      <c r="E127" s="962" t="str">
        <f>+'[49]LISTA VIAS Y PAISAJISMO'!D18</f>
        <v>M³</v>
      </c>
      <c r="F127" s="1066"/>
      <c r="G127" s="938"/>
      <c r="H127" s="1029"/>
      <c r="I127" s="940">
        <f>I154</f>
        <v>1132.71</v>
      </c>
    </row>
    <row r="128" spans="2:9" ht="15.75">
      <c r="C128" s="941" t="s">
        <v>908</v>
      </c>
      <c r="D128" s="942" t="s">
        <v>9</v>
      </c>
      <c r="E128" s="943" t="s">
        <v>10</v>
      </c>
      <c r="F128" s="1067" t="s">
        <v>909</v>
      </c>
      <c r="G128" s="942" t="s">
        <v>910</v>
      </c>
      <c r="H128" s="1030" t="s">
        <v>911</v>
      </c>
      <c r="I128" s="944" t="s">
        <v>912</v>
      </c>
    </row>
    <row r="129" spans="3:9" ht="15.75">
      <c r="C129" s="945" t="s">
        <v>913</v>
      </c>
      <c r="D129" s="946"/>
      <c r="E129" s="947"/>
      <c r="F129" s="1054"/>
      <c r="G129" s="946"/>
      <c r="H129" s="1031"/>
      <c r="I129" s="948"/>
    </row>
    <row r="130" spans="3:9" ht="15.75">
      <c r="C130" s="949" t="s">
        <v>940</v>
      </c>
      <c r="D130" s="946">
        <v>1.3</v>
      </c>
      <c r="E130" s="947" t="str">
        <f>+VLOOKUP(C130,[49]BASICS!B:E,2,FALSE)</f>
        <v>m3</v>
      </c>
      <c r="F130" s="1068">
        <f>+VLOOKUP(C130,[49]BASICS!B:E,3,FALSE)</f>
        <v>550</v>
      </c>
      <c r="G130" s="946">
        <f>F130-(F130/1.18)</f>
        <v>83.9</v>
      </c>
      <c r="H130" s="1031"/>
      <c r="I130" s="948">
        <f>D130*F130</f>
        <v>715</v>
      </c>
    </row>
    <row r="131" spans="3:9" ht="15.75">
      <c r="C131" s="951" t="s">
        <v>918</v>
      </c>
      <c r="D131" s="946"/>
      <c r="E131" s="947"/>
      <c r="F131" s="1068"/>
      <c r="G131" s="946"/>
      <c r="H131" s="1031"/>
      <c r="I131" s="952">
        <f>SUM(I130:I130)</f>
        <v>715</v>
      </c>
    </row>
    <row r="132" spans="3:9" ht="15.75">
      <c r="C132" s="949"/>
      <c r="D132" s="946"/>
      <c r="E132" s="947"/>
      <c r="F132" s="1068"/>
      <c r="G132" s="946"/>
      <c r="H132" s="1031"/>
      <c r="I132" s="948"/>
    </row>
    <row r="133" spans="3:9" ht="15.75">
      <c r="C133" s="945" t="s">
        <v>919</v>
      </c>
      <c r="D133" s="946"/>
      <c r="E133" s="947"/>
      <c r="F133" s="1068"/>
      <c r="G133" s="946"/>
      <c r="H133" s="1031"/>
      <c r="I133" s="948"/>
    </row>
    <row r="134" spans="3:9" ht="15.75">
      <c r="C134" s="949" t="s">
        <v>924</v>
      </c>
      <c r="D134" s="953"/>
      <c r="E134" s="954" t="str">
        <f>+VLOOKUP(C134,[49]BASICS!B:E,2,FALSE)</f>
        <v>n/a</v>
      </c>
      <c r="F134" s="1068">
        <f>+VLOOKUP(C134,[49]BASICS!B:E,3,FALSE)</f>
        <v>0</v>
      </c>
      <c r="G134" s="946">
        <f>F134-(F134/1.18)</f>
        <v>0</v>
      </c>
      <c r="H134" s="1031"/>
      <c r="I134" s="948">
        <f>(D134*F134)</f>
        <v>0</v>
      </c>
    </row>
    <row r="135" spans="3:9" ht="15.75">
      <c r="C135" s="951" t="s">
        <v>918</v>
      </c>
      <c r="D135" s="946"/>
      <c r="E135" s="947"/>
      <c r="F135" s="1054"/>
      <c r="G135" s="946"/>
      <c r="H135" s="1031"/>
      <c r="I135" s="952">
        <f>SUM(I134:I134)</f>
        <v>0</v>
      </c>
    </row>
    <row r="136" spans="3:9" ht="15.75">
      <c r="C136" s="949"/>
      <c r="D136" s="946"/>
      <c r="E136" s="947"/>
      <c r="F136" s="1054"/>
      <c r="G136" s="946"/>
      <c r="H136" s="1031"/>
      <c r="I136" s="948"/>
    </row>
    <row r="137" spans="3:9" ht="15.75">
      <c r="C137" s="945" t="s">
        <v>923</v>
      </c>
      <c r="D137" s="946"/>
      <c r="E137" s="947"/>
      <c r="F137" s="1054"/>
      <c r="G137" s="946"/>
      <c r="H137" s="1031"/>
      <c r="I137" s="948"/>
    </row>
    <row r="138" spans="3:9" ht="15.75">
      <c r="C138" s="949" t="s">
        <v>937</v>
      </c>
      <c r="D138" s="946">
        <v>1</v>
      </c>
      <c r="E138" s="947" t="str">
        <f>+VLOOKUP(C138,[49]BASICS!B:E,2,FALSE)</f>
        <v>m3e</v>
      </c>
      <c r="F138" s="1068">
        <f>'Basic (equilibrio) (2)'!$D$188</f>
        <v>342</v>
      </c>
      <c r="G138" s="946">
        <f>F138-(F138/1.18)</f>
        <v>52.17</v>
      </c>
      <c r="H138" s="1039"/>
      <c r="I138" s="955">
        <f>D138*F138</f>
        <v>342</v>
      </c>
    </row>
    <row r="139" spans="3:9" ht="15.75">
      <c r="C139" s="949" t="s">
        <v>938</v>
      </c>
      <c r="D139" s="946">
        <v>1</v>
      </c>
      <c r="E139" s="947" t="str">
        <f>+VLOOKUP(C139,[49]BASICS!B:E,2,FALSE)</f>
        <v>hr</v>
      </c>
      <c r="F139" s="1054">
        <f>'Basic (equilibrio) (2)'!$D$683</f>
        <v>2500</v>
      </c>
      <c r="G139" s="946">
        <f>F139-(F139/1.18)</f>
        <v>381.36</v>
      </c>
      <c r="H139" s="1039">
        <v>70</v>
      </c>
      <c r="I139" s="955">
        <f>D139*F139/H139</f>
        <v>35.71</v>
      </c>
    </row>
    <row r="140" spans="3:9" ht="15.75">
      <c r="C140" s="949" t="s">
        <v>935</v>
      </c>
      <c r="D140" s="946">
        <v>1</v>
      </c>
      <c r="E140" s="947" t="str">
        <f>+VLOOKUP(C140,[49]BASICS!B:E,2,FALSE)</f>
        <v>hr</v>
      </c>
      <c r="F140" s="1054">
        <f>+VLOOKUP(C140,[49]BASICS!B:E,3,FALSE)</f>
        <v>2400</v>
      </c>
      <c r="G140" s="946">
        <f>F140-(F140/1.18)</f>
        <v>366.1</v>
      </c>
      <c r="H140" s="1039">
        <v>70</v>
      </c>
      <c r="I140" s="955">
        <f>D140*F140/H140</f>
        <v>34.29</v>
      </c>
    </row>
    <row r="141" spans="3:9" ht="15.75">
      <c r="C141" s="949" t="s">
        <v>939</v>
      </c>
      <c r="D141" s="946">
        <v>1</v>
      </c>
      <c r="E141" s="947" t="str">
        <f>+VLOOKUP(C141,[49]BASICS!B:E,2,FALSE)</f>
        <v>hr</v>
      </c>
      <c r="F141" s="1054">
        <f>'Basic (equilibrio) (2)'!$D$688</f>
        <v>400</v>
      </c>
      <c r="G141" s="946">
        <f>F141-(F141/1.18)</f>
        <v>61.02</v>
      </c>
      <c r="H141" s="1039">
        <v>70</v>
      </c>
      <c r="I141" s="955">
        <f>D141*F141/H141</f>
        <v>5.71</v>
      </c>
    </row>
    <row r="142" spans="3:9" ht="15.75">
      <c r="C142" s="951" t="s">
        <v>918</v>
      </c>
      <c r="D142" s="946"/>
      <c r="E142" s="947"/>
      <c r="F142" s="1054"/>
      <c r="G142" s="946"/>
      <c r="H142" s="1031"/>
      <c r="I142" s="952">
        <f>SUM(I138:I141)</f>
        <v>417.71</v>
      </c>
    </row>
    <row r="143" spans="3:9" ht="15.75">
      <c r="C143" s="949"/>
      <c r="D143" s="946"/>
      <c r="E143" s="947"/>
      <c r="F143" s="1054"/>
      <c r="G143" s="946"/>
      <c r="H143" s="1031"/>
      <c r="I143" s="948"/>
    </row>
    <row r="144" spans="3:9" ht="15.75">
      <c r="C144" s="945" t="s">
        <v>925</v>
      </c>
      <c r="D144" s="946"/>
      <c r="E144" s="947"/>
      <c r="F144" s="1054"/>
      <c r="G144" s="946"/>
      <c r="H144" s="1031"/>
      <c r="I144" s="948"/>
    </row>
    <row r="145" spans="2:9" ht="15.75">
      <c r="C145" s="949" t="s">
        <v>924</v>
      </c>
      <c r="D145" s="946"/>
      <c r="E145" s="947" t="str">
        <f>VLOOKUP(C145,[50]BASICS!B:D,2,FALSE)</f>
        <v>n/a</v>
      </c>
      <c r="F145" s="1054">
        <f>+VLOOKUP(C145,[49]BASICS!B:E,3,FALSE)</f>
        <v>0</v>
      </c>
      <c r="G145" s="946"/>
      <c r="H145" s="1031"/>
      <c r="I145" s="948">
        <f>D145*F145</f>
        <v>0</v>
      </c>
    </row>
    <row r="146" spans="2:9" ht="15.75">
      <c r="C146" s="951" t="s">
        <v>918</v>
      </c>
      <c r="D146" s="946"/>
      <c r="E146" s="947"/>
      <c r="F146" s="1054"/>
      <c r="G146" s="946"/>
      <c r="H146" s="1031"/>
      <c r="I146" s="952">
        <f>SUM(I145)</f>
        <v>0</v>
      </c>
    </row>
    <row r="147" spans="2:9" ht="15.75">
      <c r="C147" s="951"/>
      <c r="D147" s="946"/>
      <c r="E147" s="947"/>
      <c r="F147" s="1054"/>
      <c r="G147" s="946"/>
      <c r="H147" s="1031"/>
      <c r="I147" s="952"/>
    </row>
    <row r="148" spans="2:9" ht="15.75">
      <c r="C148" s="956" t="s">
        <v>926</v>
      </c>
      <c r="D148" s="957"/>
      <c r="E148" s="958"/>
      <c r="F148" s="1069"/>
      <c r="G148" s="957"/>
      <c r="H148" s="1032"/>
      <c r="I148" s="959">
        <f>+I131</f>
        <v>715</v>
      </c>
    </row>
    <row r="149" spans="2:9" ht="15.75">
      <c r="C149" s="956" t="s">
        <v>927</v>
      </c>
      <c r="D149" s="957"/>
      <c r="E149" s="958"/>
      <c r="F149" s="1069"/>
      <c r="G149" s="957"/>
      <c r="H149" s="1032"/>
      <c r="I149" s="959">
        <f>+I135</f>
        <v>0</v>
      </c>
    </row>
    <row r="150" spans="2:9" ht="15.75">
      <c r="C150" s="956" t="s">
        <v>928</v>
      </c>
      <c r="D150" s="957"/>
      <c r="E150" s="958"/>
      <c r="F150" s="1069"/>
      <c r="G150" s="957"/>
      <c r="H150" s="1032"/>
      <c r="I150" s="959">
        <f>+I142</f>
        <v>417.71</v>
      </c>
    </row>
    <row r="151" spans="2:9" ht="15.75">
      <c r="C151" s="956" t="s">
        <v>929</v>
      </c>
      <c r="D151" s="957"/>
      <c r="E151" s="958"/>
      <c r="F151" s="1069"/>
      <c r="G151" s="957"/>
      <c r="H151" s="1032"/>
      <c r="I151" s="959">
        <f>+I146</f>
        <v>0</v>
      </c>
    </row>
    <row r="152" spans="2:9" ht="15.75">
      <c r="C152" s="949"/>
      <c r="D152" s="946"/>
      <c r="E152" s="947"/>
      <c r="F152" s="1054"/>
      <c r="G152" s="946"/>
      <c r="H152" s="1031"/>
      <c r="I152" s="948"/>
    </row>
    <row r="153" spans="2:9" ht="15.75">
      <c r="C153" s="949"/>
      <c r="D153" s="946"/>
      <c r="E153" s="947"/>
      <c r="F153" s="1054"/>
      <c r="G153" s="946"/>
      <c r="H153" s="1031"/>
      <c r="I153" s="948"/>
    </row>
    <row r="154" spans="2:9" ht="15.75">
      <c r="C154" s="951" t="s">
        <v>930</v>
      </c>
      <c r="D154" s="960"/>
      <c r="E154" s="943" t="str">
        <f>+E127</f>
        <v>M³</v>
      </c>
      <c r="F154" s="1070"/>
      <c r="G154" s="960"/>
      <c r="H154" s="1033"/>
      <c r="I154" s="952">
        <f>SUM(I148:I151)</f>
        <v>1132.71</v>
      </c>
    </row>
    <row r="155" spans="2:9" ht="15.75">
      <c r="C155" s="949"/>
      <c r="D155" s="946"/>
      <c r="E155" s="947"/>
      <c r="F155" s="1054"/>
      <c r="G155" s="946"/>
      <c r="H155" s="1031"/>
      <c r="I155" s="948"/>
    </row>
    <row r="157" spans="2:9" ht="15.75">
      <c r="B157" s="1038">
        <v>2.5</v>
      </c>
      <c r="C157" s="937" t="str">
        <f>+'[49]LISTA VIAS Y PAISAJISMO'!B19</f>
        <v>Imprimación simple</v>
      </c>
      <c r="D157" s="938"/>
      <c r="E157" s="962" t="str">
        <f>+'[49]LISTA VIAS Y PAISAJISMO'!D19</f>
        <v>M²</v>
      </c>
      <c r="F157" s="1066"/>
      <c r="G157" s="938"/>
      <c r="H157" s="1029"/>
      <c r="I157" s="940">
        <f>I187</f>
        <v>198.49</v>
      </c>
    </row>
    <row r="158" spans="2:9" ht="15.75">
      <c r="C158" s="941" t="s">
        <v>908</v>
      </c>
      <c r="D158" s="942" t="s">
        <v>9</v>
      </c>
      <c r="E158" s="943" t="s">
        <v>10</v>
      </c>
      <c r="F158" s="1067" t="s">
        <v>909</v>
      </c>
      <c r="G158" s="942" t="s">
        <v>910</v>
      </c>
      <c r="H158" s="1030" t="s">
        <v>911</v>
      </c>
      <c r="I158" s="944" t="s">
        <v>912</v>
      </c>
    </row>
    <row r="159" spans="2:9" ht="15.75">
      <c r="C159" s="945" t="s">
        <v>913</v>
      </c>
      <c r="D159" s="946"/>
      <c r="E159" s="947"/>
      <c r="F159" s="1054"/>
      <c r="G159" s="946"/>
      <c r="H159" s="1031"/>
      <c r="I159" s="948"/>
    </row>
    <row r="160" spans="2:9" ht="15.75">
      <c r="C160" s="949" t="s">
        <v>941</v>
      </c>
      <c r="D160" s="946">
        <v>1</v>
      </c>
      <c r="E160" s="947" t="str">
        <f>+VLOOKUP(C160,[49]BASICS!B:E,2,FALSE)</f>
        <v>Gls</v>
      </c>
      <c r="F160" s="1109">
        <f>'Basic (equilibrio) (2)'!$D$168</f>
        <v>330</v>
      </c>
      <c r="G160" s="946">
        <f>F160-(F160/1.18)</f>
        <v>50.34</v>
      </c>
      <c r="H160" s="1031">
        <v>2</v>
      </c>
      <c r="I160" s="948">
        <f>D160*F160/H160</f>
        <v>165</v>
      </c>
    </row>
    <row r="161" spans="3:9" ht="15.75">
      <c r="C161" s="949" t="s">
        <v>942</v>
      </c>
      <c r="D161" s="946">
        <v>1</v>
      </c>
      <c r="E161" s="947" t="str">
        <f>+VLOOKUP(C161,[49]BASICS!B:E,2,FALSE)</f>
        <v>m3</v>
      </c>
      <c r="F161" s="1068">
        <f>+'Basic (equilibrio) (2)'!$D$166</f>
        <v>1250</v>
      </c>
      <c r="G161" s="946">
        <f>F161-(F161/1.18)</f>
        <v>190.68</v>
      </c>
      <c r="H161" s="1031">
        <v>100</v>
      </c>
      <c r="I161" s="948">
        <f>D161*F161/H161</f>
        <v>12.5</v>
      </c>
    </row>
    <row r="162" spans="3:9" ht="15.75">
      <c r="C162" s="951" t="s">
        <v>918</v>
      </c>
      <c r="D162" s="946"/>
      <c r="E162" s="947"/>
      <c r="F162" s="1068"/>
      <c r="G162" s="946"/>
      <c r="H162" s="1031"/>
      <c r="I162" s="952">
        <f>SUM(I160:I161)</f>
        <v>177.5</v>
      </c>
    </row>
    <row r="163" spans="3:9" ht="15.75">
      <c r="C163" s="949"/>
      <c r="D163" s="946"/>
      <c r="E163" s="947"/>
      <c r="F163" s="1068"/>
      <c r="G163" s="946"/>
      <c r="H163" s="1031"/>
      <c r="I163" s="948"/>
    </row>
    <row r="164" spans="3:9" ht="15.75">
      <c r="C164" s="945" t="s">
        <v>919</v>
      </c>
      <c r="D164" s="946"/>
      <c r="E164" s="947"/>
      <c r="F164" s="1068"/>
      <c r="G164" s="946"/>
      <c r="H164" s="1031"/>
      <c r="I164" s="948"/>
    </row>
    <row r="165" spans="3:9" ht="15.75">
      <c r="C165" s="949" t="s">
        <v>943</v>
      </c>
      <c r="D165" s="953">
        <v>1</v>
      </c>
      <c r="E165" s="954" t="str">
        <f>+VLOOKUP(C165,[49]BASICS!B:E,2,FALSE)</f>
        <v>dia</v>
      </c>
      <c r="F165" s="1068">
        <f>'Basic (equilibrio) (2)'!$D$10</f>
        <v>900</v>
      </c>
      <c r="G165" s="946">
        <f>F165-(F165/1.18)</f>
        <v>137.29</v>
      </c>
      <c r="H165" s="1031">
        <v>700</v>
      </c>
      <c r="I165" s="948">
        <f t="shared" ref="I165:I166" si="0">D165*F165/H165</f>
        <v>1.29</v>
      </c>
    </row>
    <row r="166" spans="3:9" ht="15.75">
      <c r="C166" s="949" t="s">
        <v>944</v>
      </c>
      <c r="D166" s="953">
        <v>1</v>
      </c>
      <c r="E166" s="954" t="str">
        <f>+VLOOKUP(C166,[49]BASICS!B:E,2,FALSE)</f>
        <v>dia</v>
      </c>
      <c r="F166" s="1068">
        <f>'Basic (equilibrio) (2)'!$D$11</f>
        <v>1364</v>
      </c>
      <c r="G166" s="946">
        <f>F166-(F166/1.18)</f>
        <v>208.07</v>
      </c>
      <c r="H166" s="1031">
        <v>700</v>
      </c>
      <c r="I166" s="948">
        <f t="shared" si="0"/>
        <v>1.95</v>
      </c>
    </row>
    <row r="167" spans="3:9" ht="15.75">
      <c r="C167" s="951" t="s">
        <v>918</v>
      </c>
      <c r="D167" s="946"/>
      <c r="E167" s="947"/>
      <c r="F167" s="1054"/>
      <c r="G167" s="946"/>
      <c r="H167" s="1031"/>
      <c r="I167" s="952">
        <f>SUM(I165:I166)</f>
        <v>3.24</v>
      </c>
    </row>
    <row r="168" spans="3:9" ht="15.75">
      <c r="C168" s="949"/>
      <c r="D168" s="946"/>
      <c r="E168" s="947"/>
      <c r="F168" s="1054"/>
      <c r="G168" s="946"/>
      <c r="H168" s="1031"/>
      <c r="I168" s="948"/>
    </row>
    <row r="169" spans="3:9" ht="15.75">
      <c r="C169" s="945" t="s">
        <v>923</v>
      </c>
      <c r="D169" s="946"/>
      <c r="E169" s="947"/>
      <c r="F169" s="1054"/>
      <c r="G169" s="946"/>
      <c r="H169" s="1031"/>
      <c r="I169" s="948"/>
    </row>
    <row r="170" spans="3:9" ht="15.75">
      <c r="C170" s="949" t="s">
        <v>945</v>
      </c>
      <c r="D170" s="946">
        <v>1</v>
      </c>
      <c r="E170" s="947" t="str">
        <f>+VLOOKUP(C170,[49]BASICS!B:E,2,FALSE)</f>
        <v>m3e</v>
      </c>
      <c r="F170" s="1068">
        <f>'Basic (equilibrio) (2)'!$D$167</f>
        <v>350</v>
      </c>
      <c r="G170" s="946">
        <f>F170-(F170/1.18)</f>
        <v>53.39</v>
      </c>
      <c r="H170" s="1039">
        <v>100</v>
      </c>
      <c r="I170" s="955">
        <f>D170*F170/H170</f>
        <v>3.5</v>
      </c>
    </row>
    <row r="171" spans="3:9" ht="15.75">
      <c r="C171" s="949" t="s">
        <v>946</v>
      </c>
      <c r="D171" s="946">
        <f>+D160</f>
        <v>1</v>
      </c>
      <c r="E171" s="947" t="str">
        <f>+VLOOKUP(C171,[49]BASICS!B:E,2,FALSE)</f>
        <v>Gls</v>
      </c>
      <c r="F171" s="1054">
        <f>'Basic (equilibrio) (2)'!$D$169</f>
        <v>6</v>
      </c>
      <c r="G171" s="946">
        <f>F171-(F171/1.18)</f>
        <v>0.92</v>
      </c>
      <c r="H171" s="1039"/>
      <c r="I171" s="955">
        <f>D171*F171</f>
        <v>6</v>
      </c>
    </row>
    <row r="172" spans="3:9" ht="15.75">
      <c r="C172" s="949" t="s">
        <v>947</v>
      </c>
      <c r="D172" s="946">
        <v>1</v>
      </c>
      <c r="E172" s="947" t="str">
        <f>+VLOOKUP(C172,[49]BASICS!B:E,2,FALSE)</f>
        <v>Hr</v>
      </c>
      <c r="F172" s="1054">
        <f>'Basic (equilibrio) (2)'!$D$691</f>
        <v>1106</v>
      </c>
      <c r="G172" s="946">
        <f>F172-(F172/1.18)</f>
        <v>168.71</v>
      </c>
      <c r="H172" s="1039">
        <v>700</v>
      </c>
      <c r="I172" s="955">
        <f>D172*F172/H172</f>
        <v>1.58</v>
      </c>
    </row>
    <row r="173" spans="3:9" ht="15.75">
      <c r="C173" s="949" t="s">
        <v>948</v>
      </c>
      <c r="D173" s="946">
        <v>1</v>
      </c>
      <c r="E173" s="947" t="str">
        <f>+VLOOKUP(C173,[49]BASICS!B:E,2,FALSE)</f>
        <v>Hr</v>
      </c>
      <c r="F173" s="1054">
        <f>'Basic (equilibrio) (2)'!$D$692</f>
        <v>3398</v>
      </c>
      <c r="G173" s="946">
        <f>F173-(F173/1.18)</f>
        <v>518.34</v>
      </c>
      <c r="H173" s="1039">
        <v>700</v>
      </c>
      <c r="I173" s="955">
        <f>D173*F173/H173</f>
        <v>4.8499999999999996</v>
      </c>
    </row>
    <row r="174" spans="3:9" ht="15.75">
      <c r="C174" s="949" t="s">
        <v>949</v>
      </c>
      <c r="D174" s="946">
        <v>1</v>
      </c>
      <c r="E174" s="947" t="str">
        <f>+VLOOKUP(C174,[49]BASICS!B:E,2,FALSE)</f>
        <v>Hr</v>
      </c>
      <c r="F174" s="1054">
        <f>'Basic (equilibrio) (2)'!$D$693</f>
        <v>1274</v>
      </c>
      <c r="G174" s="946">
        <f>F174-(F174/1.18)</f>
        <v>194.34</v>
      </c>
      <c r="H174" s="1039">
        <v>700</v>
      </c>
      <c r="I174" s="955">
        <f>D174*F174/H174</f>
        <v>1.82</v>
      </c>
    </row>
    <row r="175" spans="3:9" ht="15.75">
      <c r="C175" s="951" t="s">
        <v>918</v>
      </c>
      <c r="D175" s="946"/>
      <c r="E175" s="947"/>
      <c r="F175" s="1054"/>
      <c r="G175" s="946"/>
      <c r="H175" s="1031"/>
      <c r="I175" s="952">
        <f>SUM(I170:I174)</f>
        <v>17.75</v>
      </c>
    </row>
    <row r="176" spans="3:9" ht="15.75">
      <c r="C176" s="949"/>
      <c r="D176" s="946"/>
      <c r="E176" s="947"/>
      <c r="F176" s="1054"/>
      <c r="G176" s="946"/>
      <c r="H176" s="1031"/>
      <c r="I176" s="948"/>
    </row>
    <row r="177" spans="2:9" ht="15.75">
      <c r="C177" s="945" t="s">
        <v>925</v>
      </c>
      <c r="D177" s="946"/>
      <c r="E177" s="947"/>
      <c r="F177" s="1054"/>
      <c r="G177" s="946"/>
      <c r="H177" s="1031"/>
      <c r="I177" s="948"/>
    </row>
    <row r="178" spans="2:9" ht="15.75">
      <c r="C178" s="949" t="s">
        <v>924</v>
      </c>
      <c r="D178" s="946"/>
      <c r="E178" s="947" t="str">
        <f>VLOOKUP(C178,[50]BASICS!B:D,2,FALSE)</f>
        <v>n/a</v>
      </c>
      <c r="F178" s="1054">
        <f>+VLOOKUP(C178,[49]BASICS!B:E,3,FALSE)</f>
        <v>0</v>
      </c>
      <c r="G178" s="946"/>
      <c r="H178" s="1031"/>
      <c r="I178" s="948">
        <f>D178*F178</f>
        <v>0</v>
      </c>
    </row>
    <row r="179" spans="2:9" ht="15.75">
      <c r="C179" s="951" t="s">
        <v>918</v>
      </c>
      <c r="D179" s="946"/>
      <c r="E179" s="947"/>
      <c r="F179" s="1054"/>
      <c r="G179" s="946"/>
      <c r="H179" s="1031"/>
      <c r="I179" s="952">
        <f>SUM(I178)</f>
        <v>0</v>
      </c>
    </row>
    <row r="180" spans="2:9" ht="15.75">
      <c r="C180" s="951"/>
      <c r="D180" s="946"/>
      <c r="E180" s="947"/>
      <c r="F180" s="1054"/>
      <c r="G180" s="946"/>
      <c r="H180" s="1031"/>
      <c r="I180" s="952"/>
    </row>
    <row r="181" spans="2:9" ht="15.75">
      <c r="C181" s="956" t="s">
        <v>926</v>
      </c>
      <c r="D181" s="957"/>
      <c r="E181" s="958"/>
      <c r="F181" s="1069"/>
      <c r="G181" s="957"/>
      <c r="H181" s="1032"/>
      <c r="I181" s="959">
        <f>+I162</f>
        <v>177.5</v>
      </c>
    </row>
    <row r="182" spans="2:9" ht="15.75">
      <c r="C182" s="956" t="s">
        <v>927</v>
      </c>
      <c r="D182" s="957"/>
      <c r="E182" s="958"/>
      <c r="F182" s="1069"/>
      <c r="G182" s="957"/>
      <c r="H182" s="1032"/>
      <c r="I182" s="959">
        <f>+I167</f>
        <v>3.24</v>
      </c>
    </row>
    <row r="183" spans="2:9" ht="15.75">
      <c r="C183" s="956" t="s">
        <v>928</v>
      </c>
      <c r="D183" s="957"/>
      <c r="E183" s="958"/>
      <c r="F183" s="1069"/>
      <c r="G183" s="957"/>
      <c r="H183" s="1032"/>
      <c r="I183" s="959">
        <f>+I175</f>
        <v>17.75</v>
      </c>
    </row>
    <row r="184" spans="2:9" ht="15.75">
      <c r="C184" s="956" t="s">
        <v>929</v>
      </c>
      <c r="D184" s="957"/>
      <c r="E184" s="958"/>
      <c r="F184" s="1069"/>
      <c r="G184" s="957"/>
      <c r="H184" s="1032"/>
      <c r="I184" s="959">
        <f>+I179</f>
        <v>0</v>
      </c>
    </row>
    <row r="185" spans="2:9" ht="15.75">
      <c r="C185" s="949"/>
      <c r="D185" s="946"/>
      <c r="E185" s="947"/>
      <c r="F185" s="1054"/>
      <c r="G185" s="946"/>
      <c r="H185" s="1031"/>
      <c r="I185" s="948"/>
    </row>
    <row r="186" spans="2:9" ht="15.75">
      <c r="C186" s="949"/>
      <c r="D186" s="946"/>
      <c r="E186" s="947"/>
      <c r="F186" s="1054"/>
      <c r="G186" s="946"/>
      <c r="H186" s="1031"/>
      <c r="I186" s="948"/>
    </row>
    <row r="187" spans="2:9" ht="15.75">
      <c r="C187" s="951" t="s">
        <v>930</v>
      </c>
      <c r="D187" s="960"/>
      <c r="E187" s="943" t="str">
        <f>+E157</f>
        <v>M²</v>
      </c>
      <c r="F187" s="1070"/>
      <c r="G187" s="960"/>
      <c r="H187" s="1033"/>
      <c r="I187" s="952">
        <f>SUM(I181:I184)</f>
        <v>198.49</v>
      </c>
    </row>
    <row r="188" spans="2:9" ht="15.75">
      <c r="C188" s="949"/>
      <c r="D188" s="946"/>
      <c r="E188" s="947"/>
      <c r="F188" s="1054"/>
      <c r="G188" s="946"/>
      <c r="H188" s="1031"/>
      <c r="I188" s="948"/>
    </row>
    <row r="190" spans="2:9" ht="31.5">
      <c r="B190" s="1038">
        <v>2.6</v>
      </c>
      <c r="C190" s="937" t="str">
        <f>+'[49]LISTA VIAS Y PAISAJISMO'!B20</f>
        <v>Suministro y colocación de asfalto e=3" ( incl. Riego de Adherencia)</v>
      </c>
      <c r="D190" s="938"/>
      <c r="E190" s="962" t="str">
        <f>+'[49]LISTA VIAS Y PAISAJISMO'!D20:D20</f>
        <v>M²</v>
      </c>
      <c r="F190" s="1066"/>
      <c r="G190" s="938"/>
      <c r="H190" s="1029"/>
      <c r="I190" s="940">
        <f>I222</f>
        <v>1219.26</v>
      </c>
    </row>
    <row r="191" spans="2:9" ht="15.75">
      <c r="C191" s="941" t="s">
        <v>908</v>
      </c>
      <c r="D191" s="942" t="s">
        <v>9</v>
      </c>
      <c r="E191" s="943" t="s">
        <v>10</v>
      </c>
      <c r="F191" s="1067" t="s">
        <v>909</v>
      </c>
      <c r="G191" s="942" t="s">
        <v>910</v>
      </c>
      <c r="H191" s="1030" t="s">
        <v>911</v>
      </c>
      <c r="I191" s="944" t="s">
        <v>912</v>
      </c>
    </row>
    <row r="192" spans="2:9" ht="15.75">
      <c r="C192" s="945" t="s">
        <v>913</v>
      </c>
      <c r="D192" s="946"/>
      <c r="E192" s="947"/>
      <c r="F192" s="1054"/>
      <c r="G192" s="946"/>
      <c r="H192" s="1031"/>
      <c r="I192" s="948"/>
    </row>
    <row r="193" spans="3:9" ht="15.75">
      <c r="C193" s="949" t="s">
        <v>950</v>
      </c>
      <c r="D193" s="946">
        <v>0.08</v>
      </c>
      <c r="E193" s="947" t="str">
        <f>+VLOOKUP(C193,[49]BASICS!B:E,2,FALSE)</f>
        <v>m3s</v>
      </c>
      <c r="F193" s="1068">
        <f>+'Basic (equilibrio) (2)'!$D$493</f>
        <v>9440</v>
      </c>
      <c r="G193" s="946">
        <f>F193-(F193/1.18)</f>
        <v>1440</v>
      </c>
      <c r="H193" s="1031"/>
      <c r="I193" s="948">
        <f>D193*F193</f>
        <v>755.2</v>
      </c>
    </row>
    <row r="194" spans="3:9" ht="15.75">
      <c r="C194" s="949" t="s">
        <v>951</v>
      </c>
      <c r="D194" s="946">
        <v>0.08</v>
      </c>
      <c r="E194" s="947" t="str">
        <f>+VLOOKUP(C194,[49]BASICS!B:E,2,FALSE)</f>
        <v>m3</v>
      </c>
      <c r="F194" s="1068">
        <f>+'Basic (equilibrio) (2)'!$D$494</f>
        <v>5200</v>
      </c>
      <c r="G194" s="946">
        <f>F194-(F194/1.18)</f>
        <v>793.22</v>
      </c>
      <c r="H194" s="1031"/>
      <c r="I194" s="948">
        <f>D194*F194</f>
        <v>416</v>
      </c>
    </row>
    <row r="195" spans="3:9" ht="15.75">
      <c r="C195" s="951" t="s">
        <v>918</v>
      </c>
      <c r="D195" s="946"/>
      <c r="E195" s="947"/>
      <c r="F195" s="1068"/>
      <c r="G195" s="946"/>
      <c r="H195" s="1031"/>
      <c r="I195" s="952">
        <f>SUM(I193:I194)</f>
        <v>1171.2</v>
      </c>
    </row>
    <row r="196" spans="3:9" ht="15.75">
      <c r="C196" s="949"/>
      <c r="D196" s="946"/>
      <c r="E196" s="947"/>
      <c r="F196" s="1068"/>
      <c r="G196" s="946"/>
      <c r="H196" s="1031"/>
      <c r="I196" s="948"/>
    </row>
    <row r="197" spans="3:9" ht="15.75">
      <c r="C197" s="945" t="s">
        <v>919</v>
      </c>
      <c r="D197" s="946"/>
      <c r="E197" s="947"/>
      <c r="F197" s="1068"/>
      <c r="G197" s="946"/>
      <c r="H197" s="1031"/>
      <c r="I197" s="948"/>
    </row>
    <row r="198" spans="3:9" ht="15.75">
      <c r="C198" s="949" t="s">
        <v>943</v>
      </c>
      <c r="D198" s="953">
        <v>1</v>
      </c>
      <c r="E198" s="954" t="str">
        <f>+VLOOKUP(C198,[49]BASICS!B:E,2,FALSE)</f>
        <v>dia</v>
      </c>
      <c r="F198" s="1068">
        <f>'Basic (equilibrio) (2)'!$D$10</f>
        <v>900</v>
      </c>
      <c r="G198" s="946">
        <f>F198-(F198/1.18)</f>
        <v>137.29</v>
      </c>
      <c r="H198" s="1031">
        <v>700</v>
      </c>
      <c r="I198" s="948">
        <f t="shared" ref="I198:I199" si="1">D198*F198/H198</f>
        <v>1.29</v>
      </c>
    </row>
    <row r="199" spans="3:9" ht="15.75">
      <c r="C199" s="949" t="s">
        <v>944</v>
      </c>
      <c r="D199" s="953">
        <v>1</v>
      </c>
      <c r="E199" s="954" t="str">
        <f>+VLOOKUP(C199,[49]BASICS!B:E,2,FALSE)</f>
        <v>dia</v>
      </c>
      <c r="F199" s="1068">
        <f>'Basic (equilibrio) (2)'!$D$11</f>
        <v>1364</v>
      </c>
      <c r="G199" s="946">
        <f>F199-(F199/1.18)</f>
        <v>208.07</v>
      </c>
      <c r="H199" s="1031">
        <v>700</v>
      </c>
      <c r="I199" s="948">
        <f t="shared" si="1"/>
        <v>1.95</v>
      </c>
    </row>
    <row r="200" spans="3:9" ht="15.75">
      <c r="C200" s="951" t="s">
        <v>918</v>
      </c>
      <c r="D200" s="946"/>
      <c r="E200" s="947"/>
      <c r="F200" s="1054"/>
      <c r="G200" s="946"/>
      <c r="H200" s="1031"/>
      <c r="I200" s="952">
        <f>SUM(I198:I199)</f>
        <v>3.24</v>
      </c>
    </row>
    <row r="201" spans="3:9" ht="15.75">
      <c r="C201" s="949"/>
      <c r="D201" s="946"/>
      <c r="E201" s="947"/>
      <c r="F201" s="1054"/>
      <c r="G201" s="946"/>
      <c r="H201" s="1031"/>
      <c r="I201" s="948"/>
    </row>
    <row r="202" spans="3:9" ht="15.75">
      <c r="C202" s="945" t="s">
        <v>923</v>
      </c>
      <c r="D202" s="946"/>
      <c r="E202" s="947"/>
      <c r="F202" s="1054"/>
      <c r="G202" s="946"/>
      <c r="H202" s="1031"/>
      <c r="I202" s="948"/>
    </row>
    <row r="203" spans="3:9" ht="15.75">
      <c r="C203" s="949" t="s">
        <v>949</v>
      </c>
      <c r="D203" s="946">
        <v>1</v>
      </c>
      <c r="E203" s="947" t="str">
        <f>+VLOOKUP(C203,[49]BASICS!B:E,2,FALSE)</f>
        <v>Hr</v>
      </c>
      <c r="F203" s="1068">
        <f>'Basic (equilibrio) (2)'!$D$674</f>
        <v>1274</v>
      </c>
      <c r="G203" s="946">
        <f t="shared" ref="G203:G209" si="2">F203-(F203/1.18)</f>
        <v>194.34</v>
      </c>
      <c r="H203" s="1031">
        <v>700</v>
      </c>
      <c r="I203" s="948">
        <f>D203*F203/H203</f>
        <v>1.82</v>
      </c>
    </row>
    <row r="204" spans="3:9" ht="15.75">
      <c r="C204" s="949" t="s">
        <v>947</v>
      </c>
      <c r="D204" s="946">
        <v>1</v>
      </c>
      <c r="E204" s="947" t="str">
        <f>+VLOOKUP(C204,[49]BASICS!B:E,2,FALSE)</f>
        <v>Hr</v>
      </c>
      <c r="F204" s="1068">
        <f>'Basic (equilibrio) (2)'!$D$675</f>
        <v>1106</v>
      </c>
      <c r="G204" s="946">
        <f t="shared" si="2"/>
        <v>168.71</v>
      </c>
      <c r="H204" s="1031">
        <v>700</v>
      </c>
      <c r="I204" s="948">
        <f>D204*F204/H204</f>
        <v>1.58</v>
      </c>
    </row>
    <row r="205" spans="3:9" ht="15.75">
      <c r="C205" s="949" t="s">
        <v>952</v>
      </c>
      <c r="D205" s="946">
        <f>+D193</f>
        <v>0.08</v>
      </c>
      <c r="E205" s="947" t="str">
        <f>+VLOOKUP(C205,[49]BASICS!B:E,2,FALSE)</f>
        <v>m3e</v>
      </c>
      <c r="F205" s="1068">
        <f>'Basic (equilibrio) (2)'!$D$676</f>
        <v>155</v>
      </c>
      <c r="G205" s="946">
        <f t="shared" si="2"/>
        <v>23.64</v>
      </c>
      <c r="H205" s="1031"/>
      <c r="I205" s="948">
        <f>D205*F205</f>
        <v>12.4</v>
      </c>
    </row>
    <row r="206" spans="3:9" ht="15.75">
      <c r="C206" s="949" t="s">
        <v>953</v>
      </c>
      <c r="D206" s="946">
        <f>+D194</f>
        <v>0.08</v>
      </c>
      <c r="E206" s="947" t="str">
        <f>+VLOOKUP(C206,[49]BASICS!B:E,2,FALSE)</f>
        <v>m3e</v>
      </c>
      <c r="F206" s="1068">
        <f>'Basic (equilibrio) (2)'!$D$677</f>
        <v>120</v>
      </c>
      <c r="G206" s="946">
        <f t="shared" si="2"/>
        <v>18.309999999999999</v>
      </c>
      <c r="H206" s="1031"/>
      <c r="I206" s="948">
        <f>D206*F206</f>
        <v>9.6</v>
      </c>
    </row>
    <row r="207" spans="3:9" ht="15.75">
      <c r="C207" s="949" t="s">
        <v>954</v>
      </c>
      <c r="D207" s="946">
        <v>1</v>
      </c>
      <c r="E207" s="947" t="str">
        <f>+VLOOKUP(C207,[49]BASICS!B:E,2,FALSE)</f>
        <v>hr</v>
      </c>
      <c r="F207" s="1068">
        <f>'Basic (equilibrio) (2)'!$D$678</f>
        <v>6584</v>
      </c>
      <c r="G207" s="946">
        <f t="shared" si="2"/>
        <v>1004.34</v>
      </c>
      <c r="H207" s="1031">
        <v>700</v>
      </c>
      <c r="I207" s="948">
        <f>D207*F207/H207</f>
        <v>9.41</v>
      </c>
    </row>
    <row r="208" spans="3:9" ht="15.75">
      <c r="C208" s="949" t="s">
        <v>948</v>
      </c>
      <c r="D208" s="946">
        <v>1</v>
      </c>
      <c r="E208" s="947" t="str">
        <f>+VLOOKUP(C208,[49]BASICS!B:E,2,FALSE)</f>
        <v>Hr</v>
      </c>
      <c r="F208" s="1068">
        <f>'Basic (equilibrio) (2)'!$D$692</f>
        <v>3398</v>
      </c>
      <c r="G208" s="946">
        <f t="shared" si="2"/>
        <v>518.34</v>
      </c>
      <c r="H208" s="1031">
        <v>700</v>
      </c>
      <c r="I208" s="948">
        <f>D208*F208/H208</f>
        <v>4.8499999999999996</v>
      </c>
    </row>
    <row r="209" spans="3:9" ht="15.75">
      <c r="C209" s="949" t="s">
        <v>955</v>
      </c>
      <c r="D209" s="946">
        <v>1</v>
      </c>
      <c r="E209" s="947" t="str">
        <f>+VLOOKUP(C209,[49]BASICS!B:E,2,FALSE)</f>
        <v>hr</v>
      </c>
      <c r="F209" s="1068">
        <f>'Basic (equilibrio) (2)'!$D$679</f>
        <v>3610</v>
      </c>
      <c r="G209" s="946">
        <f t="shared" si="2"/>
        <v>550.67999999999995</v>
      </c>
      <c r="H209" s="1031">
        <v>700</v>
      </c>
      <c r="I209" s="948">
        <f>D209*F209/H209</f>
        <v>5.16</v>
      </c>
    </row>
    <row r="210" spans="3:9" ht="15.75">
      <c r="C210" s="951" t="s">
        <v>918</v>
      </c>
      <c r="D210" s="946"/>
      <c r="E210" s="947"/>
      <c r="F210" s="1054"/>
      <c r="G210" s="946"/>
      <c r="H210" s="1031"/>
      <c r="I210" s="952">
        <f>SUM(I203:I209)</f>
        <v>44.82</v>
      </c>
    </row>
    <row r="211" spans="3:9" ht="15.75">
      <c r="C211" s="949"/>
      <c r="D211" s="946"/>
      <c r="E211" s="947"/>
      <c r="F211" s="1054"/>
      <c r="G211" s="946"/>
      <c r="H211" s="1031"/>
      <c r="I211" s="948"/>
    </row>
    <row r="212" spans="3:9" ht="15.75">
      <c r="C212" s="945" t="s">
        <v>925</v>
      </c>
      <c r="D212" s="946"/>
      <c r="E212" s="947"/>
      <c r="F212" s="1054"/>
      <c r="G212" s="946"/>
      <c r="H212" s="1031"/>
      <c r="I212" s="948"/>
    </row>
    <row r="213" spans="3:9" ht="15.75">
      <c r="C213" s="949" t="s">
        <v>925</v>
      </c>
      <c r="D213" s="946">
        <f>+I200</f>
        <v>3.24</v>
      </c>
      <c r="E213" s="947" t="str">
        <f>VLOOKUP(C213,[50]BASICS!B:D,2,FALSE)</f>
        <v>Pa</v>
      </c>
      <c r="F213" s="1054">
        <f>+VLOOKUP(C213,[49]BASICS!B:E,3,FALSE)</f>
        <v>0</v>
      </c>
      <c r="G213" s="946"/>
      <c r="H213" s="1031"/>
      <c r="I213" s="948">
        <f>D213*F213</f>
        <v>0</v>
      </c>
    </row>
    <row r="214" spans="3:9" ht="15.75">
      <c r="C214" s="951" t="s">
        <v>918</v>
      </c>
      <c r="D214" s="946"/>
      <c r="E214" s="947"/>
      <c r="F214" s="1054"/>
      <c r="G214" s="946"/>
      <c r="H214" s="1031"/>
      <c r="I214" s="952">
        <f>SUM(I213)</f>
        <v>0</v>
      </c>
    </row>
    <row r="215" spans="3:9" ht="15.75">
      <c r="C215" s="951"/>
      <c r="D215" s="946"/>
      <c r="E215" s="947"/>
      <c r="F215" s="1054"/>
      <c r="G215" s="946"/>
      <c r="H215" s="1031"/>
      <c r="I215" s="952"/>
    </row>
    <row r="216" spans="3:9" ht="15.75">
      <c r="C216" s="956" t="s">
        <v>926</v>
      </c>
      <c r="D216" s="957"/>
      <c r="E216" s="958"/>
      <c r="F216" s="1069"/>
      <c r="G216" s="957"/>
      <c r="H216" s="1032"/>
      <c r="I216" s="959">
        <f>+I195</f>
        <v>1171.2</v>
      </c>
    </row>
    <row r="217" spans="3:9" ht="15.75">
      <c r="C217" s="956" t="s">
        <v>927</v>
      </c>
      <c r="D217" s="957"/>
      <c r="E217" s="958"/>
      <c r="F217" s="1069"/>
      <c r="G217" s="957"/>
      <c r="H217" s="1032"/>
      <c r="I217" s="959">
        <f>+I200</f>
        <v>3.24</v>
      </c>
    </row>
    <row r="218" spans="3:9" ht="15.75">
      <c r="C218" s="956" t="s">
        <v>928</v>
      </c>
      <c r="D218" s="957"/>
      <c r="E218" s="958"/>
      <c r="F218" s="1069"/>
      <c r="G218" s="957"/>
      <c r="H218" s="1032"/>
      <c r="I218" s="959">
        <f>+I210</f>
        <v>44.82</v>
      </c>
    </row>
    <row r="219" spans="3:9" ht="15.75">
      <c r="C219" s="956" t="s">
        <v>929</v>
      </c>
      <c r="D219" s="957"/>
      <c r="E219" s="958"/>
      <c r="F219" s="1069"/>
      <c r="G219" s="957"/>
      <c r="H219" s="1032"/>
      <c r="I219" s="959">
        <f>+I214</f>
        <v>0</v>
      </c>
    </row>
    <row r="220" spans="3:9" ht="15.75">
      <c r="C220" s="949"/>
      <c r="D220" s="946"/>
      <c r="E220" s="947"/>
      <c r="F220" s="1054"/>
      <c r="G220" s="946"/>
      <c r="H220" s="1031"/>
      <c r="I220" s="948"/>
    </row>
    <row r="221" spans="3:9" ht="15.75">
      <c r="C221" s="949"/>
      <c r="D221" s="946"/>
      <c r="E221" s="947"/>
      <c r="F221" s="1054"/>
      <c r="G221" s="946"/>
      <c r="H221" s="1031"/>
      <c r="I221" s="948"/>
    </row>
    <row r="222" spans="3:9" ht="15.75">
      <c r="C222" s="951" t="s">
        <v>930</v>
      </c>
      <c r="D222" s="960"/>
      <c r="E222" s="943" t="str">
        <f>+E190</f>
        <v>M²</v>
      </c>
      <c r="F222" s="1070"/>
      <c r="G222" s="960"/>
      <c r="H222" s="1033"/>
      <c r="I222" s="952">
        <f>SUM(I216:I219)</f>
        <v>1219.26</v>
      </c>
    </row>
    <row r="223" spans="3:9" ht="15.75">
      <c r="C223" s="949"/>
      <c r="D223" s="946"/>
      <c r="E223" s="947"/>
      <c r="F223" s="1054"/>
      <c r="G223" s="946"/>
      <c r="H223" s="1031"/>
      <c r="I223" s="948"/>
    </row>
    <row r="225" spans="2:9" ht="15.75">
      <c r="B225" s="1038">
        <v>2.7</v>
      </c>
      <c r="C225" s="937" t="str">
        <f>+'[49]LISTA VIAS Y PAISAJISMO'!B21</f>
        <v>Transporte de asfalto, distancia aproximada de 20.00 km</v>
      </c>
      <c r="D225" s="938"/>
      <c r="E225" s="962" t="str">
        <f>+'[49]LISTA VIAS Y PAISAJISMO'!D21</f>
        <v>M³/KM</v>
      </c>
      <c r="F225" s="1066"/>
      <c r="G225" s="938"/>
      <c r="H225" s="1029"/>
      <c r="I225" s="940">
        <f>I250</f>
        <v>22</v>
      </c>
    </row>
    <row r="226" spans="2:9" ht="15.75">
      <c r="C226" s="941" t="s">
        <v>908</v>
      </c>
      <c r="D226" s="942" t="s">
        <v>9</v>
      </c>
      <c r="E226" s="943" t="s">
        <v>10</v>
      </c>
      <c r="F226" s="1067" t="s">
        <v>909</v>
      </c>
      <c r="G226" s="942" t="s">
        <v>910</v>
      </c>
      <c r="H226" s="1030" t="s">
        <v>911</v>
      </c>
      <c r="I226" s="944" t="s">
        <v>912</v>
      </c>
    </row>
    <row r="227" spans="2:9" ht="15.75">
      <c r="C227" s="945" t="s">
        <v>913</v>
      </c>
      <c r="D227" s="946"/>
      <c r="E227" s="947"/>
      <c r="F227" s="1054"/>
      <c r="G227" s="946"/>
      <c r="H227" s="1031"/>
      <c r="I227" s="948"/>
    </row>
    <row r="228" spans="2:9" ht="15.75">
      <c r="C228" s="949" t="s">
        <v>924</v>
      </c>
      <c r="D228" s="946"/>
      <c r="E228" s="947" t="str">
        <f>+VLOOKUP(C228,[49]BASICS!B:E,2,FALSE)</f>
        <v>n/a</v>
      </c>
      <c r="F228" s="1068">
        <f>+VLOOKUP(C228,[49]BASICS!B:E,3,FALSE)</f>
        <v>0</v>
      </c>
      <c r="G228" s="946">
        <f>F228-(F228/1.18)</f>
        <v>0</v>
      </c>
      <c r="H228" s="1031"/>
      <c r="I228" s="948">
        <f>D228*F228</f>
        <v>0</v>
      </c>
    </row>
    <row r="229" spans="2:9" ht="15.75">
      <c r="C229" s="951" t="s">
        <v>918</v>
      </c>
      <c r="D229" s="946"/>
      <c r="E229" s="947"/>
      <c r="F229" s="1068"/>
      <c r="G229" s="946"/>
      <c r="H229" s="1031"/>
      <c r="I229" s="952">
        <f>SUM(I228:I228)</f>
        <v>0</v>
      </c>
    </row>
    <row r="230" spans="2:9" ht="15.75">
      <c r="C230" s="949"/>
      <c r="D230" s="946"/>
      <c r="E230" s="947"/>
      <c r="F230" s="1068"/>
      <c r="G230" s="946"/>
      <c r="H230" s="1031"/>
      <c r="I230" s="948"/>
    </row>
    <row r="231" spans="2:9" ht="15.75">
      <c r="C231" s="945" t="s">
        <v>919</v>
      </c>
      <c r="D231" s="946"/>
      <c r="E231" s="947"/>
      <c r="F231" s="1068"/>
      <c r="G231" s="946"/>
      <c r="H231" s="1031"/>
      <c r="I231" s="948"/>
    </row>
    <row r="232" spans="2:9" ht="15.75">
      <c r="C232" s="949" t="s">
        <v>924</v>
      </c>
      <c r="D232" s="953"/>
      <c r="E232" s="954" t="str">
        <f>+VLOOKUP(C232,[49]BASICS!B:E,2,FALSE)</f>
        <v>n/a</v>
      </c>
      <c r="F232" s="1068">
        <f>+VLOOKUP(C232,[49]BASICS!B:E,3,FALSE)</f>
        <v>0</v>
      </c>
      <c r="G232" s="946">
        <f>F232-(F232/1.18)</f>
        <v>0</v>
      </c>
      <c r="H232" s="1031"/>
      <c r="I232" s="948">
        <f>D232*F232</f>
        <v>0</v>
      </c>
    </row>
    <row r="233" spans="2:9" ht="15.75">
      <c r="C233" s="951" t="s">
        <v>918</v>
      </c>
      <c r="D233" s="946"/>
      <c r="E233" s="947"/>
      <c r="F233" s="1054"/>
      <c r="G233" s="946"/>
      <c r="H233" s="1031"/>
      <c r="I233" s="952">
        <f>SUM(I232:I232)</f>
        <v>0</v>
      </c>
    </row>
    <row r="234" spans="2:9" ht="15.75">
      <c r="C234" s="949"/>
      <c r="D234" s="946"/>
      <c r="E234" s="947"/>
      <c r="F234" s="1054"/>
      <c r="G234" s="946"/>
      <c r="H234" s="1031"/>
      <c r="I234" s="948"/>
    </row>
    <row r="235" spans="2:9" ht="15.75">
      <c r="C235" s="945" t="s">
        <v>923</v>
      </c>
      <c r="D235" s="946"/>
      <c r="E235" s="947"/>
      <c r="F235" s="1054"/>
      <c r="G235" s="946"/>
      <c r="H235" s="1031"/>
      <c r="I235" s="948"/>
    </row>
    <row r="236" spans="2:9" ht="15.75">
      <c r="C236" s="949" t="s">
        <v>952</v>
      </c>
      <c r="D236" s="946">
        <f>+D194</f>
        <v>0.08</v>
      </c>
      <c r="E236" s="947" t="str">
        <f>+VLOOKUP(C236,[49]BASICS!B:E,2,FALSE)</f>
        <v>m3e</v>
      </c>
      <c r="F236" s="1068">
        <f>'Basic (equilibrio) (2)'!$D$676</f>
        <v>155</v>
      </c>
      <c r="G236" s="946">
        <f>F236-(F236/1.18)</f>
        <v>23.64</v>
      </c>
      <c r="H236" s="1031"/>
      <c r="I236" s="948">
        <f>D236*F236</f>
        <v>12.4</v>
      </c>
    </row>
    <row r="237" spans="2:9" ht="15.75">
      <c r="C237" s="949" t="s">
        <v>953</v>
      </c>
      <c r="D237" s="946">
        <f>+D236</f>
        <v>0.08</v>
      </c>
      <c r="E237" s="947" t="str">
        <f>+VLOOKUP(C237,[49]BASICS!B:E,2,FALSE)</f>
        <v>m3e</v>
      </c>
      <c r="F237" s="1068">
        <f>'Basic (equilibrio) (2)'!$D$677</f>
        <v>120</v>
      </c>
      <c r="G237" s="946">
        <f>F237-(F237/1.18)</f>
        <v>18.309999999999999</v>
      </c>
      <c r="H237" s="1031"/>
      <c r="I237" s="948">
        <f>D237*F237</f>
        <v>9.6</v>
      </c>
    </row>
    <row r="238" spans="2:9" ht="15.75">
      <c r="C238" s="951" t="s">
        <v>918</v>
      </c>
      <c r="D238" s="946"/>
      <c r="E238" s="947"/>
      <c r="F238" s="1054"/>
      <c r="G238" s="946"/>
      <c r="H238" s="1031"/>
      <c r="I238" s="952">
        <f>SUM(I236:I237)</f>
        <v>22</v>
      </c>
    </row>
    <row r="239" spans="2:9" ht="15.75">
      <c r="C239" s="949"/>
      <c r="D239" s="946"/>
      <c r="E239" s="947"/>
      <c r="F239" s="1054"/>
      <c r="G239" s="946"/>
      <c r="H239" s="1031"/>
      <c r="I239" s="948"/>
    </row>
    <row r="240" spans="2:9" ht="15.75">
      <c r="C240" s="945" t="s">
        <v>925</v>
      </c>
      <c r="D240" s="946"/>
      <c r="E240" s="947"/>
      <c r="F240" s="1054"/>
      <c r="G240" s="946"/>
      <c r="H240" s="1031"/>
      <c r="I240" s="948"/>
    </row>
    <row r="241" spans="2:9" ht="15.75">
      <c r="C241" s="949" t="s">
        <v>924</v>
      </c>
      <c r="D241" s="946"/>
      <c r="E241" s="947" t="str">
        <f>VLOOKUP(C241,[50]BASICS!B:D,2,FALSE)</f>
        <v>n/a</v>
      </c>
      <c r="F241" s="1054">
        <f>+VLOOKUP(C241,[49]BASICS!B:E,3,FALSE)</f>
        <v>0</v>
      </c>
      <c r="G241" s="946"/>
      <c r="H241" s="1031"/>
      <c r="I241" s="948">
        <f>D241*F241</f>
        <v>0</v>
      </c>
    </row>
    <row r="242" spans="2:9" ht="15.75">
      <c r="C242" s="951" t="s">
        <v>918</v>
      </c>
      <c r="D242" s="946"/>
      <c r="E242" s="947"/>
      <c r="F242" s="1054"/>
      <c r="G242" s="946"/>
      <c r="H242" s="1031"/>
      <c r="I242" s="952">
        <f>SUM(I241)</f>
        <v>0</v>
      </c>
    </row>
    <row r="243" spans="2:9" ht="15.75">
      <c r="C243" s="951"/>
      <c r="D243" s="946"/>
      <c r="E243" s="947"/>
      <c r="F243" s="1054"/>
      <c r="G243" s="946"/>
      <c r="H243" s="1031"/>
      <c r="I243" s="952"/>
    </row>
    <row r="244" spans="2:9" ht="15.75">
      <c r="C244" s="956" t="s">
        <v>926</v>
      </c>
      <c r="D244" s="957"/>
      <c r="E244" s="958"/>
      <c r="F244" s="1069"/>
      <c r="G244" s="957"/>
      <c r="H244" s="1032"/>
      <c r="I244" s="959">
        <f>+I229</f>
        <v>0</v>
      </c>
    </row>
    <row r="245" spans="2:9" ht="15.75">
      <c r="C245" s="956" t="s">
        <v>927</v>
      </c>
      <c r="D245" s="957"/>
      <c r="E245" s="958"/>
      <c r="F245" s="1069"/>
      <c r="G245" s="957"/>
      <c r="H245" s="1032"/>
      <c r="I245" s="959">
        <f>+I233</f>
        <v>0</v>
      </c>
    </row>
    <row r="246" spans="2:9" ht="15.75">
      <c r="C246" s="956" t="s">
        <v>928</v>
      </c>
      <c r="D246" s="957"/>
      <c r="E246" s="958"/>
      <c r="F246" s="1069"/>
      <c r="G246" s="957"/>
      <c r="H246" s="1032"/>
      <c r="I246" s="959">
        <f>+I238</f>
        <v>22</v>
      </c>
    </row>
    <row r="247" spans="2:9" ht="15.75">
      <c r="C247" s="956" t="s">
        <v>929</v>
      </c>
      <c r="D247" s="957"/>
      <c r="E247" s="958"/>
      <c r="F247" s="1069"/>
      <c r="G247" s="957"/>
      <c r="H247" s="1032"/>
      <c r="I247" s="959">
        <f>+I242</f>
        <v>0</v>
      </c>
    </row>
    <row r="248" spans="2:9" ht="15.75">
      <c r="C248" s="949"/>
      <c r="D248" s="946"/>
      <c r="E248" s="947"/>
      <c r="F248" s="1054"/>
      <c r="G248" s="946"/>
      <c r="H248" s="1031"/>
      <c r="I248" s="948"/>
    </row>
    <row r="249" spans="2:9" ht="15.75">
      <c r="C249" s="949"/>
      <c r="D249" s="946"/>
      <c r="E249" s="947"/>
      <c r="F249" s="1054"/>
      <c r="G249" s="946"/>
      <c r="H249" s="1031"/>
      <c r="I249" s="948"/>
    </row>
    <row r="250" spans="2:9" ht="15.75">
      <c r="C250" s="951" t="s">
        <v>930</v>
      </c>
      <c r="D250" s="960"/>
      <c r="E250" s="943" t="str">
        <f>+E225</f>
        <v>M³/KM</v>
      </c>
      <c r="F250" s="1070"/>
      <c r="G250" s="960"/>
      <c r="H250" s="1033"/>
      <c r="I250" s="952">
        <f>SUM(I244:I247)</f>
        <v>22</v>
      </c>
    </row>
    <row r="251" spans="2:9" ht="15.75">
      <c r="C251" s="949"/>
      <c r="D251" s="946"/>
      <c r="E251" s="947"/>
      <c r="F251" s="1054"/>
      <c r="G251" s="946"/>
      <c r="H251" s="1031"/>
      <c r="I251" s="948"/>
    </row>
    <row r="253" spans="2:9" ht="15.75">
      <c r="B253" s="1038">
        <v>3.1</v>
      </c>
      <c r="C253" s="937" t="str">
        <f>+Presupuesto!B25</f>
        <v>Construcción de aceras</v>
      </c>
      <c r="D253" s="938"/>
      <c r="E253" s="962" t="str">
        <f>+'[49]LISTA VIAS Y PAISAJISMO'!D24</f>
        <v>M²</v>
      </c>
      <c r="F253" s="1066"/>
      <c r="G253" s="938"/>
      <c r="H253" s="1029"/>
      <c r="I253" s="940">
        <f>I282</f>
        <v>1589.22</v>
      </c>
    </row>
    <row r="254" spans="2:9" ht="15.75">
      <c r="C254" s="941" t="s">
        <v>908</v>
      </c>
      <c r="D254" s="942" t="s">
        <v>9</v>
      </c>
      <c r="E254" s="943" t="s">
        <v>10</v>
      </c>
      <c r="F254" s="1067" t="s">
        <v>909</v>
      </c>
      <c r="G254" s="942" t="s">
        <v>910</v>
      </c>
      <c r="H254" s="1030" t="s">
        <v>911</v>
      </c>
      <c r="I254" s="944" t="s">
        <v>912</v>
      </c>
    </row>
    <row r="255" spans="2:9" ht="15.75">
      <c r="C255" s="945" t="s">
        <v>913</v>
      </c>
      <c r="D255" s="946"/>
      <c r="E255" s="947"/>
      <c r="F255" s="1054"/>
      <c r="G255" s="946"/>
      <c r="H255" s="1031"/>
      <c r="I255" s="948"/>
    </row>
    <row r="256" spans="2:9" ht="15.75">
      <c r="C256" s="949" t="s">
        <v>956</v>
      </c>
      <c r="D256" s="946">
        <v>1</v>
      </c>
      <c r="E256" s="947" t="str">
        <f>+VLOOKUP(C256,[49]BASICS!B:E,2,FALSE)</f>
        <v>rollo</v>
      </c>
      <c r="F256" s="1068">
        <f>'Basic (equilibrio) (2)'!$D$330</f>
        <v>22294</v>
      </c>
      <c r="G256" s="946">
        <f>F256-(F256/1.18)</f>
        <v>3400.78</v>
      </c>
      <c r="H256" s="1031">
        <v>96</v>
      </c>
      <c r="I256" s="948">
        <f>D256*F256/H256</f>
        <v>232.23</v>
      </c>
    </row>
    <row r="257" spans="3:9" ht="15.75">
      <c r="C257" s="949" t="s">
        <v>957</v>
      </c>
      <c r="D257" s="946">
        <f>1*0.1*1.05</f>
        <v>0.11</v>
      </c>
      <c r="E257" s="947" t="str">
        <f>+VLOOKUP(C257,[49]BASICS!B:E,2,FALSE)</f>
        <v>m3</v>
      </c>
      <c r="F257" s="1068">
        <f>+'Basic (equilibrio) (2)'!$D$178</f>
        <v>7900</v>
      </c>
      <c r="G257" s="946">
        <f>F257-(F257/1.18)</f>
        <v>1205.08</v>
      </c>
      <c r="H257" s="1031"/>
      <c r="I257" s="948">
        <f>D257*F257</f>
        <v>869</v>
      </c>
    </row>
    <row r="258" spans="3:9" ht="15.75">
      <c r="C258" s="949" t="s">
        <v>958</v>
      </c>
      <c r="D258" s="946">
        <v>0.02</v>
      </c>
      <c r="E258" s="947" t="str">
        <f>+VLOOKUP(C258,[49]BASICS!B:E,2,FALSE)</f>
        <v>m3</v>
      </c>
      <c r="F258" s="1068">
        <f>'Basic (equilibrio) (2)'!$D$309</f>
        <v>6820</v>
      </c>
      <c r="G258" s="946">
        <f>F258-(F258/1.18)</f>
        <v>1040.3399999999999</v>
      </c>
      <c r="H258" s="1031"/>
      <c r="I258" s="948">
        <f>D258*F258</f>
        <v>136.4</v>
      </c>
    </row>
    <row r="259" spans="3:9" ht="15.75">
      <c r="C259" s="949" t="s">
        <v>916</v>
      </c>
      <c r="D259" s="946">
        <v>0.18</v>
      </c>
      <c r="E259" s="947" t="str">
        <f>+VLOOKUP(C259,[49]BASICS!B:E,2,FALSE)</f>
        <v>pt</v>
      </c>
      <c r="F259" s="1068">
        <f>'Basic (equilibrio) (2)'!$D$194</f>
        <v>107.7</v>
      </c>
      <c r="G259" s="946">
        <f>F259-(F259/1.18)</f>
        <v>16.43</v>
      </c>
      <c r="H259" s="1031"/>
      <c r="I259" s="948">
        <f>D259*F259</f>
        <v>19.39</v>
      </c>
    </row>
    <row r="260" spans="3:9" ht="15.75">
      <c r="C260" s="951" t="s">
        <v>918</v>
      </c>
      <c r="D260" s="946"/>
      <c r="E260" s="947"/>
      <c r="F260" s="1068"/>
      <c r="G260" s="946"/>
      <c r="H260" s="1031"/>
      <c r="I260" s="952">
        <f>SUM(I256:I259)</f>
        <v>1257.02</v>
      </c>
    </row>
    <row r="261" spans="3:9" ht="15.75">
      <c r="C261" s="949"/>
      <c r="D261" s="946"/>
      <c r="E261" s="947"/>
      <c r="F261" s="1068"/>
      <c r="G261" s="946"/>
      <c r="H261" s="1031"/>
      <c r="I261" s="948"/>
    </row>
    <row r="262" spans="3:9" ht="15.75">
      <c r="C262" s="945" t="s">
        <v>919</v>
      </c>
      <c r="D262" s="946"/>
      <c r="E262" s="947"/>
      <c r="F262" s="1068"/>
      <c r="G262" s="946"/>
      <c r="H262" s="1031"/>
      <c r="I262" s="948"/>
    </row>
    <row r="263" spans="3:9" ht="15.75">
      <c r="C263" s="949" t="s">
        <v>959</v>
      </c>
      <c r="D263" s="953">
        <v>1</v>
      </c>
      <c r="E263" s="954" t="str">
        <f>+VLOOKUP(C263,[49]BASICS!B:E,2,FALSE)</f>
        <v>m2</v>
      </c>
      <c r="F263" s="1068">
        <f>'Basic (equilibrio) (2)'!$D$17</f>
        <v>50</v>
      </c>
      <c r="G263" s="946">
        <f>F263-(F263/1.18)</f>
        <v>7.63</v>
      </c>
      <c r="H263" s="1031"/>
      <c r="I263" s="948">
        <f>D263*F263</f>
        <v>50</v>
      </c>
    </row>
    <row r="264" spans="3:9" ht="31.5">
      <c r="C264" s="949" t="s">
        <v>960</v>
      </c>
      <c r="D264" s="953">
        <v>1</v>
      </c>
      <c r="E264" s="954" t="str">
        <f>+VLOOKUP(C264,[49]BASICS!B:E,2,FALSE)</f>
        <v>m2</v>
      </c>
      <c r="F264" s="1068">
        <f>'Basic (equilibrio) (2)'!$D$24</f>
        <v>196</v>
      </c>
      <c r="G264" s="946">
        <f>F264-(F264/1.18)</f>
        <v>29.9</v>
      </c>
      <c r="H264" s="1031"/>
      <c r="I264" s="948">
        <f>D264*F264</f>
        <v>196</v>
      </c>
    </row>
    <row r="265" spans="3:9" ht="15.75">
      <c r="C265" s="949" t="s">
        <v>961</v>
      </c>
      <c r="D265" s="953">
        <v>1</v>
      </c>
      <c r="E265" s="954" t="str">
        <f>+VLOOKUP(C265,[49]BASICS!B:E,2,FALSE)</f>
        <v>m2</v>
      </c>
      <c r="F265" s="1068">
        <f>+'Basic (equilibrio) (2)'!$D$47</f>
        <v>86.2</v>
      </c>
      <c r="G265" s="946">
        <f>F265-(F265/1.18)</f>
        <v>13.15</v>
      </c>
      <c r="H265" s="1031"/>
      <c r="I265" s="948">
        <f>D265*F265</f>
        <v>86.2</v>
      </c>
    </row>
    <row r="266" spans="3:9" ht="15.75">
      <c r="C266" s="951" t="s">
        <v>918</v>
      </c>
      <c r="D266" s="946"/>
      <c r="E266" s="947"/>
      <c r="F266" s="1054"/>
      <c r="G266" s="946"/>
      <c r="H266" s="1031"/>
      <c r="I266" s="952">
        <f>SUM(I263:I265)</f>
        <v>332.2</v>
      </c>
    </row>
    <row r="267" spans="3:9" ht="15.75">
      <c r="C267" s="949"/>
      <c r="D267" s="946"/>
      <c r="E267" s="947"/>
      <c r="F267" s="1054"/>
      <c r="G267" s="946"/>
      <c r="H267" s="1031"/>
      <c r="I267" s="948"/>
    </row>
    <row r="268" spans="3:9" ht="15.75">
      <c r="C268" s="945" t="s">
        <v>923</v>
      </c>
      <c r="D268" s="946"/>
      <c r="E268" s="947"/>
      <c r="F268" s="1054"/>
      <c r="G268" s="946"/>
      <c r="H268" s="1031"/>
      <c r="I268" s="948"/>
    </row>
    <row r="269" spans="3:9" ht="15.75">
      <c r="C269" s="949" t="s">
        <v>924</v>
      </c>
      <c r="D269" s="946"/>
      <c r="E269" s="947" t="str">
        <f>+VLOOKUP(C269,[49]BASICS!B:E,2,FALSE)</f>
        <v>n/a</v>
      </c>
      <c r="F269" s="1068">
        <f>+VLOOKUP(C269,[49]BASICS!B:E,3,FALSE)</f>
        <v>0</v>
      </c>
      <c r="G269" s="946">
        <f>F269-(F269/1.18)</f>
        <v>0</v>
      </c>
      <c r="H269" s="1031"/>
      <c r="I269" s="948">
        <f>D269*F269</f>
        <v>0</v>
      </c>
    </row>
    <row r="270" spans="3:9" ht="15.75">
      <c r="C270" s="951" t="s">
        <v>918</v>
      </c>
      <c r="D270" s="946"/>
      <c r="E270" s="947"/>
      <c r="F270" s="1054"/>
      <c r="G270" s="946"/>
      <c r="H270" s="1031"/>
      <c r="I270" s="952">
        <f>SUM(I269:I269)</f>
        <v>0</v>
      </c>
    </row>
    <row r="271" spans="3:9" ht="15.75">
      <c r="C271" s="949"/>
      <c r="D271" s="946"/>
      <c r="E271" s="947"/>
      <c r="F271" s="1054"/>
      <c r="G271" s="946"/>
      <c r="H271" s="1031"/>
      <c r="I271" s="948"/>
    </row>
    <row r="272" spans="3:9" ht="15.75">
      <c r="C272" s="945" t="s">
        <v>925</v>
      </c>
      <c r="D272" s="946"/>
      <c r="E272" s="947"/>
      <c r="F272" s="1054"/>
      <c r="G272" s="946"/>
      <c r="H272" s="1031"/>
      <c r="I272" s="948"/>
    </row>
    <row r="273" spans="2:9" ht="15.75">
      <c r="C273" s="949" t="s">
        <v>925</v>
      </c>
      <c r="D273" s="946">
        <f>+I266</f>
        <v>332.2</v>
      </c>
      <c r="E273" s="947" t="str">
        <f>VLOOKUP(C273,[50]BASICS!B:D,2,FALSE)</f>
        <v>Pa</v>
      </c>
      <c r="F273" s="1054">
        <f>+VLOOKUP(C273,[49]BASICS!B:E,3,FALSE)</f>
        <v>0</v>
      </c>
      <c r="G273" s="946"/>
      <c r="H273" s="1031"/>
      <c r="I273" s="948">
        <f>D273*F273</f>
        <v>0</v>
      </c>
    </row>
    <row r="274" spans="2:9" ht="15.75">
      <c r="C274" s="951" t="s">
        <v>918</v>
      </c>
      <c r="D274" s="946"/>
      <c r="E274" s="947"/>
      <c r="F274" s="1054"/>
      <c r="G274" s="946"/>
      <c r="H274" s="1031"/>
      <c r="I274" s="952">
        <f>SUM(I273)</f>
        <v>0</v>
      </c>
    </row>
    <row r="275" spans="2:9" ht="15.75">
      <c r="C275" s="951"/>
      <c r="D275" s="946"/>
      <c r="E275" s="947"/>
      <c r="F275" s="1054"/>
      <c r="G275" s="946"/>
      <c r="H275" s="1031"/>
      <c r="I275" s="952"/>
    </row>
    <row r="276" spans="2:9" ht="15.75">
      <c r="C276" s="956" t="s">
        <v>926</v>
      </c>
      <c r="D276" s="957"/>
      <c r="E276" s="958"/>
      <c r="F276" s="1069"/>
      <c r="G276" s="957"/>
      <c r="H276" s="1032"/>
      <c r="I276" s="959">
        <f>+I260</f>
        <v>1257.02</v>
      </c>
    </row>
    <row r="277" spans="2:9" ht="15.75">
      <c r="C277" s="956" t="s">
        <v>927</v>
      </c>
      <c r="D277" s="957"/>
      <c r="E277" s="958"/>
      <c r="F277" s="1069"/>
      <c r="G277" s="957"/>
      <c r="H277" s="1032"/>
      <c r="I277" s="959">
        <f>+I266</f>
        <v>332.2</v>
      </c>
    </row>
    <row r="278" spans="2:9" ht="15.75">
      <c r="C278" s="956" t="s">
        <v>928</v>
      </c>
      <c r="D278" s="957"/>
      <c r="E278" s="958"/>
      <c r="F278" s="1069"/>
      <c r="G278" s="957"/>
      <c r="H278" s="1032"/>
      <c r="I278" s="959">
        <f>+I270</f>
        <v>0</v>
      </c>
    </row>
    <row r="279" spans="2:9" ht="15.75">
      <c r="C279" s="956" t="s">
        <v>929</v>
      </c>
      <c r="D279" s="957"/>
      <c r="E279" s="958"/>
      <c r="F279" s="1069"/>
      <c r="G279" s="957"/>
      <c r="H279" s="1032"/>
      <c r="I279" s="959">
        <f>+I274</f>
        <v>0</v>
      </c>
    </row>
    <row r="280" spans="2:9" ht="15.75">
      <c r="C280" s="949"/>
      <c r="D280" s="946"/>
      <c r="E280" s="947"/>
      <c r="F280" s="1054"/>
      <c r="G280" s="946"/>
      <c r="H280" s="1031"/>
      <c r="I280" s="948"/>
    </row>
    <row r="281" spans="2:9" ht="15.75">
      <c r="C281" s="949"/>
      <c r="D281" s="946"/>
      <c r="E281" s="947"/>
      <c r="F281" s="1054"/>
      <c r="G281" s="946"/>
      <c r="H281" s="1031"/>
      <c r="I281" s="948"/>
    </row>
    <row r="282" spans="2:9" ht="15.75">
      <c r="C282" s="951" t="s">
        <v>930</v>
      </c>
      <c r="D282" s="960"/>
      <c r="E282" s="943" t="str">
        <f>+E253</f>
        <v>M²</v>
      </c>
      <c r="F282" s="1070"/>
      <c r="G282" s="960"/>
      <c r="H282" s="1033"/>
      <c r="I282" s="952">
        <f>SUM(I276:I279)</f>
        <v>1589.22</v>
      </c>
    </row>
    <row r="283" spans="2:9" ht="15.75">
      <c r="C283" s="949"/>
      <c r="D283" s="946"/>
      <c r="E283" s="947"/>
      <c r="F283" s="1054"/>
      <c r="G283" s="946"/>
      <c r="H283" s="1031"/>
      <c r="I283" s="948"/>
    </row>
    <row r="285" spans="2:9" ht="15.75">
      <c r="B285" s="1038">
        <v>3.2</v>
      </c>
      <c r="C285" s="937" t="str">
        <f>+Presupuesto!B26</f>
        <v>Construcción de contenes</v>
      </c>
      <c r="D285" s="938"/>
      <c r="E285" s="962" t="str">
        <f>+'[49]LISTA VIAS Y PAISAJISMO'!D25</f>
        <v>M</v>
      </c>
      <c r="F285" s="1066"/>
      <c r="G285" s="938"/>
      <c r="H285" s="1029"/>
      <c r="I285" s="940">
        <f>+I315</f>
        <v>1249.73</v>
      </c>
    </row>
    <row r="286" spans="2:9" ht="15.75">
      <c r="C286" s="941" t="s">
        <v>908</v>
      </c>
      <c r="D286" s="942" t="s">
        <v>9</v>
      </c>
      <c r="E286" s="943" t="s">
        <v>10</v>
      </c>
      <c r="F286" s="1067" t="s">
        <v>909</v>
      </c>
      <c r="G286" s="942" t="s">
        <v>910</v>
      </c>
      <c r="H286" s="1030" t="s">
        <v>911</v>
      </c>
      <c r="I286" s="944" t="s">
        <v>912</v>
      </c>
    </row>
    <row r="287" spans="2:9" ht="15.75">
      <c r="C287" s="945" t="s">
        <v>913</v>
      </c>
      <c r="D287" s="946"/>
      <c r="E287" s="947"/>
      <c r="F287" s="1054"/>
      <c r="G287" s="946"/>
      <c r="H287" s="1031"/>
      <c r="I287" s="948"/>
    </row>
    <row r="288" spans="2:9" ht="15.75">
      <c r="C288" s="949" t="s">
        <v>916</v>
      </c>
      <c r="D288" s="946">
        <v>12.1</v>
      </c>
      <c r="E288" s="947" t="str">
        <f>+VLOOKUP(C288,[49]BASICS!B:E,2,FALSE)</f>
        <v>pt</v>
      </c>
      <c r="F288" s="1068">
        <f>'Basic (equilibrio) (2)'!$D$328</f>
        <v>107.7</v>
      </c>
      <c r="G288" s="946">
        <f>F288-(F288/1.18)</f>
        <v>16.43</v>
      </c>
      <c r="H288" s="1031"/>
      <c r="I288" s="948">
        <f>D288*F288</f>
        <v>1303.17</v>
      </c>
    </row>
    <row r="289" spans="3:9" ht="15.75">
      <c r="C289" s="949" t="s">
        <v>957</v>
      </c>
      <c r="D289" s="946">
        <v>1.02</v>
      </c>
      <c r="E289" s="947" t="str">
        <f>+VLOOKUP(C289,[49]BASICS!B:E,2,FALSE)</f>
        <v>m3</v>
      </c>
      <c r="F289" s="1068">
        <f>'Basic (equilibrio) (2)'!$D$178</f>
        <v>7900</v>
      </c>
      <c r="G289" s="946">
        <f>F289-(F289/1.18)</f>
        <v>1205.08</v>
      </c>
      <c r="H289" s="1031"/>
      <c r="I289" s="948">
        <f>D289*F289</f>
        <v>8058</v>
      </c>
    </row>
    <row r="290" spans="3:9" ht="15.75">
      <c r="C290" s="949" t="s">
        <v>962</v>
      </c>
      <c r="D290" s="946">
        <v>0.1</v>
      </c>
      <c r="E290" s="947" t="str">
        <f>+VLOOKUP(C290,[49]BASICS!B:E,2,FALSE)</f>
        <v>m3</v>
      </c>
      <c r="F290" s="1068">
        <f>'Basic (equilibrio) (2)'!$D$306</f>
        <v>9560</v>
      </c>
      <c r="G290" s="946">
        <f>F290-(F290/1.18)</f>
        <v>1458.31</v>
      </c>
      <c r="H290" s="1031"/>
      <c r="I290" s="948">
        <f>D290*F290</f>
        <v>956</v>
      </c>
    </row>
    <row r="291" spans="3:9" ht="15.75">
      <c r="C291" s="949" t="s">
        <v>914</v>
      </c>
      <c r="D291" s="946">
        <v>5.5</v>
      </c>
      <c r="E291" s="947" t="str">
        <f>+VLOOKUP(C291,[49]BASICS!B:E,2,FALSE)</f>
        <v>lb</v>
      </c>
      <c r="F291" s="1068">
        <f>'Basic (equilibrio) (2)'!$D$326</f>
        <v>78.2</v>
      </c>
      <c r="G291" s="946">
        <f>F291-(F291/1.18)</f>
        <v>11.93</v>
      </c>
      <c r="H291" s="1031"/>
      <c r="I291" s="948">
        <f>D291*F291</f>
        <v>430.1</v>
      </c>
    </row>
    <row r="292" spans="3:9" ht="15.75">
      <c r="C292" s="951" t="s">
        <v>918</v>
      </c>
      <c r="D292" s="946"/>
      <c r="E292" s="947"/>
      <c r="F292" s="1068"/>
      <c r="G292" s="946"/>
      <c r="H292" s="1031"/>
      <c r="I292" s="952">
        <f>SUM(I288:I291)</f>
        <v>10747.27</v>
      </c>
    </row>
    <row r="293" spans="3:9" ht="15.75">
      <c r="C293" s="949"/>
      <c r="D293" s="946"/>
      <c r="E293" s="947"/>
      <c r="F293" s="1068"/>
      <c r="G293" s="946"/>
      <c r="H293" s="1031"/>
      <c r="I293" s="948"/>
    </row>
    <row r="294" spans="3:9" ht="15.75">
      <c r="C294" s="945" t="s">
        <v>919</v>
      </c>
      <c r="D294" s="946"/>
      <c r="E294" s="947"/>
      <c r="F294" s="1068"/>
      <c r="G294" s="946"/>
      <c r="H294" s="1031"/>
      <c r="I294" s="948"/>
    </row>
    <row r="295" spans="3:9" ht="15.75">
      <c r="C295" s="949" t="s">
        <v>963</v>
      </c>
      <c r="D295" s="953">
        <v>10</v>
      </c>
      <c r="E295" s="954" t="str">
        <f>+VLOOKUP(C295,[49]BASICS!B:E,2,FALSE)</f>
        <v>ml</v>
      </c>
      <c r="F295" s="1068">
        <f>'Basic (equilibrio) (2)'!$D$52</f>
        <v>150</v>
      </c>
      <c r="G295" s="946">
        <f>F295-(F295/1.18)</f>
        <v>22.88</v>
      </c>
      <c r="H295" s="1031"/>
      <c r="I295" s="948">
        <f>D295*F295</f>
        <v>1500</v>
      </c>
    </row>
    <row r="296" spans="3:9" ht="15.75">
      <c r="C296" s="949" t="s">
        <v>964</v>
      </c>
      <c r="D296" s="953">
        <v>10</v>
      </c>
      <c r="E296" s="954" t="str">
        <f>+VLOOKUP(C296,[49]BASICS!B:E,2,FALSE)</f>
        <v>ml</v>
      </c>
      <c r="F296" s="1068">
        <f>'Basic (equilibrio) (2)'!$D$53</f>
        <v>25</v>
      </c>
      <c r="G296" s="946">
        <f>F296-(F296/1.18)</f>
        <v>3.81</v>
      </c>
      <c r="H296" s="1031"/>
      <c r="I296" s="948">
        <f>D296*F296</f>
        <v>250</v>
      </c>
    </row>
    <row r="297" spans="3:9" ht="15.75">
      <c r="C297" s="951" t="s">
        <v>918</v>
      </c>
      <c r="D297" s="946"/>
      <c r="E297" s="947"/>
      <c r="F297" s="1054"/>
      <c r="G297" s="946"/>
      <c r="H297" s="1031"/>
      <c r="I297" s="952">
        <f>SUM(I295:I296)</f>
        <v>1750</v>
      </c>
    </row>
    <row r="298" spans="3:9" ht="15.75">
      <c r="C298" s="949"/>
      <c r="D298" s="946"/>
      <c r="E298" s="947"/>
      <c r="F298" s="1054"/>
      <c r="G298" s="946"/>
      <c r="H298" s="1031"/>
      <c r="I298" s="948"/>
    </row>
    <row r="299" spans="3:9" ht="15.75">
      <c r="C299" s="945" t="s">
        <v>923</v>
      </c>
      <c r="D299" s="946"/>
      <c r="E299" s="947"/>
      <c r="F299" s="1054"/>
      <c r="G299" s="946"/>
      <c r="H299" s="1031"/>
      <c r="I299" s="948"/>
    </row>
    <row r="300" spans="3:9" ht="15.75">
      <c r="C300" s="949" t="s">
        <v>924</v>
      </c>
      <c r="D300" s="946"/>
      <c r="E300" s="947" t="str">
        <f>+VLOOKUP(C300,[49]BASICS!B:E,2,FALSE)</f>
        <v>n/a</v>
      </c>
      <c r="F300" s="1068">
        <f>+VLOOKUP(C300,[49]BASICS!B:E,3,FALSE)</f>
        <v>0</v>
      </c>
      <c r="G300" s="946">
        <f>F300-(F300/1.18)</f>
        <v>0</v>
      </c>
      <c r="H300" s="1031"/>
      <c r="I300" s="948">
        <f>D300*F300</f>
        <v>0</v>
      </c>
    </row>
    <row r="301" spans="3:9" ht="15.75">
      <c r="C301" s="951" t="s">
        <v>918</v>
      </c>
      <c r="D301" s="946"/>
      <c r="E301" s="947"/>
      <c r="F301" s="1054"/>
      <c r="G301" s="946"/>
      <c r="H301" s="1031"/>
      <c r="I301" s="952">
        <f>SUM(I300:I300)</f>
        <v>0</v>
      </c>
    </row>
    <row r="302" spans="3:9" ht="15.75">
      <c r="C302" s="949"/>
      <c r="D302" s="946"/>
      <c r="E302" s="947"/>
      <c r="F302" s="1054"/>
      <c r="G302" s="946"/>
      <c r="H302" s="1031"/>
      <c r="I302" s="948"/>
    </row>
    <row r="303" spans="3:9" ht="15.75">
      <c r="C303" s="945" t="s">
        <v>925</v>
      </c>
      <c r="D303" s="946"/>
      <c r="E303" s="947"/>
      <c r="F303" s="1054"/>
      <c r="G303" s="946"/>
      <c r="H303" s="1031"/>
      <c r="I303" s="948"/>
    </row>
    <row r="304" spans="3:9" ht="15.75">
      <c r="C304" s="949" t="s">
        <v>925</v>
      </c>
      <c r="D304" s="946">
        <f>+I297</f>
        <v>1750</v>
      </c>
      <c r="E304" s="947" t="str">
        <f>VLOOKUP(C304,[50]BASICS!B:D,2,FALSE)</f>
        <v>Pa</v>
      </c>
      <c r="F304" s="1054">
        <f>+VLOOKUP(C304,[49]BASICS!B:E,3,FALSE)</f>
        <v>0</v>
      </c>
      <c r="G304" s="946"/>
      <c r="H304" s="1031"/>
      <c r="I304" s="948">
        <f>D304*F304</f>
        <v>0</v>
      </c>
    </row>
    <row r="305" spans="2:9" ht="15.75">
      <c r="C305" s="951" t="s">
        <v>918</v>
      </c>
      <c r="D305" s="946"/>
      <c r="E305" s="947"/>
      <c r="F305" s="1054"/>
      <c r="G305" s="946"/>
      <c r="H305" s="1031"/>
      <c r="I305" s="952">
        <f>SUM(I304)</f>
        <v>0</v>
      </c>
    </row>
    <row r="306" spans="2:9" ht="15.75">
      <c r="C306" s="951"/>
      <c r="D306" s="946"/>
      <c r="E306" s="947"/>
      <c r="F306" s="1054"/>
      <c r="G306" s="946"/>
      <c r="H306" s="1031"/>
      <c r="I306" s="952"/>
    </row>
    <row r="307" spans="2:9" ht="15.75">
      <c r="C307" s="956" t="s">
        <v>926</v>
      </c>
      <c r="D307" s="957"/>
      <c r="E307" s="958"/>
      <c r="F307" s="1069"/>
      <c r="G307" s="957"/>
      <c r="H307" s="1032"/>
      <c r="I307" s="959">
        <f>+I292</f>
        <v>10747.27</v>
      </c>
    </row>
    <row r="308" spans="2:9" ht="15.75">
      <c r="C308" s="956" t="s">
        <v>927</v>
      </c>
      <c r="D308" s="957"/>
      <c r="E308" s="958"/>
      <c r="F308" s="1069"/>
      <c r="G308" s="957"/>
      <c r="H308" s="1032"/>
      <c r="I308" s="959">
        <f>+I297</f>
        <v>1750</v>
      </c>
    </row>
    <row r="309" spans="2:9" ht="15.75">
      <c r="C309" s="956" t="s">
        <v>928</v>
      </c>
      <c r="D309" s="957"/>
      <c r="E309" s="958"/>
      <c r="F309" s="1069"/>
      <c r="G309" s="957"/>
      <c r="H309" s="1032"/>
      <c r="I309" s="959">
        <f>+I301</f>
        <v>0</v>
      </c>
    </row>
    <row r="310" spans="2:9" ht="15.75">
      <c r="C310" s="956" t="s">
        <v>929</v>
      </c>
      <c r="D310" s="957"/>
      <c r="E310" s="958"/>
      <c r="F310" s="1069"/>
      <c r="G310" s="957"/>
      <c r="H310" s="1032"/>
      <c r="I310" s="959">
        <f>+I305</f>
        <v>0</v>
      </c>
    </row>
    <row r="311" spans="2:9" ht="15.75">
      <c r="C311" s="949"/>
      <c r="D311" s="946"/>
      <c r="E311" s="947"/>
      <c r="F311" s="1054"/>
      <c r="G311" s="946"/>
      <c r="H311" s="1031"/>
      <c r="I311" s="948"/>
    </row>
    <row r="312" spans="2:9" ht="15.75">
      <c r="C312" s="949"/>
      <c r="D312" s="946"/>
      <c r="E312" s="947"/>
      <c r="F312" s="1054"/>
      <c r="G312" s="946"/>
      <c r="H312" s="1031"/>
      <c r="I312" s="948"/>
    </row>
    <row r="313" spans="2:9" ht="15.75">
      <c r="C313" s="951" t="s">
        <v>930</v>
      </c>
      <c r="D313" s="960"/>
      <c r="E313" s="943" t="s">
        <v>22</v>
      </c>
      <c r="F313" s="1070"/>
      <c r="G313" s="960"/>
      <c r="H313" s="1033"/>
      <c r="I313" s="952">
        <f>SUM(I307:I310)</f>
        <v>12497.27</v>
      </c>
    </row>
    <row r="314" spans="2:9" ht="15.75">
      <c r="C314" s="951"/>
      <c r="D314" s="960">
        <v>10</v>
      </c>
      <c r="E314" s="943" t="s">
        <v>965</v>
      </c>
      <c r="F314" s="1070"/>
      <c r="G314" s="960"/>
      <c r="H314" s="1033"/>
      <c r="I314" s="952"/>
    </row>
    <row r="315" spans="2:9" ht="15.75">
      <c r="C315" s="949"/>
      <c r="D315" s="946"/>
      <c r="E315" s="943" t="s">
        <v>15</v>
      </c>
      <c r="F315" s="1054"/>
      <c r="G315" s="946"/>
      <c r="H315" s="1031"/>
      <c r="I315" s="963">
        <f>+I313/D314</f>
        <v>1249.73</v>
      </c>
    </row>
    <row r="316" spans="2:9" ht="15.75">
      <c r="C316" s="949"/>
      <c r="D316" s="946"/>
      <c r="E316" s="943"/>
      <c r="F316" s="1054"/>
      <c r="G316" s="946"/>
      <c r="H316" s="1031"/>
      <c r="I316" s="948"/>
    </row>
    <row r="318" spans="2:9" ht="15.75">
      <c r="B318" s="1038">
        <v>3.4</v>
      </c>
      <c r="C318" s="937" t="str">
        <f>+'[49]LISTA VIAS Y PAISAJISMO'!B26</f>
        <v>Barandas de protección</v>
      </c>
      <c r="D318" s="938"/>
      <c r="E318" s="962" t="str">
        <f>+'[49]LISTA VIAS Y PAISAJISMO'!D26</f>
        <v>M</v>
      </c>
      <c r="F318" s="1066"/>
      <c r="G318" s="938"/>
      <c r="H318" s="1029"/>
      <c r="I318" s="940">
        <f>I342</f>
        <v>3830.56</v>
      </c>
    </row>
    <row r="319" spans="2:9" ht="15.75">
      <c r="C319" s="941" t="s">
        <v>908</v>
      </c>
      <c r="D319" s="942" t="s">
        <v>9</v>
      </c>
      <c r="E319" s="943" t="s">
        <v>10</v>
      </c>
      <c r="F319" s="1067" t="s">
        <v>909</v>
      </c>
      <c r="G319" s="942" t="s">
        <v>910</v>
      </c>
      <c r="H319" s="1030" t="s">
        <v>911</v>
      </c>
      <c r="I319" s="944" t="s">
        <v>912</v>
      </c>
    </row>
    <row r="320" spans="2:9" ht="15.75">
      <c r="C320" s="945" t="s">
        <v>913</v>
      </c>
      <c r="D320" s="946"/>
      <c r="E320" s="947"/>
      <c r="F320" s="1054"/>
      <c r="G320" s="946"/>
      <c r="H320" s="1031"/>
      <c r="I320" s="948"/>
    </row>
    <row r="321" spans="3:9" ht="63">
      <c r="C321" s="949" t="s">
        <v>966</v>
      </c>
      <c r="D321" s="946">
        <v>10.76</v>
      </c>
      <c r="E321" s="947" t="str">
        <f>+VLOOKUP(C321,[49]BASICS!B:E,2,FALSE)</f>
        <v>p2</v>
      </c>
      <c r="F321" s="1068">
        <f>+'Basic (equilibrio) (2)'!$D$454</f>
        <v>356</v>
      </c>
      <c r="G321" s="946">
        <f>F321-(F321/1.18)</f>
        <v>54.31</v>
      </c>
      <c r="H321" s="1031"/>
      <c r="I321" s="948">
        <f>D321*F321</f>
        <v>3830.56</v>
      </c>
    </row>
    <row r="322" spans="3:9" ht="15.75">
      <c r="C322" s="951" t="s">
        <v>918</v>
      </c>
      <c r="D322" s="946"/>
      <c r="E322" s="947"/>
      <c r="F322" s="1068"/>
      <c r="G322" s="946"/>
      <c r="H322" s="1031"/>
      <c r="I322" s="952">
        <f>SUM(I321:I321)</f>
        <v>3830.56</v>
      </c>
    </row>
    <row r="323" spans="3:9" ht="15.75">
      <c r="C323" s="949"/>
      <c r="D323" s="946"/>
      <c r="E323" s="947"/>
      <c r="F323" s="1068"/>
      <c r="G323" s="946"/>
      <c r="H323" s="1031"/>
      <c r="I323" s="948"/>
    </row>
    <row r="324" spans="3:9" ht="15.75">
      <c r="C324" s="945" t="s">
        <v>919</v>
      </c>
      <c r="D324" s="946"/>
      <c r="E324" s="947"/>
      <c r="G324" s="946"/>
      <c r="H324" s="1031"/>
      <c r="I324" s="948"/>
    </row>
    <row r="325" spans="3:9" ht="15.75">
      <c r="C325" s="949" t="s">
        <v>924</v>
      </c>
      <c r="D325" s="953"/>
      <c r="E325" s="954" t="str">
        <f>+VLOOKUP(C325,[49]BASICS!B:E,2,FALSE)</f>
        <v>n/a</v>
      </c>
      <c r="F325" s="1068">
        <f>+VLOOKUP(C325,[49]BASICS!B:E,3,FALSE)</f>
        <v>0</v>
      </c>
      <c r="G325" s="946">
        <f>F325-(F325/1.18)</f>
        <v>0</v>
      </c>
      <c r="H325" s="1031"/>
      <c r="I325" s="948">
        <f>D325*F325</f>
        <v>0</v>
      </c>
    </row>
    <row r="326" spans="3:9" ht="15.75">
      <c r="C326" s="951" t="s">
        <v>918</v>
      </c>
      <c r="D326" s="946"/>
      <c r="E326" s="947"/>
      <c r="F326" s="1054"/>
      <c r="G326" s="946"/>
      <c r="H326" s="1031"/>
      <c r="I326" s="952">
        <f>SUM(I325:I325)</f>
        <v>0</v>
      </c>
    </row>
    <row r="327" spans="3:9" ht="15.75">
      <c r="C327" s="949"/>
      <c r="D327" s="946"/>
      <c r="E327" s="947"/>
      <c r="F327" s="1054"/>
      <c r="G327" s="946"/>
      <c r="H327" s="1031"/>
      <c r="I327" s="948"/>
    </row>
    <row r="328" spans="3:9" ht="15.75">
      <c r="C328" s="945" t="s">
        <v>923</v>
      </c>
      <c r="D328" s="946"/>
      <c r="E328" s="947"/>
      <c r="F328" s="1054"/>
      <c r="G328" s="946"/>
      <c r="H328" s="1031"/>
      <c r="I328" s="948"/>
    </row>
    <row r="329" spans="3:9" ht="15.75">
      <c r="C329" s="949" t="s">
        <v>924</v>
      </c>
      <c r="D329" s="946"/>
      <c r="E329" s="947" t="str">
        <f>+VLOOKUP(C329,[49]BASICS!B:E,2,FALSE)</f>
        <v>n/a</v>
      </c>
      <c r="F329" s="1068">
        <f>+VLOOKUP(C329,[49]BASICS!B:E,3,FALSE)</f>
        <v>0</v>
      </c>
      <c r="G329" s="946">
        <f>F329-(F329/1.18)</f>
        <v>0</v>
      </c>
      <c r="H329" s="1031"/>
      <c r="I329" s="948">
        <f>D329*F329</f>
        <v>0</v>
      </c>
    </row>
    <row r="330" spans="3:9" ht="15.75">
      <c r="C330" s="951" t="s">
        <v>918</v>
      </c>
      <c r="D330" s="946"/>
      <c r="E330" s="947"/>
      <c r="F330" s="1054"/>
      <c r="G330" s="946"/>
      <c r="H330" s="1031"/>
      <c r="I330" s="952">
        <f>SUM(I329:I329)</f>
        <v>0</v>
      </c>
    </row>
    <row r="331" spans="3:9" ht="15.75">
      <c r="C331" s="949"/>
      <c r="D331" s="946"/>
      <c r="E331" s="947"/>
      <c r="F331" s="1054"/>
      <c r="G331" s="946"/>
      <c r="H331" s="1031"/>
      <c r="I331" s="948"/>
    </row>
    <row r="332" spans="3:9" ht="15.75">
      <c r="C332" s="945" t="s">
        <v>925</v>
      </c>
      <c r="D332" s="946"/>
      <c r="E332" s="947"/>
      <c r="F332" s="1054"/>
      <c r="G332" s="946"/>
      <c r="H332" s="1031"/>
      <c r="I332" s="948"/>
    </row>
    <row r="333" spans="3:9" ht="15.75">
      <c r="C333" s="949" t="s">
        <v>924</v>
      </c>
      <c r="D333" s="946"/>
      <c r="E333" s="947" t="str">
        <f>VLOOKUP(C333,[50]BASICS!B:D,2,FALSE)</f>
        <v>n/a</v>
      </c>
      <c r="F333" s="1054">
        <f>+VLOOKUP(C333,[49]BASICS!B:E,3,FALSE)</f>
        <v>0</v>
      </c>
      <c r="G333" s="946"/>
      <c r="H333" s="1031"/>
      <c r="I333" s="948">
        <f>D333*F333</f>
        <v>0</v>
      </c>
    </row>
    <row r="334" spans="3:9" ht="15.75">
      <c r="C334" s="951" t="s">
        <v>918</v>
      </c>
      <c r="D334" s="946"/>
      <c r="E334" s="947"/>
      <c r="F334" s="1054"/>
      <c r="G334" s="946"/>
      <c r="H334" s="1031"/>
      <c r="I334" s="952">
        <f>SUM(I333)</f>
        <v>0</v>
      </c>
    </row>
    <row r="335" spans="3:9" ht="15.75">
      <c r="C335" s="951"/>
      <c r="D335" s="946"/>
      <c r="E335" s="947"/>
      <c r="F335" s="1054"/>
      <c r="G335" s="946"/>
      <c r="H335" s="1031"/>
      <c r="I335" s="952"/>
    </row>
    <row r="336" spans="3:9" ht="15.75">
      <c r="C336" s="956" t="s">
        <v>926</v>
      </c>
      <c r="D336" s="957"/>
      <c r="E336" s="958"/>
      <c r="F336" s="1069"/>
      <c r="G336" s="957"/>
      <c r="H336" s="1032"/>
      <c r="I336" s="959">
        <f>+I322</f>
        <v>3830.56</v>
      </c>
    </row>
    <row r="337" spans="2:9" ht="15.75">
      <c r="C337" s="956" t="s">
        <v>927</v>
      </c>
      <c r="D337" s="957"/>
      <c r="E337" s="958"/>
      <c r="F337" s="1069"/>
      <c r="G337" s="957"/>
      <c r="H337" s="1032"/>
      <c r="I337" s="959">
        <f>+I326</f>
        <v>0</v>
      </c>
    </row>
    <row r="338" spans="2:9" ht="15.75">
      <c r="C338" s="956" t="s">
        <v>928</v>
      </c>
      <c r="D338" s="957"/>
      <c r="E338" s="958"/>
      <c r="F338" s="1069"/>
      <c r="G338" s="957"/>
      <c r="H338" s="1032"/>
      <c r="I338" s="959">
        <f>+I330</f>
        <v>0</v>
      </c>
    </row>
    <row r="339" spans="2:9" ht="15.75">
      <c r="C339" s="956" t="s">
        <v>929</v>
      </c>
      <c r="D339" s="957"/>
      <c r="E339" s="958"/>
      <c r="F339" s="1069"/>
      <c r="G339" s="957"/>
      <c r="H339" s="1032"/>
      <c r="I339" s="959">
        <f>+I334</f>
        <v>0</v>
      </c>
    </row>
    <row r="340" spans="2:9" ht="15.75">
      <c r="C340" s="949"/>
      <c r="D340" s="946"/>
      <c r="E340" s="947"/>
      <c r="F340" s="1054"/>
      <c r="G340" s="946"/>
      <c r="H340" s="1031"/>
      <c r="I340" s="948"/>
    </row>
    <row r="341" spans="2:9" ht="15.75">
      <c r="C341" s="949"/>
      <c r="D341" s="946"/>
      <c r="E341" s="947"/>
      <c r="F341" s="1054"/>
      <c r="G341" s="946"/>
      <c r="H341" s="1031"/>
      <c r="I341" s="948"/>
    </row>
    <row r="342" spans="2:9" ht="15.75">
      <c r="C342" s="951" t="s">
        <v>930</v>
      </c>
      <c r="D342" s="960"/>
      <c r="E342" s="943" t="str">
        <f>+E318</f>
        <v>M</v>
      </c>
      <c r="F342" s="1070"/>
      <c r="G342" s="960"/>
      <c r="H342" s="1033"/>
      <c r="I342" s="952">
        <f>SUM(I336:I339)</f>
        <v>3830.56</v>
      </c>
    </row>
    <row r="343" spans="2:9" ht="15.75">
      <c r="C343" s="949"/>
      <c r="D343" s="946"/>
      <c r="E343" s="947"/>
      <c r="F343" s="1054"/>
      <c r="G343" s="946"/>
      <c r="H343" s="1031"/>
      <c r="I343" s="948"/>
    </row>
    <row r="345" spans="2:9" ht="31.5">
      <c r="B345" s="1038">
        <v>4.0999999999999996</v>
      </c>
      <c r="C345" s="937" t="str">
        <f>+'[49]LISTA VIAS Y PAISAJISMO'!B29</f>
        <v>Suministro de material sub- base e=30 cm dist. aprox 20.00 km</v>
      </c>
      <c r="D345" s="938"/>
      <c r="E345" s="962" t="str">
        <f>+'[49]LISTA VIAS Y PAISAJISMO'!D29</f>
        <v>M³</v>
      </c>
      <c r="F345" s="1066"/>
      <c r="G345" s="938"/>
      <c r="H345" s="1029"/>
      <c r="I345" s="940">
        <f>I372</f>
        <v>1076.28</v>
      </c>
    </row>
    <row r="346" spans="2:9" ht="15.75">
      <c r="C346" s="941" t="s">
        <v>908</v>
      </c>
      <c r="D346" s="942" t="s">
        <v>9</v>
      </c>
      <c r="E346" s="943" t="s">
        <v>10</v>
      </c>
      <c r="F346" s="1067" t="s">
        <v>909</v>
      </c>
      <c r="G346" s="942" t="s">
        <v>910</v>
      </c>
      <c r="H346" s="1030" t="s">
        <v>911</v>
      </c>
      <c r="I346" s="944" t="s">
        <v>912</v>
      </c>
    </row>
    <row r="347" spans="2:9" ht="15.75">
      <c r="C347" s="945" t="s">
        <v>913</v>
      </c>
      <c r="D347" s="946"/>
      <c r="E347" s="947"/>
      <c r="F347" s="1054"/>
      <c r="G347" s="946"/>
      <c r="H347" s="1031"/>
      <c r="I347" s="948"/>
    </row>
    <row r="348" spans="2:9" ht="15.75">
      <c r="C348" s="949" t="s">
        <v>936</v>
      </c>
      <c r="D348" s="946">
        <v>1.3</v>
      </c>
      <c r="E348" s="947" t="str">
        <f>+VLOOKUP(C348,[49]BASICS!B:E,2,FALSE)</f>
        <v>m3</v>
      </c>
      <c r="F348" s="1068">
        <f>'Basic (equilibrio) (2)'!$D$186</f>
        <v>500</v>
      </c>
      <c r="G348" s="946">
        <f>F348-(F348/1.18)</f>
        <v>76.27</v>
      </c>
      <c r="H348" s="1031"/>
      <c r="I348" s="948">
        <f>D348*F348</f>
        <v>650</v>
      </c>
    </row>
    <row r="349" spans="2:9" ht="15.75">
      <c r="C349" s="951" t="s">
        <v>918</v>
      </c>
      <c r="D349" s="946"/>
      <c r="E349" s="947"/>
      <c r="F349" s="1068"/>
      <c r="G349" s="946"/>
      <c r="H349" s="1031"/>
      <c r="I349" s="952">
        <f>SUM(I348:I348)</f>
        <v>650</v>
      </c>
    </row>
    <row r="350" spans="2:9" ht="15.75">
      <c r="C350" s="949"/>
      <c r="D350" s="946"/>
      <c r="E350" s="947"/>
      <c r="F350" s="1068"/>
      <c r="G350" s="946"/>
      <c r="H350" s="1031"/>
      <c r="I350" s="948"/>
    </row>
    <row r="351" spans="2:9" ht="15.75">
      <c r="C351" s="945" t="s">
        <v>919</v>
      </c>
      <c r="D351" s="946"/>
      <c r="E351" s="947"/>
      <c r="F351" s="1068"/>
      <c r="G351" s="946"/>
      <c r="H351" s="1031"/>
      <c r="I351" s="948"/>
    </row>
    <row r="352" spans="2:9" ht="15.75">
      <c r="C352" s="949" t="s">
        <v>924</v>
      </c>
      <c r="D352" s="953"/>
      <c r="E352" s="954" t="str">
        <f>+VLOOKUP(C352,[49]BASICS!B:E,2,FALSE)</f>
        <v>n/a</v>
      </c>
      <c r="F352" s="1068">
        <f>+VLOOKUP(C352,[49]BASICS!B:E,3,FALSE)</f>
        <v>0</v>
      </c>
      <c r="G352" s="946">
        <f>F352-(F352/1.18)</f>
        <v>0</v>
      </c>
      <c r="H352" s="1031"/>
      <c r="I352" s="948">
        <f>(D352*F352)</f>
        <v>0</v>
      </c>
    </row>
    <row r="353" spans="3:9" ht="15.75">
      <c r="C353" s="951" t="s">
        <v>918</v>
      </c>
      <c r="D353" s="946"/>
      <c r="E353" s="947"/>
      <c r="F353" s="1054"/>
      <c r="G353" s="946"/>
      <c r="H353" s="1031"/>
      <c r="I353" s="952">
        <f>SUM(I352:I352)</f>
        <v>0</v>
      </c>
    </row>
    <row r="354" spans="3:9" ht="15.75">
      <c r="C354" s="949"/>
      <c r="D354" s="946"/>
      <c r="E354" s="947"/>
      <c r="F354" s="1054"/>
      <c r="G354" s="946"/>
      <c r="H354" s="1031"/>
      <c r="I354" s="948"/>
    </row>
    <row r="355" spans="3:9" ht="15.75">
      <c r="C355" s="945" t="s">
        <v>923</v>
      </c>
      <c r="D355" s="946"/>
      <c r="E355" s="947"/>
      <c r="F355" s="1054"/>
      <c r="G355" s="946"/>
      <c r="H355" s="1031"/>
      <c r="I355" s="948"/>
    </row>
    <row r="356" spans="3:9" ht="15.75">
      <c r="C356" s="949" t="s">
        <v>937</v>
      </c>
      <c r="D356" s="946">
        <v>1</v>
      </c>
      <c r="E356" s="947" t="str">
        <f>+VLOOKUP(C356,[49]BASICS!B:E,2,FALSE)</f>
        <v>m3e</v>
      </c>
      <c r="F356" s="1068">
        <f>'Basic (equilibrio) (2)'!$D$188</f>
        <v>342</v>
      </c>
      <c r="G356" s="946">
        <f>F356-(F356/1.18)</f>
        <v>52.17</v>
      </c>
      <c r="H356" s="1039"/>
      <c r="I356" s="955">
        <f>D356*F356</f>
        <v>342</v>
      </c>
    </row>
    <row r="357" spans="3:9" ht="15.75">
      <c r="C357" s="949" t="s">
        <v>938</v>
      </c>
      <c r="D357" s="946">
        <v>1</v>
      </c>
      <c r="E357" s="947" t="str">
        <f>+VLOOKUP(C357,[49]BASICS!B:E,2,FALSE)</f>
        <v>hr</v>
      </c>
      <c r="F357" s="1054">
        <f>'Basic (equilibrio) (2)'!$D$683</f>
        <v>2500</v>
      </c>
      <c r="G357" s="946">
        <f>F357-(F357/1.18)</f>
        <v>381.36</v>
      </c>
      <c r="H357" s="1039">
        <v>70</v>
      </c>
      <c r="I357" s="955">
        <f>D357*F357/H357</f>
        <v>35.71</v>
      </c>
    </row>
    <row r="358" spans="3:9" ht="15.75">
      <c r="C358" s="949" t="s">
        <v>935</v>
      </c>
      <c r="D358" s="946">
        <v>1</v>
      </c>
      <c r="E358" s="947" t="str">
        <f>+VLOOKUP(C358,[49]BASICS!B:E,2,FALSE)</f>
        <v>hr</v>
      </c>
      <c r="F358" s="1054">
        <f>'Basic (equilibrio) (2)'!$D$684</f>
        <v>3000</v>
      </c>
      <c r="G358" s="946">
        <f>F358-(F358/1.18)</f>
        <v>457.63</v>
      </c>
      <c r="H358" s="1039">
        <v>70</v>
      </c>
      <c r="I358" s="955">
        <f>D358*F358/H358</f>
        <v>42.86</v>
      </c>
    </row>
    <row r="359" spans="3:9" ht="15.75">
      <c r="C359" s="949" t="s">
        <v>939</v>
      </c>
      <c r="D359" s="946">
        <v>1</v>
      </c>
      <c r="E359" s="947" t="str">
        <f>+VLOOKUP(C359,[49]BASICS!B:E,2,FALSE)</f>
        <v>hr</v>
      </c>
      <c r="F359" s="1054">
        <f>'Basic (equilibrio) (2)'!$D$688</f>
        <v>400</v>
      </c>
      <c r="G359" s="946">
        <f>F359-(F359/1.18)</f>
        <v>61.02</v>
      </c>
      <c r="H359" s="1039">
        <v>70</v>
      </c>
      <c r="I359" s="955">
        <f>D359*F359/H359</f>
        <v>5.71</v>
      </c>
    </row>
    <row r="360" spans="3:9" ht="15.75">
      <c r="C360" s="951" t="s">
        <v>918</v>
      </c>
      <c r="D360" s="946"/>
      <c r="E360" s="947"/>
      <c r="F360" s="1054"/>
      <c r="G360" s="946"/>
      <c r="H360" s="1031"/>
      <c r="I360" s="952">
        <f>SUM(I356:I359)</f>
        <v>426.28</v>
      </c>
    </row>
    <row r="361" spans="3:9" ht="15.75">
      <c r="C361" s="949"/>
      <c r="D361" s="946"/>
      <c r="E361" s="947"/>
      <c r="F361" s="1054"/>
      <c r="G361" s="946"/>
      <c r="H361" s="1031"/>
      <c r="I361" s="948"/>
    </row>
    <row r="362" spans="3:9" ht="15.75">
      <c r="C362" s="945" t="s">
        <v>925</v>
      </c>
      <c r="D362" s="946"/>
      <c r="E362" s="947"/>
      <c r="F362" s="1054"/>
      <c r="G362" s="946"/>
      <c r="H362" s="1031"/>
      <c r="I362" s="948"/>
    </row>
    <row r="363" spans="3:9" ht="15.75">
      <c r="C363" s="949" t="s">
        <v>924</v>
      </c>
      <c r="D363" s="946"/>
      <c r="E363" s="947" t="str">
        <f>VLOOKUP(C363,[50]BASICS!B:D,2,FALSE)</f>
        <v>n/a</v>
      </c>
      <c r="F363" s="1054">
        <f>+VLOOKUP(C363,[49]BASICS!B:E,3,FALSE)</f>
        <v>0</v>
      </c>
      <c r="G363" s="946"/>
      <c r="H363" s="1031"/>
      <c r="I363" s="948">
        <f>D363*F363</f>
        <v>0</v>
      </c>
    </row>
    <row r="364" spans="3:9" ht="15.75">
      <c r="C364" s="951" t="s">
        <v>918</v>
      </c>
      <c r="D364" s="946"/>
      <c r="E364" s="947"/>
      <c r="F364" s="1054"/>
      <c r="G364" s="946"/>
      <c r="H364" s="1031"/>
      <c r="I364" s="952">
        <f>SUM(I363)</f>
        <v>0</v>
      </c>
    </row>
    <row r="365" spans="3:9" ht="15.75">
      <c r="C365" s="951"/>
      <c r="D365" s="946"/>
      <c r="E365" s="947"/>
      <c r="F365" s="1054"/>
      <c r="G365" s="946"/>
      <c r="H365" s="1031"/>
      <c r="I365" s="952"/>
    </row>
    <row r="366" spans="3:9" ht="15.75">
      <c r="C366" s="956" t="s">
        <v>926</v>
      </c>
      <c r="D366" s="957"/>
      <c r="E366" s="958"/>
      <c r="F366" s="1069"/>
      <c r="G366" s="957"/>
      <c r="H366" s="1032"/>
      <c r="I366" s="959">
        <f>+I349</f>
        <v>650</v>
      </c>
    </row>
    <row r="367" spans="3:9" ht="15.75">
      <c r="C367" s="956" t="s">
        <v>927</v>
      </c>
      <c r="D367" s="957"/>
      <c r="E367" s="958"/>
      <c r="F367" s="1069"/>
      <c r="G367" s="957"/>
      <c r="H367" s="1032"/>
      <c r="I367" s="959">
        <f>+I353</f>
        <v>0</v>
      </c>
    </row>
    <row r="368" spans="3:9" ht="15.75">
      <c r="C368" s="956" t="s">
        <v>928</v>
      </c>
      <c r="D368" s="957"/>
      <c r="E368" s="958"/>
      <c r="F368" s="1069"/>
      <c r="G368" s="957"/>
      <c r="H368" s="1032"/>
      <c r="I368" s="959">
        <f>+I360</f>
        <v>426.28</v>
      </c>
    </row>
    <row r="369" spans="2:9" ht="15.75">
      <c r="C369" s="956" t="s">
        <v>929</v>
      </c>
      <c r="D369" s="957"/>
      <c r="E369" s="958"/>
      <c r="F369" s="1069"/>
      <c r="G369" s="957"/>
      <c r="H369" s="1032"/>
      <c r="I369" s="959">
        <f>+I364</f>
        <v>0</v>
      </c>
    </row>
    <row r="370" spans="2:9" ht="15.75">
      <c r="C370" s="949"/>
      <c r="D370" s="946"/>
      <c r="E370" s="947"/>
      <c r="F370" s="1054"/>
      <c r="G370" s="946"/>
      <c r="H370" s="1031"/>
      <c r="I370" s="948"/>
    </row>
    <row r="371" spans="2:9" ht="15.75">
      <c r="C371" s="949"/>
      <c r="D371" s="946"/>
      <c r="E371" s="947"/>
      <c r="F371" s="1054"/>
      <c r="G371" s="946"/>
      <c r="H371" s="1031"/>
      <c r="I371" s="948"/>
    </row>
    <row r="372" spans="2:9" ht="15.75">
      <c r="C372" s="951" t="s">
        <v>930</v>
      </c>
      <c r="D372" s="960"/>
      <c r="E372" s="943" t="str">
        <f>+E345</f>
        <v>M³</v>
      </c>
      <c r="F372" s="1070"/>
      <c r="G372" s="960"/>
      <c r="H372" s="1033"/>
      <c r="I372" s="952">
        <f>SUM(I366:I369)</f>
        <v>1076.28</v>
      </c>
    </row>
    <row r="373" spans="2:9" ht="15.75">
      <c r="C373" s="949"/>
      <c r="D373" s="946"/>
      <c r="E373" s="947"/>
      <c r="F373" s="1054"/>
      <c r="G373" s="946"/>
      <c r="H373" s="1031"/>
      <c r="I373" s="948"/>
    </row>
    <row r="375" spans="2:9" ht="15.75">
      <c r="B375" s="1038">
        <v>4.2</v>
      </c>
      <c r="C375" s="937" t="str">
        <f>+'[49]LISTA VIAS Y PAISAJISMO'!B30</f>
        <v>Suministro de material base e=20 cm dist. aprox 20.00 km</v>
      </c>
      <c r="D375" s="938"/>
      <c r="E375" s="962" t="str">
        <f>+'[49]LISTA VIAS Y PAISAJISMO'!D30</f>
        <v>M³</v>
      </c>
      <c r="F375" s="1066"/>
      <c r="G375" s="938"/>
      <c r="H375" s="1029"/>
      <c r="I375" s="940">
        <f>I402</f>
        <v>1141.28</v>
      </c>
    </row>
    <row r="376" spans="2:9" ht="15.75">
      <c r="C376" s="941" t="s">
        <v>908</v>
      </c>
      <c r="D376" s="942" t="s">
        <v>9</v>
      </c>
      <c r="E376" s="943" t="s">
        <v>10</v>
      </c>
      <c r="F376" s="1067" t="s">
        <v>909</v>
      </c>
      <c r="G376" s="942" t="s">
        <v>910</v>
      </c>
      <c r="H376" s="1030" t="s">
        <v>911</v>
      </c>
      <c r="I376" s="944" t="s">
        <v>912</v>
      </c>
    </row>
    <row r="377" spans="2:9" ht="15.75">
      <c r="C377" s="945" t="s">
        <v>913</v>
      </c>
      <c r="D377" s="946"/>
      <c r="E377" s="947"/>
      <c r="F377" s="1054"/>
      <c r="G377" s="946"/>
      <c r="H377" s="1031"/>
      <c r="I377" s="948"/>
    </row>
    <row r="378" spans="2:9" ht="15.75">
      <c r="C378" s="949" t="s">
        <v>940</v>
      </c>
      <c r="D378" s="946">
        <v>1.3</v>
      </c>
      <c r="E378" s="947" t="str">
        <f>+VLOOKUP(C378,[49]BASICS!B:E,2,FALSE)</f>
        <v>m3</v>
      </c>
      <c r="F378" s="1068">
        <f>'Basic (equilibrio) (2)'!$D$187</f>
        <v>550</v>
      </c>
      <c r="G378" s="946">
        <f>F378-(F378/1.18)</f>
        <v>83.9</v>
      </c>
      <c r="H378" s="1031"/>
      <c r="I378" s="948">
        <f>D378*F378</f>
        <v>715</v>
      </c>
    </row>
    <row r="379" spans="2:9" ht="15.75">
      <c r="C379" s="951" t="s">
        <v>918</v>
      </c>
      <c r="D379" s="946"/>
      <c r="E379" s="947"/>
      <c r="F379" s="1068"/>
      <c r="G379" s="946"/>
      <c r="H379" s="1031"/>
      <c r="I379" s="952">
        <f>SUM(I378:I378)</f>
        <v>715</v>
      </c>
    </row>
    <row r="380" spans="2:9" ht="15.75">
      <c r="C380" s="949"/>
      <c r="D380" s="946"/>
      <c r="E380" s="947"/>
      <c r="F380" s="1068"/>
      <c r="G380" s="946"/>
      <c r="H380" s="1031"/>
      <c r="I380" s="948"/>
    </row>
    <row r="381" spans="2:9" ht="15.75">
      <c r="C381" s="945" t="s">
        <v>919</v>
      </c>
      <c r="D381" s="946"/>
      <c r="E381" s="947"/>
      <c r="F381" s="1068"/>
      <c r="G381" s="946"/>
      <c r="H381" s="1031"/>
      <c r="I381" s="948"/>
    </row>
    <row r="382" spans="2:9" ht="15.75">
      <c r="C382" s="949" t="s">
        <v>924</v>
      </c>
      <c r="D382" s="953"/>
      <c r="E382" s="954" t="str">
        <f>+VLOOKUP(C382,[49]BASICS!B:E,2,FALSE)</f>
        <v>n/a</v>
      </c>
      <c r="F382" s="1068">
        <f>+VLOOKUP(C382,[49]BASICS!B:E,3,FALSE)</f>
        <v>0</v>
      </c>
      <c r="G382" s="946">
        <f>F382-(F382/1.18)</f>
        <v>0</v>
      </c>
      <c r="H382" s="1031"/>
      <c r="I382" s="948">
        <f>(D382*F382)</f>
        <v>0</v>
      </c>
    </row>
    <row r="383" spans="2:9" ht="15.75">
      <c r="C383" s="951" t="s">
        <v>918</v>
      </c>
      <c r="D383" s="946"/>
      <c r="E383" s="947"/>
      <c r="F383" s="1054"/>
      <c r="G383" s="946"/>
      <c r="H383" s="1031"/>
      <c r="I383" s="952">
        <f>SUM(I382:I382)</f>
        <v>0</v>
      </c>
    </row>
    <row r="384" spans="2:9" ht="15.75">
      <c r="C384" s="949"/>
      <c r="D384" s="946"/>
      <c r="E384" s="947"/>
      <c r="F384" s="1068"/>
      <c r="G384" s="946"/>
      <c r="H384" s="1031"/>
      <c r="I384" s="948"/>
    </row>
    <row r="385" spans="3:9" ht="15.75">
      <c r="C385" s="945" t="s">
        <v>923</v>
      </c>
      <c r="D385" s="946"/>
      <c r="E385" s="947"/>
      <c r="F385" s="1068"/>
      <c r="G385" s="946"/>
      <c r="H385" s="1031"/>
      <c r="I385" s="948"/>
    </row>
    <row r="386" spans="3:9" ht="15.75">
      <c r="C386" s="949" t="s">
        <v>937</v>
      </c>
      <c r="D386" s="946">
        <v>1</v>
      </c>
      <c r="E386" s="947" t="str">
        <f>+VLOOKUP(C386,[49]BASICS!B:E,2,FALSE)</f>
        <v>m3e</v>
      </c>
      <c r="F386" s="1068">
        <f>'Basic (equilibrio) (2)'!$D$188</f>
        <v>342</v>
      </c>
      <c r="G386" s="946">
        <f>F386-(F386/1.18)</f>
        <v>52.17</v>
      </c>
      <c r="H386" s="1039"/>
      <c r="I386" s="955">
        <f>D386*F386</f>
        <v>342</v>
      </c>
    </row>
    <row r="387" spans="3:9" ht="15.75">
      <c r="C387" s="949" t="s">
        <v>938</v>
      </c>
      <c r="D387" s="946">
        <v>1</v>
      </c>
      <c r="E387" s="947" t="str">
        <f>+VLOOKUP(C387,[49]BASICS!B:E,2,FALSE)</f>
        <v>hr</v>
      </c>
      <c r="F387" s="1054">
        <f>'Basic (equilibrio) (2)'!$D$683</f>
        <v>2500</v>
      </c>
      <c r="G387" s="946">
        <f>F387-(F387/1.18)</f>
        <v>381.36</v>
      </c>
      <c r="H387" s="1039">
        <v>70</v>
      </c>
      <c r="I387" s="955">
        <f>D387*F387/H387</f>
        <v>35.71</v>
      </c>
    </row>
    <row r="388" spans="3:9" ht="15.75">
      <c r="C388" s="949" t="s">
        <v>935</v>
      </c>
      <c r="D388" s="946">
        <v>1</v>
      </c>
      <c r="E388" s="947" t="str">
        <f>+VLOOKUP(C388,[49]BASICS!B:E,2,FALSE)</f>
        <v>hr</v>
      </c>
      <c r="F388" s="1054">
        <f>'Basic (equilibrio) (2)'!$D$684</f>
        <v>3000</v>
      </c>
      <c r="G388" s="946">
        <f>F388-(F388/1.18)</f>
        <v>457.63</v>
      </c>
      <c r="H388" s="1039">
        <v>70</v>
      </c>
      <c r="I388" s="955">
        <f>D388*F388/H388</f>
        <v>42.86</v>
      </c>
    </row>
    <row r="389" spans="3:9" ht="15.75">
      <c r="C389" s="949" t="s">
        <v>939</v>
      </c>
      <c r="D389" s="946">
        <v>1</v>
      </c>
      <c r="E389" s="947" t="str">
        <f>+VLOOKUP(C389,[49]BASICS!B:E,2,FALSE)</f>
        <v>hr</v>
      </c>
      <c r="F389" s="1054">
        <f>'Basic (equilibrio) (2)'!$D$688</f>
        <v>400</v>
      </c>
      <c r="G389" s="946">
        <f>F389-(F389/1.18)</f>
        <v>61.02</v>
      </c>
      <c r="H389" s="1039">
        <v>70</v>
      </c>
      <c r="I389" s="955">
        <f>D389*F389/H389</f>
        <v>5.71</v>
      </c>
    </row>
    <row r="390" spans="3:9" ht="15.75">
      <c r="C390" s="951" t="s">
        <v>918</v>
      </c>
      <c r="D390" s="946"/>
      <c r="E390" s="947"/>
      <c r="F390" s="1054"/>
      <c r="G390" s="946"/>
      <c r="H390" s="1031"/>
      <c r="I390" s="952">
        <f>SUM(I386:I389)</f>
        <v>426.28</v>
      </c>
    </row>
    <row r="391" spans="3:9" ht="15.75">
      <c r="C391" s="949"/>
      <c r="D391" s="946"/>
      <c r="E391" s="947"/>
      <c r="F391" s="1054"/>
      <c r="G391" s="946"/>
      <c r="H391" s="1031"/>
      <c r="I391" s="948"/>
    </row>
    <row r="392" spans="3:9" ht="15.75">
      <c r="C392" s="945" t="s">
        <v>925</v>
      </c>
      <c r="D392" s="946"/>
      <c r="E392" s="947"/>
      <c r="F392" s="1054"/>
      <c r="G392" s="946"/>
      <c r="H392" s="1031"/>
      <c r="I392" s="948"/>
    </row>
    <row r="393" spans="3:9" ht="15.75">
      <c r="C393" s="949" t="s">
        <v>924</v>
      </c>
      <c r="D393" s="946"/>
      <c r="E393" s="947" t="str">
        <f>VLOOKUP(C393,[50]BASICS!B:D,2,FALSE)</f>
        <v>n/a</v>
      </c>
      <c r="F393" s="1054">
        <f>+VLOOKUP(C393,[49]BASICS!B:E,3,FALSE)</f>
        <v>0</v>
      </c>
      <c r="G393" s="946"/>
      <c r="H393" s="1031"/>
      <c r="I393" s="948">
        <f>D393*F393</f>
        <v>0</v>
      </c>
    </row>
    <row r="394" spans="3:9" ht="15.75">
      <c r="C394" s="951" t="s">
        <v>918</v>
      </c>
      <c r="D394" s="946"/>
      <c r="E394" s="947"/>
      <c r="F394" s="1054"/>
      <c r="G394" s="946"/>
      <c r="H394" s="1031"/>
      <c r="I394" s="952">
        <f>SUM(I393)</f>
        <v>0</v>
      </c>
    </row>
    <row r="395" spans="3:9" ht="15.75">
      <c r="C395" s="951"/>
      <c r="D395" s="946"/>
      <c r="E395" s="947"/>
      <c r="F395" s="1054"/>
      <c r="G395" s="946"/>
      <c r="H395" s="1031"/>
      <c r="I395" s="952"/>
    </row>
    <row r="396" spans="3:9" ht="15.75">
      <c r="C396" s="956" t="s">
        <v>926</v>
      </c>
      <c r="D396" s="957"/>
      <c r="E396" s="958"/>
      <c r="F396" s="1069"/>
      <c r="G396" s="957"/>
      <c r="H396" s="1032"/>
      <c r="I396" s="959">
        <f>+I379</f>
        <v>715</v>
      </c>
    </row>
    <row r="397" spans="3:9" ht="15.75">
      <c r="C397" s="956" t="s">
        <v>927</v>
      </c>
      <c r="D397" s="957"/>
      <c r="E397" s="958"/>
      <c r="F397" s="1069"/>
      <c r="G397" s="957"/>
      <c r="H397" s="1032"/>
      <c r="I397" s="959">
        <f>+I383</f>
        <v>0</v>
      </c>
    </row>
    <row r="398" spans="3:9" ht="15.75">
      <c r="C398" s="956" t="s">
        <v>928</v>
      </c>
      <c r="D398" s="957"/>
      <c r="E398" s="958"/>
      <c r="F398" s="1069"/>
      <c r="G398" s="957"/>
      <c r="H398" s="1032"/>
      <c r="I398" s="959">
        <f>+I390</f>
        <v>426.28</v>
      </c>
    </row>
    <row r="399" spans="3:9" ht="15.75">
      <c r="C399" s="956" t="s">
        <v>929</v>
      </c>
      <c r="D399" s="957"/>
      <c r="E399" s="958"/>
      <c r="F399" s="1069"/>
      <c r="G399" s="957"/>
      <c r="H399" s="1032"/>
      <c r="I399" s="959">
        <f>+I394</f>
        <v>0</v>
      </c>
    </row>
    <row r="400" spans="3:9" ht="15.75">
      <c r="C400" s="949"/>
      <c r="D400" s="946"/>
      <c r="E400" s="947"/>
      <c r="F400" s="1054"/>
      <c r="G400" s="946"/>
      <c r="H400" s="1031"/>
      <c r="I400" s="948"/>
    </row>
    <row r="401" spans="2:9" ht="15.75">
      <c r="C401" s="949"/>
      <c r="D401" s="946"/>
      <c r="E401" s="947"/>
      <c r="F401" s="1054"/>
      <c r="G401" s="946"/>
      <c r="H401" s="1031"/>
      <c r="I401" s="948"/>
    </row>
    <row r="402" spans="2:9" ht="15.75">
      <c r="C402" s="951" t="s">
        <v>930</v>
      </c>
      <c r="D402" s="960"/>
      <c r="E402" s="943" t="str">
        <f>+E375</f>
        <v>M³</v>
      </c>
      <c r="F402" s="1070"/>
      <c r="G402" s="960"/>
      <c r="H402" s="1033"/>
      <c r="I402" s="952">
        <f>SUM(I396:I399)</f>
        <v>1141.28</v>
      </c>
    </row>
    <row r="403" spans="2:9" ht="15.75">
      <c r="C403" s="949"/>
      <c r="D403" s="946"/>
      <c r="E403" s="947"/>
      <c r="F403" s="1054"/>
      <c r="G403" s="946"/>
      <c r="H403" s="1031"/>
      <c r="I403" s="948"/>
    </row>
    <row r="405" spans="2:9" ht="15.75">
      <c r="B405" s="1038">
        <v>4.3</v>
      </c>
      <c r="C405" s="937" t="str">
        <f>+'[49]LISTA VIAS Y PAISAJISMO'!B31</f>
        <v>Imprimación simple</v>
      </c>
      <c r="D405" s="938"/>
      <c r="E405" s="962" t="str">
        <f>+'[49]LISTA VIAS Y PAISAJISMO'!D31</f>
        <v>M²</v>
      </c>
      <c r="F405" s="1066"/>
      <c r="G405" s="938"/>
      <c r="H405" s="1029"/>
      <c r="I405" s="940">
        <f>I435</f>
        <v>198.49</v>
      </c>
    </row>
    <row r="406" spans="2:9" ht="15.75">
      <c r="C406" s="941" t="s">
        <v>908</v>
      </c>
      <c r="D406" s="942" t="s">
        <v>9</v>
      </c>
      <c r="E406" s="943" t="s">
        <v>10</v>
      </c>
      <c r="F406" s="1067" t="s">
        <v>909</v>
      </c>
      <c r="G406" s="942" t="s">
        <v>910</v>
      </c>
      <c r="H406" s="1030" t="s">
        <v>911</v>
      </c>
      <c r="I406" s="944" t="s">
        <v>912</v>
      </c>
    </row>
    <row r="407" spans="2:9" ht="15.75">
      <c r="C407" s="945" t="s">
        <v>913</v>
      </c>
      <c r="D407" s="946"/>
      <c r="E407" s="947"/>
      <c r="F407" s="1054"/>
      <c r="G407" s="946"/>
      <c r="H407" s="1031"/>
      <c r="I407" s="948"/>
    </row>
    <row r="408" spans="2:9" ht="15.75">
      <c r="C408" s="949" t="s">
        <v>941</v>
      </c>
      <c r="D408" s="946">
        <v>1</v>
      </c>
      <c r="E408" s="947" t="str">
        <f>+VLOOKUP(C408,[49]BASICS!B:E,2,FALSE)</f>
        <v>Gls</v>
      </c>
      <c r="F408" s="1068">
        <f>'Basic (equilibrio) (2)'!$D$168</f>
        <v>330</v>
      </c>
      <c r="G408" s="946">
        <f>F408-(F408/1.18)</f>
        <v>50.34</v>
      </c>
      <c r="H408" s="1031">
        <v>2</v>
      </c>
      <c r="I408" s="948">
        <f>D408*F408/H408</f>
        <v>165</v>
      </c>
    </row>
    <row r="409" spans="2:9" ht="15.75">
      <c r="C409" s="949" t="s">
        <v>942</v>
      </c>
      <c r="D409" s="946">
        <v>1</v>
      </c>
      <c r="E409" s="947" t="str">
        <f>+VLOOKUP(C409,[49]BASICS!B:E,2,FALSE)</f>
        <v>m3</v>
      </c>
      <c r="F409" s="1068">
        <f>+'Basic (equilibrio) (2)'!$D$166</f>
        <v>1250</v>
      </c>
      <c r="G409" s="946">
        <f>F409-(F409/1.18)</f>
        <v>190.68</v>
      </c>
      <c r="H409" s="1031">
        <v>100</v>
      </c>
      <c r="I409" s="948">
        <f>D409*F409/H409</f>
        <v>12.5</v>
      </c>
    </row>
    <row r="410" spans="2:9" ht="15.75">
      <c r="C410" s="951" t="s">
        <v>918</v>
      </c>
      <c r="D410" s="946"/>
      <c r="E410" s="947"/>
      <c r="F410" s="1068"/>
      <c r="G410" s="946"/>
      <c r="H410" s="1031"/>
      <c r="I410" s="952">
        <f>SUM(I408:I409)</f>
        <v>177.5</v>
      </c>
    </row>
    <row r="411" spans="2:9" ht="15.75">
      <c r="C411" s="949"/>
      <c r="D411" s="946"/>
      <c r="E411" s="947"/>
      <c r="F411" s="1068"/>
      <c r="G411" s="946"/>
      <c r="H411" s="1031"/>
      <c r="I411" s="948"/>
    </row>
    <row r="412" spans="2:9" ht="15.75">
      <c r="C412" s="945" t="s">
        <v>919</v>
      </c>
      <c r="D412" s="946"/>
      <c r="E412" s="947"/>
      <c r="F412" s="1068"/>
      <c r="G412" s="946"/>
      <c r="H412" s="1031"/>
      <c r="I412" s="948"/>
    </row>
    <row r="413" spans="2:9" ht="15.75">
      <c r="C413" s="949" t="s">
        <v>943</v>
      </c>
      <c r="D413" s="953">
        <v>1</v>
      </c>
      <c r="E413" s="954" t="str">
        <f>+VLOOKUP(C413,[49]BASICS!B:E,2,FALSE)</f>
        <v>dia</v>
      </c>
      <c r="F413" s="1068">
        <f>'Basic (equilibrio) (2)'!$D$10</f>
        <v>900</v>
      </c>
      <c r="G413" s="946">
        <f>F413-(F413/1.18)</f>
        <v>137.29</v>
      </c>
      <c r="H413" s="1031">
        <v>700</v>
      </c>
      <c r="I413" s="948">
        <f t="shared" ref="I413:I414" si="3">D413*F413/H413</f>
        <v>1.29</v>
      </c>
    </row>
    <row r="414" spans="2:9" ht="15.75">
      <c r="C414" s="949" t="s">
        <v>944</v>
      </c>
      <c r="D414" s="953">
        <v>1</v>
      </c>
      <c r="E414" s="954" t="str">
        <f>+VLOOKUP(C414,[49]BASICS!B:E,2,FALSE)</f>
        <v>dia</v>
      </c>
      <c r="F414" s="1068">
        <f>'Basic (equilibrio) (2)'!$D$11</f>
        <v>1364</v>
      </c>
      <c r="G414" s="946">
        <f>F414-(F414/1.18)</f>
        <v>208.07</v>
      </c>
      <c r="H414" s="1031">
        <v>700</v>
      </c>
      <c r="I414" s="948">
        <f t="shared" si="3"/>
        <v>1.95</v>
      </c>
    </row>
    <row r="415" spans="2:9" ht="15.75">
      <c r="C415" s="951" t="s">
        <v>918</v>
      </c>
      <c r="D415" s="946"/>
      <c r="E415" s="947"/>
      <c r="F415" s="1054"/>
      <c r="G415" s="946"/>
      <c r="H415" s="1031"/>
      <c r="I415" s="952">
        <f>SUM(I413:I414)</f>
        <v>3.24</v>
      </c>
    </row>
    <row r="416" spans="2:9" ht="15.75">
      <c r="C416" s="949"/>
      <c r="D416" s="946"/>
      <c r="E416" s="947"/>
      <c r="F416" s="1054"/>
      <c r="G416" s="946"/>
      <c r="H416" s="1031"/>
      <c r="I416" s="948"/>
    </row>
    <row r="417" spans="3:9" ht="15.75">
      <c r="C417" s="945" t="s">
        <v>923</v>
      </c>
      <c r="D417" s="946"/>
      <c r="E417" s="947"/>
      <c r="F417" s="1054"/>
      <c r="G417" s="946"/>
      <c r="H417" s="1031"/>
      <c r="I417" s="948"/>
    </row>
    <row r="418" spans="3:9" ht="15.75">
      <c r="C418" s="949" t="s">
        <v>945</v>
      </c>
      <c r="D418" s="946">
        <v>1</v>
      </c>
      <c r="E418" s="947" t="str">
        <f>+VLOOKUP(C418,[49]BASICS!B:E,2,FALSE)</f>
        <v>m3e</v>
      </c>
      <c r="F418" s="1068">
        <f>'Basic (equilibrio) (2)'!$D$167</f>
        <v>350</v>
      </c>
      <c r="G418" s="946">
        <f>F418-(F418/1.18)</f>
        <v>53.39</v>
      </c>
      <c r="H418" s="1039">
        <v>100</v>
      </c>
      <c r="I418" s="955">
        <f>D418*F418/H418</f>
        <v>3.5</v>
      </c>
    </row>
    <row r="419" spans="3:9" ht="15.75">
      <c r="C419" s="949" t="s">
        <v>946</v>
      </c>
      <c r="D419" s="946">
        <f>+D408</f>
        <v>1</v>
      </c>
      <c r="E419" s="947" t="str">
        <f>+VLOOKUP(C419,[49]BASICS!B:E,2,FALSE)</f>
        <v>Gls</v>
      </c>
      <c r="F419" s="1054">
        <f>'Basic (equilibrio) (2)'!$D$169</f>
        <v>6</v>
      </c>
      <c r="G419" s="946">
        <f>F419-(F419/1.18)</f>
        <v>0.92</v>
      </c>
      <c r="H419" s="1039"/>
      <c r="I419" s="955">
        <f>D419*F419</f>
        <v>6</v>
      </c>
    </row>
    <row r="420" spans="3:9" ht="15.75">
      <c r="C420" s="949" t="s">
        <v>947</v>
      </c>
      <c r="D420" s="946">
        <v>1</v>
      </c>
      <c r="E420" s="947" t="str">
        <f>+VLOOKUP(C420,[49]BASICS!B:E,2,FALSE)</f>
        <v>Hr</v>
      </c>
      <c r="F420" s="1054">
        <f>'Basic (equilibrio) (2)'!$D$691</f>
        <v>1106</v>
      </c>
      <c r="G420" s="946">
        <f>F420-(F420/1.18)</f>
        <v>168.71</v>
      </c>
      <c r="H420" s="1039">
        <v>700</v>
      </c>
      <c r="I420" s="955">
        <f>D420*F420/H420</f>
        <v>1.58</v>
      </c>
    </row>
    <row r="421" spans="3:9" ht="15.75">
      <c r="C421" s="949" t="s">
        <v>948</v>
      </c>
      <c r="D421" s="946">
        <v>1</v>
      </c>
      <c r="E421" s="947" t="str">
        <f>+VLOOKUP(C421,[49]BASICS!B:E,2,FALSE)</f>
        <v>Hr</v>
      </c>
      <c r="F421" s="1054">
        <f>'Basic (equilibrio) (2)'!$D$692</f>
        <v>3398</v>
      </c>
      <c r="G421" s="946">
        <f>F421-(F421/1.18)</f>
        <v>518.34</v>
      </c>
      <c r="H421" s="1039">
        <v>700</v>
      </c>
      <c r="I421" s="955">
        <f>D421*F421/H421</f>
        <v>4.8499999999999996</v>
      </c>
    </row>
    <row r="422" spans="3:9" ht="15.75">
      <c r="C422" s="949" t="s">
        <v>949</v>
      </c>
      <c r="D422" s="946">
        <v>1</v>
      </c>
      <c r="E422" s="947" t="str">
        <f>+VLOOKUP(C422,[49]BASICS!B:E,2,FALSE)</f>
        <v>Hr</v>
      </c>
      <c r="F422" s="1054">
        <f>'Basic (equilibrio) (2)'!$D$693</f>
        <v>1274</v>
      </c>
      <c r="G422" s="946">
        <f>F422-(F422/1.18)</f>
        <v>194.34</v>
      </c>
      <c r="H422" s="1039">
        <v>700</v>
      </c>
      <c r="I422" s="955">
        <f>D422*F422/H422</f>
        <v>1.82</v>
      </c>
    </row>
    <row r="423" spans="3:9" ht="15.75">
      <c r="C423" s="951" t="s">
        <v>918</v>
      </c>
      <c r="D423" s="946"/>
      <c r="E423" s="947"/>
      <c r="F423" s="1054"/>
      <c r="G423" s="946"/>
      <c r="H423" s="1031"/>
      <c r="I423" s="952">
        <f>SUM(I418:I422)</f>
        <v>17.75</v>
      </c>
    </row>
    <row r="424" spans="3:9" ht="15.75">
      <c r="C424" s="949"/>
      <c r="D424" s="946"/>
      <c r="E424" s="947"/>
      <c r="F424" s="1054"/>
      <c r="G424" s="946"/>
      <c r="H424" s="1031"/>
      <c r="I424" s="948"/>
    </row>
    <row r="425" spans="3:9" ht="15.75">
      <c r="C425" s="945" t="s">
        <v>925</v>
      </c>
      <c r="D425" s="946"/>
      <c r="E425" s="947"/>
      <c r="F425" s="1054"/>
      <c r="G425" s="946"/>
      <c r="H425" s="1031"/>
      <c r="I425" s="948"/>
    </row>
    <row r="426" spans="3:9" ht="15.75">
      <c r="C426" s="949" t="s">
        <v>924</v>
      </c>
      <c r="D426" s="946"/>
      <c r="E426" s="947" t="str">
        <f>VLOOKUP(C426,[50]BASICS!B:D,2,FALSE)</f>
        <v>n/a</v>
      </c>
      <c r="F426" s="1054">
        <f>+VLOOKUP(C426,[49]BASICS!B:E,3,FALSE)</f>
        <v>0</v>
      </c>
      <c r="G426" s="946"/>
      <c r="H426" s="1031"/>
      <c r="I426" s="948">
        <f>D426*F426</f>
        <v>0</v>
      </c>
    </row>
    <row r="427" spans="3:9" ht="15.75">
      <c r="C427" s="951" t="s">
        <v>918</v>
      </c>
      <c r="D427" s="946"/>
      <c r="E427" s="947"/>
      <c r="F427" s="1054"/>
      <c r="G427" s="946"/>
      <c r="H427" s="1031"/>
      <c r="I427" s="952">
        <f>SUM(I426)</f>
        <v>0</v>
      </c>
    </row>
    <row r="428" spans="3:9" ht="15.75">
      <c r="C428" s="951"/>
      <c r="D428" s="946"/>
      <c r="E428" s="947"/>
      <c r="F428" s="1054"/>
      <c r="G428" s="946"/>
      <c r="H428" s="1031"/>
      <c r="I428" s="952"/>
    </row>
    <row r="429" spans="3:9" ht="15.75">
      <c r="C429" s="956" t="s">
        <v>926</v>
      </c>
      <c r="D429" s="957"/>
      <c r="E429" s="958"/>
      <c r="F429" s="1069"/>
      <c r="G429" s="957"/>
      <c r="H429" s="1032"/>
      <c r="I429" s="959">
        <f>+I410</f>
        <v>177.5</v>
      </c>
    </row>
    <row r="430" spans="3:9" ht="15.75">
      <c r="C430" s="956" t="s">
        <v>927</v>
      </c>
      <c r="D430" s="957"/>
      <c r="E430" s="958"/>
      <c r="F430" s="1069"/>
      <c r="G430" s="957"/>
      <c r="H430" s="1032"/>
      <c r="I430" s="959">
        <f>+I415</f>
        <v>3.24</v>
      </c>
    </row>
    <row r="431" spans="3:9" ht="15.75">
      <c r="C431" s="956" t="s">
        <v>928</v>
      </c>
      <c r="D431" s="957"/>
      <c r="E431" s="958"/>
      <c r="F431" s="1069"/>
      <c r="G431" s="957"/>
      <c r="H431" s="1032"/>
      <c r="I431" s="959">
        <f>+I423</f>
        <v>17.75</v>
      </c>
    </row>
    <row r="432" spans="3:9" ht="15.75">
      <c r="C432" s="956" t="s">
        <v>929</v>
      </c>
      <c r="D432" s="957"/>
      <c r="E432" s="958"/>
      <c r="F432" s="1069"/>
      <c r="G432" s="957"/>
      <c r="H432" s="1032"/>
      <c r="I432" s="959">
        <f>+I427</f>
        <v>0</v>
      </c>
    </row>
    <row r="433" spans="2:9" ht="15.75">
      <c r="C433" s="949"/>
      <c r="D433" s="946"/>
      <c r="E433" s="947"/>
      <c r="F433" s="1054"/>
      <c r="G433" s="946"/>
      <c r="H433" s="1031"/>
      <c r="I433" s="948"/>
    </row>
    <row r="434" spans="2:9" ht="15.75">
      <c r="C434" s="949"/>
      <c r="D434" s="946"/>
      <c r="E434" s="947"/>
      <c r="F434" s="1054"/>
      <c r="G434" s="946"/>
      <c r="H434" s="1031"/>
      <c r="I434" s="948"/>
    </row>
    <row r="435" spans="2:9" ht="15.75">
      <c r="C435" s="951" t="s">
        <v>930</v>
      </c>
      <c r="D435" s="960"/>
      <c r="E435" s="943" t="str">
        <f>+E405</f>
        <v>M²</v>
      </c>
      <c r="F435" s="1070"/>
      <c r="G435" s="960"/>
      <c r="H435" s="1033"/>
      <c r="I435" s="952">
        <f>SUM(I429:I432)</f>
        <v>198.49</v>
      </c>
    </row>
    <row r="436" spans="2:9" ht="15.75">
      <c r="C436" s="949"/>
      <c r="D436" s="946"/>
      <c r="E436" s="947"/>
      <c r="F436" s="1054"/>
      <c r="G436" s="946"/>
      <c r="H436" s="1031"/>
      <c r="I436" s="948"/>
    </row>
    <row r="438" spans="2:9" ht="31.5">
      <c r="B438" s="1038">
        <v>4.4000000000000004</v>
      </c>
      <c r="C438" s="937" t="str">
        <f>+'[49]LISTA VIAS Y PAISAJISMO'!B32</f>
        <v>Suministro y colocación de asfalto e=2" ( incl. Riego de Adherencia)</v>
      </c>
      <c r="D438" s="938"/>
      <c r="E438" s="962" t="str">
        <f>+'[49]LISTA VIAS Y PAISAJISMO'!D32</f>
        <v>M²</v>
      </c>
      <c r="F438" s="1066"/>
      <c r="G438" s="938"/>
      <c r="H438" s="1029"/>
      <c r="I438" s="940">
        <f>I470</f>
        <v>931.38</v>
      </c>
    </row>
    <row r="439" spans="2:9" ht="15.75">
      <c r="C439" s="941" t="s">
        <v>908</v>
      </c>
      <c r="D439" s="942" t="s">
        <v>9</v>
      </c>
      <c r="E439" s="943" t="s">
        <v>10</v>
      </c>
      <c r="F439" s="1067" t="s">
        <v>909</v>
      </c>
      <c r="G439" s="942" t="s">
        <v>910</v>
      </c>
      <c r="H439" s="1030" t="s">
        <v>911</v>
      </c>
      <c r="I439" s="944" t="s">
        <v>912</v>
      </c>
    </row>
    <row r="440" spans="2:9" ht="15.75">
      <c r="C440" s="945" t="s">
        <v>913</v>
      </c>
      <c r="D440" s="946"/>
      <c r="E440" s="947"/>
      <c r="F440" s="1054"/>
      <c r="G440" s="946"/>
      <c r="H440" s="1031"/>
      <c r="I440" s="948"/>
    </row>
    <row r="441" spans="2:9" ht="15.75">
      <c r="C441" s="949" t="s">
        <v>950</v>
      </c>
      <c r="D441" s="946">
        <v>0.06</v>
      </c>
      <c r="E441" s="947" t="str">
        <f>+VLOOKUP(C441,[49]BASICS!B:E,2,FALSE)</f>
        <v>m3s</v>
      </c>
      <c r="F441" s="1109">
        <f>+'Basic (equilibrio) (2)'!$D$493</f>
        <v>9440</v>
      </c>
      <c r="G441" s="946">
        <f>F441-(F441/1.18)</f>
        <v>1440</v>
      </c>
      <c r="H441" s="1031"/>
      <c r="I441" s="948">
        <f>D441*F441</f>
        <v>566.4</v>
      </c>
    </row>
    <row r="442" spans="2:9" ht="15.75">
      <c r="C442" s="949" t="s">
        <v>951</v>
      </c>
      <c r="D442" s="946">
        <v>0.06</v>
      </c>
      <c r="E442" s="947" t="str">
        <f>+VLOOKUP(C442,[49]BASICS!B:E,2,FALSE)</f>
        <v>m3</v>
      </c>
      <c r="F442" s="1068">
        <f>+'Basic (equilibrio) (2)'!$D$494</f>
        <v>5200</v>
      </c>
      <c r="G442" s="946">
        <f>F442-(F442/1.18)</f>
        <v>793.22</v>
      </c>
      <c r="H442" s="1031"/>
      <c r="I442" s="948">
        <f>D442*F442</f>
        <v>312</v>
      </c>
    </row>
    <row r="443" spans="2:9" ht="15.75">
      <c r="C443" s="951" t="s">
        <v>918</v>
      </c>
      <c r="D443" s="946"/>
      <c r="E443" s="947"/>
      <c r="F443" s="1068"/>
      <c r="G443" s="946"/>
      <c r="H443" s="1031"/>
      <c r="I443" s="952">
        <f>SUM(I441:I442)</f>
        <v>878.4</v>
      </c>
    </row>
    <row r="444" spans="2:9" ht="15.75">
      <c r="C444" s="949"/>
      <c r="D444" s="946"/>
      <c r="E444" s="947"/>
      <c r="F444" s="1068"/>
      <c r="G444" s="946"/>
      <c r="H444" s="1031"/>
      <c r="I444" s="948"/>
    </row>
    <row r="445" spans="2:9" ht="15.75">
      <c r="C445" s="945" t="s">
        <v>919</v>
      </c>
      <c r="D445" s="946"/>
      <c r="E445" s="947"/>
      <c r="F445" s="1068"/>
      <c r="G445" s="946"/>
      <c r="H445" s="1031"/>
      <c r="I445" s="948"/>
    </row>
    <row r="446" spans="2:9" ht="15.75">
      <c r="C446" s="949" t="s">
        <v>943</v>
      </c>
      <c r="D446" s="953">
        <v>1</v>
      </c>
      <c r="E446" s="954" t="str">
        <f>+VLOOKUP(C446,[49]BASICS!B:E,2,FALSE)</f>
        <v>dia</v>
      </c>
      <c r="F446" s="1068">
        <f>'Basic (equilibrio) (2)'!$D$10</f>
        <v>900</v>
      </c>
      <c r="G446" s="946">
        <f>F446-(F446/1.18)</f>
        <v>137.29</v>
      </c>
      <c r="H446" s="1031">
        <v>500</v>
      </c>
      <c r="I446" s="948">
        <f t="shared" ref="I446:I447" si="4">D446*F446/H446</f>
        <v>1.8</v>
      </c>
    </row>
    <row r="447" spans="2:9" ht="15.75">
      <c r="C447" s="949" t="s">
        <v>944</v>
      </c>
      <c r="D447" s="953">
        <v>1</v>
      </c>
      <c r="E447" s="954" t="str">
        <f>+VLOOKUP(C447,[49]BASICS!B:E,2,FALSE)</f>
        <v>dia</v>
      </c>
      <c r="F447" s="1068">
        <f>'Basic (equilibrio) (2)'!$D$11</f>
        <v>1364</v>
      </c>
      <c r="G447" s="946">
        <f>F447-(F447/1.18)</f>
        <v>208.07</v>
      </c>
      <c r="H447" s="1031">
        <v>500</v>
      </c>
      <c r="I447" s="948">
        <f t="shared" si="4"/>
        <v>2.73</v>
      </c>
    </row>
    <row r="448" spans="2:9" ht="15.75">
      <c r="C448" s="951" t="s">
        <v>918</v>
      </c>
      <c r="D448" s="946"/>
      <c r="E448" s="947"/>
      <c r="F448" s="1054"/>
      <c r="G448" s="946"/>
      <c r="H448" s="1031"/>
      <c r="I448" s="952">
        <f>SUM(I446:I447)</f>
        <v>4.53</v>
      </c>
    </row>
    <row r="449" spans="3:9" ht="15.75">
      <c r="C449" s="949"/>
      <c r="D449" s="946"/>
      <c r="E449" s="947"/>
      <c r="F449" s="1054"/>
      <c r="G449" s="946"/>
      <c r="H449" s="1031"/>
      <c r="I449" s="948"/>
    </row>
    <row r="450" spans="3:9" ht="15.75">
      <c r="C450" s="945" t="s">
        <v>923</v>
      </c>
      <c r="D450" s="946"/>
      <c r="E450" s="947"/>
      <c r="F450" s="1054"/>
      <c r="G450" s="946"/>
      <c r="H450" s="1031"/>
      <c r="I450" s="948"/>
    </row>
    <row r="451" spans="3:9" ht="15.75">
      <c r="C451" s="949" t="s">
        <v>949</v>
      </c>
      <c r="D451" s="946">
        <v>1</v>
      </c>
      <c r="E451" s="947" t="str">
        <f>+VLOOKUP(C451,[49]BASICS!B:E,2,FALSE)</f>
        <v>Hr</v>
      </c>
      <c r="F451" s="1068">
        <f>'Basic (equilibrio) (2)'!$D$674</f>
        <v>1274</v>
      </c>
      <c r="G451" s="946">
        <f t="shared" ref="G451:G457" si="5">F451-(F451/1.18)</f>
        <v>194.34</v>
      </c>
      <c r="H451" s="1031">
        <v>500</v>
      </c>
      <c r="I451" s="948">
        <f>D451*F451/H451</f>
        <v>2.5499999999999998</v>
      </c>
    </row>
    <row r="452" spans="3:9" ht="15.75">
      <c r="C452" s="949" t="s">
        <v>947</v>
      </c>
      <c r="D452" s="946">
        <v>1</v>
      </c>
      <c r="E452" s="947" t="str">
        <f>+VLOOKUP(C452,[49]BASICS!B:E,2,FALSE)</f>
        <v>Hr</v>
      </c>
      <c r="F452" s="1068">
        <f>'Basic (equilibrio) (2)'!$D$675</f>
        <v>1106</v>
      </c>
      <c r="G452" s="946">
        <f t="shared" si="5"/>
        <v>168.71</v>
      </c>
      <c r="H452" s="1031">
        <v>500</v>
      </c>
      <c r="I452" s="948">
        <f>D452*F452/H452</f>
        <v>2.21</v>
      </c>
    </row>
    <row r="453" spans="3:9" ht="15.75">
      <c r="C453" s="949" t="s">
        <v>952</v>
      </c>
      <c r="D453" s="946">
        <f>+D441</f>
        <v>0.06</v>
      </c>
      <c r="E453" s="947" t="str">
        <f>+VLOOKUP(C453,[49]BASICS!B:E,2,FALSE)</f>
        <v>m3e</v>
      </c>
      <c r="F453" s="1068">
        <f>'Basic (equilibrio) (2)'!$D$676</f>
        <v>155</v>
      </c>
      <c r="G453" s="946">
        <f t="shared" si="5"/>
        <v>23.64</v>
      </c>
      <c r="H453" s="1031"/>
      <c r="I453" s="948">
        <f>D453*F453</f>
        <v>9.3000000000000007</v>
      </c>
    </row>
    <row r="454" spans="3:9" ht="15.75">
      <c r="C454" s="949" t="s">
        <v>953</v>
      </c>
      <c r="D454" s="946">
        <f>+D442</f>
        <v>0.06</v>
      </c>
      <c r="E454" s="947" t="str">
        <f>+VLOOKUP(C454,[49]BASICS!B:E,2,FALSE)</f>
        <v>m3e</v>
      </c>
      <c r="F454" s="1068">
        <f>'Basic (equilibrio) (2)'!$D$677</f>
        <v>120</v>
      </c>
      <c r="G454" s="946">
        <f t="shared" si="5"/>
        <v>18.309999999999999</v>
      </c>
      <c r="H454" s="1031"/>
      <c r="I454" s="948">
        <f>D454*F454</f>
        <v>7.2</v>
      </c>
    </row>
    <row r="455" spans="3:9" ht="15.75">
      <c r="C455" s="949" t="s">
        <v>954</v>
      </c>
      <c r="D455" s="946">
        <v>1</v>
      </c>
      <c r="E455" s="947" t="str">
        <f>+VLOOKUP(C455,[49]BASICS!B:E,2,FALSE)</f>
        <v>hr</v>
      </c>
      <c r="F455" s="1068">
        <f>'Basic (equilibrio) (2)'!$D$678</f>
        <v>6584</v>
      </c>
      <c r="G455" s="946">
        <f t="shared" si="5"/>
        <v>1004.34</v>
      </c>
      <c r="H455" s="1031">
        <v>500</v>
      </c>
      <c r="I455" s="948">
        <f>D455*F455/H455</f>
        <v>13.17</v>
      </c>
    </row>
    <row r="456" spans="3:9" ht="15.75">
      <c r="C456" s="949" t="s">
        <v>948</v>
      </c>
      <c r="D456" s="946">
        <v>1</v>
      </c>
      <c r="E456" s="947" t="str">
        <f>+VLOOKUP(C456,[49]BASICS!B:E,2,FALSE)</f>
        <v>Hr</v>
      </c>
      <c r="F456" s="1068">
        <f>'Basic (equilibrio) (2)'!$D$692</f>
        <v>3398</v>
      </c>
      <c r="G456" s="946">
        <f t="shared" si="5"/>
        <v>518.34</v>
      </c>
      <c r="H456" s="1031">
        <v>500</v>
      </c>
      <c r="I456" s="948">
        <f>D456*F456/H456</f>
        <v>6.8</v>
      </c>
    </row>
    <row r="457" spans="3:9" ht="15.75">
      <c r="C457" s="949" t="s">
        <v>955</v>
      </c>
      <c r="D457" s="946">
        <v>1</v>
      </c>
      <c r="E457" s="947" t="str">
        <f>+VLOOKUP(C457,[49]BASICS!B:E,2,FALSE)</f>
        <v>hr</v>
      </c>
      <c r="F457" s="1068">
        <f>'Basic (equilibrio) (2)'!$D$679</f>
        <v>3610</v>
      </c>
      <c r="G457" s="946">
        <f t="shared" si="5"/>
        <v>550.67999999999995</v>
      </c>
      <c r="H457" s="1031">
        <v>500</v>
      </c>
      <c r="I457" s="948">
        <f>D457*F457/H457</f>
        <v>7.22</v>
      </c>
    </row>
    <row r="458" spans="3:9" ht="15.75">
      <c r="C458" s="951" t="s">
        <v>918</v>
      </c>
      <c r="D458" s="946"/>
      <c r="E458" s="947"/>
      <c r="F458" s="1054"/>
      <c r="G458" s="946"/>
      <c r="H458" s="1031"/>
      <c r="I458" s="952">
        <f>SUM(I451:I457)</f>
        <v>48.45</v>
      </c>
    </row>
    <row r="459" spans="3:9" ht="15.75">
      <c r="C459" s="949"/>
      <c r="D459" s="946"/>
      <c r="E459" s="947"/>
      <c r="F459" s="1054"/>
      <c r="G459" s="946"/>
      <c r="H459" s="1031"/>
      <c r="I459" s="948"/>
    </row>
    <row r="460" spans="3:9" ht="15.75">
      <c r="C460" s="945" t="s">
        <v>925</v>
      </c>
      <c r="D460" s="946"/>
      <c r="E460" s="947"/>
      <c r="F460" s="1054"/>
      <c r="G460" s="946"/>
      <c r="H460" s="1031"/>
      <c r="I460" s="948"/>
    </row>
    <row r="461" spans="3:9" ht="15.75">
      <c r="C461" s="949" t="s">
        <v>925</v>
      </c>
      <c r="D461" s="946">
        <f>+I448</f>
        <v>4.53</v>
      </c>
      <c r="E461" s="947" t="str">
        <f>VLOOKUP(C461,[50]BASICS!B:D,2,FALSE)</f>
        <v>Pa</v>
      </c>
      <c r="F461" s="1054">
        <f>+VLOOKUP(C461,[49]BASICS!B:E,3,FALSE)</f>
        <v>0</v>
      </c>
      <c r="G461" s="946"/>
      <c r="H461" s="1031"/>
      <c r="I461" s="948">
        <f>D461*F461</f>
        <v>0</v>
      </c>
    </row>
    <row r="462" spans="3:9" ht="15.75">
      <c r="C462" s="951" t="s">
        <v>918</v>
      </c>
      <c r="D462" s="946"/>
      <c r="E462" s="947"/>
      <c r="F462" s="1054"/>
      <c r="G462" s="946"/>
      <c r="H462" s="1031"/>
      <c r="I462" s="952">
        <f>SUM(I461)</f>
        <v>0</v>
      </c>
    </row>
    <row r="463" spans="3:9" ht="15.75">
      <c r="C463" s="951"/>
      <c r="D463" s="946"/>
      <c r="E463" s="947"/>
      <c r="F463" s="1054"/>
      <c r="G463" s="946"/>
      <c r="H463" s="1031"/>
      <c r="I463" s="952"/>
    </row>
    <row r="464" spans="3:9" ht="15.75">
      <c r="C464" s="956" t="s">
        <v>926</v>
      </c>
      <c r="D464" s="957"/>
      <c r="E464" s="958"/>
      <c r="F464" s="1069"/>
      <c r="G464" s="957"/>
      <c r="H464" s="1032"/>
      <c r="I464" s="959">
        <f>+I443</f>
        <v>878.4</v>
      </c>
    </row>
    <row r="465" spans="2:9" ht="15.75">
      <c r="C465" s="956" t="s">
        <v>927</v>
      </c>
      <c r="D465" s="957"/>
      <c r="E465" s="958"/>
      <c r="F465" s="1069"/>
      <c r="G465" s="957"/>
      <c r="H465" s="1032"/>
      <c r="I465" s="959">
        <f>+I448</f>
        <v>4.53</v>
      </c>
    </row>
    <row r="466" spans="2:9" ht="15.75">
      <c r="C466" s="956" t="s">
        <v>928</v>
      </c>
      <c r="D466" s="957"/>
      <c r="E466" s="958"/>
      <c r="F466" s="1069"/>
      <c r="G466" s="957"/>
      <c r="H466" s="1032"/>
      <c r="I466" s="959">
        <f>+I458</f>
        <v>48.45</v>
      </c>
    </row>
    <row r="467" spans="2:9" ht="15.75">
      <c r="C467" s="956" t="s">
        <v>929</v>
      </c>
      <c r="D467" s="957"/>
      <c r="E467" s="958"/>
      <c r="F467" s="1069"/>
      <c r="G467" s="957"/>
      <c r="H467" s="1032"/>
      <c r="I467" s="959">
        <f>+I462</f>
        <v>0</v>
      </c>
    </row>
    <row r="468" spans="2:9" ht="15.75">
      <c r="C468" s="949"/>
      <c r="D468" s="946"/>
      <c r="E468" s="947"/>
      <c r="F468" s="1054"/>
      <c r="G468" s="946"/>
      <c r="H468" s="1031"/>
      <c r="I468" s="948"/>
    </row>
    <row r="469" spans="2:9" ht="15.75">
      <c r="C469" s="949"/>
      <c r="D469" s="946"/>
      <c r="E469" s="947"/>
      <c r="F469" s="1054"/>
      <c r="G469" s="946"/>
      <c r="H469" s="1031"/>
      <c r="I469" s="948"/>
    </row>
    <row r="470" spans="2:9" ht="15.75">
      <c r="C470" s="951" t="s">
        <v>930</v>
      </c>
      <c r="D470" s="960"/>
      <c r="E470" s="943" t="str">
        <f>+E438</f>
        <v>M²</v>
      </c>
      <c r="F470" s="1070"/>
      <c r="G470" s="960"/>
      <c r="H470" s="1033"/>
      <c r="I470" s="952">
        <f>SUM(I464:I467)</f>
        <v>931.38</v>
      </c>
    </row>
    <row r="471" spans="2:9" ht="15.75">
      <c r="C471" s="949"/>
      <c r="D471" s="946"/>
      <c r="E471" s="947"/>
      <c r="F471" s="1054"/>
      <c r="G471" s="946"/>
      <c r="H471" s="1031"/>
      <c r="I471" s="948"/>
    </row>
    <row r="473" spans="2:9" ht="15.75">
      <c r="B473" s="1038">
        <v>4.5</v>
      </c>
      <c r="C473" s="937" t="str">
        <f>+'[49]LISTA VIAS Y PAISAJISMO'!B33</f>
        <v>Transporte de asfalto, distancia aproximada de 20.00 km</v>
      </c>
      <c r="D473" s="938"/>
      <c r="E473" s="962" t="str">
        <f>+'[49]LISTA VIAS Y PAISAJISMO'!D33</f>
        <v>M³/KM</v>
      </c>
      <c r="F473" s="1066"/>
      <c r="G473" s="938"/>
      <c r="H473" s="1029"/>
      <c r="I473" s="940">
        <f>I498</f>
        <v>8.25</v>
      </c>
    </row>
    <row r="474" spans="2:9" ht="15.75">
      <c r="C474" s="941" t="s">
        <v>908</v>
      </c>
      <c r="D474" s="942" t="s">
        <v>9</v>
      </c>
      <c r="E474" s="943" t="s">
        <v>10</v>
      </c>
      <c r="F474" s="1067" t="s">
        <v>909</v>
      </c>
      <c r="G474" s="942" t="s">
        <v>910</v>
      </c>
      <c r="H474" s="1030" t="s">
        <v>911</v>
      </c>
      <c r="I474" s="944" t="s">
        <v>912</v>
      </c>
    </row>
    <row r="475" spans="2:9" ht="15.75">
      <c r="C475" s="945" t="s">
        <v>913</v>
      </c>
      <c r="D475" s="946"/>
      <c r="E475" s="947"/>
      <c r="F475" s="1054"/>
      <c r="G475" s="946"/>
      <c r="H475" s="1031"/>
      <c r="I475" s="948"/>
    </row>
    <row r="476" spans="2:9" ht="15.75">
      <c r="C476" s="949" t="s">
        <v>924</v>
      </c>
      <c r="D476" s="946"/>
      <c r="E476" s="947" t="str">
        <f>+VLOOKUP(C476,[49]BASICS!B:E,2,FALSE)</f>
        <v>n/a</v>
      </c>
      <c r="F476" s="1068">
        <f>+VLOOKUP(C476,[49]BASICS!B:E,3,FALSE)</f>
        <v>0</v>
      </c>
      <c r="G476" s="946">
        <f>F476-(F476/1.18)</f>
        <v>0</v>
      </c>
      <c r="H476" s="1031"/>
      <c r="I476" s="948">
        <f>D476*F476</f>
        <v>0</v>
      </c>
    </row>
    <row r="477" spans="2:9" ht="15.75">
      <c r="C477" s="951" t="s">
        <v>918</v>
      </c>
      <c r="D477" s="946"/>
      <c r="E477" s="947"/>
      <c r="F477" s="1068"/>
      <c r="G477" s="946"/>
      <c r="H477" s="1031"/>
      <c r="I477" s="952">
        <f>SUM(I476:I476)</f>
        <v>0</v>
      </c>
    </row>
    <row r="478" spans="2:9" ht="15.75">
      <c r="C478" s="949"/>
      <c r="D478" s="946"/>
      <c r="E478" s="947"/>
      <c r="F478" s="1068"/>
      <c r="G478" s="946"/>
      <c r="H478" s="1031"/>
      <c r="I478" s="948"/>
    </row>
    <row r="479" spans="2:9" ht="15.75">
      <c r="C479" s="945" t="s">
        <v>919</v>
      </c>
      <c r="D479" s="946"/>
      <c r="E479" s="947"/>
      <c r="F479" s="1068"/>
      <c r="G479" s="946"/>
      <c r="H479" s="1031"/>
      <c r="I479" s="948"/>
    </row>
    <row r="480" spans="2:9" ht="15.75">
      <c r="C480" s="949" t="s">
        <v>924</v>
      </c>
      <c r="D480" s="953"/>
      <c r="E480" s="954" t="str">
        <f>+VLOOKUP(C480,[49]BASICS!B:E,2,FALSE)</f>
        <v>n/a</v>
      </c>
      <c r="F480" s="1068">
        <f>+VLOOKUP(C480,[49]BASICS!B:E,3,FALSE)</f>
        <v>0</v>
      </c>
      <c r="G480" s="946">
        <f>F480-(F480/1.18)</f>
        <v>0</v>
      </c>
      <c r="H480" s="1031"/>
      <c r="I480" s="948">
        <f>D480*F480</f>
        <v>0</v>
      </c>
    </row>
    <row r="481" spans="3:9" ht="15.75">
      <c r="C481" s="951" t="s">
        <v>918</v>
      </c>
      <c r="D481" s="946"/>
      <c r="E481" s="947"/>
      <c r="F481" s="1054"/>
      <c r="G481" s="946"/>
      <c r="H481" s="1031"/>
      <c r="I481" s="952">
        <f>SUM(I480:I480)</f>
        <v>0</v>
      </c>
    </row>
    <row r="482" spans="3:9" ht="15.75">
      <c r="C482" s="949"/>
      <c r="D482" s="946"/>
      <c r="E482" s="947"/>
      <c r="F482" s="1054"/>
      <c r="G482" s="946"/>
      <c r="H482" s="1031"/>
      <c r="I482" s="948"/>
    </row>
    <row r="483" spans="3:9" ht="15.75">
      <c r="C483" s="945" t="s">
        <v>923</v>
      </c>
      <c r="D483" s="946"/>
      <c r="E483" s="947"/>
      <c r="F483" s="1054"/>
      <c r="G483" s="946"/>
      <c r="H483" s="1031"/>
      <c r="I483" s="948"/>
    </row>
    <row r="484" spans="3:9" ht="15.75">
      <c r="C484" s="949" t="s">
        <v>952</v>
      </c>
      <c r="D484" s="946">
        <v>0.03</v>
      </c>
      <c r="E484" s="947" t="str">
        <f>+VLOOKUP(C484,[49]BASICS!B:E,2,FALSE)</f>
        <v>m3e</v>
      </c>
      <c r="F484" s="1068">
        <f>'Basic (equilibrio) (2)'!$D$676</f>
        <v>155</v>
      </c>
      <c r="G484" s="946">
        <f>F484-(F484/1.18)</f>
        <v>23.64</v>
      </c>
      <c r="H484" s="1031"/>
      <c r="I484" s="948">
        <f>D484*F484</f>
        <v>4.6500000000000004</v>
      </c>
    </row>
    <row r="485" spans="3:9" ht="15.75">
      <c r="C485" s="949" t="s">
        <v>953</v>
      </c>
      <c r="D485" s="946">
        <f>+D484</f>
        <v>0.03</v>
      </c>
      <c r="E485" s="947" t="str">
        <f>+VLOOKUP(C485,[49]BASICS!B:E,2,FALSE)</f>
        <v>m3e</v>
      </c>
      <c r="F485" s="1068">
        <f>'Basic (equilibrio) (2)'!$D$677</f>
        <v>120</v>
      </c>
      <c r="G485" s="946">
        <f>F485-(F485/1.18)</f>
        <v>18.309999999999999</v>
      </c>
      <c r="H485" s="1031"/>
      <c r="I485" s="948">
        <f>D485*F485</f>
        <v>3.6</v>
      </c>
    </row>
    <row r="486" spans="3:9" ht="15.75">
      <c r="C486" s="951" t="s">
        <v>918</v>
      </c>
      <c r="D486" s="946"/>
      <c r="E486" s="947"/>
      <c r="F486" s="1054"/>
      <c r="G486" s="946"/>
      <c r="H486" s="1031"/>
      <c r="I486" s="952">
        <f>SUM(I484:I485)</f>
        <v>8.25</v>
      </c>
    </row>
    <row r="487" spans="3:9" ht="15.75">
      <c r="C487" s="949"/>
      <c r="D487" s="946"/>
      <c r="E487" s="947"/>
      <c r="F487" s="1054"/>
      <c r="G487" s="946"/>
      <c r="H487" s="1031"/>
      <c r="I487" s="948"/>
    </row>
    <row r="488" spans="3:9" ht="15.75">
      <c r="C488" s="945" t="s">
        <v>925</v>
      </c>
      <c r="D488" s="946"/>
      <c r="E488" s="947"/>
      <c r="F488" s="1054"/>
      <c r="G488" s="946"/>
      <c r="H488" s="1031"/>
      <c r="I488" s="948"/>
    </row>
    <row r="489" spans="3:9" ht="15.75">
      <c r="C489" s="949" t="s">
        <v>924</v>
      </c>
      <c r="D489" s="946"/>
      <c r="E489" s="947" t="str">
        <f>VLOOKUP(C489,[50]BASICS!B:D,2,FALSE)</f>
        <v>n/a</v>
      </c>
      <c r="F489" s="1054">
        <f>+VLOOKUP(C489,[49]BASICS!B:E,3,FALSE)</f>
        <v>0</v>
      </c>
      <c r="G489" s="946"/>
      <c r="H489" s="1031"/>
      <c r="I489" s="948">
        <f>D489*F489</f>
        <v>0</v>
      </c>
    </row>
    <row r="490" spans="3:9" ht="15.75">
      <c r="C490" s="951" t="s">
        <v>918</v>
      </c>
      <c r="D490" s="946"/>
      <c r="E490" s="947"/>
      <c r="F490" s="1054"/>
      <c r="G490" s="946"/>
      <c r="H490" s="1031"/>
      <c r="I490" s="952">
        <f>SUM(I489)</f>
        <v>0</v>
      </c>
    </row>
    <row r="491" spans="3:9" ht="15.75">
      <c r="C491" s="951"/>
      <c r="D491" s="946"/>
      <c r="E491" s="947"/>
      <c r="F491" s="1054"/>
      <c r="G491" s="946"/>
      <c r="H491" s="1031"/>
      <c r="I491" s="952"/>
    </row>
    <row r="492" spans="3:9" ht="15.75">
      <c r="C492" s="956" t="s">
        <v>926</v>
      </c>
      <c r="D492" s="957"/>
      <c r="E492" s="958"/>
      <c r="F492" s="1069"/>
      <c r="G492" s="957"/>
      <c r="H492" s="1032"/>
      <c r="I492" s="959">
        <f>+I477</f>
        <v>0</v>
      </c>
    </row>
    <row r="493" spans="3:9" ht="15.75">
      <c r="C493" s="956" t="s">
        <v>927</v>
      </c>
      <c r="D493" s="957"/>
      <c r="E493" s="958"/>
      <c r="F493" s="1069"/>
      <c r="G493" s="957"/>
      <c r="H493" s="1032"/>
      <c r="I493" s="959">
        <f>+I481</f>
        <v>0</v>
      </c>
    </row>
    <row r="494" spans="3:9" ht="15.75">
      <c r="C494" s="956" t="s">
        <v>928</v>
      </c>
      <c r="D494" s="957"/>
      <c r="E494" s="958"/>
      <c r="F494" s="1069"/>
      <c r="G494" s="957"/>
      <c r="H494" s="1032"/>
      <c r="I494" s="959">
        <f>+I486</f>
        <v>8.25</v>
      </c>
    </row>
    <row r="495" spans="3:9" ht="15.75">
      <c r="C495" s="956" t="s">
        <v>929</v>
      </c>
      <c r="D495" s="957"/>
      <c r="E495" s="958"/>
      <c r="F495" s="1069"/>
      <c r="G495" s="957"/>
      <c r="H495" s="1032"/>
      <c r="I495" s="959">
        <f>+I490</f>
        <v>0</v>
      </c>
    </row>
    <row r="496" spans="3:9" ht="15.75">
      <c r="C496" s="949"/>
      <c r="D496" s="946"/>
      <c r="E496" s="947"/>
      <c r="F496" s="1054"/>
      <c r="G496" s="946"/>
      <c r="H496" s="1031"/>
      <c r="I496" s="948"/>
    </row>
    <row r="497" spans="2:9" ht="15.75">
      <c r="C497" s="949"/>
      <c r="D497" s="946"/>
      <c r="E497" s="947"/>
      <c r="F497" s="1054"/>
      <c r="G497" s="946"/>
      <c r="H497" s="1031"/>
      <c r="I497" s="948"/>
    </row>
    <row r="498" spans="2:9" ht="15.75">
      <c r="C498" s="951" t="s">
        <v>930</v>
      </c>
      <c r="D498" s="960"/>
      <c r="E498" s="943" t="str">
        <f>+E473</f>
        <v>M³/KM</v>
      </c>
      <c r="F498" s="1070"/>
      <c r="G498" s="960"/>
      <c r="H498" s="1033"/>
      <c r="I498" s="952">
        <f>SUM(I492:I495)</f>
        <v>8.25</v>
      </c>
    </row>
    <row r="499" spans="2:9" ht="15.75">
      <c r="C499" s="949"/>
      <c r="D499" s="946"/>
      <c r="E499" s="947"/>
      <c r="F499" s="1054"/>
      <c r="G499" s="946"/>
      <c r="H499" s="1031"/>
      <c r="I499" s="948"/>
    </row>
    <row r="500" spans="2:9" ht="15.75">
      <c r="B500" s="1038">
        <v>4.5999999999999996</v>
      </c>
      <c r="C500" s="937" t="str">
        <f>+Presupuesto!B35</f>
        <v>Construcción de acera</v>
      </c>
      <c r="D500" s="938"/>
      <c r="E500" s="962" t="str">
        <f>+'[49]LISTA VIAS Y PAISAJISMO'!D34</f>
        <v>M²</v>
      </c>
      <c r="F500" s="1066"/>
      <c r="G500" s="938"/>
      <c r="H500" s="1029"/>
      <c r="I500" s="940">
        <f>I529</f>
        <v>1589.22</v>
      </c>
    </row>
    <row r="501" spans="2:9" ht="15.75">
      <c r="C501" s="941" t="s">
        <v>908</v>
      </c>
      <c r="D501" s="942" t="s">
        <v>9</v>
      </c>
      <c r="E501" s="943" t="s">
        <v>10</v>
      </c>
      <c r="F501" s="1067" t="s">
        <v>909</v>
      </c>
      <c r="G501" s="942" t="s">
        <v>910</v>
      </c>
      <c r="H501" s="1030" t="s">
        <v>911</v>
      </c>
      <c r="I501" s="944" t="s">
        <v>912</v>
      </c>
    </row>
    <row r="502" spans="2:9" ht="15.75">
      <c r="C502" s="945" t="s">
        <v>913</v>
      </c>
      <c r="D502" s="946"/>
      <c r="E502" s="947"/>
      <c r="F502" s="1054"/>
      <c r="G502" s="946"/>
      <c r="H502" s="1031"/>
      <c r="I502" s="948"/>
    </row>
    <row r="503" spans="2:9" ht="15.75">
      <c r="C503" s="949" t="s">
        <v>956</v>
      </c>
      <c r="D503" s="946">
        <v>1</v>
      </c>
      <c r="E503" s="947" t="str">
        <f>+VLOOKUP(C503,[49]BASICS!B:E,2,FALSE)</f>
        <v>rollo</v>
      </c>
      <c r="F503" s="1068">
        <f>'Basic (equilibrio) (2)'!$D$330</f>
        <v>22294</v>
      </c>
      <c r="G503" s="946">
        <f>F503-(F503/1.18)</f>
        <v>3400.78</v>
      </c>
      <c r="H503" s="1031">
        <v>96</v>
      </c>
      <c r="I503" s="948">
        <f>D503*F503/H503</f>
        <v>232.23</v>
      </c>
    </row>
    <row r="504" spans="2:9" ht="15.75">
      <c r="C504" s="949" t="s">
        <v>957</v>
      </c>
      <c r="D504" s="946">
        <f>1*0.1*1.05</f>
        <v>0.11</v>
      </c>
      <c r="E504" s="947" t="str">
        <f>+VLOOKUP(C504,[49]BASICS!B:E,2,FALSE)</f>
        <v>m3</v>
      </c>
      <c r="F504" s="1068">
        <f>'Basic (equilibrio) (2)'!$D$178</f>
        <v>7900</v>
      </c>
      <c r="G504" s="946">
        <f>F504-(F504/1.18)</f>
        <v>1205.08</v>
      </c>
      <c r="H504" s="1031"/>
      <c r="I504" s="948">
        <f>D504*F504</f>
        <v>869</v>
      </c>
    </row>
    <row r="505" spans="2:9" ht="15.75">
      <c r="C505" s="949" t="s">
        <v>958</v>
      </c>
      <c r="D505" s="946">
        <v>0.02</v>
      </c>
      <c r="E505" s="947" t="str">
        <f>+VLOOKUP(C505,[49]BASICS!B:E,2,FALSE)</f>
        <v>m3</v>
      </c>
      <c r="F505" s="1068">
        <f>'Basic (equilibrio) (2)'!$D$309</f>
        <v>6820</v>
      </c>
      <c r="G505" s="946">
        <f>F505-(F505/1.18)</f>
        <v>1040.3399999999999</v>
      </c>
      <c r="H505" s="1031"/>
      <c r="I505" s="948">
        <f>D505*F505</f>
        <v>136.4</v>
      </c>
    </row>
    <row r="506" spans="2:9" ht="15.75">
      <c r="C506" s="949" t="s">
        <v>916</v>
      </c>
      <c r="D506" s="946">
        <v>0.18</v>
      </c>
      <c r="E506" s="947" t="str">
        <f>+VLOOKUP(C506,[49]BASICS!B:E,2,FALSE)</f>
        <v>pt</v>
      </c>
      <c r="F506" s="1068">
        <f>'Basic (equilibrio) (2)'!$D$194</f>
        <v>107.7</v>
      </c>
      <c r="G506" s="946">
        <f>F506-(F506/1.18)</f>
        <v>16.43</v>
      </c>
      <c r="H506" s="1031"/>
      <c r="I506" s="948">
        <f>D506*F506</f>
        <v>19.39</v>
      </c>
    </row>
    <row r="507" spans="2:9" ht="15.75">
      <c r="C507" s="951" t="s">
        <v>918</v>
      </c>
      <c r="D507" s="946"/>
      <c r="E507" s="947"/>
      <c r="F507" s="1068"/>
      <c r="G507" s="946"/>
      <c r="H507" s="1031"/>
      <c r="I507" s="952">
        <f>SUM(I503:I506)</f>
        <v>1257.02</v>
      </c>
    </row>
    <row r="508" spans="2:9" ht="15.75">
      <c r="C508" s="949"/>
      <c r="D508" s="946"/>
      <c r="E508" s="947"/>
      <c r="F508" s="1068"/>
      <c r="G508" s="946"/>
      <c r="H508" s="1031"/>
      <c r="I508" s="948"/>
    </row>
    <row r="509" spans="2:9" ht="15.75">
      <c r="C509" s="945" t="s">
        <v>919</v>
      </c>
      <c r="D509" s="946"/>
      <c r="E509" s="947"/>
      <c r="F509" s="1068"/>
      <c r="G509" s="946"/>
      <c r="H509" s="1031"/>
      <c r="I509" s="948"/>
    </row>
    <row r="510" spans="2:9" ht="15.75">
      <c r="C510" s="949" t="s">
        <v>959</v>
      </c>
      <c r="D510" s="953">
        <v>1</v>
      </c>
      <c r="E510" s="954" t="str">
        <f>+VLOOKUP(C510,[49]BASICS!B:E,2,FALSE)</f>
        <v>m2</v>
      </c>
      <c r="F510" s="1068">
        <f>'Basic (equilibrio) (2)'!$D$17</f>
        <v>50</v>
      </c>
      <c r="G510" s="946">
        <f>F510-(F510/1.18)</f>
        <v>7.63</v>
      </c>
      <c r="H510" s="1031"/>
      <c r="I510" s="948">
        <f>D510*F510</f>
        <v>50</v>
      </c>
    </row>
    <row r="511" spans="2:9" ht="31.5">
      <c r="C511" s="949" t="s">
        <v>960</v>
      </c>
      <c r="D511" s="953">
        <v>1</v>
      </c>
      <c r="E511" s="954" t="str">
        <f>+VLOOKUP(C511,[49]BASICS!B:E,2,FALSE)</f>
        <v>m2</v>
      </c>
      <c r="F511" s="1068">
        <f>'Basic (equilibrio) (2)'!$D$24</f>
        <v>196</v>
      </c>
      <c r="G511" s="946">
        <f>F511-(F511/1.18)</f>
        <v>29.9</v>
      </c>
      <c r="H511" s="1031"/>
      <c r="I511" s="948">
        <f>D511*F511</f>
        <v>196</v>
      </c>
    </row>
    <row r="512" spans="2:9" ht="15.75">
      <c r="C512" s="949" t="s">
        <v>961</v>
      </c>
      <c r="D512" s="953">
        <v>1</v>
      </c>
      <c r="E512" s="954" t="str">
        <f>+VLOOKUP(C512,[49]BASICS!B:E,2,FALSE)</f>
        <v>m2</v>
      </c>
      <c r="F512" s="1068">
        <f>+'Basic (equilibrio) (2)'!$D$47</f>
        <v>86.2</v>
      </c>
      <c r="G512" s="946">
        <f>F512-(F512/1.18)</f>
        <v>13.15</v>
      </c>
      <c r="H512" s="1031"/>
      <c r="I512" s="948">
        <f>D512*F512</f>
        <v>86.2</v>
      </c>
    </row>
    <row r="513" spans="3:9" ht="15.75">
      <c r="C513" s="951" t="s">
        <v>918</v>
      </c>
      <c r="D513" s="946"/>
      <c r="E513" s="947"/>
      <c r="F513" s="1054"/>
      <c r="G513" s="946"/>
      <c r="H513" s="1031"/>
      <c r="I513" s="952">
        <f>SUM(I510:I512)</f>
        <v>332.2</v>
      </c>
    </row>
    <row r="514" spans="3:9" ht="15.75">
      <c r="C514" s="949"/>
      <c r="D514" s="946"/>
      <c r="E514" s="947"/>
      <c r="F514" s="1054"/>
      <c r="G514" s="946"/>
      <c r="H514" s="1031"/>
      <c r="I514" s="948"/>
    </row>
    <row r="515" spans="3:9" ht="15.75">
      <c r="C515" s="945" t="s">
        <v>923</v>
      </c>
      <c r="D515" s="946"/>
      <c r="E515" s="947"/>
      <c r="F515" s="1054"/>
      <c r="G515" s="946"/>
      <c r="H515" s="1031"/>
      <c r="I515" s="948"/>
    </row>
    <row r="516" spans="3:9" ht="15.75">
      <c r="C516" s="949" t="s">
        <v>924</v>
      </c>
      <c r="D516" s="946"/>
      <c r="E516" s="947" t="str">
        <f>+VLOOKUP(C516,[49]BASICS!B:E,2,FALSE)</f>
        <v>n/a</v>
      </c>
      <c r="F516" s="1068">
        <f>+VLOOKUP(C516,[49]BASICS!B:E,3,FALSE)</f>
        <v>0</v>
      </c>
      <c r="G516" s="946">
        <f>F516-(F516/1.18)</f>
        <v>0</v>
      </c>
      <c r="H516" s="1031"/>
      <c r="I516" s="948">
        <f>D516*F516</f>
        <v>0</v>
      </c>
    </row>
    <row r="517" spans="3:9" ht="15.75">
      <c r="C517" s="951" t="s">
        <v>918</v>
      </c>
      <c r="D517" s="946"/>
      <c r="E517" s="947"/>
      <c r="F517" s="1054"/>
      <c r="G517" s="946"/>
      <c r="H517" s="1031"/>
      <c r="I517" s="952">
        <f>SUM(I516:I516)</f>
        <v>0</v>
      </c>
    </row>
    <row r="518" spans="3:9" ht="15.75">
      <c r="C518" s="949"/>
      <c r="D518" s="946"/>
      <c r="E518" s="947"/>
      <c r="F518" s="1054"/>
      <c r="G518" s="946"/>
      <c r="H518" s="1031"/>
      <c r="I518" s="948"/>
    </row>
    <row r="519" spans="3:9" ht="15.75">
      <c r="C519" s="945" t="s">
        <v>925</v>
      </c>
      <c r="D519" s="946"/>
      <c r="E519" s="947"/>
      <c r="F519" s="1054"/>
      <c r="G519" s="946"/>
      <c r="H519" s="1031"/>
      <c r="I519" s="948"/>
    </row>
    <row r="520" spans="3:9" ht="15.75">
      <c r="C520" s="949" t="s">
        <v>925</v>
      </c>
      <c r="D520" s="946">
        <f>+I513</f>
        <v>332.2</v>
      </c>
      <c r="E520" s="947" t="str">
        <f>VLOOKUP(C520,[50]BASICS!B:D,2,FALSE)</f>
        <v>Pa</v>
      </c>
      <c r="F520" s="1054">
        <f>+VLOOKUP(C520,[49]BASICS!B:E,3,FALSE)</f>
        <v>0</v>
      </c>
      <c r="G520" s="946"/>
      <c r="H520" s="1031"/>
      <c r="I520" s="948">
        <f>D520*F520</f>
        <v>0</v>
      </c>
    </row>
    <row r="521" spans="3:9" ht="15.75">
      <c r="C521" s="951" t="s">
        <v>918</v>
      </c>
      <c r="D521" s="946"/>
      <c r="E521" s="947"/>
      <c r="F521" s="1054"/>
      <c r="G521" s="946"/>
      <c r="H521" s="1031"/>
      <c r="I521" s="952">
        <f>SUM(I520)</f>
        <v>0</v>
      </c>
    </row>
    <row r="522" spans="3:9" ht="15.75">
      <c r="C522" s="951"/>
      <c r="D522" s="946"/>
      <c r="E522" s="947"/>
      <c r="F522" s="1054"/>
      <c r="G522" s="946"/>
      <c r="H522" s="1031"/>
      <c r="I522" s="952"/>
    </row>
    <row r="523" spans="3:9" ht="15.75">
      <c r="C523" s="956" t="s">
        <v>926</v>
      </c>
      <c r="D523" s="957"/>
      <c r="E523" s="958"/>
      <c r="F523" s="1069"/>
      <c r="G523" s="957"/>
      <c r="H523" s="1032"/>
      <c r="I523" s="959">
        <f>+I507</f>
        <v>1257.02</v>
      </c>
    </row>
    <row r="524" spans="3:9" ht="15.75">
      <c r="C524" s="956" t="s">
        <v>927</v>
      </c>
      <c r="D524" s="957"/>
      <c r="E524" s="958"/>
      <c r="F524" s="1069"/>
      <c r="G524" s="957"/>
      <c r="H524" s="1032"/>
      <c r="I524" s="959">
        <f>+I513</f>
        <v>332.2</v>
      </c>
    </row>
    <row r="525" spans="3:9" ht="15.75">
      <c r="C525" s="956" t="s">
        <v>928</v>
      </c>
      <c r="D525" s="957"/>
      <c r="E525" s="958"/>
      <c r="F525" s="1069"/>
      <c r="G525" s="957"/>
      <c r="H525" s="1032"/>
      <c r="I525" s="959">
        <f>+I517</f>
        <v>0</v>
      </c>
    </row>
    <row r="526" spans="3:9" ht="15.75">
      <c r="C526" s="956" t="s">
        <v>929</v>
      </c>
      <c r="D526" s="957"/>
      <c r="E526" s="958"/>
      <c r="F526" s="1069"/>
      <c r="G526" s="957"/>
      <c r="H526" s="1032"/>
      <c r="I526" s="959">
        <f>+I521</f>
        <v>0</v>
      </c>
    </row>
    <row r="527" spans="3:9" ht="15.75">
      <c r="C527" s="949"/>
      <c r="D527" s="946"/>
      <c r="E527" s="947"/>
      <c r="F527" s="1054"/>
      <c r="G527" s="946"/>
      <c r="H527" s="1031"/>
      <c r="I527" s="948"/>
    </row>
    <row r="528" spans="3:9" ht="15.75">
      <c r="C528" s="949"/>
      <c r="D528" s="946"/>
      <c r="E528" s="947"/>
      <c r="F528" s="1054"/>
      <c r="G528" s="946"/>
      <c r="H528" s="1031"/>
      <c r="I528" s="948"/>
    </row>
    <row r="529" spans="2:9" ht="15.75">
      <c r="C529" s="951" t="s">
        <v>930</v>
      </c>
      <c r="D529" s="960"/>
      <c r="E529" s="943" t="str">
        <f>+E500</f>
        <v>M²</v>
      </c>
      <c r="F529" s="1070"/>
      <c r="G529" s="960"/>
      <c r="H529" s="1033"/>
      <c r="I529" s="952">
        <f>SUM(I523:I526)</f>
        <v>1589.22</v>
      </c>
    </row>
    <row r="530" spans="2:9" ht="15.75">
      <c r="C530" s="949"/>
      <c r="D530" s="946"/>
      <c r="E530" s="947"/>
      <c r="F530" s="1054"/>
      <c r="G530" s="946"/>
      <c r="H530" s="1031"/>
      <c r="I530" s="948"/>
    </row>
    <row r="532" spans="2:9" ht="15.75">
      <c r="B532" s="1038">
        <v>4.7</v>
      </c>
      <c r="C532" s="937" t="str">
        <f>+Presupuesto!B36</f>
        <v>Construcción de contenes</v>
      </c>
      <c r="D532" s="938"/>
      <c r="E532" s="962" t="str">
        <f>+'[49]LISTA VIAS Y PAISAJISMO'!D35</f>
        <v>M</v>
      </c>
      <c r="F532" s="1066"/>
      <c r="G532" s="938"/>
      <c r="H532" s="1029"/>
      <c r="I532" s="940">
        <f>+I562</f>
        <v>1249.73</v>
      </c>
    </row>
    <row r="533" spans="2:9" ht="15.75">
      <c r="C533" s="941" t="s">
        <v>908</v>
      </c>
      <c r="D533" s="942" t="s">
        <v>9</v>
      </c>
      <c r="E533" s="943" t="s">
        <v>10</v>
      </c>
      <c r="F533" s="1067" t="s">
        <v>909</v>
      </c>
      <c r="G533" s="942" t="s">
        <v>910</v>
      </c>
      <c r="H533" s="1030" t="s">
        <v>911</v>
      </c>
      <c r="I533" s="944" t="s">
        <v>912</v>
      </c>
    </row>
    <row r="534" spans="2:9" ht="15.75">
      <c r="C534" s="945" t="s">
        <v>913</v>
      </c>
      <c r="D534" s="946"/>
      <c r="E534" s="947"/>
      <c r="F534" s="1054"/>
      <c r="G534" s="946"/>
      <c r="H534" s="1031"/>
      <c r="I534" s="948"/>
    </row>
    <row r="535" spans="2:9" ht="15.75">
      <c r="C535" s="949" t="s">
        <v>916</v>
      </c>
      <c r="D535" s="946">
        <v>12.1</v>
      </c>
      <c r="E535" s="947" t="str">
        <f>+VLOOKUP(C535,[49]BASICS!B:E,2,FALSE)</f>
        <v>pt</v>
      </c>
      <c r="F535" s="1068">
        <f>'Basic (equilibrio) (2)'!$D$328</f>
        <v>107.7</v>
      </c>
      <c r="G535" s="946">
        <f>F535-(F535/1.18)</f>
        <v>16.43</v>
      </c>
      <c r="H535" s="1031"/>
      <c r="I535" s="948">
        <f>D535*F535</f>
        <v>1303.17</v>
      </c>
    </row>
    <row r="536" spans="2:9" ht="15.75">
      <c r="C536" s="949" t="s">
        <v>957</v>
      </c>
      <c r="D536" s="946">
        <v>1.02</v>
      </c>
      <c r="E536" s="947" t="str">
        <f>+VLOOKUP(C536,[49]BASICS!B:E,2,FALSE)</f>
        <v>m3</v>
      </c>
      <c r="F536" s="1068">
        <f>'Basic (equilibrio) (2)'!$D$178</f>
        <v>7900</v>
      </c>
      <c r="G536" s="946">
        <f>F536-(F536/1.18)</f>
        <v>1205.08</v>
      </c>
      <c r="H536" s="1031"/>
      <c r="I536" s="948">
        <f>D536*F536</f>
        <v>8058</v>
      </c>
    </row>
    <row r="537" spans="2:9" ht="15.75">
      <c r="C537" s="949" t="s">
        <v>962</v>
      </c>
      <c r="D537" s="946">
        <v>0.1</v>
      </c>
      <c r="E537" s="947" t="str">
        <f>+VLOOKUP(C537,[49]BASICS!B:E,2,FALSE)</f>
        <v>m3</v>
      </c>
      <c r="F537" s="1068">
        <f>'Basic (equilibrio) (2)'!$D$306</f>
        <v>9560</v>
      </c>
      <c r="G537" s="946">
        <f>F537-(F537/1.18)</f>
        <v>1458.31</v>
      </c>
      <c r="H537" s="1031"/>
      <c r="I537" s="948">
        <f>D537*F537</f>
        <v>956</v>
      </c>
    </row>
    <row r="538" spans="2:9" ht="15.75">
      <c r="C538" s="949" t="s">
        <v>914</v>
      </c>
      <c r="D538" s="946">
        <v>5.5</v>
      </c>
      <c r="E538" s="947" t="str">
        <f>+VLOOKUP(C538,[49]BASICS!B:E,2,FALSE)</f>
        <v>lb</v>
      </c>
      <c r="F538" s="1068">
        <f>'Basic (equilibrio) (2)'!$D$326</f>
        <v>78.2</v>
      </c>
      <c r="G538" s="946">
        <f>F538-(F538/1.18)</f>
        <v>11.93</v>
      </c>
      <c r="H538" s="1031"/>
      <c r="I538" s="948">
        <f>D538*F538</f>
        <v>430.1</v>
      </c>
    </row>
    <row r="539" spans="2:9" ht="15.75">
      <c r="C539" s="951" t="s">
        <v>918</v>
      </c>
      <c r="D539" s="946"/>
      <c r="E539" s="947"/>
      <c r="F539" s="1068"/>
      <c r="G539" s="946"/>
      <c r="H539" s="1031"/>
      <c r="I539" s="952">
        <f>SUM(I535:I538)</f>
        <v>10747.27</v>
      </c>
    </row>
    <row r="540" spans="2:9" ht="15.75">
      <c r="C540" s="949"/>
      <c r="D540" s="946"/>
      <c r="E540" s="947"/>
      <c r="F540" s="1068"/>
      <c r="G540" s="946"/>
      <c r="H540" s="1031"/>
      <c r="I540" s="948"/>
    </row>
    <row r="541" spans="2:9" ht="15.75">
      <c r="C541" s="945" t="s">
        <v>919</v>
      </c>
      <c r="D541" s="946"/>
      <c r="E541" s="947"/>
      <c r="F541" s="1068"/>
      <c r="G541" s="946"/>
      <c r="H541" s="1031"/>
      <c r="I541" s="948"/>
    </row>
    <row r="542" spans="2:9" ht="15.75">
      <c r="C542" s="949" t="s">
        <v>963</v>
      </c>
      <c r="D542" s="953">
        <v>10</v>
      </c>
      <c r="E542" s="954" t="str">
        <f>+VLOOKUP(C542,[49]BASICS!B:E,2,FALSE)</f>
        <v>ml</v>
      </c>
      <c r="F542" s="1068">
        <f>'Basic (equilibrio) (2)'!$D$52</f>
        <v>150</v>
      </c>
      <c r="G542" s="946">
        <f>F542-(F542/1.18)</f>
        <v>22.88</v>
      </c>
      <c r="H542" s="1031"/>
      <c r="I542" s="948">
        <f>D542*F542</f>
        <v>1500</v>
      </c>
    </row>
    <row r="543" spans="2:9" ht="15.75">
      <c r="C543" s="949" t="s">
        <v>964</v>
      </c>
      <c r="D543" s="953">
        <v>10</v>
      </c>
      <c r="E543" s="954" t="str">
        <f>+VLOOKUP(C543,[49]BASICS!B:E,2,FALSE)</f>
        <v>ml</v>
      </c>
      <c r="F543" s="1068">
        <f>'Basic (equilibrio) (2)'!$D$53</f>
        <v>25</v>
      </c>
      <c r="G543" s="946">
        <f>F543-(F543/1.18)</f>
        <v>3.81</v>
      </c>
      <c r="H543" s="1031"/>
      <c r="I543" s="948">
        <f>D543*F543</f>
        <v>250</v>
      </c>
    </row>
    <row r="544" spans="2:9" ht="15.75">
      <c r="C544" s="951" t="s">
        <v>918</v>
      </c>
      <c r="D544" s="946"/>
      <c r="E544" s="947"/>
      <c r="F544" s="1054"/>
      <c r="G544" s="946"/>
      <c r="H544" s="1031"/>
      <c r="I544" s="952">
        <f>SUM(I542:I543)</f>
        <v>1750</v>
      </c>
    </row>
    <row r="545" spans="3:9" ht="15.75">
      <c r="C545" s="949"/>
      <c r="D545" s="946"/>
      <c r="E545" s="947"/>
      <c r="F545" s="1054"/>
      <c r="G545" s="946"/>
      <c r="H545" s="1031"/>
      <c r="I545" s="948"/>
    </row>
    <row r="546" spans="3:9" ht="15.75">
      <c r="C546" s="945" t="s">
        <v>923</v>
      </c>
      <c r="D546" s="946"/>
      <c r="E546" s="947"/>
      <c r="F546" s="1054"/>
      <c r="G546" s="946"/>
      <c r="H546" s="1031"/>
      <c r="I546" s="948"/>
    </row>
    <row r="547" spans="3:9" ht="15.75">
      <c r="C547" s="949" t="s">
        <v>924</v>
      </c>
      <c r="D547" s="946"/>
      <c r="E547" s="947" t="str">
        <f>+VLOOKUP(C547,[49]BASICS!B:E,2,FALSE)</f>
        <v>n/a</v>
      </c>
      <c r="F547" s="1068">
        <f>+VLOOKUP(C547,[49]BASICS!B:E,3,FALSE)</f>
        <v>0</v>
      </c>
      <c r="G547" s="946">
        <f>F547-(F547/1.18)</f>
        <v>0</v>
      </c>
      <c r="H547" s="1031"/>
      <c r="I547" s="948">
        <f>D547*F547</f>
        <v>0</v>
      </c>
    </row>
    <row r="548" spans="3:9" ht="15.75">
      <c r="C548" s="951" t="s">
        <v>918</v>
      </c>
      <c r="D548" s="946"/>
      <c r="E548" s="947"/>
      <c r="F548" s="1054"/>
      <c r="G548" s="946"/>
      <c r="H548" s="1031"/>
      <c r="I548" s="952">
        <f>SUM(I547:I547)</f>
        <v>0</v>
      </c>
    </row>
    <row r="549" spans="3:9" ht="15.75">
      <c r="C549" s="949"/>
      <c r="D549" s="946"/>
      <c r="E549" s="947"/>
      <c r="F549" s="1054"/>
      <c r="G549" s="946"/>
      <c r="H549" s="1031"/>
      <c r="I549" s="948"/>
    </row>
    <row r="550" spans="3:9" ht="15.75">
      <c r="C550" s="945" t="s">
        <v>925</v>
      </c>
      <c r="D550" s="946"/>
      <c r="E550" s="947"/>
      <c r="F550" s="1054"/>
      <c r="G550" s="946"/>
      <c r="H550" s="1031"/>
      <c r="I550" s="948"/>
    </row>
    <row r="551" spans="3:9" ht="15.75">
      <c r="C551" s="949" t="s">
        <v>925</v>
      </c>
      <c r="D551" s="946">
        <f>+I544</f>
        <v>1750</v>
      </c>
      <c r="E551" s="947" t="str">
        <f>VLOOKUP(C551,[50]BASICS!B:D,2,FALSE)</f>
        <v>Pa</v>
      </c>
      <c r="F551" s="1054">
        <f>+VLOOKUP(C551,[49]BASICS!B:E,3,FALSE)</f>
        <v>0</v>
      </c>
      <c r="G551" s="946"/>
      <c r="H551" s="1031"/>
      <c r="I551" s="948">
        <f>D551*F551</f>
        <v>0</v>
      </c>
    </row>
    <row r="552" spans="3:9" ht="15.75">
      <c r="C552" s="951" t="s">
        <v>918</v>
      </c>
      <c r="D552" s="946"/>
      <c r="E552" s="947"/>
      <c r="F552" s="1054"/>
      <c r="G552" s="946"/>
      <c r="H552" s="1031"/>
      <c r="I552" s="952">
        <f>SUM(I551)</f>
        <v>0</v>
      </c>
    </row>
    <row r="553" spans="3:9" ht="15.75">
      <c r="C553" s="951"/>
      <c r="D553" s="946"/>
      <c r="E553" s="947"/>
      <c r="F553" s="1054"/>
      <c r="G553" s="946"/>
      <c r="H553" s="1031"/>
      <c r="I553" s="952"/>
    </row>
    <row r="554" spans="3:9" ht="15.75">
      <c r="C554" s="956" t="s">
        <v>926</v>
      </c>
      <c r="D554" s="957"/>
      <c r="E554" s="958"/>
      <c r="F554" s="1069"/>
      <c r="G554" s="957"/>
      <c r="H554" s="1032"/>
      <c r="I554" s="959">
        <f>+I539</f>
        <v>10747.27</v>
      </c>
    </row>
    <row r="555" spans="3:9" ht="15.75">
      <c r="C555" s="956" t="s">
        <v>927</v>
      </c>
      <c r="D555" s="957"/>
      <c r="E555" s="958"/>
      <c r="F555" s="1069"/>
      <c r="G555" s="957"/>
      <c r="H555" s="1032"/>
      <c r="I555" s="959">
        <f>+I544</f>
        <v>1750</v>
      </c>
    </row>
    <row r="556" spans="3:9" ht="15.75">
      <c r="C556" s="956" t="s">
        <v>928</v>
      </c>
      <c r="D556" s="957"/>
      <c r="E556" s="958"/>
      <c r="F556" s="1069"/>
      <c r="G556" s="957"/>
      <c r="H556" s="1032"/>
      <c r="I556" s="959">
        <f>+I548</f>
        <v>0</v>
      </c>
    </row>
    <row r="557" spans="3:9" ht="15.75">
      <c r="C557" s="956" t="s">
        <v>929</v>
      </c>
      <c r="D557" s="957"/>
      <c r="E557" s="958"/>
      <c r="F557" s="1069"/>
      <c r="G557" s="957"/>
      <c r="H557" s="1032"/>
      <c r="I557" s="959">
        <f>+I552</f>
        <v>0</v>
      </c>
    </row>
    <row r="558" spans="3:9" ht="15.75">
      <c r="C558" s="949"/>
      <c r="D558" s="946"/>
      <c r="E558" s="947"/>
      <c r="F558" s="1054"/>
      <c r="G558" s="946"/>
      <c r="H558" s="1031"/>
      <c r="I558" s="948"/>
    </row>
    <row r="559" spans="3:9" ht="15.75">
      <c r="C559" s="949"/>
      <c r="D559" s="946"/>
      <c r="E559" s="947"/>
      <c r="F559" s="1054"/>
      <c r="G559" s="946"/>
      <c r="H559" s="1031"/>
      <c r="I559" s="948"/>
    </row>
    <row r="560" spans="3:9" ht="15.75">
      <c r="C560" s="951" t="s">
        <v>930</v>
      </c>
      <c r="D560" s="960"/>
      <c r="E560" s="943" t="s">
        <v>22</v>
      </c>
      <c r="F560" s="1070"/>
      <c r="G560" s="960"/>
      <c r="H560" s="1033"/>
      <c r="I560" s="952">
        <f>SUM(I554:I557)</f>
        <v>12497.27</v>
      </c>
    </row>
    <row r="561" spans="2:9" ht="15.75">
      <c r="C561" s="951"/>
      <c r="D561" s="960">
        <v>10</v>
      </c>
      <c r="E561" s="943" t="s">
        <v>965</v>
      </c>
      <c r="F561" s="1070"/>
      <c r="G561" s="960"/>
      <c r="H561" s="1033"/>
      <c r="I561" s="952"/>
    </row>
    <row r="562" spans="2:9" ht="15.75">
      <c r="C562" s="949"/>
      <c r="D562" s="946"/>
      <c r="E562" s="943" t="s">
        <v>15</v>
      </c>
      <c r="F562" s="1054"/>
      <c r="G562" s="946"/>
      <c r="H562" s="1031"/>
      <c r="I562" s="963">
        <f>+I560/D561</f>
        <v>1249.73</v>
      </c>
    </row>
    <row r="563" spans="2:9" ht="15.75">
      <c r="C563" s="949"/>
      <c r="D563" s="946"/>
      <c r="E563" s="943"/>
      <c r="F563" s="1054"/>
      <c r="G563" s="946"/>
      <c r="H563" s="1031"/>
      <c r="I563" s="948"/>
    </row>
    <row r="565" spans="2:9" ht="31.5">
      <c r="B565" s="1038">
        <v>5</v>
      </c>
      <c r="C565" s="937" t="str">
        <f>+'[49]LISTA VIAS Y PAISAJISMO'!B37</f>
        <v>Control y Manejo de Tránsito ( incluye uso de letreros, uso de de conos refractarios y hombres con banderolas)</v>
      </c>
      <c r="D565" s="938"/>
      <c r="E565" s="962" t="str">
        <f>+'[49]LISTA VIAS Y PAISAJISMO'!D37</f>
        <v>M</v>
      </c>
      <c r="F565" s="1066"/>
      <c r="G565" s="938"/>
      <c r="H565" s="1029"/>
      <c r="I565" s="940">
        <f>I589</f>
        <v>95</v>
      </c>
    </row>
    <row r="566" spans="2:9" ht="15.75">
      <c r="C566" s="941" t="s">
        <v>908</v>
      </c>
      <c r="D566" s="942" t="s">
        <v>9</v>
      </c>
      <c r="E566" s="943" t="s">
        <v>10</v>
      </c>
      <c r="F566" s="1067" t="s">
        <v>909</v>
      </c>
      <c r="G566" s="942" t="s">
        <v>910</v>
      </c>
      <c r="H566" s="1030" t="s">
        <v>911</v>
      </c>
      <c r="I566" s="944" t="s">
        <v>912</v>
      </c>
    </row>
    <row r="567" spans="2:9" ht="15.75">
      <c r="C567" s="945" t="s">
        <v>913</v>
      </c>
      <c r="D567" s="946"/>
      <c r="E567" s="947"/>
      <c r="F567" s="1054"/>
      <c r="G567" s="946"/>
      <c r="H567" s="1031"/>
      <c r="I567" s="948"/>
    </row>
    <row r="568" spans="2:9" ht="31.5">
      <c r="C568" s="949" t="s">
        <v>967</v>
      </c>
      <c r="D568" s="946">
        <v>1</v>
      </c>
      <c r="E568" s="947" t="str">
        <f>+VLOOKUP(C568,[49]BASICS!B:E,2,FALSE)</f>
        <v>m</v>
      </c>
      <c r="F568" s="1068">
        <f>'Basic (equilibrio) (2)'!$D$163</f>
        <v>95</v>
      </c>
      <c r="G568" s="946">
        <f>F568-(F568/1.18)</f>
        <v>14.49</v>
      </c>
      <c r="H568" s="1031"/>
      <c r="I568" s="948">
        <f>D568*F568</f>
        <v>95</v>
      </c>
    </row>
    <row r="569" spans="2:9" ht="15.75">
      <c r="C569" s="951" t="s">
        <v>918</v>
      </c>
      <c r="D569" s="946"/>
      <c r="E569" s="947"/>
      <c r="F569" s="1068"/>
      <c r="G569" s="946"/>
      <c r="H569" s="1031"/>
      <c r="I569" s="952">
        <f>SUM(I568:I568)</f>
        <v>95</v>
      </c>
    </row>
    <row r="570" spans="2:9" ht="15.75">
      <c r="C570" s="949"/>
      <c r="D570" s="946"/>
      <c r="E570" s="947"/>
      <c r="F570" s="1068"/>
      <c r="G570" s="946"/>
      <c r="H570" s="1031"/>
      <c r="I570" s="948"/>
    </row>
    <row r="571" spans="2:9" ht="15.75">
      <c r="C571" s="945" t="s">
        <v>919</v>
      </c>
      <c r="D571" s="946"/>
      <c r="E571" s="947"/>
      <c r="F571" s="1068"/>
      <c r="G571" s="946"/>
      <c r="H571" s="1031"/>
      <c r="I571" s="948"/>
    </row>
    <row r="572" spans="2:9" ht="15.75">
      <c r="C572" s="949" t="s">
        <v>924</v>
      </c>
      <c r="D572" s="953"/>
      <c r="E572" s="954" t="str">
        <f>+VLOOKUP(C572,[49]BASICS!B:E,2,FALSE)</f>
        <v>n/a</v>
      </c>
      <c r="F572" s="1068">
        <f>+VLOOKUP(C572,[49]BASICS!B:E,3,FALSE)</f>
        <v>0</v>
      </c>
      <c r="G572" s="946">
        <f>F572-(F572/1.18)</f>
        <v>0</v>
      </c>
      <c r="H572" s="1031"/>
      <c r="I572" s="948">
        <f>D572*F572</f>
        <v>0</v>
      </c>
    </row>
    <row r="573" spans="2:9" ht="15.75">
      <c r="C573" s="951" t="s">
        <v>918</v>
      </c>
      <c r="D573" s="946"/>
      <c r="E573" s="947"/>
      <c r="F573" s="1054"/>
      <c r="G573" s="946"/>
      <c r="H573" s="1031"/>
      <c r="I573" s="952">
        <f>SUM(I572:I572)</f>
        <v>0</v>
      </c>
    </row>
    <row r="574" spans="2:9" ht="15.75">
      <c r="C574" s="949"/>
      <c r="D574" s="946"/>
      <c r="E574" s="947"/>
      <c r="F574" s="1054"/>
      <c r="G574" s="946"/>
      <c r="H574" s="1031"/>
      <c r="I574" s="948"/>
    </row>
    <row r="575" spans="2:9" ht="15.75">
      <c r="C575" s="945" t="s">
        <v>923</v>
      </c>
      <c r="D575" s="946"/>
      <c r="E575" s="947"/>
      <c r="F575" s="1054"/>
      <c r="G575" s="946"/>
      <c r="H575" s="1031"/>
      <c r="I575" s="948"/>
    </row>
    <row r="576" spans="2:9" ht="15.75">
      <c r="C576" s="949" t="s">
        <v>924</v>
      </c>
      <c r="D576" s="946"/>
      <c r="E576" s="947" t="str">
        <f>+VLOOKUP(C576,[49]BASICS!B:E,2,FALSE)</f>
        <v>n/a</v>
      </c>
      <c r="F576" s="1068">
        <f>+VLOOKUP(C576,[49]BASICS!B:E,3,FALSE)</f>
        <v>0</v>
      </c>
      <c r="G576" s="946">
        <f>F576-(F576/1.18)</f>
        <v>0</v>
      </c>
      <c r="H576" s="1031"/>
      <c r="I576" s="948">
        <f>D576*F576</f>
        <v>0</v>
      </c>
    </row>
    <row r="577" spans="2:9" ht="15.75">
      <c r="C577" s="951" t="s">
        <v>918</v>
      </c>
      <c r="D577" s="946"/>
      <c r="E577" s="947"/>
      <c r="F577" s="1054"/>
      <c r="G577" s="946"/>
      <c r="H577" s="1031"/>
      <c r="I577" s="952">
        <f>SUM(I576:I576)</f>
        <v>0</v>
      </c>
    </row>
    <row r="578" spans="2:9" ht="15.75">
      <c r="C578" s="949"/>
      <c r="D578" s="946"/>
      <c r="E578" s="947"/>
      <c r="F578" s="1054"/>
      <c r="G578" s="946"/>
      <c r="H578" s="1031"/>
      <c r="I578" s="948"/>
    </row>
    <row r="579" spans="2:9" ht="15.75">
      <c r="C579" s="945" t="s">
        <v>925</v>
      </c>
      <c r="D579" s="946"/>
      <c r="E579" s="947"/>
      <c r="F579" s="1054"/>
      <c r="G579" s="946"/>
      <c r="H579" s="1031"/>
      <c r="I579" s="948"/>
    </row>
    <row r="580" spans="2:9" ht="15.75">
      <c r="C580" s="949" t="s">
        <v>924</v>
      </c>
      <c r="D580" s="946"/>
      <c r="E580" s="947" t="str">
        <f>VLOOKUP(C580,[50]BASICS!B:D,2,FALSE)</f>
        <v>n/a</v>
      </c>
      <c r="F580" s="1054">
        <f>+VLOOKUP(C580,[49]BASICS!B:E,3,FALSE)</f>
        <v>0</v>
      </c>
      <c r="G580" s="946"/>
      <c r="H580" s="1031"/>
      <c r="I580" s="948">
        <f>D580*F580</f>
        <v>0</v>
      </c>
    </row>
    <row r="581" spans="2:9" ht="15.75">
      <c r="C581" s="951" t="s">
        <v>918</v>
      </c>
      <c r="D581" s="946"/>
      <c r="E581" s="947"/>
      <c r="F581" s="1054"/>
      <c r="G581" s="946"/>
      <c r="H581" s="1031"/>
      <c r="I581" s="952">
        <f>SUM(I580)</f>
        <v>0</v>
      </c>
    </row>
    <row r="582" spans="2:9" ht="15.75">
      <c r="C582" s="951"/>
      <c r="D582" s="946"/>
      <c r="E582" s="947"/>
      <c r="F582" s="1054"/>
      <c r="G582" s="946"/>
      <c r="H582" s="1031"/>
      <c r="I582" s="952"/>
    </row>
    <row r="583" spans="2:9" ht="15.75">
      <c r="C583" s="956" t="s">
        <v>926</v>
      </c>
      <c r="D583" s="957"/>
      <c r="E583" s="958"/>
      <c r="F583" s="1069"/>
      <c r="G583" s="957"/>
      <c r="H583" s="1032"/>
      <c r="I583" s="959">
        <f>+I569</f>
        <v>95</v>
      </c>
    </row>
    <row r="584" spans="2:9" ht="15.75">
      <c r="C584" s="956" t="s">
        <v>927</v>
      </c>
      <c r="D584" s="957"/>
      <c r="E584" s="958"/>
      <c r="F584" s="1069"/>
      <c r="G584" s="957"/>
      <c r="H584" s="1032"/>
      <c r="I584" s="959">
        <f>+I573</f>
        <v>0</v>
      </c>
    </row>
    <row r="585" spans="2:9" ht="15.75">
      <c r="C585" s="956" t="s">
        <v>928</v>
      </c>
      <c r="D585" s="957"/>
      <c r="E585" s="958"/>
      <c r="F585" s="1069"/>
      <c r="G585" s="957"/>
      <c r="H585" s="1032"/>
      <c r="I585" s="959">
        <f>+I577</f>
        <v>0</v>
      </c>
    </row>
    <row r="586" spans="2:9" ht="15.75">
      <c r="C586" s="956" t="s">
        <v>929</v>
      </c>
      <c r="D586" s="957"/>
      <c r="E586" s="958"/>
      <c r="F586" s="1069"/>
      <c r="G586" s="957"/>
      <c r="H586" s="1032"/>
      <c r="I586" s="959">
        <f>+I581</f>
        <v>0</v>
      </c>
    </row>
    <row r="587" spans="2:9" ht="15.75">
      <c r="C587" s="949"/>
      <c r="D587" s="946"/>
      <c r="E587" s="947"/>
      <c r="F587" s="1054"/>
      <c r="G587" s="946"/>
      <c r="H587" s="1031"/>
      <c r="I587" s="948"/>
    </row>
    <row r="588" spans="2:9" ht="15.75">
      <c r="C588" s="949"/>
      <c r="D588" s="946"/>
      <c r="E588" s="947"/>
      <c r="F588" s="1054"/>
      <c r="G588" s="946"/>
      <c r="H588" s="1031"/>
      <c r="I588" s="948"/>
    </row>
    <row r="589" spans="2:9" ht="15.75">
      <c r="C589" s="951" t="s">
        <v>930</v>
      </c>
      <c r="D589" s="960"/>
      <c r="E589" s="943" t="str">
        <f>+E565</f>
        <v>M</v>
      </c>
      <c r="F589" s="1070"/>
      <c r="G589" s="960"/>
      <c r="H589" s="1033"/>
      <c r="I589" s="952">
        <f>SUM(I583:I586)</f>
        <v>95</v>
      </c>
    </row>
    <row r="590" spans="2:9" ht="15.75">
      <c r="C590" s="949"/>
      <c r="D590" s="946"/>
      <c r="E590" s="947"/>
      <c r="F590" s="1054"/>
      <c r="G590" s="946"/>
      <c r="H590" s="1031"/>
      <c r="I590" s="948"/>
    </row>
    <row r="592" spans="2:9" ht="15.75">
      <c r="B592" s="1038">
        <v>6</v>
      </c>
      <c r="C592" s="937" t="str">
        <f>+Presupuesto!B40</f>
        <v>Senalización, Manejo de Tránsito y Seguridad en la Vía</v>
      </c>
      <c r="D592" s="938"/>
      <c r="E592" s="962" t="str">
        <f>+'[49]LISTA VIAS Y PAISAJISMO'!D39</f>
        <v>M</v>
      </c>
      <c r="F592" s="1066"/>
      <c r="G592" s="938"/>
      <c r="H592" s="1029"/>
      <c r="I592" s="940">
        <f>I616</f>
        <v>130</v>
      </c>
    </row>
    <row r="593" spans="3:9" ht="15.75">
      <c r="C593" s="941" t="s">
        <v>908</v>
      </c>
      <c r="D593" s="942" t="s">
        <v>9</v>
      </c>
      <c r="E593" s="943" t="s">
        <v>10</v>
      </c>
      <c r="F593" s="1067" t="s">
        <v>909</v>
      </c>
      <c r="G593" s="942" t="s">
        <v>910</v>
      </c>
      <c r="H593" s="1030" t="s">
        <v>911</v>
      </c>
      <c r="I593" s="944" t="s">
        <v>912</v>
      </c>
    </row>
    <row r="594" spans="3:9" ht="15.75">
      <c r="C594" s="945" t="s">
        <v>913</v>
      </c>
      <c r="D594" s="946"/>
      <c r="E594" s="947"/>
      <c r="F594" s="1054"/>
      <c r="G594" s="946"/>
      <c r="H594" s="1031"/>
      <c r="I594" s="948"/>
    </row>
    <row r="595" spans="3:9" ht="63">
      <c r="C595" s="949" t="s">
        <v>968</v>
      </c>
      <c r="D595" s="946">
        <v>1</v>
      </c>
      <c r="E595" s="947" t="str">
        <f>+VLOOKUP(C595,[49]BASICS!B:E,2,FALSE)</f>
        <v>m</v>
      </c>
      <c r="F595" s="1068">
        <f>'Basic (equilibrio) (2)'!$D$164</f>
        <v>130</v>
      </c>
      <c r="G595" s="946">
        <f>F595-(F595/1.18)</f>
        <v>19.829999999999998</v>
      </c>
      <c r="H595" s="1031"/>
      <c r="I595" s="948">
        <f>D595*F595</f>
        <v>130</v>
      </c>
    </row>
    <row r="596" spans="3:9" ht="15.75">
      <c r="C596" s="951" t="s">
        <v>918</v>
      </c>
      <c r="D596" s="946"/>
      <c r="E596" s="947"/>
      <c r="F596" s="1068"/>
      <c r="G596" s="946"/>
      <c r="H596" s="1031"/>
      <c r="I596" s="952">
        <f>SUM(I595:I595)</f>
        <v>130</v>
      </c>
    </row>
    <row r="597" spans="3:9" ht="15.75">
      <c r="C597" s="949"/>
      <c r="D597" s="946"/>
      <c r="E597" s="947"/>
      <c r="F597" s="1068"/>
      <c r="G597" s="946"/>
      <c r="H597" s="1031"/>
      <c r="I597" s="948"/>
    </row>
    <row r="598" spans="3:9" ht="15.75">
      <c r="C598" s="945" t="s">
        <v>919</v>
      </c>
      <c r="D598" s="946"/>
      <c r="E598" s="947"/>
      <c r="F598" s="1068"/>
      <c r="G598" s="946"/>
      <c r="H598" s="1031"/>
      <c r="I598" s="948"/>
    </row>
    <row r="599" spans="3:9" ht="15.75">
      <c r="C599" s="949" t="s">
        <v>924</v>
      </c>
      <c r="D599" s="953"/>
      <c r="E599" s="954" t="str">
        <f>+VLOOKUP(C599,[49]BASICS!B:E,2,FALSE)</f>
        <v>n/a</v>
      </c>
      <c r="F599" s="1068">
        <f>+VLOOKUP(C599,[49]BASICS!B:E,3,FALSE)</f>
        <v>0</v>
      </c>
      <c r="G599" s="946">
        <f>F599-(F599/1.18)</f>
        <v>0</v>
      </c>
      <c r="H599" s="1031"/>
      <c r="I599" s="948">
        <f>D599*F599</f>
        <v>0</v>
      </c>
    </row>
    <row r="600" spans="3:9" ht="15.75">
      <c r="C600" s="951" t="s">
        <v>918</v>
      </c>
      <c r="D600" s="946"/>
      <c r="E600" s="947"/>
      <c r="F600" s="1054"/>
      <c r="G600" s="946"/>
      <c r="H600" s="1031"/>
      <c r="I600" s="952">
        <f>SUM(I599:I599)</f>
        <v>0</v>
      </c>
    </row>
    <row r="601" spans="3:9" ht="15.75">
      <c r="C601" s="949"/>
      <c r="D601" s="946"/>
      <c r="E601" s="947"/>
      <c r="F601" s="1054"/>
      <c r="G601" s="946"/>
      <c r="H601" s="1031"/>
      <c r="I601" s="948"/>
    </row>
    <row r="602" spans="3:9" ht="15.75">
      <c r="C602" s="945" t="s">
        <v>923</v>
      </c>
      <c r="D602" s="946"/>
      <c r="E602" s="947"/>
      <c r="F602" s="1054"/>
      <c r="G602" s="946"/>
      <c r="H602" s="1031"/>
      <c r="I602" s="948"/>
    </row>
    <row r="603" spans="3:9" ht="15.75">
      <c r="C603" s="949" t="s">
        <v>924</v>
      </c>
      <c r="D603" s="946"/>
      <c r="E603" s="947" t="str">
        <f>+VLOOKUP(C603,[49]BASICS!B:E,2,FALSE)</f>
        <v>n/a</v>
      </c>
      <c r="F603" s="1068">
        <f>+VLOOKUP(C603,[49]BASICS!B:E,3,FALSE)</f>
        <v>0</v>
      </c>
      <c r="G603" s="946">
        <f>F603-(F603/1.18)</f>
        <v>0</v>
      </c>
      <c r="H603" s="1031"/>
      <c r="I603" s="948">
        <f>D603*F603</f>
        <v>0</v>
      </c>
    </row>
    <row r="604" spans="3:9" ht="15.75">
      <c r="C604" s="951" t="s">
        <v>918</v>
      </c>
      <c r="D604" s="946"/>
      <c r="E604" s="947"/>
      <c r="F604" s="1054"/>
      <c r="G604" s="946"/>
      <c r="H604" s="1031"/>
      <c r="I604" s="952">
        <f>SUM(I603:I603)</f>
        <v>0</v>
      </c>
    </row>
    <row r="605" spans="3:9" ht="15.75">
      <c r="C605" s="949"/>
      <c r="D605" s="946"/>
      <c r="E605" s="947"/>
      <c r="F605" s="1054"/>
      <c r="G605" s="946"/>
      <c r="H605" s="1031"/>
      <c r="I605" s="948"/>
    </row>
    <row r="606" spans="3:9" ht="15.75">
      <c r="C606" s="945" t="s">
        <v>925</v>
      </c>
      <c r="D606" s="946"/>
      <c r="E606" s="947"/>
      <c r="F606" s="1054"/>
      <c r="G606" s="946"/>
      <c r="H606" s="1031"/>
      <c r="I606" s="948"/>
    </row>
    <row r="607" spans="3:9" ht="15.75">
      <c r="C607" s="949" t="s">
        <v>924</v>
      </c>
      <c r="D607" s="946"/>
      <c r="E607" s="947" t="str">
        <f>VLOOKUP(C607,[50]BASICS!B:D,2,FALSE)</f>
        <v>n/a</v>
      </c>
      <c r="F607" s="1054">
        <f>+VLOOKUP(C607,[49]BASICS!B:E,3,FALSE)</f>
        <v>0</v>
      </c>
      <c r="G607" s="946"/>
      <c r="H607" s="1031"/>
      <c r="I607" s="948">
        <f>D607*F607</f>
        <v>0</v>
      </c>
    </row>
    <row r="608" spans="3:9" ht="15.75">
      <c r="C608" s="951" t="s">
        <v>918</v>
      </c>
      <c r="D608" s="946"/>
      <c r="E608" s="947"/>
      <c r="F608" s="1054"/>
      <c r="G608" s="946"/>
      <c r="H608" s="1031"/>
      <c r="I608" s="952">
        <f>SUM(I607)</f>
        <v>0</v>
      </c>
    </row>
    <row r="609" spans="2:9" ht="15.75">
      <c r="C609" s="951"/>
      <c r="D609" s="946"/>
      <c r="E609" s="947"/>
      <c r="F609" s="1054"/>
      <c r="G609" s="946"/>
      <c r="H609" s="1031"/>
      <c r="I609" s="952"/>
    </row>
    <row r="610" spans="2:9" ht="15.75">
      <c r="C610" s="956" t="s">
        <v>926</v>
      </c>
      <c r="D610" s="957"/>
      <c r="E610" s="958"/>
      <c r="F610" s="1069"/>
      <c r="G610" s="957"/>
      <c r="H610" s="1032"/>
      <c r="I610" s="959">
        <f>+I596</f>
        <v>130</v>
      </c>
    </row>
    <row r="611" spans="2:9" ht="15.75">
      <c r="C611" s="956" t="s">
        <v>927</v>
      </c>
      <c r="D611" s="957"/>
      <c r="E611" s="958"/>
      <c r="F611" s="1069"/>
      <c r="G611" s="957"/>
      <c r="H611" s="1032"/>
      <c r="I611" s="959">
        <f>+I600</f>
        <v>0</v>
      </c>
    </row>
    <row r="612" spans="2:9" ht="15.75">
      <c r="C612" s="956" t="s">
        <v>928</v>
      </c>
      <c r="D612" s="957"/>
      <c r="E612" s="958"/>
      <c r="F612" s="1069"/>
      <c r="G612" s="957"/>
      <c r="H612" s="1032"/>
      <c r="I612" s="959">
        <f>+I604</f>
        <v>0</v>
      </c>
    </row>
    <row r="613" spans="2:9" ht="15.75">
      <c r="C613" s="956" t="s">
        <v>929</v>
      </c>
      <c r="D613" s="957"/>
      <c r="E613" s="958"/>
      <c r="F613" s="1069"/>
      <c r="G613" s="957"/>
      <c r="H613" s="1032"/>
      <c r="I613" s="959">
        <f>+I608</f>
        <v>0</v>
      </c>
    </row>
    <row r="614" spans="2:9" ht="15.75">
      <c r="C614" s="949"/>
      <c r="D614" s="946"/>
      <c r="E614" s="947"/>
      <c r="F614" s="1054"/>
      <c r="G614" s="946"/>
      <c r="H614" s="1031"/>
      <c r="I614" s="948"/>
    </row>
    <row r="615" spans="2:9" ht="15.75">
      <c r="C615" s="949"/>
      <c r="D615" s="946"/>
      <c r="E615" s="947"/>
      <c r="F615" s="1054"/>
      <c r="G615" s="946"/>
      <c r="H615" s="1031"/>
      <c r="I615" s="948"/>
    </row>
    <row r="616" spans="2:9" ht="15.75">
      <c r="C616" s="951" t="s">
        <v>930</v>
      </c>
      <c r="D616" s="960"/>
      <c r="E616" s="943" t="str">
        <f>+E592</f>
        <v>M</v>
      </c>
      <c r="F616" s="1070"/>
      <c r="G616" s="960"/>
      <c r="H616" s="1033"/>
      <c r="I616" s="952">
        <f>SUM(I610:I613)</f>
        <v>130</v>
      </c>
    </row>
    <row r="617" spans="2:9" ht="15.75">
      <c r="C617" s="949"/>
      <c r="D617" s="946"/>
      <c r="E617" s="947"/>
      <c r="F617" s="1054"/>
      <c r="G617" s="946"/>
      <c r="H617" s="1031"/>
      <c r="I617" s="948"/>
    </row>
    <row r="619" spans="2:9" ht="15.75">
      <c r="B619" s="1038">
        <v>7</v>
      </c>
      <c r="C619" s="937" t="str">
        <f>+'[49]LISTA VIAS Y PAISAJISMO'!B41</f>
        <v>Limpieza continua y final</v>
      </c>
      <c r="D619" s="938"/>
      <c r="E619" s="962" t="str">
        <f>+'[49]LISTA VIAS Y PAISAJISMO'!D41</f>
        <v>M</v>
      </c>
      <c r="F619" s="1066"/>
      <c r="G619" s="938"/>
      <c r="H619" s="1029"/>
      <c r="I619" s="940">
        <f>I647</f>
        <v>60.63</v>
      </c>
    </row>
    <row r="620" spans="2:9" ht="15.75">
      <c r="C620" s="941" t="s">
        <v>908</v>
      </c>
      <c r="D620" s="942" t="s">
        <v>9</v>
      </c>
      <c r="E620" s="943" t="s">
        <v>10</v>
      </c>
      <c r="F620" s="1067" t="s">
        <v>909</v>
      </c>
      <c r="G620" s="942" t="s">
        <v>910</v>
      </c>
      <c r="H620" s="1030" t="s">
        <v>911</v>
      </c>
      <c r="I620" s="944" t="s">
        <v>912</v>
      </c>
    </row>
    <row r="621" spans="2:9" ht="15.75">
      <c r="C621" s="945" t="s">
        <v>913</v>
      </c>
      <c r="D621" s="946"/>
      <c r="E621" s="947"/>
      <c r="F621" s="1054"/>
      <c r="G621" s="946"/>
      <c r="H621" s="1031"/>
      <c r="I621" s="948"/>
    </row>
    <row r="622" spans="2:9" ht="15.75">
      <c r="C622" s="964" t="s">
        <v>969</v>
      </c>
      <c r="D622" s="965">
        <v>4</v>
      </c>
      <c r="E622" s="947" t="str">
        <f>+VLOOKUP(C622,[49]BASICS!B:E,2,FALSE)</f>
        <v>und</v>
      </c>
      <c r="F622" s="1068">
        <f>'Basic (equilibrio) (2)'!$D$353</f>
        <v>253.9</v>
      </c>
      <c r="G622" s="946">
        <f>F622-(F622/1.18)</f>
        <v>38.729999999999997</v>
      </c>
      <c r="H622" s="1031">
        <v>700</v>
      </c>
      <c r="I622" s="948">
        <f>D622*F622/H622</f>
        <v>1.45</v>
      </c>
    </row>
    <row r="623" spans="2:9" ht="15.75">
      <c r="C623" s="964" t="s">
        <v>970</v>
      </c>
      <c r="D623" s="965">
        <v>4</v>
      </c>
      <c r="E623" s="947" t="str">
        <f>+VLOOKUP(C623,[49]BASICS!B:E,2,FALSE)</f>
        <v>und</v>
      </c>
      <c r="F623" s="1068">
        <f>'Basic (equilibrio) (2)'!$D$354</f>
        <v>7326.6</v>
      </c>
      <c r="G623" s="946">
        <f>F623-(F623/1.18)</f>
        <v>1117.6199999999999</v>
      </c>
      <c r="H623" s="1031">
        <v>700</v>
      </c>
      <c r="I623" s="948">
        <f t="shared" ref="I623:I625" si="6">D623*F623/H623</f>
        <v>41.87</v>
      </c>
    </row>
    <row r="624" spans="2:9" ht="15.75">
      <c r="C624" s="964" t="s">
        <v>971</v>
      </c>
      <c r="D624" s="965">
        <v>4</v>
      </c>
      <c r="E624" s="947" t="str">
        <f>+VLOOKUP(C624,[49]BASICS!B:E,2,FALSE)</f>
        <v>und</v>
      </c>
      <c r="F624" s="1068">
        <f>'Basic (equilibrio) (2)'!$D$355</f>
        <v>329.2</v>
      </c>
      <c r="G624" s="946">
        <f>F624-(F624/1.18)</f>
        <v>50.22</v>
      </c>
      <c r="H624" s="1031">
        <v>700</v>
      </c>
      <c r="I624" s="948">
        <f t="shared" si="6"/>
        <v>1.88</v>
      </c>
    </row>
    <row r="625" spans="3:9" ht="15.75">
      <c r="C625" s="964" t="s">
        <v>972</v>
      </c>
      <c r="D625" s="965">
        <v>4</v>
      </c>
      <c r="E625" s="947" t="str">
        <f>+VLOOKUP(C625,[49]BASICS!B:E,2,FALSE)</f>
        <v>und</v>
      </c>
      <c r="F625" s="1068">
        <f>'Basic (equilibrio) (2)'!$D$356</f>
        <v>1420</v>
      </c>
      <c r="G625" s="946">
        <f>F625-(F625/1.18)</f>
        <v>216.61</v>
      </c>
      <c r="H625" s="1031">
        <v>700</v>
      </c>
      <c r="I625" s="948">
        <f t="shared" si="6"/>
        <v>8.11</v>
      </c>
    </row>
    <row r="626" spans="3:9" ht="15.75">
      <c r="C626" s="951" t="s">
        <v>918</v>
      </c>
      <c r="D626" s="946"/>
      <c r="E626" s="947"/>
      <c r="F626" s="1068"/>
      <c r="G626" s="946"/>
      <c r="H626" s="1031"/>
      <c r="I626" s="952">
        <f>SUM(I622:I625)</f>
        <v>53.31</v>
      </c>
    </row>
    <row r="627" spans="3:9" ht="15.75">
      <c r="C627" s="949"/>
      <c r="D627" s="946"/>
      <c r="E627" s="947"/>
      <c r="F627" s="1068"/>
      <c r="G627" s="946"/>
      <c r="H627" s="1031"/>
      <c r="I627" s="948"/>
    </row>
    <row r="628" spans="3:9" ht="15.75">
      <c r="C628" s="945" t="s">
        <v>919</v>
      </c>
      <c r="D628" s="946"/>
      <c r="E628" s="947"/>
      <c r="F628" s="1068"/>
      <c r="G628" s="946"/>
      <c r="H628" s="1031"/>
      <c r="I628" s="948"/>
    </row>
    <row r="629" spans="3:9" ht="15.75">
      <c r="C629" s="949" t="s">
        <v>931</v>
      </c>
      <c r="D629" s="953">
        <v>4</v>
      </c>
      <c r="E629" s="954" t="str">
        <f>+VLOOKUP(C629,[49]BASICS!B:E,2,FALSE)</f>
        <v>dia</v>
      </c>
      <c r="F629" s="1068">
        <f>'Basic (equilibrio) (2)'!$D$14</f>
        <v>900</v>
      </c>
      <c r="G629" s="946">
        <f>F629-(F629/1.18)</f>
        <v>137.29</v>
      </c>
      <c r="H629" s="1031">
        <v>500</v>
      </c>
      <c r="I629" s="948">
        <f>D629*F629/H629</f>
        <v>7.2</v>
      </c>
    </row>
    <row r="630" spans="3:9" ht="15.75">
      <c r="C630" s="949" t="s">
        <v>973</v>
      </c>
      <c r="D630" s="953">
        <v>1</v>
      </c>
      <c r="E630" s="954" t="str">
        <f>+VLOOKUP(C630,[49]BASICS!B:E,2,FALSE)</f>
        <v>m2</v>
      </c>
      <c r="F630" s="1068">
        <f>'Basic (equilibrio) (2)'!$D$15</f>
        <v>120</v>
      </c>
      <c r="G630" s="946">
        <f>F630-(F630/1.18)</f>
        <v>18.309999999999999</v>
      </c>
      <c r="H630" s="1031">
        <v>1000</v>
      </c>
      <c r="I630" s="948">
        <f>D630*F630/H630</f>
        <v>0.12</v>
      </c>
    </row>
    <row r="631" spans="3:9" ht="15.75">
      <c r="C631" s="951" t="s">
        <v>918</v>
      </c>
      <c r="D631" s="946"/>
      <c r="E631" s="947"/>
      <c r="F631" s="1054"/>
      <c r="G631" s="946"/>
      <c r="H631" s="1031"/>
      <c r="I631" s="952">
        <f>SUM(I629:I630)</f>
        <v>7.32</v>
      </c>
    </row>
    <row r="632" spans="3:9" ht="15.75">
      <c r="C632" s="949"/>
      <c r="D632" s="946"/>
      <c r="E632" s="947"/>
      <c r="F632" s="1054"/>
      <c r="G632" s="946"/>
      <c r="H632" s="1031"/>
      <c r="I632" s="948"/>
    </row>
    <row r="633" spans="3:9" ht="15.75">
      <c r="C633" s="945" t="s">
        <v>923</v>
      </c>
      <c r="D633" s="946"/>
      <c r="E633" s="947"/>
      <c r="F633" s="1054"/>
      <c r="G633" s="946"/>
      <c r="H633" s="1031"/>
      <c r="I633" s="948"/>
    </row>
    <row r="634" spans="3:9" ht="15.75">
      <c r="C634" s="949" t="s">
        <v>924</v>
      </c>
      <c r="D634" s="946"/>
      <c r="E634" s="947" t="str">
        <f>+VLOOKUP(C634,[49]BASICS!B:E,2,FALSE)</f>
        <v>n/a</v>
      </c>
      <c r="F634" s="1068">
        <f>+VLOOKUP(C634,[49]BASICS!B:E,3,FALSE)</f>
        <v>0</v>
      </c>
      <c r="G634" s="946">
        <f>F634-(F634/1.18)</f>
        <v>0</v>
      </c>
      <c r="H634" s="1031"/>
      <c r="I634" s="948">
        <f>D634*F634</f>
        <v>0</v>
      </c>
    </row>
    <row r="635" spans="3:9" ht="15.75">
      <c r="C635" s="951" t="s">
        <v>918</v>
      </c>
      <c r="D635" s="946"/>
      <c r="E635" s="947"/>
      <c r="F635" s="1054"/>
      <c r="G635" s="946"/>
      <c r="H635" s="1031"/>
      <c r="I635" s="952">
        <f>SUM(I634:I634)</f>
        <v>0</v>
      </c>
    </row>
    <row r="636" spans="3:9" ht="15.75">
      <c r="C636" s="949"/>
      <c r="D636" s="946"/>
      <c r="E636" s="947"/>
      <c r="F636" s="1054"/>
      <c r="G636" s="946"/>
      <c r="H636" s="1031"/>
      <c r="I636" s="948"/>
    </row>
    <row r="637" spans="3:9" ht="15.75">
      <c r="C637" s="945" t="s">
        <v>925</v>
      </c>
      <c r="D637" s="946"/>
      <c r="E637" s="947"/>
      <c r="F637" s="1054"/>
      <c r="G637" s="946"/>
      <c r="H637" s="1031"/>
      <c r="I637" s="948"/>
    </row>
    <row r="638" spans="3:9" ht="15.75">
      <c r="C638" s="949" t="s">
        <v>924</v>
      </c>
      <c r="D638" s="946"/>
      <c r="E638" s="947" t="str">
        <f>VLOOKUP(C638,[50]BASICS!B:D,2,FALSE)</f>
        <v>n/a</v>
      </c>
      <c r="F638" s="1054">
        <f>+VLOOKUP(C638,[49]BASICS!B:E,3,FALSE)</f>
        <v>0</v>
      </c>
      <c r="G638" s="946"/>
      <c r="H638" s="1031"/>
      <c r="I638" s="948">
        <f>D638*F638</f>
        <v>0</v>
      </c>
    </row>
    <row r="639" spans="3:9" ht="15.75">
      <c r="C639" s="951" t="s">
        <v>918</v>
      </c>
      <c r="D639" s="946"/>
      <c r="E639" s="947"/>
      <c r="F639" s="1054"/>
      <c r="G639" s="946"/>
      <c r="H639" s="1031"/>
      <c r="I639" s="952">
        <f>SUM(I638)</f>
        <v>0</v>
      </c>
    </row>
    <row r="640" spans="3:9" ht="15.75">
      <c r="C640" s="951"/>
      <c r="D640" s="946"/>
      <c r="E640" s="947"/>
      <c r="F640" s="1054"/>
      <c r="G640" s="946"/>
      <c r="H640" s="1031"/>
      <c r="I640" s="952"/>
    </row>
    <row r="641" spans="2:9" ht="15.75">
      <c r="C641" s="956" t="s">
        <v>926</v>
      </c>
      <c r="D641" s="957"/>
      <c r="E641" s="958"/>
      <c r="F641" s="1069"/>
      <c r="G641" s="957"/>
      <c r="H641" s="1032"/>
      <c r="I641" s="959">
        <f>+I626</f>
        <v>53.31</v>
      </c>
    </row>
    <row r="642" spans="2:9" ht="15.75">
      <c r="C642" s="956" t="s">
        <v>927</v>
      </c>
      <c r="D642" s="957"/>
      <c r="E642" s="958"/>
      <c r="F642" s="1069"/>
      <c r="G642" s="957"/>
      <c r="H642" s="1032"/>
      <c r="I642" s="959">
        <f>+I631</f>
        <v>7.32</v>
      </c>
    </row>
    <row r="643" spans="2:9" ht="15.75">
      <c r="C643" s="956" t="s">
        <v>928</v>
      </c>
      <c r="D643" s="957"/>
      <c r="E643" s="958"/>
      <c r="F643" s="1069"/>
      <c r="G643" s="957"/>
      <c r="H643" s="1032"/>
      <c r="I643" s="959">
        <f>+I635</f>
        <v>0</v>
      </c>
    </row>
    <row r="644" spans="2:9" ht="15.75">
      <c r="C644" s="956" t="s">
        <v>929</v>
      </c>
      <c r="D644" s="957"/>
      <c r="E644" s="958"/>
      <c r="F644" s="1069"/>
      <c r="G644" s="957"/>
      <c r="H644" s="1032"/>
      <c r="I644" s="959">
        <f>+I639</f>
        <v>0</v>
      </c>
    </row>
    <row r="645" spans="2:9" ht="15.75">
      <c r="C645" s="949"/>
      <c r="D645" s="946"/>
      <c r="E645" s="947"/>
      <c r="F645" s="1054"/>
      <c r="G645" s="946"/>
      <c r="H645" s="1031"/>
      <c r="I645" s="948"/>
    </row>
    <row r="646" spans="2:9" ht="15.75">
      <c r="C646" s="949"/>
      <c r="D646" s="946"/>
      <c r="E646" s="947"/>
      <c r="F646" s="1054"/>
      <c r="G646" s="946"/>
      <c r="H646" s="1031"/>
      <c r="I646" s="948"/>
    </row>
    <row r="647" spans="2:9" ht="15.75">
      <c r="C647" s="951" t="s">
        <v>930</v>
      </c>
      <c r="D647" s="960"/>
      <c r="E647" s="943" t="str">
        <f>+E619</f>
        <v>M</v>
      </c>
      <c r="F647" s="1070"/>
      <c r="G647" s="960"/>
      <c r="H647" s="1033"/>
      <c r="I647" s="952">
        <f>SUM(I641:I644)</f>
        <v>60.63</v>
      </c>
    </row>
    <row r="648" spans="2:9" ht="15.75">
      <c r="C648" s="949"/>
      <c r="D648" s="946"/>
      <c r="E648" s="947"/>
      <c r="F648" s="1054"/>
      <c r="G648" s="946"/>
      <c r="H648" s="1031"/>
      <c r="I648" s="948"/>
    </row>
    <row r="650" spans="2:9" ht="18.75" customHeight="1">
      <c r="B650" s="1435" t="s">
        <v>1517</v>
      </c>
      <c r="C650" s="1435"/>
      <c r="D650" s="1435"/>
      <c r="E650" s="1435"/>
      <c r="F650" s="1435"/>
      <c r="G650" s="1435"/>
      <c r="H650" s="1435"/>
      <c r="I650" s="1436"/>
    </row>
    <row r="652" spans="2:9" ht="15.75">
      <c r="B652" s="1038">
        <v>1.1000000000000001</v>
      </c>
      <c r="C652" s="937" t="str">
        <f>+'[49]LISTA VIAS Y PAISAJISMO'!B46</f>
        <v>Postes de aluminio, 35´ 500 dam (para trafo)</v>
      </c>
      <c r="D652" s="938"/>
      <c r="E652" s="962" t="str">
        <f>+'[49]LISTA VIAS Y PAISAJISMO'!D46</f>
        <v>UD</v>
      </c>
      <c r="F652" s="1066"/>
      <c r="G652" s="938"/>
      <c r="H652" s="1029"/>
      <c r="I652" s="940">
        <f>I676</f>
        <v>46787</v>
      </c>
    </row>
    <row r="653" spans="2:9" ht="15.75">
      <c r="C653" s="941" t="s">
        <v>908</v>
      </c>
      <c r="D653" s="942" t="s">
        <v>9</v>
      </c>
      <c r="E653" s="943" t="s">
        <v>10</v>
      </c>
      <c r="F653" s="1067" t="s">
        <v>909</v>
      </c>
      <c r="G653" s="942" t="s">
        <v>910</v>
      </c>
      <c r="H653" s="1030" t="s">
        <v>911</v>
      </c>
      <c r="I653" s="944" t="s">
        <v>912</v>
      </c>
    </row>
    <row r="654" spans="2:9" ht="15.75">
      <c r="C654" s="945" t="s">
        <v>913</v>
      </c>
      <c r="D654" s="946"/>
      <c r="E654" s="947"/>
      <c r="F654" s="1054"/>
      <c r="G654" s="946"/>
      <c r="H654" s="1031"/>
      <c r="I654" s="948"/>
    </row>
    <row r="655" spans="2:9" ht="15.75">
      <c r="C655" s="964" t="s">
        <v>974</v>
      </c>
      <c r="D655" s="965">
        <v>1</v>
      </c>
      <c r="E655" s="947" t="str">
        <f>+VLOOKUP(C655,[49]BASICS!B:E,2,FALSE)</f>
        <v>und</v>
      </c>
      <c r="F655" s="1068">
        <f>'Basic (equilibrio) (2)'!$D$357</f>
        <v>46787</v>
      </c>
      <c r="G655" s="946">
        <f>F655-(F655/1.18)</f>
        <v>7137</v>
      </c>
      <c r="H655" s="1031"/>
      <c r="I655" s="948">
        <f>D655*F655</f>
        <v>46787</v>
      </c>
    </row>
    <row r="656" spans="2:9" ht="15.75">
      <c r="C656" s="951" t="s">
        <v>918</v>
      </c>
      <c r="D656" s="946"/>
      <c r="E656" s="947"/>
      <c r="F656" s="1068"/>
      <c r="G656" s="946"/>
      <c r="H656" s="1031"/>
      <c r="I656" s="952">
        <f>SUM(I655:I655)</f>
        <v>46787</v>
      </c>
    </row>
    <row r="657" spans="3:12" ht="15.75">
      <c r="C657" s="949"/>
      <c r="D657" s="946"/>
      <c r="E657" s="947"/>
      <c r="F657" s="1068"/>
      <c r="G657" s="946"/>
      <c r="H657" s="1031"/>
      <c r="I657" s="948"/>
    </row>
    <row r="658" spans="3:12" ht="15.75">
      <c r="C658" s="945" t="s">
        <v>919</v>
      </c>
      <c r="D658" s="946"/>
      <c r="E658" s="947"/>
      <c r="F658" s="1068"/>
      <c r="G658" s="946"/>
      <c r="H658" s="1031"/>
      <c r="I658" s="948"/>
    </row>
    <row r="659" spans="3:12" ht="15.75">
      <c r="C659" s="949" t="s">
        <v>924</v>
      </c>
      <c r="D659" s="953"/>
      <c r="E659" s="954" t="str">
        <f>+VLOOKUP(C659,[49]BASICS!B:E,2,FALSE)</f>
        <v>n/a</v>
      </c>
      <c r="F659" s="1068">
        <f>+VLOOKUP(C659,[49]BASICS!B:E,3,FALSE)</f>
        <v>0</v>
      </c>
      <c r="G659" s="946">
        <f>F659-(F659/1.18)</f>
        <v>0</v>
      </c>
      <c r="H659" s="1031"/>
      <c r="I659" s="948">
        <f>D659*F659</f>
        <v>0</v>
      </c>
    </row>
    <row r="660" spans="3:12" ht="15.75">
      <c r="C660" s="951" t="s">
        <v>918</v>
      </c>
      <c r="D660" s="946"/>
      <c r="E660" s="947"/>
      <c r="F660" s="1054"/>
      <c r="G660" s="946"/>
      <c r="H660" s="1031"/>
      <c r="I660" s="952">
        <f>SUM(I659:I659)</f>
        <v>0</v>
      </c>
    </row>
    <row r="661" spans="3:12" ht="15.75">
      <c r="C661" s="949"/>
      <c r="D661" s="946"/>
      <c r="E661" s="947"/>
      <c r="F661" s="1054"/>
      <c r="G661" s="946"/>
      <c r="H661" s="1031"/>
      <c r="I661" s="948"/>
      <c r="L661">
        <f>18100*1.18</f>
        <v>21358</v>
      </c>
    </row>
    <row r="662" spans="3:12" ht="15.75">
      <c r="C662" s="945" t="s">
        <v>923</v>
      </c>
      <c r="D662" s="946"/>
      <c r="E662" s="947"/>
      <c r="F662" s="1054"/>
      <c r="G662" s="946"/>
      <c r="H662" s="1031"/>
      <c r="I662" s="948"/>
    </row>
    <row r="663" spans="3:12" ht="15.75">
      <c r="C663" s="949" t="s">
        <v>924</v>
      </c>
      <c r="D663" s="946"/>
      <c r="E663" s="947" t="str">
        <f>+VLOOKUP(C663,[49]BASICS!B:E,2,FALSE)</f>
        <v>n/a</v>
      </c>
      <c r="F663" s="1068">
        <f>+VLOOKUP(C663,[49]BASICS!B:E,3,FALSE)</f>
        <v>0</v>
      </c>
      <c r="G663" s="946">
        <f>F663-(F663/1.18)</f>
        <v>0</v>
      </c>
      <c r="H663" s="1031"/>
      <c r="I663" s="948">
        <f>D663*F663</f>
        <v>0</v>
      </c>
    </row>
    <row r="664" spans="3:12" ht="15.75">
      <c r="C664" s="951" t="s">
        <v>918</v>
      </c>
      <c r="D664" s="946"/>
      <c r="E664" s="947"/>
      <c r="F664" s="1054"/>
      <c r="G664" s="946"/>
      <c r="H664" s="1031"/>
      <c r="I664" s="952">
        <f>SUM(I663:I663)</f>
        <v>0</v>
      </c>
    </row>
    <row r="665" spans="3:12" ht="15.75">
      <c r="C665" s="949"/>
      <c r="D665" s="946"/>
      <c r="E665" s="947"/>
      <c r="F665" s="1054"/>
      <c r="G665" s="946"/>
      <c r="H665" s="1031"/>
      <c r="I665" s="948"/>
    </row>
    <row r="666" spans="3:12" ht="15.75">
      <c r="C666" s="945" t="s">
        <v>925</v>
      </c>
      <c r="D666" s="946"/>
      <c r="E666" s="947"/>
      <c r="F666" s="1054"/>
      <c r="G666" s="946"/>
      <c r="H666" s="1031"/>
      <c r="I666" s="948"/>
    </row>
    <row r="667" spans="3:12" ht="15.75">
      <c r="C667" s="949" t="s">
        <v>924</v>
      </c>
      <c r="D667" s="946"/>
      <c r="E667" s="947" t="str">
        <f>VLOOKUP(C667,[50]BASICS!B:D,2,FALSE)</f>
        <v>n/a</v>
      </c>
      <c r="F667" s="1054">
        <f>+VLOOKUP(C667,[49]BASICS!B:E,3,FALSE)</f>
        <v>0</v>
      </c>
      <c r="G667" s="946"/>
      <c r="H667" s="1031"/>
      <c r="I667" s="948">
        <f>D667*F667</f>
        <v>0</v>
      </c>
    </row>
    <row r="668" spans="3:12" ht="15.75">
      <c r="C668" s="951" t="s">
        <v>918</v>
      </c>
      <c r="D668" s="946"/>
      <c r="E668" s="947"/>
      <c r="F668" s="1054"/>
      <c r="G668" s="946"/>
      <c r="H668" s="1031"/>
      <c r="I668" s="952">
        <f>SUM(I667)</f>
        <v>0</v>
      </c>
    </row>
    <row r="669" spans="3:12" ht="15.75">
      <c r="C669" s="951"/>
      <c r="D669" s="946"/>
      <c r="E669" s="947"/>
      <c r="F669" s="1054"/>
      <c r="G669" s="946"/>
      <c r="H669" s="1031"/>
      <c r="I669" s="952"/>
    </row>
    <row r="670" spans="3:12" ht="15.75">
      <c r="C670" s="956" t="s">
        <v>926</v>
      </c>
      <c r="D670" s="957"/>
      <c r="E670" s="958"/>
      <c r="F670" s="1069"/>
      <c r="G670" s="957"/>
      <c r="H670" s="1032"/>
      <c r="I670" s="959">
        <f>+I656</f>
        <v>46787</v>
      </c>
    </row>
    <row r="671" spans="3:12" ht="15.75">
      <c r="C671" s="956" t="s">
        <v>927</v>
      </c>
      <c r="D671" s="957"/>
      <c r="E671" s="958"/>
      <c r="F671" s="1069"/>
      <c r="G671" s="957"/>
      <c r="H671" s="1032"/>
      <c r="I671" s="959">
        <f>+I660</f>
        <v>0</v>
      </c>
    </row>
    <row r="672" spans="3:12" ht="15.75">
      <c r="C672" s="956" t="s">
        <v>928</v>
      </c>
      <c r="D672" s="957"/>
      <c r="E672" s="958"/>
      <c r="F672" s="1069"/>
      <c r="G672" s="957"/>
      <c r="H672" s="1032"/>
      <c r="I672" s="959">
        <f>+I664</f>
        <v>0</v>
      </c>
    </row>
    <row r="673" spans="2:9" ht="15.75">
      <c r="C673" s="956" t="s">
        <v>929</v>
      </c>
      <c r="D673" s="957"/>
      <c r="E673" s="958"/>
      <c r="F673" s="1069"/>
      <c r="G673" s="957"/>
      <c r="H673" s="1032"/>
      <c r="I673" s="959">
        <f>+I668</f>
        <v>0</v>
      </c>
    </row>
    <row r="674" spans="2:9" ht="15.75">
      <c r="C674" s="949"/>
      <c r="D674" s="946"/>
      <c r="E674" s="947"/>
      <c r="F674" s="1054"/>
      <c r="G674" s="946"/>
      <c r="H674" s="1031"/>
      <c r="I674" s="948"/>
    </row>
    <row r="675" spans="2:9" ht="15.75">
      <c r="C675" s="949"/>
      <c r="D675" s="946"/>
      <c r="E675" s="947"/>
      <c r="F675" s="1054"/>
      <c r="G675" s="946"/>
      <c r="H675" s="1031"/>
      <c r="I675" s="948"/>
    </row>
    <row r="676" spans="2:9" ht="15.75">
      <c r="C676" s="951" t="s">
        <v>930</v>
      </c>
      <c r="D676" s="960"/>
      <c r="E676" s="943" t="str">
        <f>+E652</f>
        <v>UD</v>
      </c>
      <c r="F676" s="1070"/>
      <c r="G676" s="960"/>
      <c r="H676" s="1033"/>
      <c r="I676" s="952">
        <f>SUM(I670:I673)</f>
        <v>46787</v>
      </c>
    </row>
    <row r="677" spans="2:9" ht="15.75">
      <c r="C677" s="949"/>
      <c r="D677" s="946"/>
      <c r="E677" s="947"/>
      <c r="F677" s="1054"/>
      <c r="G677" s="946"/>
      <c r="H677" s="1031"/>
      <c r="I677" s="948"/>
    </row>
    <row r="679" spans="2:9" ht="15.75">
      <c r="B679" s="1038">
        <v>1.2</v>
      </c>
      <c r="C679" s="937" t="str">
        <f>+'[49]LISTA VIAS Y PAISAJISMO'!B47</f>
        <v xml:space="preserve">Postes de aluminio, 30´ 300 dam </v>
      </c>
      <c r="D679" s="938"/>
      <c r="E679" s="962" t="str">
        <f>+'[49]LISTA VIAS Y PAISAJISMO'!D47</f>
        <v>UD</v>
      </c>
      <c r="F679" s="1066"/>
      <c r="G679" s="938"/>
      <c r="H679" s="1029"/>
      <c r="I679" s="940">
        <f>I703</f>
        <v>29079.9</v>
      </c>
    </row>
    <row r="680" spans="2:9" ht="15.75">
      <c r="C680" s="941" t="s">
        <v>908</v>
      </c>
      <c r="D680" s="942" t="s">
        <v>9</v>
      </c>
      <c r="E680" s="943" t="s">
        <v>10</v>
      </c>
      <c r="F680" s="1067" t="s">
        <v>909</v>
      </c>
      <c r="G680" s="942" t="s">
        <v>910</v>
      </c>
      <c r="H680" s="1030" t="s">
        <v>911</v>
      </c>
      <c r="I680" s="944" t="s">
        <v>912</v>
      </c>
    </row>
    <row r="681" spans="2:9" ht="15.75">
      <c r="C681" s="945" t="s">
        <v>913</v>
      </c>
      <c r="D681" s="946"/>
      <c r="E681" s="947"/>
      <c r="F681" s="1054"/>
      <c r="G681" s="946"/>
      <c r="H681" s="1031"/>
      <c r="I681" s="948"/>
    </row>
    <row r="682" spans="2:9" ht="15.75">
      <c r="C682" s="964" t="s">
        <v>975</v>
      </c>
      <c r="D682" s="965">
        <v>1</v>
      </c>
      <c r="E682" s="947" t="str">
        <f>+VLOOKUP(C682,[49]BASICS!B:E,2,FALSE)</f>
        <v>und</v>
      </c>
      <c r="F682" s="1068">
        <f>'Basic (equilibrio) (2)'!$D$358</f>
        <v>29079.9</v>
      </c>
      <c r="G682" s="946">
        <f>F682-(F682/1.18)</f>
        <v>4435.92</v>
      </c>
      <c r="H682" s="1031"/>
      <c r="I682" s="948">
        <f>D682*F682</f>
        <v>29079.9</v>
      </c>
    </row>
    <row r="683" spans="2:9" ht="15.75">
      <c r="C683" s="951" t="s">
        <v>918</v>
      </c>
      <c r="D683" s="946"/>
      <c r="E683" s="947"/>
      <c r="F683" s="1068"/>
      <c r="G683" s="946"/>
      <c r="H683" s="1031"/>
      <c r="I683" s="952">
        <f>SUM(I682:I682)</f>
        <v>29079.9</v>
      </c>
    </row>
    <row r="684" spans="2:9" ht="15.75">
      <c r="C684" s="949"/>
      <c r="D684" s="946"/>
      <c r="E684" s="947"/>
      <c r="F684" s="1068"/>
      <c r="G684" s="946"/>
      <c r="H684" s="1031"/>
      <c r="I684" s="948"/>
    </row>
    <row r="685" spans="2:9" ht="15.75">
      <c r="C685" s="945" t="s">
        <v>919</v>
      </c>
      <c r="D685" s="946"/>
      <c r="E685" s="947"/>
      <c r="F685" s="1068"/>
      <c r="G685" s="946"/>
      <c r="H685" s="1031"/>
      <c r="I685" s="948"/>
    </row>
    <row r="686" spans="2:9" ht="15.75">
      <c r="C686" s="949" t="s">
        <v>924</v>
      </c>
      <c r="D686" s="953"/>
      <c r="E686" s="954" t="str">
        <f>+VLOOKUP(C686,[49]BASICS!B:E,2,FALSE)</f>
        <v>n/a</v>
      </c>
      <c r="F686" s="1068">
        <f>+VLOOKUP(C686,[49]BASICS!B:E,3,FALSE)</f>
        <v>0</v>
      </c>
      <c r="G686" s="946">
        <f>F686-(F686/1.18)</f>
        <v>0</v>
      </c>
      <c r="H686" s="1031"/>
      <c r="I686" s="948">
        <f>D686*F686</f>
        <v>0</v>
      </c>
    </row>
    <row r="687" spans="2:9" ht="15.75">
      <c r="C687" s="951" t="s">
        <v>918</v>
      </c>
      <c r="D687" s="946"/>
      <c r="E687" s="947"/>
      <c r="F687" s="1054"/>
      <c r="G687" s="946"/>
      <c r="H687" s="1031"/>
      <c r="I687" s="952">
        <f>SUM(I686:I686)</f>
        <v>0</v>
      </c>
    </row>
    <row r="688" spans="2:9" ht="15.75">
      <c r="C688" s="949"/>
      <c r="D688" s="946"/>
      <c r="E688" s="947"/>
      <c r="F688" s="1054"/>
      <c r="G688" s="946"/>
      <c r="H688" s="1031"/>
      <c r="I688" s="948"/>
    </row>
    <row r="689" spans="3:9" ht="15.75">
      <c r="C689" s="945" t="s">
        <v>923</v>
      </c>
      <c r="D689" s="946"/>
      <c r="E689" s="947"/>
      <c r="F689" s="1054"/>
      <c r="G689" s="946"/>
      <c r="H689" s="1031"/>
      <c r="I689" s="948"/>
    </row>
    <row r="690" spans="3:9" ht="15.75">
      <c r="C690" s="949" t="s">
        <v>924</v>
      </c>
      <c r="D690" s="946"/>
      <c r="E690" s="947" t="str">
        <f>+VLOOKUP(C690,[49]BASICS!B:E,2,FALSE)</f>
        <v>n/a</v>
      </c>
      <c r="F690" s="1068">
        <f>+VLOOKUP(C690,[49]BASICS!B:E,3,FALSE)</f>
        <v>0</v>
      </c>
      <c r="G690" s="946">
        <f>F690-(F690/1.18)</f>
        <v>0</v>
      </c>
      <c r="H690" s="1031"/>
      <c r="I690" s="948">
        <f>D690*F690</f>
        <v>0</v>
      </c>
    </row>
    <row r="691" spans="3:9" ht="15.75">
      <c r="C691" s="951" t="s">
        <v>918</v>
      </c>
      <c r="D691" s="946"/>
      <c r="E691" s="947"/>
      <c r="F691" s="1054"/>
      <c r="G691" s="946"/>
      <c r="H691" s="1031"/>
      <c r="I691" s="952">
        <f>SUM(I690:I690)</f>
        <v>0</v>
      </c>
    </row>
    <row r="692" spans="3:9" ht="15.75">
      <c r="C692" s="949"/>
      <c r="D692" s="946"/>
      <c r="E692" s="947"/>
      <c r="F692" s="1054"/>
      <c r="G692" s="946"/>
      <c r="H692" s="1031"/>
      <c r="I692" s="948"/>
    </row>
    <row r="693" spans="3:9" ht="15.75">
      <c r="C693" s="945" t="s">
        <v>925</v>
      </c>
      <c r="D693" s="946"/>
      <c r="E693" s="947"/>
      <c r="F693" s="1054"/>
      <c r="G693" s="946"/>
      <c r="H693" s="1031"/>
      <c r="I693" s="948"/>
    </row>
    <row r="694" spans="3:9" ht="15.75">
      <c r="C694" s="949" t="s">
        <v>924</v>
      </c>
      <c r="D694" s="946"/>
      <c r="E694" s="947" t="str">
        <f>VLOOKUP(C694,[50]BASICS!B:D,2,FALSE)</f>
        <v>n/a</v>
      </c>
      <c r="F694" s="1054">
        <f>+VLOOKUP(C694,[49]BASICS!B:E,3,FALSE)</f>
        <v>0</v>
      </c>
      <c r="G694" s="946"/>
      <c r="H694" s="1031"/>
      <c r="I694" s="948">
        <f>D694*F694</f>
        <v>0</v>
      </c>
    </row>
    <row r="695" spans="3:9" ht="15.75">
      <c r="C695" s="951" t="s">
        <v>918</v>
      </c>
      <c r="D695" s="946"/>
      <c r="E695" s="947"/>
      <c r="F695" s="1054"/>
      <c r="G695" s="946"/>
      <c r="H695" s="1031"/>
      <c r="I695" s="952">
        <f>SUM(I694)</f>
        <v>0</v>
      </c>
    </row>
    <row r="696" spans="3:9" ht="15.75">
      <c r="C696" s="951"/>
      <c r="D696" s="946"/>
      <c r="E696" s="947"/>
      <c r="F696" s="1054"/>
      <c r="G696" s="946"/>
      <c r="H696" s="1031"/>
      <c r="I696" s="952"/>
    </row>
    <row r="697" spans="3:9" ht="15.75">
      <c r="C697" s="956" t="s">
        <v>926</v>
      </c>
      <c r="D697" s="957"/>
      <c r="E697" s="958"/>
      <c r="F697" s="1069"/>
      <c r="G697" s="957"/>
      <c r="H697" s="1032"/>
      <c r="I697" s="959">
        <f>+I683</f>
        <v>29079.9</v>
      </c>
    </row>
    <row r="698" spans="3:9" ht="15.75">
      <c r="C698" s="956" t="s">
        <v>927</v>
      </c>
      <c r="D698" s="957"/>
      <c r="E698" s="958"/>
      <c r="F698" s="1069"/>
      <c r="G698" s="957"/>
      <c r="H698" s="1032"/>
      <c r="I698" s="959">
        <f>+I687</f>
        <v>0</v>
      </c>
    </row>
    <row r="699" spans="3:9" ht="15.75">
      <c r="C699" s="956" t="s">
        <v>928</v>
      </c>
      <c r="D699" s="957"/>
      <c r="E699" s="958"/>
      <c r="F699" s="1069"/>
      <c r="G699" s="957"/>
      <c r="H699" s="1032"/>
      <c r="I699" s="959">
        <f>+I691</f>
        <v>0</v>
      </c>
    </row>
    <row r="700" spans="3:9" ht="15.75">
      <c r="C700" s="956" t="s">
        <v>929</v>
      </c>
      <c r="D700" s="957"/>
      <c r="E700" s="958"/>
      <c r="F700" s="1069"/>
      <c r="G700" s="957"/>
      <c r="H700" s="1032"/>
      <c r="I700" s="959">
        <f>+I695</f>
        <v>0</v>
      </c>
    </row>
    <row r="701" spans="3:9" ht="15.75">
      <c r="C701" s="949"/>
      <c r="D701" s="946"/>
      <c r="E701" s="947"/>
      <c r="F701" s="1054"/>
      <c r="G701" s="946"/>
      <c r="H701" s="1031"/>
      <c r="I701" s="948"/>
    </row>
    <row r="702" spans="3:9" ht="15.75">
      <c r="C702" s="949"/>
      <c r="D702" s="946"/>
      <c r="E702" s="947"/>
      <c r="F702" s="1054"/>
      <c r="G702" s="946"/>
      <c r="H702" s="1031"/>
      <c r="I702" s="948"/>
    </row>
    <row r="703" spans="3:9" ht="15.75">
      <c r="C703" s="951" t="s">
        <v>930</v>
      </c>
      <c r="D703" s="960"/>
      <c r="E703" s="943" t="str">
        <f>+E679</f>
        <v>UD</v>
      </c>
      <c r="F703" s="1070"/>
      <c r="G703" s="960"/>
      <c r="H703" s="1033"/>
      <c r="I703" s="952">
        <f>SUM(I697:I700)</f>
        <v>29079.9</v>
      </c>
    </row>
    <row r="704" spans="3:9" ht="15.75">
      <c r="C704" s="949"/>
      <c r="D704" s="946"/>
      <c r="E704" s="947"/>
      <c r="F704" s="1054"/>
      <c r="G704" s="946"/>
      <c r="H704" s="1031"/>
      <c r="I704" s="948"/>
    </row>
    <row r="706" spans="2:9" ht="15.75">
      <c r="B706" s="1038">
        <v>1.3</v>
      </c>
      <c r="C706" s="937" t="str">
        <f>+'[49]LISTA VIAS Y PAISAJISMO'!B48</f>
        <v>Alambre AAAC No. 1/0</v>
      </c>
      <c r="D706" s="938"/>
      <c r="E706" s="962" t="str">
        <f>+'[49]LISTA VIAS Y PAISAJISMO'!D48</f>
        <v>PIES</v>
      </c>
      <c r="F706" s="1066"/>
      <c r="G706" s="938"/>
      <c r="H706" s="1029"/>
      <c r="I706" s="940">
        <f>I730</f>
        <v>206.5</v>
      </c>
    </row>
    <row r="707" spans="2:9" ht="15.75">
      <c r="C707" s="941" t="s">
        <v>908</v>
      </c>
      <c r="D707" s="942" t="s">
        <v>9</v>
      </c>
      <c r="E707" s="943" t="s">
        <v>10</v>
      </c>
      <c r="F707" s="1067" t="s">
        <v>909</v>
      </c>
      <c r="G707" s="942" t="s">
        <v>910</v>
      </c>
      <c r="H707" s="1030" t="s">
        <v>911</v>
      </c>
      <c r="I707" s="944" t="s">
        <v>912</v>
      </c>
    </row>
    <row r="708" spans="2:9" ht="15.75">
      <c r="C708" s="945" t="s">
        <v>913</v>
      </c>
      <c r="D708" s="946"/>
      <c r="E708" s="947"/>
      <c r="F708" s="1054"/>
      <c r="G708" s="946"/>
      <c r="H708" s="1031"/>
      <c r="I708" s="948"/>
    </row>
    <row r="709" spans="2:9" ht="15.75">
      <c r="C709" s="964" t="s">
        <v>976</v>
      </c>
      <c r="D709" s="965">
        <v>1</v>
      </c>
      <c r="E709" s="947" t="str">
        <f>+VLOOKUP(C709,[49]BASICS!B:E,2,FALSE)</f>
        <v>pie</v>
      </c>
      <c r="F709" s="1068">
        <f>'Basic (equilibrio) (2)'!$D$359</f>
        <v>206.5</v>
      </c>
      <c r="G709" s="946">
        <f>F709-(F709/1.18)</f>
        <v>31.5</v>
      </c>
      <c r="H709" s="1031"/>
      <c r="I709" s="948">
        <f>D709*F709</f>
        <v>206.5</v>
      </c>
    </row>
    <row r="710" spans="2:9" ht="15.75">
      <c r="C710" s="951" t="s">
        <v>918</v>
      </c>
      <c r="D710" s="946"/>
      <c r="E710" s="947"/>
      <c r="F710" s="1068"/>
      <c r="G710" s="946"/>
      <c r="H710" s="1031"/>
      <c r="I710" s="952">
        <f>SUM(I709:I709)</f>
        <v>206.5</v>
      </c>
    </row>
    <row r="711" spans="2:9" ht="15.75">
      <c r="C711" s="949"/>
      <c r="D711" s="946"/>
      <c r="E711" s="947"/>
      <c r="F711" s="1068"/>
      <c r="G711" s="946"/>
      <c r="H711" s="1031"/>
      <c r="I711" s="948"/>
    </row>
    <row r="712" spans="2:9" ht="15.75">
      <c r="C712" s="945" t="s">
        <v>919</v>
      </c>
      <c r="D712" s="946"/>
      <c r="E712" s="947"/>
      <c r="F712" s="1068"/>
      <c r="G712" s="946"/>
      <c r="H712" s="1031"/>
      <c r="I712" s="948"/>
    </row>
    <row r="713" spans="2:9" ht="15.75">
      <c r="C713" s="949" t="s">
        <v>924</v>
      </c>
      <c r="D713" s="953"/>
      <c r="E713" s="954" t="str">
        <f>+VLOOKUP(C713,[49]BASICS!B:E,2,FALSE)</f>
        <v>n/a</v>
      </c>
      <c r="F713" s="1068">
        <f>+VLOOKUP(C713,[49]BASICS!B:E,3,FALSE)</f>
        <v>0</v>
      </c>
      <c r="G713" s="946">
        <f>F713-(F713/1.18)</f>
        <v>0</v>
      </c>
      <c r="H713" s="1031"/>
      <c r="I713" s="948">
        <f>D713*F713</f>
        <v>0</v>
      </c>
    </row>
    <row r="714" spans="2:9" ht="15.75">
      <c r="C714" s="951" t="s">
        <v>918</v>
      </c>
      <c r="D714" s="946"/>
      <c r="E714" s="947"/>
      <c r="F714" s="1054"/>
      <c r="G714" s="946"/>
      <c r="H714" s="1031"/>
      <c r="I714" s="952">
        <f>SUM(I713:I713)</f>
        <v>0</v>
      </c>
    </row>
    <row r="715" spans="2:9" ht="15.75">
      <c r="C715" s="949"/>
      <c r="D715" s="946"/>
      <c r="E715" s="947"/>
      <c r="F715" s="1054"/>
      <c r="G715" s="946"/>
      <c r="H715" s="1031"/>
      <c r="I715" s="948"/>
    </row>
    <row r="716" spans="2:9" ht="15.75">
      <c r="C716" s="945" t="s">
        <v>923</v>
      </c>
      <c r="D716" s="946"/>
      <c r="E716" s="947"/>
      <c r="F716" s="1054"/>
      <c r="G716" s="946"/>
      <c r="H716" s="1031"/>
      <c r="I716" s="948"/>
    </row>
    <row r="717" spans="2:9" ht="15.75">
      <c r="C717" s="949" t="s">
        <v>924</v>
      </c>
      <c r="D717" s="946"/>
      <c r="E717" s="947" t="str">
        <f>+VLOOKUP(C717,[49]BASICS!B:E,2,FALSE)</f>
        <v>n/a</v>
      </c>
      <c r="F717" s="1068">
        <f>+VLOOKUP(C717,[49]BASICS!B:E,3,FALSE)</f>
        <v>0</v>
      </c>
      <c r="G717" s="946">
        <f>F717-(F717/1.18)</f>
        <v>0</v>
      </c>
      <c r="H717" s="1031"/>
      <c r="I717" s="948">
        <f>D717*F717</f>
        <v>0</v>
      </c>
    </row>
    <row r="718" spans="2:9" ht="15.75">
      <c r="C718" s="951" t="s">
        <v>918</v>
      </c>
      <c r="D718" s="946"/>
      <c r="E718" s="947"/>
      <c r="F718" s="1054"/>
      <c r="G718" s="946"/>
      <c r="H718" s="1031"/>
      <c r="I718" s="952">
        <f>SUM(I717:I717)</f>
        <v>0</v>
      </c>
    </row>
    <row r="719" spans="2:9" ht="15.75">
      <c r="C719" s="949"/>
      <c r="D719" s="946"/>
      <c r="E719" s="947"/>
      <c r="F719" s="1054"/>
      <c r="G719" s="946"/>
      <c r="H719" s="1031"/>
      <c r="I719" s="948"/>
    </row>
    <row r="720" spans="2:9" ht="15.75">
      <c r="C720" s="945" t="s">
        <v>925</v>
      </c>
      <c r="D720" s="946"/>
      <c r="E720" s="947"/>
      <c r="F720" s="1054"/>
      <c r="G720" s="946"/>
      <c r="H720" s="1031"/>
      <c r="I720" s="948"/>
    </row>
    <row r="721" spans="2:9" ht="15.75">
      <c r="C721" s="949" t="s">
        <v>924</v>
      </c>
      <c r="D721" s="946"/>
      <c r="E721" s="947" t="str">
        <f>VLOOKUP(C721,[50]BASICS!B:D,2,FALSE)</f>
        <v>n/a</v>
      </c>
      <c r="F721" s="1054">
        <f>+VLOOKUP(C721,[49]BASICS!B:E,3,FALSE)</f>
        <v>0</v>
      </c>
      <c r="G721" s="946"/>
      <c r="H721" s="1031"/>
      <c r="I721" s="948">
        <f>D721*F721</f>
        <v>0</v>
      </c>
    </row>
    <row r="722" spans="2:9" ht="15.75">
      <c r="C722" s="951" t="s">
        <v>918</v>
      </c>
      <c r="D722" s="946"/>
      <c r="E722" s="947"/>
      <c r="F722" s="1054"/>
      <c r="G722" s="946"/>
      <c r="H722" s="1031"/>
      <c r="I722" s="952">
        <f>SUM(I721)</f>
        <v>0</v>
      </c>
    </row>
    <row r="723" spans="2:9" ht="15.75">
      <c r="C723" s="951"/>
      <c r="D723" s="946"/>
      <c r="E723" s="947"/>
      <c r="F723" s="1054"/>
      <c r="G723" s="946"/>
      <c r="H723" s="1031"/>
      <c r="I723" s="952"/>
    </row>
    <row r="724" spans="2:9" ht="15.75">
      <c r="C724" s="956" t="s">
        <v>926</v>
      </c>
      <c r="D724" s="957"/>
      <c r="E724" s="958"/>
      <c r="F724" s="1069"/>
      <c r="G724" s="957"/>
      <c r="H724" s="1032"/>
      <c r="I724" s="959">
        <f>+I710</f>
        <v>206.5</v>
      </c>
    </row>
    <row r="725" spans="2:9" ht="15.75">
      <c r="C725" s="956" t="s">
        <v>927</v>
      </c>
      <c r="D725" s="957"/>
      <c r="E725" s="958"/>
      <c r="F725" s="1069"/>
      <c r="G725" s="957"/>
      <c r="H725" s="1032"/>
      <c r="I725" s="959">
        <f>+I714</f>
        <v>0</v>
      </c>
    </row>
    <row r="726" spans="2:9" ht="15.75">
      <c r="C726" s="956" t="s">
        <v>928</v>
      </c>
      <c r="D726" s="957"/>
      <c r="E726" s="958"/>
      <c r="F726" s="1069"/>
      <c r="G726" s="957"/>
      <c r="H726" s="1032"/>
      <c r="I726" s="959">
        <f>+I718</f>
        <v>0</v>
      </c>
    </row>
    <row r="727" spans="2:9" ht="15.75">
      <c r="C727" s="956" t="s">
        <v>929</v>
      </c>
      <c r="D727" s="957"/>
      <c r="E727" s="958"/>
      <c r="F727" s="1069"/>
      <c r="G727" s="957"/>
      <c r="H727" s="1032"/>
      <c r="I727" s="959">
        <f>+I722</f>
        <v>0</v>
      </c>
    </row>
    <row r="728" spans="2:9" ht="15.75">
      <c r="C728" s="949"/>
      <c r="D728" s="946"/>
      <c r="E728" s="947"/>
      <c r="F728" s="1054"/>
      <c r="G728" s="946"/>
      <c r="H728" s="1031"/>
      <c r="I728" s="948"/>
    </row>
    <row r="729" spans="2:9" ht="15.75">
      <c r="C729" s="949"/>
      <c r="D729" s="946"/>
      <c r="E729" s="947"/>
      <c r="F729" s="1054"/>
      <c r="G729" s="946"/>
      <c r="H729" s="1031"/>
      <c r="I729" s="948"/>
    </row>
    <row r="730" spans="2:9" ht="15.75">
      <c r="C730" s="951" t="s">
        <v>930</v>
      </c>
      <c r="D730" s="960"/>
      <c r="E730" s="943" t="str">
        <f>+E706</f>
        <v>PIES</v>
      </c>
      <c r="F730" s="1070"/>
      <c r="G730" s="960"/>
      <c r="H730" s="1033"/>
      <c r="I730" s="952">
        <f>SUM(I724:I727)</f>
        <v>206.5</v>
      </c>
    </row>
    <row r="731" spans="2:9" ht="15.75">
      <c r="C731" s="949"/>
      <c r="D731" s="946"/>
      <c r="E731" s="947"/>
      <c r="F731" s="1054"/>
      <c r="G731" s="946"/>
      <c r="H731" s="1031"/>
      <c r="I731" s="948"/>
    </row>
    <row r="733" spans="2:9" ht="15.75">
      <c r="B733" s="1038">
        <v>1.4</v>
      </c>
      <c r="C733" s="937" t="str">
        <f>+'[49]LISTA VIAS Y PAISAJISMO'!B49</f>
        <v>Estructura MT-105</v>
      </c>
      <c r="D733" s="938"/>
      <c r="E733" s="962" t="str">
        <f>+'[49]LISTA VIAS Y PAISAJISMO'!D49</f>
        <v>UD</v>
      </c>
      <c r="F733" s="1066"/>
      <c r="G733" s="938"/>
      <c r="H733" s="1029"/>
      <c r="I733" s="940">
        <f>I757</f>
        <v>8900</v>
      </c>
    </row>
    <row r="734" spans="2:9" ht="15.75">
      <c r="C734" s="941" t="s">
        <v>908</v>
      </c>
      <c r="D734" s="942" t="s">
        <v>9</v>
      </c>
      <c r="E734" s="943" t="s">
        <v>10</v>
      </c>
      <c r="F734" s="1067" t="s">
        <v>909</v>
      </c>
      <c r="G734" s="942" t="s">
        <v>910</v>
      </c>
      <c r="H734" s="1030" t="s">
        <v>911</v>
      </c>
      <c r="I734" s="944" t="s">
        <v>912</v>
      </c>
    </row>
    <row r="735" spans="2:9" ht="15.75">
      <c r="C735" s="945" t="s">
        <v>913</v>
      </c>
      <c r="D735" s="946"/>
      <c r="E735" s="947"/>
      <c r="F735" s="1054"/>
      <c r="G735" s="946"/>
      <c r="H735" s="1031"/>
      <c r="I735" s="948"/>
    </row>
    <row r="736" spans="2:9" ht="31.5">
      <c r="C736" s="964" t="s">
        <v>977</v>
      </c>
      <c r="D736" s="965">
        <v>1</v>
      </c>
      <c r="E736" s="947" t="str">
        <f>+VLOOKUP(C736,[49]BASICS!B:E,2,FALSE)</f>
        <v>und</v>
      </c>
      <c r="F736" s="1068">
        <f>'Basic (equilibrio) (2)'!$D$360</f>
        <v>8900</v>
      </c>
      <c r="G736" s="946">
        <f>F736-(F736/1.18)</f>
        <v>1357.63</v>
      </c>
      <c r="H736" s="1031"/>
      <c r="I736" s="948">
        <f>D736*F736</f>
        <v>8900</v>
      </c>
    </row>
    <row r="737" spans="3:9" ht="15.75">
      <c r="C737" s="951" t="s">
        <v>918</v>
      </c>
      <c r="D737" s="946"/>
      <c r="E737" s="947"/>
      <c r="F737" s="1068"/>
      <c r="G737" s="946"/>
      <c r="H737" s="1031"/>
      <c r="I737" s="952">
        <f>SUM(I736:I736)</f>
        <v>8900</v>
      </c>
    </row>
    <row r="738" spans="3:9" ht="15.75">
      <c r="C738" s="949"/>
      <c r="D738" s="946"/>
      <c r="E738" s="947"/>
      <c r="F738" s="1068"/>
      <c r="G738" s="946"/>
      <c r="H738" s="1031"/>
      <c r="I738" s="948"/>
    </row>
    <row r="739" spans="3:9" ht="15.75">
      <c r="C739" s="945" t="s">
        <v>919</v>
      </c>
      <c r="D739" s="946"/>
      <c r="E739" s="947"/>
      <c r="F739" s="1068"/>
      <c r="G739" s="946"/>
      <c r="H739" s="1031"/>
      <c r="I739" s="948"/>
    </row>
    <row r="740" spans="3:9" ht="15.75">
      <c r="C740" s="949" t="s">
        <v>924</v>
      </c>
      <c r="D740" s="953"/>
      <c r="E740" s="954" t="str">
        <f>+VLOOKUP(C740,[49]BASICS!B:E,2,FALSE)</f>
        <v>n/a</v>
      </c>
      <c r="F740" s="1068">
        <f>+VLOOKUP(C740,[49]BASICS!B:E,3,FALSE)</f>
        <v>0</v>
      </c>
      <c r="G740" s="946">
        <f>F740-(F740/1.18)</f>
        <v>0</v>
      </c>
      <c r="H740" s="1031"/>
      <c r="I740" s="948">
        <f>D740*F740</f>
        <v>0</v>
      </c>
    </row>
    <row r="741" spans="3:9" ht="15.75">
      <c r="C741" s="951" t="s">
        <v>918</v>
      </c>
      <c r="D741" s="946"/>
      <c r="E741" s="947"/>
      <c r="F741" s="1054"/>
      <c r="G741" s="946"/>
      <c r="H741" s="1031"/>
      <c r="I741" s="952">
        <f>SUM(I740:I740)</f>
        <v>0</v>
      </c>
    </row>
    <row r="742" spans="3:9" ht="15.75">
      <c r="C742" s="949"/>
      <c r="D742" s="946"/>
      <c r="E742" s="947"/>
      <c r="F742" s="1054"/>
      <c r="G742" s="946"/>
      <c r="H742" s="1031"/>
      <c r="I742" s="948"/>
    </row>
    <row r="743" spans="3:9" ht="15.75">
      <c r="C743" s="945" t="s">
        <v>923</v>
      </c>
      <c r="D743" s="946"/>
      <c r="E743" s="947"/>
      <c r="F743" s="1054"/>
      <c r="G743" s="946"/>
      <c r="H743" s="1031"/>
      <c r="I743" s="948"/>
    </row>
    <row r="744" spans="3:9" ht="15.75">
      <c r="C744" s="949" t="s">
        <v>924</v>
      </c>
      <c r="D744" s="946"/>
      <c r="E744" s="947" t="str">
        <f>+VLOOKUP(C744,[49]BASICS!B:E,2,FALSE)</f>
        <v>n/a</v>
      </c>
      <c r="F744" s="1068">
        <f>+VLOOKUP(C744,[49]BASICS!B:E,3,FALSE)</f>
        <v>0</v>
      </c>
      <c r="G744" s="946">
        <f>F744-(F744/1.18)</f>
        <v>0</v>
      </c>
      <c r="H744" s="1031"/>
      <c r="I744" s="948">
        <f>D744*F744</f>
        <v>0</v>
      </c>
    </row>
    <row r="745" spans="3:9" ht="15.75">
      <c r="C745" s="951" t="s">
        <v>918</v>
      </c>
      <c r="D745" s="946"/>
      <c r="E745" s="947"/>
      <c r="F745" s="1054"/>
      <c r="G745" s="946"/>
      <c r="H745" s="1031"/>
      <c r="I745" s="952">
        <f>SUM(I744:I744)</f>
        <v>0</v>
      </c>
    </row>
    <row r="746" spans="3:9" ht="15.75">
      <c r="C746" s="949"/>
      <c r="D746" s="946"/>
      <c r="E746" s="947"/>
      <c r="F746" s="1054"/>
      <c r="G746" s="946"/>
      <c r="H746" s="1031"/>
      <c r="I746" s="948"/>
    </row>
    <row r="747" spans="3:9" ht="15.75">
      <c r="C747" s="945" t="s">
        <v>925</v>
      </c>
      <c r="D747" s="946"/>
      <c r="E747" s="947"/>
      <c r="F747" s="1054"/>
      <c r="G747" s="946"/>
      <c r="H747" s="1031"/>
      <c r="I747" s="948"/>
    </row>
    <row r="748" spans="3:9" ht="15.75">
      <c r="C748" s="949" t="s">
        <v>924</v>
      </c>
      <c r="D748" s="946"/>
      <c r="E748" s="947" t="str">
        <f>VLOOKUP(C748,[50]BASICS!B:D,2,FALSE)</f>
        <v>n/a</v>
      </c>
      <c r="F748" s="1054">
        <f>+VLOOKUP(C748,[49]BASICS!B:E,3,FALSE)</f>
        <v>0</v>
      </c>
      <c r="G748" s="946"/>
      <c r="H748" s="1031"/>
      <c r="I748" s="948">
        <f>D748*F748</f>
        <v>0</v>
      </c>
    </row>
    <row r="749" spans="3:9" ht="15.75">
      <c r="C749" s="951" t="s">
        <v>918</v>
      </c>
      <c r="D749" s="946"/>
      <c r="E749" s="947"/>
      <c r="F749" s="1054"/>
      <c r="G749" s="946"/>
      <c r="H749" s="1031"/>
      <c r="I749" s="952">
        <f>SUM(I748)</f>
        <v>0</v>
      </c>
    </row>
    <row r="750" spans="3:9" ht="15.75">
      <c r="C750" s="951"/>
      <c r="D750" s="946"/>
      <c r="E750" s="947"/>
      <c r="F750" s="1054"/>
      <c r="G750" s="946"/>
      <c r="H750" s="1031"/>
      <c r="I750" s="952"/>
    </row>
    <row r="751" spans="3:9" ht="15.75">
      <c r="C751" s="956" t="s">
        <v>926</v>
      </c>
      <c r="D751" s="957"/>
      <c r="E751" s="958"/>
      <c r="F751" s="1069"/>
      <c r="G751" s="957"/>
      <c r="H751" s="1032"/>
      <c r="I751" s="959">
        <f>+I737</f>
        <v>8900</v>
      </c>
    </row>
    <row r="752" spans="3:9" ht="15.75">
      <c r="C752" s="956" t="s">
        <v>927</v>
      </c>
      <c r="D752" s="957"/>
      <c r="E752" s="958"/>
      <c r="F752" s="1069"/>
      <c r="G752" s="957"/>
      <c r="H752" s="1032"/>
      <c r="I752" s="959">
        <f>+I741</f>
        <v>0</v>
      </c>
    </row>
    <row r="753" spans="2:9" ht="15.75">
      <c r="C753" s="956" t="s">
        <v>928</v>
      </c>
      <c r="D753" s="957"/>
      <c r="E753" s="958"/>
      <c r="F753" s="1069"/>
      <c r="G753" s="957"/>
      <c r="H753" s="1032"/>
      <c r="I753" s="959">
        <f>+I745</f>
        <v>0</v>
      </c>
    </row>
    <row r="754" spans="2:9" ht="15.75">
      <c r="C754" s="956" t="s">
        <v>929</v>
      </c>
      <c r="D754" s="957"/>
      <c r="E754" s="958"/>
      <c r="F754" s="1069"/>
      <c r="G754" s="957"/>
      <c r="H754" s="1032"/>
      <c r="I754" s="959">
        <f>+I749</f>
        <v>0</v>
      </c>
    </row>
    <row r="755" spans="2:9" ht="15.75">
      <c r="C755" s="949"/>
      <c r="D755" s="946"/>
      <c r="E755" s="947"/>
      <c r="F755" s="1054"/>
      <c r="G755" s="946"/>
      <c r="H755" s="1031"/>
      <c r="I755" s="948"/>
    </row>
    <row r="756" spans="2:9" ht="15.75">
      <c r="C756" s="949"/>
      <c r="D756" s="946"/>
      <c r="E756" s="947"/>
      <c r="F756" s="1054"/>
      <c r="G756" s="946"/>
      <c r="H756" s="1031"/>
      <c r="I756" s="948"/>
    </row>
    <row r="757" spans="2:9" ht="15.75">
      <c r="C757" s="951" t="s">
        <v>930</v>
      </c>
      <c r="D757" s="960"/>
      <c r="E757" s="943" t="str">
        <f>+E733</f>
        <v>UD</v>
      </c>
      <c r="F757" s="1070"/>
      <c r="G757" s="960"/>
      <c r="H757" s="1033"/>
      <c r="I757" s="952">
        <f>SUM(I751:I754)</f>
        <v>8900</v>
      </c>
    </row>
    <row r="758" spans="2:9" ht="15.75">
      <c r="C758" s="949"/>
      <c r="D758" s="946"/>
      <c r="E758" s="947"/>
      <c r="F758" s="1054"/>
      <c r="G758" s="946"/>
      <c r="H758" s="1031"/>
      <c r="I758" s="948"/>
    </row>
    <row r="760" spans="2:9" ht="15.75">
      <c r="B760" s="1038">
        <v>1.5</v>
      </c>
      <c r="C760" s="937" t="str">
        <f>+'[49]LISTA VIAS Y PAISAJISMO'!B50</f>
        <v>Estructura F1-BT</v>
      </c>
      <c r="D760" s="938"/>
      <c r="E760" s="962" t="str">
        <f>+'[49]LISTA VIAS Y PAISAJISMO'!D50</f>
        <v>UD</v>
      </c>
      <c r="F760" s="1066"/>
      <c r="G760" s="938"/>
      <c r="H760" s="1029"/>
      <c r="I760" s="940">
        <f>I784</f>
        <v>4700</v>
      </c>
    </row>
    <row r="761" spans="2:9" ht="15.75">
      <c r="C761" s="941" t="s">
        <v>908</v>
      </c>
      <c r="D761" s="942" t="s">
        <v>9</v>
      </c>
      <c r="E761" s="943" t="s">
        <v>10</v>
      </c>
      <c r="F761" s="1067" t="s">
        <v>909</v>
      </c>
      <c r="G761" s="942" t="s">
        <v>910</v>
      </c>
      <c r="H761" s="1030" t="s">
        <v>911</v>
      </c>
      <c r="I761" s="944" t="s">
        <v>912</v>
      </c>
    </row>
    <row r="762" spans="2:9" ht="15.75">
      <c r="C762" s="945" t="s">
        <v>913</v>
      </c>
      <c r="D762" s="946"/>
      <c r="E762" s="947"/>
      <c r="F762" s="1054"/>
      <c r="G762" s="946"/>
      <c r="H762" s="1031"/>
      <c r="I762" s="948"/>
    </row>
    <row r="763" spans="2:9" ht="15.75">
      <c r="C763" s="964" t="s">
        <v>978</v>
      </c>
      <c r="D763" s="965">
        <v>1</v>
      </c>
      <c r="E763" s="947" t="str">
        <f>+VLOOKUP(C763,[49]BASICS!B:E,2,FALSE)</f>
        <v>und</v>
      </c>
      <c r="F763" s="1068">
        <f>'Basic (equilibrio) (2)'!$D$361</f>
        <v>4700</v>
      </c>
      <c r="G763" s="946">
        <f>F763-(F763/1.18)</f>
        <v>716.95</v>
      </c>
      <c r="H763" s="1031"/>
      <c r="I763" s="948">
        <f>D763*F763</f>
        <v>4700</v>
      </c>
    </row>
    <row r="764" spans="2:9" ht="15.75">
      <c r="C764" s="951" t="s">
        <v>918</v>
      </c>
      <c r="D764" s="946"/>
      <c r="E764" s="947"/>
      <c r="F764" s="1068"/>
      <c r="G764" s="946"/>
      <c r="H764" s="1031"/>
      <c r="I764" s="952">
        <f>SUM(I763:I763)</f>
        <v>4700</v>
      </c>
    </row>
    <row r="765" spans="2:9" ht="15.75">
      <c r="C765" s="949"/>
      <c r="D765" s="946"/>
      <c r="E765" s="947"/>
      <c r="F765" s="1068"/>
      <c r="G765" s="946"/>
      <c r="H765" s="1031"/>
      <c r="I765" s="948"/>
    </row>
    <row r="766" spans="2:9" ht="15.75">
      <c r="C766" s="945" t="s">
        <v>919</v>
      </c>
      <c r="D766" s="946"/>
      <c r="E766" s="947"/>
      <c r="F766" s="1068"/>
      <c r="G766" s="946"/>
      <c r="H766" s="1031"/>
      <c r="I766" s="948"/>
    </row>
    <row r="767" spans="2:9" ht="15.75">
      <c r="C767" s="949" t="s">
        <v>924</v>
      </c>
      <c r="D767" s="953"/>
      <c r="E767" s="954" t="str">
        <f>+VLOOKUP(C767,[49]BASICS!B:E,2,FALSE)</f>
        <v>n/a</v>
      </c>
      <c r="F767" s="1068">
        <f>+VLOOKUP(C767,[49]BASICS!B:E,3,FALSE)</f>
        <v>0</v>
      </c>
      <c r="G767" s="946">
        <f>F767-(F767/1.18)</f>
        <v>0</v>
      </c>
      <c r="H767" s="1031"/>
      <c r="I767" s="948">
        <f>D767*F767</f>
        <v>0</v>
      </c>
    </row>
    <row r="768" spans="2:9" ht="15.75">
      <c r="C768" s="951" t="s">
        <v>918</v>
      </c>
      <c r="D768" s="946"/>
      <c r="E768" s="947"/>
      <c r="F768" s="1054"/>
      <c r="G768" s="946"/>
      <c r="H768" s="1031"/>
      <c r="I768" s="952">
        <f>SUM(I767:I767)</f>
        <v>0</v>
      </c>
    </row>
    <row r="769" spans="3:9" ht="15.75">
      <c r="C769" s="949"/>
      <c r="D769" s="946"/>
      <c r="E769" s="947"/>
      <c r="F769" s="1054"/>
      <c r="G769" s="946"/>
      <c r="H769" s="1031"/>
      <c r="I769" s="948"/>
    </row>
    <row r="770" spans="3:9" ht="15.75">
      <c r="C770" s="945" t="s">
        <v>923</v>
      </c>
      <c r="D770" s="946"/>
      <c r="E770" s="947"/>
      <c r="F770" s="1054"/>
      <c r="G770" s="946"/>
      <c r="H770" s="1031"/>
      <c r="I770" s="948"/>
    </row>
    <row r="771" spans="3:9" ht="15.75">
      <c r="C771" s="949" t="s">
        <v>924</v>
      </c>
      <c r="D771" s="946"/>
      <c r="E771" s="947" t="str">
        <f>+VLOOKUP(C771,[49]BASICS!B:E,2,FALSE)</f>
        <v>n/a</v>
      </c>
      <c r="F771" s="1068">
        <f>+VLOOKUP(C771,[49]BASICS!B:E,3,FALSE)</f>
        <v>0</v>
      </c>
      <c r="G771" s="946">
        <f>F771-(F771/1.18)</f>
        <v>0</v>
      </c>
      <c r="H771" s="1031"/>
      <c r="I771" s="948">
        <f>D771*F771</f>
        <v>0</v>
      </c>
    </row>
    <row r="772" spans="3:9" ht="15.75">
      <c r="C772" s="951" t="s">
        <v>918</v>
      </c>
      <c r="D772" s="946"/>
      <c r="E772" s="947"/>
      <c r="F772" s="1054"/>
      <c r="G772" s="946"/>
      <c r="H772" s="1031"/>
      <c r="I772" s="952">
        <f>SUM(I771:I771)</f>
        <v>0</v>
      </c>
    </row>
    <row r="773" spans="3:9" ht="15.75">
      <c r="C773" s="949"/>
      <c r="D773" s="946"/>
      <c r="E773" s="947"/>
      <c r="F773" s="1054"/>
      <c r="G773" s="946"/>
      <c r="H773" s="1031"/>
      <c r="I773" s="948"/>
    </row>
    <row r="774" spans="3:9" ht="15.75">
      <c r="C774" s="945" t="s">
        <v>925</v>
      </c>
      <c r="D774" s="946"/>
      <c r="E774" s="947"/>
      <c r="F774" s="1054"/>
      <c r="G774" s="946"/>
      <c r="H774" s="1031"/>
      <c r="I774" s="948"/>
    </row>
    <row r="775" spans="3:9" ht="15.75">
      <c r="C775" s="949" t="s">
        <v>924</v>
      </c>
      <c r="D775" s="946"/>
      <c r="E775" s="947" t="str">
        <f>VLOOKUP(C775,[50]BASICS!B:D,2,FALSE)</f>
        <v>n/a</v>
      </c>
      <c r="F775" s="1054">
        <f>+VLOOKUP(C775,[49]BASICS!B:E,3,FALSE)</f>
        <v>0</v>
      </c>
      <c r="G775" s="946"/>
      <c r="H775" s="1031"/>
      <c r="I775" s="948">
        <f>D775*F775</f>
        <v>0</v>
      </c>
    </row>
    <row r="776" spans="3:9" ht="15.75">
      <c r="C776" s="951" t="s">
        <v>918</v>
      </c>
      <c r="D776" s="946"/>
      <c r="E776" s="947"/>
      <c r="F776" s="1054"/>
      <c r="G776" s="946"/>
      <c r="H776" s="1031"/>
      <c r="I776" s="952">
        <f>SUM(I775)</f>
        <v>0</v>
      </c>
    </row>
    <row r="777" spans="3:9" ht="15.75">
      <c r="C777" s="951"/>
      <c r="D777" s="946"/>
      <c r="E777" s="947"/>
      <c r="F777" s="1054"/>
      <c r="G777" s="946"/>
      <c r="H777" s="1031"/>
      <c r="I777" s="952"/>
    </row>
    <row r="778" spans="3:9" ht="15.75">
      <c r="C778" s="956" t="s">
        <v>926</v>
      </c>
      <c r="D778" s="957"/>
      <c r="E778" s="958"/>
      <c r="F778" s="1069"/>
      <c r="G778" s="957"/>
      <c r="H778" s="1032"/>
      <c r="I778" s="959">
        <f>+I764</f>
        <v>4700</v>
      </c>
    </row>
    <row r="779" spans="3:9" ht="15.75">
      <c r="C779" s="956" t="s">
        <v>927</v>
      </c>
      <c r="D779" s="957"/>
      <c r="E779" s="958"/>
      <c r="F779" s="1069"/>
      <c r="G779" s="957"/>
      <c r="H779" s="1032"/>
      <c r="I779" s="959">
        <f>+I768</f>
        <v>0</v>
      </c>
    </row>
    <row r="780" spans="3:9" ht="15.75">
      <c r="C780" s="956" t="s">
        <v>928</v>
      </c>
      <c r="D780" s="957"/>
      <c r="E780" s="958"/>
      <c r="F780" s="1069"/>
      <c r="G780" s="957"/>
      <c r="H780" s="1032"/>
      <c r="I780" s="959">
        <f>+I772</f>
        <v>0</v>
      </c>
    </row>
    <row r="781" spans="3:9" ht="15.75">
      <c r="C781" s="956" t="s">
        <v>929</v>
      </c>
      <c r="D781" s="957"/>
      <c r="E781" s="958"/>
      <c r="F781" s="1069"/>
      <c r="G781" s="957"/>
      <c r="H781" s="1032"/>
      <c r="I781" s="959">
        <f>+I776</f>
        <v>0</v>
      </c>
    </row>
    <row r="782" spans="3:9" ht="15.75">
      <c r="C782" s="949"/>
      <c r="D782" s="946"/>
      <c r="E782" s="947"/>
      <c r="F782" s="1054"/>
      <c r="G782" s="946"/>
      <c r="H782" s="1031"/>
      <c r="I782" s="948"/>
    </row>
    <row r="783" spans="3:9" ht="15.75">
      <c r="C783" s="949"/>
      <c r="D783" s="946"/>
      <c r="E783" s="947"/>
      <c r="F783" s="1054"/>
      <c r="G783" s="946"/>
      <c r="H783" s="1031"/>
      <c r="I783" s="948"/>
    </row>
    <row r="784" spans="3:9" ht="15.75">
      <c r="C784" s="951" t="s">
        <v>930</v>
      </c>
      <c r="D784" s="960"/>
      <c r="E784" s="943" t="str">
        <f>+E760</f>
        <v>UD</v>
      </c>
      <c r="F784" s="1070"/>
      <c r="G784" s="960"/>
      <c r="H784" s="1033"/>
      <c r="I784" s="952">
        <f>SUM(I778:I781)</f>
        <v>4700</v>
      </c>
    </row>
    <row r="785" spans="2:9" ht="15.75">
      <c r="C785" s="949"/>
      <c r="D785" s="946"/>
      <c r="E785" s="947"/>
      <c r="F785" s="1054"/>
      <c r="G785" s="946"/>
      <c r="H785" s="1031"/>
      <c r="I785" s="948"/>
    </row>
    <row r="787" spans="2:9" ht="15.75">
      <c r="B787" s="1038">
        <v>1.6</v>
      </c>
      <c r="C787" s="937" t="str">
        <f>+'[49]LISTA VIAS Y PAISAJISMO'!B51</f>
        <v>Estructura F2-BT</v>
      </c>
      <c r="D787" s="938"/>
      <c r="E787" s="962" t="str">
        <f>+'[49]LISTA VIAS Y PAISAJISMO'!D51</f>
        <v>UD</v>
      </c>
      <c r="F787" s="1066"/>
      <c r="G787" s="938"/>
      <c r="H787" s="1029"/>
      <c r="I787" s="940">
        <f>I811</f>
        <v>5900</v>
      </c>
    </row>
    <row r="788" spans="2:9" ht="15.75">
      <c r="C788" s="941" t="s">
        <v>908</v>
      </c>
      <c r="D788" s="942" t="s">
        <v>9</v>
      </c>
      <c r="E788" s="943" t="s">
        <v>10</v>
      </c>
      <c r="F788" s="1067" t="s">
        <v>909</v>
      </c>
      <c r="G788" s="942" t="s">
        <v>910</v>
      </c>
      <c r="H788" s="1030" t="s">
        <v>911</v>
      </c>
      <c r="I788" s="944" t="s">
        <v>912</v>
      </c>
    </row>
    <row r="789" spans="2:9" ht="15.75">
      <c r="C789" s="945" t="s">
        <v>913</v>
      </c>
      <c r="D789" s="946"/>
      <c r="E789" s="947"/>
      <c r="F789" s="1054"/>
      <c r="G789" s="946"/>
      <c r="H789" s="1031"/>
      <c r="I789" s="948"/>
    </row>
    <row r="790" spans="2:9" ht="15.75">
      <c r="C790" s="964" t="s">
        <v>979</v>
      </c>
      <c r="D790" s="965">
        <v>1</v>
      </c>
      <c r="E790" s="947" t="str">
        <f>+VLOOKUP(C790,[49]BASICS!B:E,2,FALSE)</f>
        <v>und</v>
      </c>
      <c r="F790" s="1068">
        <f>'Basic (equilibrio) (2)'!$D$362</f>
        <v>5900</v>
      </c>
      <c r="G790" s="946">
        <f>F790-(F790/1.18)</f>
        <v>900</v>
      </c>
      <c r="H790" s="1031"/>
      <c r="I790" s="948">
        <f>D790*F790</f>
        <v>5900</v>
      </c>
    </row>
    <row r="791" spans="2:9" ht="15.75">
      <c r="C791" s="951" t="s">
        <v>918</v>
      </c>
      <c r="D791" s="946"/>
      <c r="E791" s="947"/>
      <c r="F791" s="1068"/>
      <c r="G791" s="946"/>
      <c r="H791" s="1031"/>
      <c r="I791" s="952">
        <f>SUM(I790:I790)</f>
        <v>5900</v>
      </c>
    </row>
    <row r="792" spans="2:9" ht="15.75">
      <c r="C792" s="949"/>
      <c r="D792" s="946"/>
      <c r="E792" s="947"/>
      <c r="F792" s="1068"/>
      <c r="G792" s="946"/>
      <c r="H792" s="1031"/>
      <c r="I792" s="948"/>
    </row>
    <row r="793" spans="2:9" ht="15.75">
      <c r="C793" s="945" t="s">
        <v>919</v>
      </c>
      <c r="D793" s="946"/>
      <c r="E793" s="947"/>
      <c r="F793" s="1068"/>
      <c r="G793" s="946"/>
      <c r="H793" s="1031"/>
      <c r="I793" s="948"/>
    </row>
    <row r="794" spans="2:9" ht="15.75">
      <c r="C794" s="949" t="s">
        <v>924</v>
      </c>
      <c r="D794" s="953"/>
      <c r="E794" s="954" t="str">
        <f>+VLOOKUP(C794,[49]BASICS!B:E,2,FALSE)</f>
        <v>n/a</v>
      </c>
      <c r="F794" s="1068">
        <f>+VLOOKUP(C794,[49]BASICS!B:E,3,FALSE)</f>
        <v>0</v>
      </c>
      <c r="G794" s="946">
        <f>F794-(F794/1.18)</f>
        <v>0</v>
      </c>
      <c r="H794" s="1031"/>
      <c r="I794" s="948">
        <f>D794*F794</f>
        <v>0</v>
      </c>
    </row>
    <row r="795" spans="2:9" ht="15.75">
      <c r="C795" s="951" t="s">
        <v>918</v>
      </c>
      <c r="D795" s="946"/>
      <c r="E795" s="947"/>
      <c r="F795" s="1054"/>
      <c r="G795" s="946"/>
      <c r="H795" s="1031"/>
      <c r="I795" s="952">
        <f>SUM(I794:I794)</f>
        <v>0</v>
      </c>
    </row>
    <row r="796" spans="2:9" ht="15.75">
      <c r="C796" s="949"/>
      <c r="D796" s="946"/>
      <c r="E796" s="947"/>
      <c r="F796" s="1054"/>
      <c r="G796" s="946"/>
      <c r="H796" s="1031"/>
      <c r="I796" s="948"/>
    </row>
    <row r="797" spans="2:9" ht="15.75">
      <c r="C797" s="945" t="s">
        <v>923</v>
      </c>
      <c r="D797" s="946"/>
      <c r="E797" s="947"/>
      <c r="F797" s="1054"/>
      <c r="G797" s="946"/>
      <c r="H797" s="1031"/>
      <c r="I797" s="948"/>
    </row>
    <row r="798" spans="2:9" ht="15.75">
      <c r="C798" s="949" t="s">
        <v>924</v>
      </c>
      <c r="D798" s="946"/>
      <c r="E798" s="947" t="str">
        <f>+VLOOKUP(C798,[49]BASICS!B:E,2,FALSE)</f>
        <v>n/a</v>
      </c>
      <c r="F798" s="1068">
        <f>+VLOOKUP(C798,[49]BASICS!B:E,3,FALSE)</f>
        <v>0</v>
      </c>
      <c r="G798" s="946">
        <f>F798-(F798/1.18)</f>
        <v>0</v>
      </c>
      <c r="H798" s="1031"/>
      <c r="I798" s="948">
        <f>D798*F798</f>
        <v>0</v>
      </c>
    </row>
    <row r="799" spans="2:9" ht="15.75">
      <c r="C799" s="951" t="s">
        <v>918</v>
      </c>
      <c r="D799" s="946"/>
      <c r="E799" s="947"/>
      <c r="F799" s="1054"/>
      <c r="G799" s="946"/>
      <c r="H799" s="1031"/>
      <c r="I799" s="952">
        <f>SUM(I798:I798)</f>
        <v>0</v>
      </c>
    </row>
    <row r="800" spans="2:9" ht="15.75">
      <c r="C800" s="949"/>
      <c r="D800" s="946"/>
      <c r="E800" s="947"/>
      <c r="F800" s="1054"/>
      <c r="G800" s="946"/>
      <c r="H800" s="1031"/>
      <c r="I800" s="948"/>
    </row>
    <row r="801" spans="2:9" ht="15.75">
      <c r="C801" s="945" t="s">
        <v>925</v>
      </c>
      <c r="D801" s="946"/>
      <c r="E801" s="947"/>
      <c r="F801" s="1054"/>
      <c r="G801" s="946"/>
      <c r="H801" s="1031"/>
      <c r="I801" s="948"/>
    </row>
    <row r="802" spans="2:9" ht="15.75">
      <c r="C802" s="949" t="s">
        <v>924</v>
      </c>
      <c r="D802" s="946"/>
      <c r="E802" s="947" t="str">
        <f>VLOOKUP(C802,[50]BASICS!B:D,2,FALSE)</f>
        <v>n/a</v>
      </c>
      <c r="F802" s="1054">
        <f>+VLOOKUP(C802,[49]BASICS!B:E,3,FALSE)</f>
        <v>0</v>
      </c>
      <c r="G802" s="946"/>
      <c r="H802" s="1031"/>
      <c r="I802" s="948">
        <f>D802*F802</f>
        <v>0</v>
      </c>
    </row>
    <row r="803" spans="2:9" ht="15.75">
      <c r="C803" s="951" t="s">
        <v>918</v>
      </c>
      <c r="D803" s="946"/>
      <c r="E803" s="947"/>
      <c r="F803" s="1054"/>
      <c r="G803" s="946"/>
      <c r="H803" s="1031"/>
      <c r="I803" s="952">
        <f>SUM(I802)</f>
        <v>0</v>
      </c>
    </row>
    <row r="804" spans="2:9" ht="15.75">
      <c r="C804" s="951"/>
      <c r="D804" s="946"/>
      <c r="E804" s="947"/>
      <c r="F804" s="1054"/>
      <c r="G804" s="946"/>
      <c r="H804" s="1031"/>
      <c r="I804" s="952"/>
    </row>
    <row r="805" spans="2:9" ht="15.75">
      <c r="C805" s="956" t="s">
        <v>926</v>
      </c>
      <c r="D805" s="957"/>
      <c r="E805" s="958"/>
      <c r="F805" s="1069"/>
      <c r="G805" s="957"/>
      <c r="H805" s="1032"/>
      <c r="I805" s="959">
        <f>+I791</f>
        <v>5900</v>
      </c>
    </row>
    <row r="806" spans="2:9" ht="15.75">
      <c r="C806" s="956" t="s">
        <v>927</v>
      </c>
      <c r="D806" s="957"/>
      <c r="E806" s="958"/>
      <c r="F806" s="1069"/>
      <c r="G806" s="957"/>
      <c r="H806" s="1032"/>
      <c r="I806" s="959">
        <f>+I795</f>
        <v>0</v>
      </c>
    </row>
    <row r="807" spans="2:9" ht="15.75">
      <c r="C807" s="956" t="s">
        <v>928</v>
      </c>
      <c r="D807" s="957"/>
      <c r="E807" s="958"/>
      <c r="F807" s="1069"/>
      <c r="G807" s="957"/>
      <c r="H807" s="1032"/>
      <c r="I807" s="959">
        <f>+I799</f>
        <v>0</v>
      </c>
    </row>
    <row r="808" spans="2:9" ht="15.75">
      <c r="C808" s="956" t="s">
        <v>929</v>
      </c>
      <c r="D808" s="957"/>
      <c r="E808" s="958"/>
      <c r="F808" s="1069"/>
      <c r="G808" s="957"/>
      <c r="H808" s="1032"/>
      <c r="I808" s="959">
        <f>+I803</f>
        <v>0</v>
      </c>
    </row>
    <row r="809" spans="2:9" ht="15.75">
      <c r="C809" s="949"/>
      <c r="D809" s="946"/>
      <c r="E809" s="947"/>
      <c r="F809" s="1054"/>
      <c r="G809" s="946"/>
      <c r="H809" s="1031"/>
      <c r="I809" s="948"/>
    </row>
    <row r="810" spans="2:9" ht="15.75">
      <c r="C810" s="949"/>
      <c r="D810" s="946"/>
      <c r="E810" s="947"/>
      <c r="F810" s="1054"/>
      <c r="G810" s="946"/>
      <c r="H810" s="1031"/>
      <c r="I810" s="948"/>
    </row>
    <row r="811" spans="2:9" ht="15.75">
      <c r="C811" s="951" t="s">
        <v>930</v>
      </c>
      <c r="D811" s="960"/>
      <c r="E811" s="943" t="str">
        <f>+E787</f>
        <v>UD</v>
      </c>
      <c r="F811" s="1070"/>
      <c r="G811" s="960"/>
      <c r="H811" s="1033"/>
      <c r="I811" s="952">
        <f>SUM(I805:I808)</f>
        <v>5900</v>
      </c>
    </row>
    <row r="812" spans="2:9" ht="15.75">
      <c r="C812" s="949"/>
      <c r="D812" s="946"/>
      <c r="E812" s="947"/>
      <c r="F812" s="1054"/>
      <c r="G812" s="946"/>
      <c r="H812" s="1031"/>
      <c r="I812" s="948"/>
    </row>
    <row r="814" spans="2:9" ht="47.25">
      <c r="B814" s="1038">
        <v>1.7</v>
      </c>
      <c r="C814" s="937" t="str">
        <f>+'[49]LISTA VIAS Y PAISAJISMO'!B52</f>
        <v>Estructura TR- 105 (con transformador de distribución tipo poste sumergido en aceite, potencia 15 kva, voltaje 7.2-120/240 v., Ø1)</v>
      </c>
      <c r="D814" s="938"/>
      <c r="E814" s="962" t="str">
        <f>+'[49]LISTA VIAS Y PAISAJISMO'!D52</f>
        <v>UD</v>
      </c>
      <c r="F814" s="1066"/>
      <c r="G814" s="938"/>
      <c r="H814" s="1029"/>
      <c r="I814" s="940">
        <f>I838</f>
        <v>73675</v>
      </c>
    </row>
    <row r="815" spans="2:9" ht="15.75">
      <c r="C815" s="941" t="s">
        <v>908</v>
      </c>
      <c r="D815" s="942" t="s">
        <v>9</v>
      </c>
      <c r="E815" s="943" t="s">
        <v>10</v>
      </c>
      <c r="F815" s="1067" t="s">
        <v>909</v>
      </c>
      <c r="G815" s="942" t="s">
        <v>910</v>
      </c>
      <c r="H815" s="1030" t="s">
        <v>911</v>
      </c>
      <c r="I815" s="944" t="s">
        <v>912</v>
      </c>
    </row>
    <row r="816" spans="2:9" ht="15.75">
      <c r="C816" s="945" t="s">
        <v>913</v>
      </c>
      <c r="D816" s="946"/>
      <c r="E816" s="947"/>
      <c r="F816" s="1054"/>
      <c r="G816" s="946"/>
      <c r="H816" s="1031"/>
      <c r="I816" s="948"/>
    </row>
    <row r="817" spans="3:9" ht="31.5">
      <c r="C817" s="964" t="s">
        <v>980</v>
      </c>
      <c r="D817" s="965">
        <v>1</v>
      </c>
      <c r="E817" s="947" t="str">
        <f>+VLOOKUP(C817,[49]BASICS!B:E,2,FALSE)</f>
        <v>und</v>
      </c>
      <c r="F817" s="1068">
        <f>'Basic (equilibrio) (2)'!$D$363</f>
        <v>73675</v>
      </c>
      <c r="G817" s="946">
        <f>F817-(F817/1.18)</f>
        <v>11238.56</v>
      </c>
      <c r="H817" s="1031"/>
      <c r="I817" s="948">
        <f>D817*F817</f>
        <v>73675</v>
      </c>
    </row>
    <row r="818" spans="3:9" ht="15.75">
      <c r="C818" s="951" t="s">
        <v>918</v>
      </c>
      <c r="D818" s="946"/>
      <c r="E818" s="947"/>
      <c r="F818" s="1068"/>
      <c r="G818" s="946"/>
      <c r="H818" s="1031"/>
      <c r="I818" s="952">
        <f>SUM(I817:I817)</f>
        <v>73675</v>
      </c>
    </row>
    <row r="819" spans="3:9" ht="15.75">
      <c r="C819" s="949"/>
      <c r="D819" s="946"/>
      <c r="E819" s="947"/>
      <c r="F819" s="1068"/>
      <c r="G819" s="946"/>
      <c r="H819" s="1031"/>
      <c r="I819" s="948"/>
    </row>
    <row r="820" spans="3:9" ht="15.75">
      <c r="C820" s="945" t="s">
        <v>919</v>
      </c>
      <c r="D820" s="946"/>
      <c r="E820" s="947"/>
      <c r="F820" s="1068"/>
      <c r="G820" s="946"/>
      <c r="H820" s="1031"/>
      <c r="I820" s="948"/>
    </row>
    <row r="821" spans="3:9" ht="15.75">
      <c r="C821" s="949" t="s">
        <v>924</v>
      </c>
      <c r="D821" s="953"/>
      <c r="E821" s="954" t="str">
        <f>+VLOOKUP(C821,[49]BASICS!B:E,2,FALSE)</f>
        <v>n/a</v>
      </c>
      <c r="F821" s="1068">
        <f>+VLOOKUP(C821,[49]BASICS!B:E,3,FALSE)</f>
        <v>0</v>
      </c>
      <c r="G821" s="946">
        <f>F821-(F821/1.18)</f>
        <v>0</v>
      </c>
      <c r="H821" s="1031"/>
      <c r="I821" s="948">
        <f>D821*F821</f>
        <v>0</v>
      </c>
    </row>
    <row r="822" spans="3:9" ht="15.75">
      <c r="C822" s="951" t="s">
        <v>918</v>
      </c>
      <c r="D822" s="946"/>
      <c r="E822" s="947"/>
      <c r="F822" s="1054"/>
      <c r="G822" s="946"/>
      <c r="H822" s="1031"/>
      <c r="I822" s="952">
        <f>SUM(I821:I821)</f>
        <v>0</v>
      </c>
    </row>
    <row r="823" spans="3:9" ht="15.75">
      <c r="C823" s="949"/>
      <c r="D823" s="946"/>
      <c r="E823" s="947"/>
      <c r="F823" s="1054"/>
      <c r="G823" s="946"/>
      <c r="H823" s="1031"/>
      <c r="I823" s="948"/>
    </row>
    <row r="824" spans="3:9" ht="15.75">
      <c r="C824" s="945" t="s">
        <v>923</v>
      </c>
      <c r="D824" s="946"/>
      <c r="E824" s="947"/>
      <c r="F824" s="1054"/>
      <c r="G824" s="946"/>
      <c r="H824" s="1031"/>
      <c r="I824" s="948"/>
    </row>
    <row r="825" spans="3:9" ht="15.75">
      <c r="C825" s="949" t="s">
        <v>924</v>
      </c>
      <c r="D825" s="946"/>
      <c r="E825" s="947" t="str">
        <f>+VLOOKUP(C825,[49]BASICS!B:E,2,FALSE)</f>
        <v>n/a</v>
      </c>
      <c r="F825" s="1068">
        <f>+VLOOKUP(C825,[49]BASICS!B:E,3,FALSE)</f>
        <v>0</v>
      </c>
      <c r="G825" s="946">
        <f>F825-(F825/1.18)</f>
        <v>0</v>
      </c>
      <c r="H825" s="1031"/>
      <c r="I825" s="948">
        <f>D825*F825</f>
        <v>0</v>
      </c>
    </row>
    <row r="826" spans="3:9" ht="15.75">
      <c r="C826" s="951" t="s">
        <v>918</v>
      </c>
      <c r="D826" s="946"/>
      <c r="E826" s="947"/>
      <c r="F826" s="1054"/>
      <c r="G826" s="946"/>
      <c r="H826" s="1031"/>
      <c r="I826" s="952">
        <f>SUM(I825:I825)</f>
        <v>0</v>
      </c>
    </row>
    <row r="827" spans="3:9" ht="15.75">
      <c r="C827" s="949"/>
      <c r="D827" s="946"/>
      <c r="E827" s="947"/>
      <c r="F827" s="1054"/>
      <c r="G827" s="946"/>
      <c r="H827" s="1031"/>
      <c r="I827" s="948"/>
    </row>
    <row r="828" spans="3:9" ht="15.75">
      <c r="C828" s="945" t="s">
        <v>925</v>
      </c>
      <c r="D828" s="946"/>
      <c r="E828" s="947"/>
      <c r="F828" s="1054"/>
      <c r="G828" s="946"/>
      <c r="H828" s="1031"/>
      <c r="I828" s="948"/>
    </row>
    <row r="829" spans="3:9" ht="15.75">
      <c r="C829" s="949" t="s">
        <v>924</v>
      </c>
      <c r="D829" s="946"/>
      <c r="E829" s="947" t="str">
        <f>VLOOKUP(C829,[50]BASICS!B:D,2,FALSE)</f>
        <v>n/a</v>
      </c>
      <c r="F829" s="1054">
        <f>+VLOOKUP(C829,[49]BASICS!B:E,3,FALSE)</f>
        <v>0</v>
      </c>
      <c r="G829" s="946"/>
      <c r="H829" s="1031"/>
      <c r="I829" s="948">
        <f>D829*F829</f>
        <v>0</v>
      </c>
    </row>
    <row r="830" spans="3:9" ht="15.75">
      <c r="C830" s="951" t="s">
        <v>918</v>
      </c>
      <c r="D830" s="946"/>
      <c r="E830" s="947"/>
      <c r="F830" s="1054"/>
      <c r="G830" s="946"/>
      <c r="H830" s="1031"/>
      <c r="I830" s="952">
        <f>SUM(I829)</f>
        <v>0</v>
      </c>
    </row>
    <row r="831" spans="3:9" ht="15.75">
      <c r="C831" s="951"/>
      <c r="D831" s="946"/>
      <c r="E831" s="947"/>
      <c r="F831" s="1054"/>
      <c r="G831" s="946"/>
      <c r="H831" s="1031"/>
      <c r="I831" s="952"/>
    </row>
    <row r="832" spans="3:9" ht="15.75">
      <c r="C832" s="956" t="s">
        <v>926</v>
      </c>
      <c r="D832" s="957"/>
      <c r="E832" s="958"/>
      <c r="F832" s="1069"/>
      <c r="G832" s="957"/>
      <c r="H832" s="1032"/>
      <c r="I832" s="959">
        <f>+I818</f>
        <v>73675</v>
      </c>
    </row>
    <row r="833" spans="2:9" ht="15.75">
      <c r="C833" s="956" t="s">
        <v>927</v>
      </c>
      <c r="D833" s="957"/>
      <c r="E833" s="958"/>
      <c r="F833" s="1069"/>
      <c r="G833" s="957"/>
      <c r="H833" s="1032"/>
      <c r="I833" s="959">
        <f>+I822</f>
        <v>0</v>
      </c>
    </row>
    <row r="834" spans="2:9" ht="15.75">
      <c r="C834" s="956" t="s">
        <v>928</v>
      </c>
      <c r="D834" s="957"/>
      <c r="E834" s="958"/>
      <c r="F834" s="1069"/>
      <c r="G834" s="957"/>
      <c r="H834" s="1032"/>
      <c r="I834" s="959">
        <f>+I826</f>
        <v>0</v>
      </c>
    </row>
    <row r="835" spans="2:9" ht="15.75">
      <c r="C835" s="956" t="s">
        <v>929</v>
      </c>
      <c r="D835" s="957"/>
      <c r="E835" s="958"/>
      <c r="F835" s="1069"/>
      <c r="G835" s="957"/>
      <c r="H835" s="1032"/>
      <c r="I835" s="959">
        <f>+I830</f>
        <v>0</v>
      </c>
    </row>
    <row r="836" spans="2:9" ht="15.75">
      <c r="C836" s="949"/>
      <c r="D836" s="946"/>
      <c r="E836" s="947"/>
      <c r="F836" s="1054"/>
      <c r="G836" s="946"/>
      <c r="H836" s="1031"/>
      <c r="I836" s="948"/>
    </row>
    <row r="837" spans="2:9" ht="15.75">
      <c r="C837" s="949"/>
      <c r="D837" s="946"/>
      <c r="E837" s="947"/>
      <c r="F837" s="1054"/>
      <c r="G837" s="946"/>
      <c r="H837" s="1031"/>
      <c r="I837" s="948"/>
    </row>
    <row r="838" spans="2:9" ht="15.75">
      <c r="C838" s="951" t="s">
        <v>930</v>
      </c>
      <c r="D838" s="960"/>
      <c r="E838" s="943" t="str">
        <f>+E814</f>
        <v>UD</v>
      </c>
      <c r="F838" s="1070"/>
      <c r="G838" s="960"/>
      <c r="H838" s="1033"/>
      <c r="I838" s="952">
        <f>SUM(I832:I835)</f>
        <v>73675</v>
      </c>
    </row>
    <row r="839" spans="2:9" ht="15.75">
      <c r="C839" s="949"/>
      <c r="D839" s="946"/>
      <c r="E839" s="947"/>
      <c r="F839" s="1054"/>
      <c r="G839" s="946"/>
      <c r="H839" s="1031"/>
      <c r="I839" s="948"/>
    </row>
    <row r="841" spans="2:9" ht="31.5">
      <c r="B841" s="1038">
        <v>1.8</v>
      </c>
      <c r="C841" s="937" t="str">
        <f>+'[49]LISTA VIAS Y PAISAJISMO'!B53</f>
        <v xml:space="preserve">Estructura AP-101 (con lámparas Led tipo Cobra de 200 W, 240 V. </v>
      </c>
      <c r="D841" s="938"/>
      <c r="E841" s="962">
        <f>+'[49]LISTA VIAS Y PAISAJISMO'!D79</f>
        <v>0</v>
      </c>
      <c r="F841" s="1066"/>
      <c r="G841" s="938"/>
      <c r="H841" s="1029"/>
      <c r="I841" s="940">
        <f>I865</f>
        <v>12200</v>
      </c>
    </row>
    <row r="842" spans="2:9" ht="15.75">
      <c r="C842" s="941" t="s">
        <v>908</v>
      </c>
      <c r="D842" s="942" t="s">
        <v>9</v>
      </c>
      <c r="E842" s="943" t="s">
        <v>10</v>
      </c>
      <c r="F842" s="1067" t="s">
        <v>909</v>
      </c>
      <c r="G842" s="942" t="s">
        <v>910</v>
      </c>
      <c r="H842" s="1030" t="s">
        <v>911</v>
      </c>
      <c r="I842" s="944" t="s">
        <v>912</v>
      </c>
    </row>
    <row r="843" spans="2:9" ht="15.75">
      <c r="C843" s="945" t="s">
        <v>913</v>
      </c>
      <c r="D843" s="946"/>
      <c r="E843" s="947"/>
      <c r="F843" s="1054"/>
      <c r="G843" s="946"/>
      <c r="H843" s="1031"/>
      <c r="I843" s="948"/>
    </row>
    <row r="844" spans="2:9" ht="31.5">
      <c r="C844" s="964" t="s">
        <v>981</v>
      </c>
      <c r="D844" s="965">
        <v>1</v>
      </c>
      <c r="E844" s="947" t="str">
        <f>+VLOOKUP(C844,[49]BASICS!B:E,2,FALSE)</f>
        <v>und</v>
      </c>
      <c r="F844" s="1068">
        <f>'Basic (equilibrio) (2)'!$D$364</f>
        <v>9900</v>
      </c>
      <c r="G844" s="946">
        <f>F844-(F844/1.18)</f>
        <v>1510.17</v>
      </c>
      <c r="H844" s="1031"/>
      <c r="I844" s="948">
        <f>D844*F844</f>
        <v>9900</v>
      </c>
    </row>
    <row r="845" spans="2:9" ht="15.75">
      <c r="C845" s="951" t="s">
        <v>918</v>
      </c>
      <c r="D845" s="946"/>
      <c r="E845" s="947"/>
      <c r="F845" s="1068"/>
      <c r="G845" s="946"/>
      <c r="H845" s="1031"/>
      <c r="I845" s="952">
        <f>SUM(I844:I844)</f>
        <v>9900</v>
      </c>
    </row>
    <row r="846" spans="2:9" ht="15.75">
      <c r="C846" s="949"/>
      <c r="D846" s="946"/>
      <c r="E846" s="947"/>
      <c r="F846" s="1068"/>
      <c r="G846" s="946"/>
      <c r="H846" s="1031"/>
      <c r="I846" s="948"/>
    </row>
    <row r="847" spans="2:9" ht="15.75">
      <c r="C847" s="945" t="s">
        <v>919</v>
      </c>
      <c r="D847" s="946"/>
      <c r="E847" s="947"/>
      <c r="F847" s="1068"/>
      <c r="G847" s="946"/>
      <c r="H847" s="1031"/>
      <c r="I847" s="948"/>
    </row>
    <row r="848" spans="2:9" ht="15.75">
      <c r="C848" s="949" t="s">
        <v>982</v>
      </c>
      <c r="D848" s="953">
        <v>1</v>
      </c>
      <c r="E848" s="954" t="str">
        <f>+VLOOKUP(C848,[49]BASICS!B:E,2,FALSE)</f>
        <v>und</v>
      </c>
      <c r="F848" s="1068">
        <f>'Basic (equilibrio) (2)'!$D$365</f>
        <v>2300</v>
      </c>
      <c r="G848" s="946">
        <f>F848-(F848/1.18)</f>
        <v>350.85</v>
      </c>
      <c r="H848" s="1031"/>
      <c r="I848" s="948">
        <f>D848*F848</f>
        <v>2300</v>
      </c>
    </row>
    <row r="849" spans="3:9" ht="15.75">
      <c r="C849" s="951" t="s">
        <v>918</v>
      </c>
      <c r="D849" s="946"/>
      <c r="E849" s="947"/>
      <c r="F849" s="1054"/>
      <c r="G849" s="946"/>
      <c r="H849" s="1031"/>
      <c r="I849" s="952">
        <f>SUM(I848:I848)</f>
        <v>2300</v>
      </c>
    </row>
    <row r="850" spans="3:9" ht="15.75">
      <c r="C850" s="949"/>
      <c r="D850" s="946"/>
      <c r="E850" s="947"/>
      <c r="F850" s="1054"/>
      <c r="G850" s="946"/>
      <c r="H850" s="1031"/>
      <c r="I850" s="948"/>
    </row>
    <row r="851" spans="3:9" ht="15.75">
      <c r="C851" s="945" t="s">
        <v>923</v>
      </c>
      <c r="D851" s="946"/>
      <c r="E851" s="947"/>
      <c r="F851" s="1054"/>
      <c r="G851" s="946"/>
      <c r="H851" s="1031"/>
      <c r="I851" s="948"/>
    </row>
    <row r="852" spans="3:9" ht="15.75">
      <c r="C852" s="949" t="s">
        <v>924</v>
      </c>
      <c r="D852" s="946"/>
      <c r="E852" s="947" t="str">
        <f>+VLOOKUP(C852,[49]BASICS!B:E,2,FALSE)</f>
        <v>n/a</v>
      </c>
      <c r="F852" s="1068">
        <f>+VLOOKUP(C852,[49]BASICS!B:E,3,FALSE)</f>
        <v>0</v>
      </c>
      <c r="G852" s="946">
        <f>F852-(F852/1.18)</f>
        <v>0</v>
      </c>
      <c r="H852" s="1031"/>
      <c r="I852" s="948">
        <f>D852*F852</f>
        <v>0</v>
      </c>
    </row>
    <row r="853" spans="3:9" ht="15.75">
      <c r="C853" s="951" t="s">
        <v>918</v>
      </c>
      <c r="D853" s="946"/>
      <c r="E853" s="947"/>
      <c r="F853" s="1054"/>
      <c r="G853" s="946"/>
      <c r="H853" s="1031"/>
      <c r="I853" s="952">
        <f>SUM(I852:I852)</f>
        <v>0</v>
      </c>
    </row>
    <row r="854" spans="3:9" ht="15.75">
      <c r="C854" s="949"/>
      <c r="D854" s="946"/>
      <c r="E854" s="947"/>
      <c r="F854" s="1054"/>
      <c r="G854" s="946"/>
      <c r="H854" s="1031"/>
      <c r="I854" s="948"/>
    </row>
    <row r="855" spans="3:9" ht="15.75">
      <c r="C855" s="945" t="s">
        <v>925</v>
      </c>
      <c r="D855" s="946"/>
      <c r="E855" s="947"/>
      <c r="F855" s="1054"/>
      <c r="G855" s="946"/>
      <c r="H855" s="1031"/>
      <c r="I855" s="948"/>
    </row>
    <row r="856" spans="3:9" ht="15.75">
      <c r="C856" s="949" t="s">
        <v>924</v>
      </c>
      <c r="D856" s="946"/>
      <c r="E856" s="947" t="str">
        <f>VLOOKUP(C856,[50]BASICS!B:D,2,FALSE)</f>
        <v>n/a</v>
      </c>
      <c r="F856" s="1054">
        <f>+VLOOKUP(C856,[49]BASICS!B:E,3,FALSE)</f>
        <v>0</v>
      </c>
      <c r="G856" s="946"/>
      <c r="H856" s="1031"/>
      <c r="I856" s="948">
        <f>D856*F856</f>
        <v>0</v>
      </c>
    </row>
    <row r="857" spans="3:9" ht="15.75">
      <c r="C857" s="951" t="s">
        <v>918</v>
      </c>
      <c r="D857" s="946"/>
      <c r="E857" s="947"/>
      <c r="F857" s="1054"/>
      <c r="G857" s="946"/>
      <c r="H857" s="1031"/>
      <c r="I857" s="952">
        <f>SUM(I856)</f>
        <v>0</v>
      </c>
    </row>
    <row r="858" spans="3:9" ht="15.75">
      <c r="C858" s="951"/>
      <c r="D858" s="946"/>
      <c r="E858" s="947"/>
      <c r="F858" s="1054"/>
      <c r="G858" s="946"/>
      <c r="H858" s="1031"/>
      <c r="I858" s="952"/>
    </row>
    <row r="859" spans="3:9" ht="15.75">
      <c r="C859" s="956" t="s">
        <v>926</v>
      </c>
      <c r="D859" s="957"/>
      <c r="E859" s="958"/>
      <c r="F859" s="1069"/>
      <c r="G859" s="957"/>
      <c r="H859" s="1032"/>
      <c r="I859" s="959">
        <f>+I845</f>
        <v>9900</v>
      </c>
    </row>
    <row r="860" spans="3:9" ht="15.75">
      <c r="C860" s="956" t="s">
        <v>927</v>
      </c>
      <c r="D860" s="957"/>
      <c r="E860" s="958"/>
      <c r="F860" s="1069"/>
      <c r="G860" s="957"/>
      <c r="H860" s="1032"/>
      <c r="I860" s="959">
        <f>+I849</f>
        <v>2300</v>
      </c>
    </row>
    <row r="861" spans="3:9" ht="15.75">
      <c r="C861" s="956" t="s">
        <v>928</v>
      </c>
      <c r="D861" s="957"/>
      <c r="E861" s="958"/>
      <c r="F861" s="1069"/>
      <c r="G861" s="957"/>
      <c r="H861" s="1032"/>
      <c r="I861" s="959">
        <f>+I853</f>
        <v>0</v>
      </c>
    </row>
    <row r="862" spans="3:9" ht="15.75">
      <c r="C862" s="956" t="s">
        <v>929</v>
      </c>
      <c r="D862" s="957"/>
      <c r="E862" s="958"/>
      <c r="F862" s="1069"/>
      <c r="G862" s="957"/>
      <c r="H862" s="1032"/>
      <c r="I862" s="959">
        <f>+I857</f>
        <v>0</v>
      </c>
    </row>
    <row r="863" spans="3:9" ht="15.75">
      <c r="C863" s="949"/>
      <c r="D863" s="946"/>
      <c r="E863" s="947"/>
      <c r="F863" s="1054"/>
      <c r="G863" s="946"/>
      <c r="H863" s="1031"/>
      <c r="I863" s="948"/>
    </row>
    <row r="864" spans="3:9" ht="15.75">
      <c r="C864" s="949"/>
      <c r="D864" s="946"/>
      <c r="E864" s="947"/>
      <c r="F864" s="1054"/>
      <c r="G864" s="946"/>
      <c r="H864" s="1031"/>
      <c r="I864" s="948"/>
    </row>
    <row r="865" spans="2:9" ht="15.75">
      <c r="C865" s="951" t="s">
        <v>930</v>
      </c>
      <c r="D865" s="960"/>
      <c r="E865" s="943">
        <f>+E841</f>
        <v>0</v>
      </c>
      <c r="F865" s="1070"/>
      <c r="G865" s="960"/>
      <c r="H865" s="1033"/>
      <c r="I865" s="952">
        <f>SUM(I859:I862)</f>
        <v>12200</v>
      </c>
    </row>
    <row r="866" spans="2:9" ht="15.75">
      <c r="C866" s="949"/>
      <c r="D866" s="946"/>
      <c r="E866" s="947"/>
      <c r="F866" s="1054"/>
      <c r="G866" s="946"/>
      <c r="H866" s="1031"/>
      <c r="I866" s="948"/>
    </row>
    <row r="868" spans="2:9" ht="31.5">
      <c r="B868" s="1038">
        <v>1.9</v>
      </c>
      <c r="C868" s="937" t="str">
        <f>+'[49]LISTA VIAS Y PAISAJISMO'!B54</f>
        <v>Alimentador eléctrico para iluminación con alambre triplex no. 2</v>
      </c>
      <c r="D868" s="938"/>
      <c r="E868" s="962" t="str">
        <f>+'[49]LISTA VIAS Y PAISAJISMO'!D54</f>
        <v>PIES</v>
      </c>
      <c r="F868" s="1066"/>
      <c r="G868" s="938"/>
      <c r="H868" s="1029"/>
      <c r="I868" s="940">
        <f>I892</f>
        <v>75.2</v>
      </c>
    </row>
    <row r="869" spans="2:9" ht="15.75">
      <c r="C869" s="941" t="s">
        <v>908</v>
      </c>
      <c r="D869" s="942" t="s">
        <v>9</v>
      </c>
      <c r="E869" s="943" t="s">
        <v>10</v>
      </c>
      <c r="F869" s="1067" t="s">
        <v>909</v>
      </c>
      <c r="G869" s="942" t="s">
        <v>910</v>
      </c>
      <c r="H869" s="1030" t="s">
        <v>911</v>
      </c>
      <c r="I869" s="944" t="s">
        <v>912</v>
      </c>
    </row>
    <row r="870" spans="2:9" ht="15.75">
      <c r="C870" s="945" t="s">
        <v>913</v>
      </c>
      <c r="D870" s="946"/>
      <c r="E870" s="947"/>
      <c r="F870" s="1054"/>
      <c r="G870" s="946"/>
      <c r="H870" s="1031"/>
      <c r="I870" s="948"/>
    </row>
    <row r="871" spans="2:9" ht="15.75">
      <c r="C871" s="964" t="s">
        <v>983</v>
      </c>
      <c r="D871" s="965">
        <v>1</v>
      </c>
      <c r="E871" s="947" t="str">
        <f>+VLOOKUP(C871,[49]BASICS!B:E,2,FALSE)</f>
        <v>Pie</v>
      </c>
      <c r="F871" s="1068">
        <f>'Basic (equilibrio) (2)'!$D$366</f>
        <v>75.2</v>
      </c>
      <c r="G871" s="946">
        <f>F871-(F871/1.18)</f>
        <v>11.47</v>
      </c>
      <c r="H871" s="1031"/>
      <c r="I871" s="948">
        <f>D871*F871</f>
        <v>75.2</v>
      </c>
    </row>
    <row r="872" spans="2:9" ht="15.75">
      <c r="C872" s="951" t="s">
        <v>918</v>
      </c>
      <c r="D872" s="946"/>
      <c r="E872" s="947"/>
      <c r="F872" s="1068"/>
      <c r="G872" s="946"/>
      <c r="H872" s="1031"/>
      <c r="I872" s="952">
        <f>SUM(I871:I871)</f>
        <v>75.2</v>
      </c>
    </row>
    <row r="873" spans="2:9" ht="15.75">
      <c r="C873" s="949"/>
      <c r="D873" s="946"/>
      <c r="E873" s="947"/>
      <c r="F873" s="1068"/>
      <c r="G873" s="946"/>
      <c r="H873" s="1031"/>
      <c r="I873" s="948"/>
    </row>
    <row r="874" spans="2:9" ht="15.75">
      <c r="C874" s="945" t="s">
        <v>919</v>
      </c>
      <c r="D874" s="946"/>
      <c r="E874" s="947"/>
      <c r="F874" s="1068"/>
      <c r="G874" s="946"/>
      <c r="H874" s="1031"/>
      <c r="I874" s="948"/>
    </row>
    <row r="875" spans="2:9" ht="15.75">
      <c r="C875" s="949" t="s">
        <v>924</v>
      </c>
      <c r="D875" s="953"/>
      <c r="E875" s="954" t="str">
        <f>+VLOOKUP(C875,[49]BASICS!B:E,2,FALSE)</f>
        <v>n/a</v>
      </c>
      <c r="F875" s="1068">
        <f>+VLOOKUP(C875,[49]BASICS!B:E,3,FALSE)</f>
        <v>0</v>
      </c>
      <c r="G875" s="946">
        <f>F875-(F875/1.18)</f>
        <v>0</v>
      </c>
      <c r="H875" s="1031"/>
      <c r="I875" s="948">
        <f>D875*F875</f>
        <v>0</v>
      </c>
    </row>
    <row r="876" spans="2:9" ht="15.75">
      <c r="C876" s="951" t="s">
        <v>918</v>
      </c>
      <c r="D876" s="946"/>
      <c r="E876" s="947"/>
      <c r="F876" s="1054"/>
      <c r="G876" s="946"/>
      <c r="H876" s="1031"/>
      <c r="I876" s="952">
        <f>SUM(I875:I875)</f>
        <v>0</v>
      </c>
    </row>
    <row r="877" spans="2:9" ht="15.75">
      <c r="C877" s="949"/>
      <c r="D877" s="946"/>
      <c r="E877" s="947"/>
      <c r="F877" s="1054"/>
      <c r="G877" s="946"/>
      <c r="H877" s="1031"/>
      <c r="I877" s="948"/>
    </row>
    <row r="878" spans="2:9" ht="15.75">
      <c r="C878" s="945" t="s">
        <v>923</v>
      </c>
      <c r="D878" s="946"/>
      <c r="E878" s="947"/>
      <c r="F878" s="1054"/>
      <c r="G878" s="946"/>
      <c r="H878" s="1031"/>
      <c r="I878" s="948"/>
    </row>
    <row r="879" spans="2:9" ht="15.75">
      <c r="C879" s="949" t="s">
        <v>924</v>
      </c>
      <c r="D879" s="946"/>
      <c r="E879" s="947" t="str">
        <f>+VLOOKUP(C879,[49]BASICS!B:E,2,FALSE)</f>
        <v>n/a</v>
      </c>
      <c r="F879" s="1068">
        <f>+VLOOKUP(C879,[49]BASICS!B:E,3,FALSE)</f>
        <v>0</v>
      </c>
      <c r="G879" s="946">
        <f>F879-(F879/1.18)</f>
        <v>0</v>
      </c>
      <c r="H879" s="1031"/>
      <c r="I879" s="948">
        <f>D879*F879</f>
        <v>0</v>
      </c>
    </row>
    <row r="880" spans="2:9" ht="15.75">
      <c r="C880" s="951" t="s">
        <v>918</v>
      </c>
      <c r="D880" s="946"/>
      <c r="E880" s="947"/>
      <c r="F880" s="1054"/>
      <c r="G880" s="946"/>
      <c r="H880" s="1031"/>
      <c r="I880" s="952">
        <f>SUM(I879:I879)</f>
        <v>0</v>
      </c>
    </row>
    <row r="881" spans="2:9" ht="15.75">
      <c r="C881" s="949"/>
      <c r="D881" s="946"/>
      <c r="E881" s="947"/>
      <c r="F881" s="1054"/>
      <c r="G881" s="946"/>
      <c r="H881" s="1031"/>
      <c r="I881" s="948"/>
    </row>
    <row r="882" spans="2:9" ht="15.75">
      <c r="C882" s="945" t="s">
        <v>925</v>
      </c>
      <c r="D882" s="946"/>
      <c r="E882" s="947"/>
      <c r="F882" s="1054"/>
      <c r="G882" s="946"/>
      <c r="H882" s="1031"/>
      <c r="I882" s="948"/>
    </row>
    <row r="883" spans="2:9" ht="15.75">
      <c r="C883" s="949" t="s">
        <v>924</v>
      </c>
      <c r="D883" s="946"/>
      <c r="E883" s="947" t="str">
        <f>VLOOKUP(C883,[50]BASICS!B:D,2,FALSE)</f>
        <v>n/a</v>
      </c>
      <c r="F883" s="1054">
        <f>+VLOOKUP(C883,[49]BASICS!B:E,3,FALSE)</f>
        <v>0</v>
      </c>
      <c r="G883" s="946"/>
      <c r="H883" s="1031"/>
      <c r="I883" s="948">
        <f>D883*F883</f>
        <v>0</v>
      </c>
    </row>
    <row r="884" spans="2:9" ht="15.75">
      <c r="C884" s="951" t="s">
        <v>918</v>
      </c>
      <c r="D884" s="946"/>
      <c r="E884" s="947"/>
      <c r="F884" s="1054"/>
      <c r="G884" s="946"/>
      <c r="H884" s="1031"/>
      <c r="I884" s="952">
        <f>SUM(I883)</f>
        <v>0</v>
      </c>
    </row>
    <row r="885" spans="2:9" ht="15.75">
      <c r="C885" s="951"/>
      <c r="D885" s="946"/>
      <c r="E885" s="947"/>
      <c r="F885" s="1054"/>
      <c r="G885" s="946"/>
      <c r="H885" s="1031"/>
      <c r="I885" s="952"/>
    </row>
    <row r="886" spans="2:9" ht="15.75">
      <c r="C886" s="956" t="s">
        <v>926</v>
      </c>
      <c r="D886" s="957"/>
      <c r="E886" s="958"/>
      <c r="F886" s="1069"/>
      <c r="G886" s="957"/>
      <c r="H886" s="1032"/>
      <c r="I886" s="959">
        <f>+I872</f>
        <v>75.2</v>
      </c>
    </row>
    <row r="887" spans="2:9" ht="15.75">
      <c r="C887" s="956" t="s">
        <v>927</v>
      </c>
      <c r="D887" s="957"/>
      <c r="E887" s="958"/>
      <c r="F887" s="1069"/>
      <c r="G887" s="957"/>
      <c r="H887" s="1032"/>
      <c r="I887" s="959">
        <f>+I876</f>
        <v>0</v>
      </c>
    </row>
    <row r="888" spans="2:9" ht="15.75">
      <c r="C888" s="956" t="s">
        <v>928</v>
      </c>
      <c r="D888" s="957"/>
      <c r="E888" s="958"/>
      <c r="F888" s="1069"/>
      <c r="G888" s="957"/>
      <c r="H888" s="1032"/>
      <c r="I888" s="959">
        <f>+I880</f>
        <v>0</v>
      </c>
    </row>
    <row r="889" spans="2:9" ht="15.75">
      <c r="C889" s="956" t="s">
        <v>929</v>
      </c>
      <c r="D889" s="957"/>
      <c r="E889" s="958"/>
      <c r="F889" s="1069"/>
      <c r="G889" s="957"/>
      <c r="H889" s="1032"/>
      <c r="I889" s="959">
        <f>+I884</f>
        <v>0</v>
      </c>
    </row>
    <row r="890" spans="2:9" ht="15.75">
      <c r="C890" s="949"/>
      <c r="D890" s="946"/>
      <c r="E890" s="947"/>
      <c r="F890" s="1054"/>
      <c r="G890" s="946"/>
      <c r="H890" s="1031"/>
      <c r="I890" s="948"/>
    </row>
    <row r="891" spans="2:9" ht="15.75">
      <c r="C891" s="949"/>
      <c r="D891" s="946"/>
      <c r="E891" s="947"/>
      <c r="F891" s="1054"/>
      <c r="G891" s="946"/>
      <c r="H891" s="1031"/>
      <c r="I891" s="948"/>
    </row>
    <row r="892" spans="2:9" ht="15.75">
      <c r="C892" s="951" t="s">
        <v>930</v>
      </c>
      <c r="D892" s="960"/>
      <c r="E892" s="943" t="str">
        <f>+E868</f>
        <v>PIES</v>
      </c>
      <c r="F892" s="1070"/>
      <c r="G892" s="960"/>
      <c r="H892" s="1033"/>
      <c r="I892" s="952">
        <f>SUM(I886:I889)</f>
        <v>75.2</v>
      </c>
    </row>
    <row r="893" spans="2:9" ht="15.75">
      <c r="C893" s="949"/>
      <c r="D893" s="946"/>
      <c r="E893" s="947"/>
      <c r="F893" s="1054"/>
      <c r="G893" s="946"/>
      <c r="H893" s="1031"/>
      <c r="I893" s="948"/>
    </row>
    <row r="895" spans="2:9" ht="15.75">
      <c r="B895" s="1040">
        <v>1.1000000000000001</v>
      </c>
      <c r="C895" s="937" t="str">
        <f>+'[49]LISTA VIAS Y PAISAJISMO'!B55</f>
        <v>Hoyos para postes</v>
      </c>
      <c r="D895" s="938"/>
      <c r="E895" s="962" t="str">
        <f>+'[49]LISTA VIAS Y PAISAJISMO'!D55</f>
        <v>UD</v>
      </c>
      <c r="F895" s="1066"/>
      <c r="G895" s="938"/>
      <c r="H895" s="1029"/>
      <c r="I895" s="940">
        <f>I919</f>
        <v>3000</v>
      </c>
    </row>
    <row r="896" spans="2:9" ht="15.75">
      <c r="C896" s="941" t="s">
        <v>908</v>
      </c>
      <c r="D896" s="942" t="s">
        <v>9</v>
      </c>
      <c r="E896" s="943" t="s">
        <v>10</v>
      </c>
      <c r="F896" s="1067" t="s">
        <v>909</v>
      </c>
      <c r="G896" s="942" t="s">
        <v>910</v>
      </c>
      <c r="H896" s="1030" t="s">
        <v>911</v>
      </c>
      <c r="I896" s="944" t="s">
        <v>912</v>
      </c>
    </row>
    <row r="897" spans="3:9" ht="15.75">
      <c r="C897" s="945" t="s">
        <v>913</v>
      </c>
      <c r="D897" s="946"/>
      <c r="E897" s="947"/>
      <c r="F897" s="1054"/>
      <c r="G897" s="946"/>
      <c r="H897" s="1031"/>
      <c r="I897" s="948"/>
    </row>
    <row r="898" spans="3:9" ht="15.75">
      <c r="C898" s="964" t="s">
        <v>924</v>
      </c>
      <c r="D898" s="965"/>
      <c r="E898" s="947" t="str">
        <f>+VLOOKUP(C898,[49]BASICS!B:E,2,FALSE)</f>
        <v>n/a</v>
      </c>
      <c r="F898" s="1068">
        <f>+VLOOKUP(C898,[49]BASICS!B:E,3,FALSE)</f>
        <v>0</v>
      </c>
      <c r="G898" s="946">
        <f>F898-(F898/1.18)</f>
        <v>0</v>
      </c>
      <c r="H898" s="1031"/>
      <c r="I898" s="948">
        <f>D898*F898</f>
        <v>0</v>
      </c>
    </row>
    <row r="899" spans="3:9" ht="15.75">
      <c r="C899" s="951" t="s">
        <v>918</v>
      </c>
      <c r="D899" s="946"/>
      <c r="E899" s="947"/>
      <c r="F899" s="1068"/>
      <c r="G899" s="946"/>
      <c r="H899" s="1031"/>
      <c r="I899" s="952">
        <f>SUM(I898:I898)</f>
        <v>0</v>
      </c>
    </row>
    <row r="900" spans="3:9" ht="15.75">
      <c r="C900" s="949"/>
      <c r="D900" s="946"/>
      <c r="E900" s="947"/>
      <c r="F900" s="1068"/>
      <c r="G900" s="946"/>
      <c r="H900" s="1031"/>
      <c r="I900" s="948"/>
    </row>
    <row r="901" spans="3:9" ht="15.75">
      <c r="C901" s="945" t="s">
        <v>919</v>
      </c>
      <c r="D901" s="946"/>
      <c r="E901" s="947"/>
      <c r="F901" s="1068"/>
      <c r="G901" s="946"/>
      <c r="H901" s="1031"/>
      <c r="I901" s="948"/>
    </row>
    <row r="902" spans="3:9" ht="15.75">
      <c r="C902" s="949" t="s">
        <v>984</v>
      </c>
      <c r="D902" s="953">
        <v>1</v>
      </c>
      <c r="E902" s="954" t="str">
        <f>+VLOOKUP(C902,[49]BASICS!B:E,2,FALSE)</f>
        <v>und</v>
      </c>
      <c r="F902" s="1068">
        <f>+'Basic (equilibrio) (2)'!$D$55</f>
        <v>3000</v>
      </c>
      <c r="G902" s="946">
        <f>F902-(F902/1.18)</f>
        <v>457.63</v>
      </c>
      <c r="H902" s="1031"/>
      <c r="I902" s="948">
        <f>D902*F902</f>
        <v>3000</v>
      </c>
    </row>
    <row r="903" spans="3:9" ht="15.75">
      <c r="C903" s="951" t="s">
        <v>918</v>
      </c>
      <c r="D903" s="946"/>
      <c r="E903" s="947"/>
      <c r="F903" s="1054"/>
      <c r="G903" s="946"/>
      <c r="H903" s="1031"/>
      <c r="I903" s="952">
        <f>SUM(I902:I902)</f>
        <v>3000</v>
      </c>
    </row>
    <row r="904" spans="3:9" ht="15.75">
      <c r="C904" s="949"/>
      <c r="D904" s="946"/>
      <c r="E904" s="947"/>
      <c r="F904" s="1054"/>
      <c r="G904" s="946"/>
      <c r="H904" s="1031"/>
      <c r="I904" s="948"/>
    </row>
    <row r="905" spans="3:9" ht="15.75">
      <c r="C905" s="945" t="s">
        <v>923</v>
      </c>
      <c r="D905" s="946"/>
      <c r="E905" s="947"/>
      <c r="F905" s="1054"/>
      <c r="G905" s="946"/>
      <c r="H905" s="1031"/>
      <c r="I905" s="948"/>
    </row>
    <row r="906" spans="3:9" ht="15.75">
      <c r="C906" s="949" t="s">
        <v>924</v>
      </c>
      <c r="D906" s="946"/>
      <c r="E906" s="947" t="str">
        <f>+VLOOKUP(C906,[49]BASICS!B:E,2,FALSE)</f>
        <v>n/a</v>
      </c>
      <c r="F906" s="1068">
        <f>+VLOOKUP(C906,[49]BASICS!B:E,3,FALSE)</f>
        <v>0</v>
      </c>
      <c r="G906" s="946">
        <f>F906-(F906/1.18)</f>
        <v>0</v>
      </c>
      <c r="H906" s="1031"/>
      <c r="I906" s="948">
        <f>D906*F906</f>
        <v>0</v>
      </c>
    </row>
    <row r="907" spans="3:9" ht="15.75">
      <c r="C907" s="951" t="s">
        <v>918</v>
      </c>
      <c r="D907" s="946"/>
      <c r="E907" s="947"/>
      <c r="F907" s="1054"/>
      <c r="G907" s="946"/>
      <c r="H907" s="1031"/>
      <c r="I907" s="952">
        <f>SUM(I906:I906)</f>
        <v>0</v>
      </c>
    </row>
    <row r="908" spans="3:9" ht="15.75">
      <c r="C908" s="949"/>
      <c r="D908" s="946"/>
      <c r="E908" s="947"/>
      <c r="F908" s="1054"/>
      <c r="G908" s="946"/>
      <c r="H908" s="1031"/>
      <c r="I908" s="948"/>
    </row>
    <row r="909" spans="3:9" ht="15.75">
      <c r="C909" s="945" t="s">
        <v>925</v>
      </c>
      <c r="D909" s="946"/>
      <c r="E909" s="947"/>
      <c r="F909" s="1054"/>
      <c r="G909" s="946"/>
      <c r="H909" s="1031"/>
      <c r="I909" s="948"/>
    </row>
    <row r="910" spans="3:9" ht="15.75">
      <c r="C910" s="949" t="s">
        <v>924</v>
      </c>
      <c r="D910" s="946"/>
      <c r="E910" s="947" t="str">
        <f>VLOOKUP(C910,[50]BASICS!B:D,2,FALSE)</f>
        <v>n/a</v>
      </c>
      <c r="F910" s="1054">
        <f>+VLOOKUP(C910,[49]BASICS!B:E,3,FALSE)</f>
        <v>0</v>
      </c>
      <c r="G910" s="946"/>
      <c r="H910" s="1031"/>
      <c r="I910" s="948">
        <f>D910*F910</f>
        <v>0</v>
      </c>
    </row>
    <row r="911" spans="3:9" ht="15.75">
      <c r="C911" s="951" t="s">
        <v>918</v>
      </c>
      <c r="D911" s="946"/>
      <c r="E911" s="947"/>
      <c r="F911" s="1054"/>
      <c r="G911" s="946"/>
      <c r="H911" s="1031"/>
      <c r="I911" s="952">
        <f>SUM(I910)</f>
        <v>0</v>
      </c>
    </row>
    <row r="912" spans="3:9" ht="15.75">
      <c r="C912" s="951"/>
      <c r="D912" s="946"/>
      <c r="E912" s="947"/>
      <c r="F912" s="1054"/>
      <c r="G912" s="946"/>
      <c r="H912" s="1031"/>
      <c r="I912" s="952"/>
    </row>
    <row r="913" spans="2:9" ht="15.75">
      <c r="C913" s="956" t="s">
        <v>926</v>
      </c>
      <c r="D913" s="957"/>
      <c r="E913" s="958"/>
      <c r="F913" s="1069"/>
      <c r="G913" s="957"/>
      <c r="H913" s="1032"/>
      <c r="I913" s="959">
        <f>+I899</f>
        <v>0</v>
      </c>
    </row>
    <row r="914" spans="2:9" ht="15.75">
      <c r="C914" s="956" t="s">
        <v>927</v>
      </c>
      <c r="D914" s="957"/>
      <c r="E914" s="958"/>
      <c r="F914" s="1069"/>
      <c r="G914" s="957"/>
      <c r="H914" s="1032"/>
      <c r="I914" s="959">
        <f>+I903</f>
        <v>3000</v>
      </c>
    </row>
    <row r="915" spans="2:9" ht="15.75">
      <c r="C915" s="956" t="s">
        <v>928</v>
      </c>
      <c r="D915" s="957"/>
      <c r="E915" s="958"/>
      <c r="F915" s="1069"/>
      <c r="G915" s="957"/>
      <c r="H915" s="1032"/>
      <c r="I915" s="959">
        <f>+I907</f>
        <v>0</v>
      </c>
    </row>
    <row r="916" spans="2:9" ht="15.75">
      <c r="C916" s="956" t="s">
        <v>929</v>
      </c>
      <c r="D916" s="957"/>
      <c r="E916" s="958"/>
      <c r="F916" s="1069"/>
      <c r="G916" s="957"/>
      <c r="H916" s="1032"/>
      <c r="I916" s="959">
        <f>+I911</f>
        <v>0</v>
      </c>
    </row>
    <row r="917" spans="2:9" ht="15.75">
      <c r="C917" s="949"/>
      <c r="D917" s="946"/>
      <c r="E917" s="947"/>
      <c r="F917" s="1054"/>
      <c r="G917" s="946"/>
      <c r="H917" s="1031"/>
      <c r="I917" s="948"/>
    </row>
    <row r="918" spans="2:9" ht="15.75">
      <c r="C918" s="949"/>
      <c r="D918" s="946"/>
      <c r="E918" s="947"/>
      <c r="F918" s="1054"/>
      <c r="G918" s="946"/>
      <c r="H918" s="1031"/>
      <c r="I918" s="948"/>
    </row>
    <row r="919" spans="2:9" ht="15.75">
      <c r="C919" s="951" t="s">
        <v>930</v>
      </c>
      <c r="D919" s="960"/>
      <c r="E919" s="943" t="str">
        <f>+E895</f>
        <v>UD</v>
      </c>
      <c r="F919" s="1070"/>
      <c r="G919" s="960"/>
      <c r="H919" s="1033"/>
      <c r="I919" s="952">
        <f>SUM(I913:I916)</f>
        <v>3000</v>
      </c>
    </row>
    <row r="920" spans="2:9" ht="15.75">
      <c r="C920" s="949"/>
      <c r="D920" s="946"/>
      <c r="E920" s="947"/>
      <c r="F920" s="1054"/>
      <c r="G920" s="946"/>
      <c r="H920" s="1031"/>
      <c r="I920" s="948"/>
    </row>
    <row r="922" spans="2:9" ht="15.75">
      <c r="B922" s="1040">
        <v>1.1100000000000001</v>
      </c>
      <c r="C922" s="937" t="str">
        <f>+'[49]LISTA VIAS Y PAISAJISMO'!B56</f>
        <v>Instalación de postes</v>
      </c>
      <c r="D922" s="938"/>
      <c r="E922" s="962" t="str">
        <f>+'[49]LISTA VIAS Y PAISAJISMO'!D56</f>
        <v>UD</v>
      </c>
      <c r="F922" s="1066"/>
      <c r="G922" s="938"/>
      <c r="H922" s="1029"/>
      <c r="I922" s="940">
        <f>I946</f>
        <v>7000</v>
      </c>
    </row>
    <row r="923" spans="2:9" ht="15.75">
      <c r="C923" s="941" t="s">
        <v>908</v>
      </c>
      <c r="D923" s="942" t="s">
        <v>9</v>
      </c>
      <c r="E923" s="943" t="s">
        <v>10</v>
      </c>
      <c r="F923" s="1067" t="s">
        <v>909</v>
      </c>
      <c r="G923" s="942" t="s">
        <v>910</v>
      </c>
      <c r="H923" s="1030" t="s">
        <v>911</v>
      </c>
      <c r="I923" s="944" t="s">
        <v>912</v>
      </c>
    </row>
    <row r="924" spans="2:9" ht="15.75">
      <c r="C924" s="945" t="s">
        <v>913</v>
      </c>
      <c r="D924" s="946"/>
      <c r="E924" s="947"/>
      <c r="F924" s="1054"/>
      <c r="G924" s="946"/>
      <c r="H924" s="1031"/>
      <c r="I924" s="948"/>
    </row>
    <row r="925" spans="2:9" ht="15.75">
      <c r="C925" s="964" t="s">
        <v>924</v>
      </c>
      <c r="D925" s="965"/>
      <c r="E925" s="947" t="str">
        <f>+VLOOKUP(C925,[49]BASICS!B:E,2,FALSE)</f>
        <v>n/a</v>
      </c>
      <c r="F925" s="1068">
        <f>+VLOOKUP(C925,[49]BASICS!B:E,3,FALSE)</f>
        <v>0</v>
      </c>
      <c r="G925" s="946">
        <f>F925-(F925/1.18)</f>
        <v>0</v>
      </c>
      <c r="H925" s="1031"/>
      <c r="I925" s="948">
        <f>D925*F925</f>
        <v>0</v>
      </c>
    </row>
    <row r="926" spans="2:9" ht="15.75">
      <c r="C926" s="951" t="s">
        <v>918</v>
      </c>
      <c r="D926" s="946"/>
      <c r="E926" s="947"/>
      <c r="F926" s="1068"/>
      <c r="G926" s="946"/>
      <c r="H926" s="1031"/>
      <c r="I926" s="952">
        <f>SUM(I925:I925)</f>
        <v>0</v>
      </c>
    </row>
    <row r="927" spans="2:9" ht="15.75">
      <c r="C927" s="949"/>
      <c r="D927" s="946"/>
      <c r="E927" s="947"/>
      <c r="F927" s="1068"/>
      <c r="G927" s="946"/>
      <c r="H927" s="1031"/>
      <c r="I927" s="948"/>
    </row>
    <row r="928" spans="2:9" ht="15.75">
      <c r="C928" s="945" t="s">
        <v>919</v>
      </c>
      <c r="D928" s="946"/>
      <c r="E928" s="947"/>
      <c r="F928" s="1068"/>
      <c r="G928" s="946"/>
      <c r="H928" s="1031"/>
      <c r="I928" s="948"/>
    </row>
    <row r="929" spans="3:9" ht="15.75">
      <c r="C929" s="949" t="s">
        <v>985</v>
      </c>
      <c r="D929" s="953">
        <v>1</v>
      </c>
      <c r="E929" s="954" t="str">
        <f>+VLOOKUP(C929,[49]BASICS!B:E,2,FALSE)</f>
        <v>und</v>
      </c>
      <c r="F929" s="1068">
        <f>+'Basic (equilibrio) (2)'!$D$458</f>
        <v>7000</v>
      </c>
      <c r="G929" s="946">
        <f>F929-(F929/1.18)</f>
        <v>1067.8</v>
      </c>
      <c r="H929" s="1031"/>
      <c r="I929" s="948">
        <f>D929*F929</f>
        <v>7000</v>
      </c>
    </row>
    <row r="930" spans="3:9" ht="15.75">
      <c r="C930" s="951" t="s">
        <v>918</v>
      </c>
      <c r="D930" s="946"/>
      <c r="E930" s="947"/>
      <c r="F930" s="1054"/>
      <c r="G930" s="946"/>
      <c r="H930" s="1031"/>
      <c r="I930" s="952">
        <f>SUM(I929:I929)</f>
        <v>7000</v>
      </c>
    </row>
    <row r="931" spans="3:9" ht="15.75">
      <c r="C931" s="949"/>
      <c r="D931" s="946"/>
      <c r="E931" s="947"/>
      <c r="F931" s="1054"/>
      <c r="G931" s="946"/>
      <c r="H931" s="1031"/>
      <c r="I931" s="948"/>
    </row>
    <row r="932" spans="3:9" ht="15.75">
      <c r="C932" s="945" t="s">
        <v>923</v>
      </c>
      <c r="D932" s="946"/>
      <c r="E932" s="947"/>
      <c r="F932" s="1054"/>
      <c r="G932" s="946"/>
      <c r="H932" s="1031"/>
      <c r="I932" s="948"/>
    </row>
    <row r="933" spans="3:9" ht="15.75">
      <c r="C933" s="949" t="s">
        <v>924</v>
      </c>
      <c r="D933" s="946"/>
      <c r="E933" s="947" t="str">
        <f>+VLOOKUP(C933,[49]BASICS!B:E,2,FALSE)</f>
        <v>n/a</v>
      </c>
      <c r="F933" s="1068">
        <f>+VLOOKUP(C933,[49]BASICS!B:E,3,FALSE)</f>
        <v>0</v>
      </c>
      <c r="G933" s="946">
        <f>F933-(F933/1.18)</f>
        <v>0</v>
      </c>
      <c r="H933" s="1031"/>
      <c r="I933" s="948">
        <f>D933*F933</f>
        <v>0</v>
      </c>
    </row>
    <row r="934" spans="3:9" ht="15.75">
      <c r="C934" s="951" t="s">
        <v>918</v>
      </c>
      <c r="D934" s="946"/>
      <c r="E934" s="947"/>
      <c r="F934" s="1054"/>
      <c r="G934" s="946"/>
      <c r="H934" s="1031"/>
      <c r="I934" s="952">
        <f>SUM(I933:I933)</f>
        <v>0</v>
      </c>
    </row>
    <row r="935" spans="3:9" ht="15.75">
      <c r="C935" s="949"/>
      <c r="D935" s="946"/>
      <c r="E935" s="947"/>
      <c r="F935" s="1054"/>
      <c r="G935" s="946"/>
      <c r="H935" s="1031"/>
      <c r="I935" s="948"/>
    </row>
    <row r="936" spans="3:9" ht="15.75">
      <c r="C936" s="945" t="s">
        <v>925</v>
      </c>
      <c r="D936" s="946"/>
      <c r="E936" s="947"/>
      <c r="F936" s="1054"/>
      <c r="G936" s="946"/>
      <c r="H936" s="1031"/>
      <c r="I936" s="948"/>
    </row>
    <row r="937" spans="3:9" ht="15.75">
      <c r="C937" s="949" t="s">
        <v>924</v>
      </c>
      <c r="D937" s="946"/>
      <c r="E937" s="947" t="str">
        <f>VLOOKUP(C937,[50]BASICS!B:D,2,FALSE)</f>
        <v>n/a</v>
      </c>
      <c r="F937" s="1054">
        <f>+VLOOKUP(C937,[49]BASICS!B:E,3,FALSE)</f>
        <v>0</v>
      </c>
      <c r="G937" s="946"/>
      <c r="H937" s="1031"/>
      <c r="I937" s="948">
        <f>D937*F937</f>
        <v>0</v>
      </c>
    </row>
    <row r="938" spans="3:9" ht="15.75">
      <c r="C938" s="951" t="s">
        <v>918</v>
      </c>
      <c r="D938" s="946"/>
      <c r="E938" s="947"/>
      <c r="F938" s="1054"/>
      <c r="G938" s="946"/>
      <c r="H938" s="1031"/>
      <c r="I938" s="952">
        <f>SUM(I937)</f>
        <v>0</v>
      </c>
    </row>
    <row r="939" spans="3:9" ht="15.75">
      <c r="C939" s="951"/>
      <c r="D939" s="946"/>
      <c r="E939" s="947"/>
      <c r="F939" s="1054"/>
      <c r="G939" s="946"/>
      <c r="H939" s="1031"/>
      <c r="I939" s="952"/>
    </row>
    <row r="940" spans="3:9" ht="15.75">
      <c r="C940" s="956" t="s">
        <v>926</v>
      </c>
      <c r="D940" s="957"/>
      <c r="E940" s="958"/>
      <c r="F940" s="1069"/>
      <c r="G940" s="957"/>
      <c r="H940" s="1032"/>
      <c r="I940" s="959">
        <f>+I926</f>
        <v>0</v>
      </c>
    </row>
    <row r="941" spans="3:9" ht="15.75">
      <c r="C941" s="956" t="s">
        <v>927</v>
      </c>
      <c r="D941" s="957"/>
      <c r="E941" s="958"/>
      <c r="F941" s="1069"/>
      <c r="G941" s="957"/>
      <c r="H941" s="1032"/>
      <c r="I941" s="959">
        <f>+I930</f>
        <v>7000</v>
      </c>
    </row>
    <row r="942" spans="3:9" ht="15.75">
      <c r="C942" s="956" t="s">
        <v>928</v>
      </c>
      <c r="D942" s="957"/>
      <c r="E942" s="958"/>
      <c r="F942" s="1069"/>
      <c r="G942" s="957"/>
      <c r="H942" s="1032"/>
      <c r="I942" s="959">
        <f>+I934</f>
        <v>0</v>
      </c>
    </row>
    <row r="943" spans="3:9" ht="15.75">
      <c r="C943" s="956" t="s">
        <v>929</v>
      </c>
      <c r="D943" s="957"/>
      <c r="E943" s="958"/>
      <c r="F943" s="1069"/>
      <c r="G943" s="957"/>
      <c r="H943" s="1032"/>
      <c r="I943" s="959">
        <f>+I938</f>
        <v>0</v>
      </c>
    </row>
    <row r="944" spans="3:9" ht="15.75">
      <c r="C944" s="949"/>
      <c r="D944" s="946"/>
      <c r="E944" s="947"/>
      <c r="F944" s="1054"/>
      <c r="G944" s="946"/>
      <c r="H944" s="1031"/>
      <c r="I944" s="948"/>
    </row>
    <row r="945" spans="2:9" ht="15.75">
      <c r="C945" s="949"/>
      <c r="D945" s="946"/>
      <c r="E945" s="947"/>
      <c r="F945" s="1054"/>
      <c r="G945" s="946"/>
      <c r="H945" s="1031"/>
      <c r="I945" s="948"/>
    </row>
    <row r="946" spans="2:9" ht="15.75">
      <c r="C946" s="951" t="s">
        <v>930</v>
      </c>
      <c r="D946" s="960"/>
      <c r="E946" s="943" t="str">
        <f>+E922</f>
        <v>UD</v>
      </c>
      <c r="F946" s="1070"/>
      <c r="G946" s="960"/>
      <c r="H946" s="1033"/>
      <c r="I946" s="952">
        <f>SUM(I940:I943)</f>
        <v>7000</v>
      </c>
    </row>
    <row r="947" spans="2:9" ht="15.75">
      <c r="C947" s="949"/>
      <c r="D947" s="946"/>
      <c r="E947" s="947"/>
      <c r="F947" s="1054"/>
      <c r="G947" s="946"/>
      <c r="H947" s="1031"/>
      <c r="I947" s="948"/>
    </row>
    <row r="949" spans="2:9" ht="31.5">
      <c r="B949" s="1040">
        <v>1.1200000000000001</v>
      </c>
      <c r="C949" s="937" t="str">
        <f>+'[49]LISTA VIAS Y PAISAJISMO'!B57</f>
        <v>Base de hormigon simple con pernos para instalación de postes</v>
      </c>
      <c r="D949" s="938"/>
      <c r="E949" s="962" t="str">
        <f>+'[49]LISTA VIAS Y PAISAJISMO'!D57</f>
        <v>UD</v>
      </c>
      <c r="F949" s="1066"/>
      <c r="G949" s="938"/>
      <c r="H949" s="1029"/>
      <c r="I949" s="940">
        <f>I973</f>
        <v>7000</v>
      </c>
    </row>
    <row r="950" spans="2:9" ht="15.75">
      <c r="C950" s="941" t="s">
        <v>908</v>
      </c>
      <c r="D950" s="942" t="s">
        <v>9</v>
      </c>
      <c r="E950" s="943" t="s">
        <v>10</v>
      </c>
      <c r="F950" s="1067" t="s">
        <v>909</v>
      </c>
      <c r="G950" s="942" t="s">
        <v>910</v>
      </c>
      <c r="H950" s="1030" t="s">
        <v>911</v>
      </c>
      <c r="I950" s="944" t="s">
        <v>912</v>
      </c>
    </row>
    <row r="951" spans="2:9" ht="15.75">
      <c r="C951" s="945" t="s">
        <v>913</v>
      </c>
      <c r="D951" s="946"/>
      <c r="E951" s="947"/>
      <c r="F951" s="1054"/>
      <c r="G951" s="946"/>
      <c r="H951" s="1031"/>
      <c r="I951" s="948"/>
    </row>
    <row r="952" spans="2:9" ht="15.75">
      <c r="C952" s="964" t="s">
        <v>986</v>
      </c>
      <c r="D952" s="965">
        <v>1</v>
      </c>
      <c r="E952" s="947" t="str">
        <f>+VLOOKUP(C952,[49]BASICS!B:E,2,FALSE)</f>
        <v>und</v>
      </c>
      <c r="F952" s="1068">
        <f>'Basic (equilibrio) (2)'!$D$459</f>
        <v>7000</v>
      </c>
      <c r="G952" s="946">
        <f>F952-(F952/1.18)</f>
        <v>1067.8</v>
      </c>
      <c r="H952" s="1031"/>
      <c r="I952" s="948">
        <f>D952*F952</f>
        <v>7000</v>
      </c>
    </row>
    <row r="953" spans="2:9" ht="15.75">
      <c r="C953" s="951" t="s">
        <v>918</v>
      </c>
      <c r="D953" s="946"/>
      <c r="E953" s="947"/>
      <c r="F953" s="1068"/>
      <c r="G953" s="946"/>
      <c r="H953" s="1031"/>
      <c r="I953" s="952">
        <f>SUM(I952:I952)</f>
        <v>7000</v>
      </c>
    </row>
    <row r="954" spans="2:9" ht="15.75">
      <c r="C954" s="949"/>
      <c r="D954" s="946"/>
      <c r="E954" s="947"/>
      <c r="F954" s="1068"/>
      <c r="G954" s="946"/>
      <c r="H954" s="1031"/>
      <c r="I954" s="948"/>
    </row>
    <row r="955" spans="2:9" ht="15.75">
      <c r="C955" s="945" t="s">
        <v>919</v>
      </c>
      <c r="D955" s="946"/>
      <c r="E955" s="947"/>
      <c r="F955" s="1068"/>
      <c r="G955" s="946"/>
      <c r="H955" s="1031"/>
      <c r="I955" s="948"/>
    </row>
    <row r="956" spans="2:9" ht="15.75">
      <c r="C956" s="949" t="s">
        <v>924</v>
      </c>
      <c r="D956" s="953">
        <v>1</v>
      </c>
      <c r="E956" s="954" t="str">
        <f>+VLOOKUP(C956,[49]BASICS!B:E,2,FALSE)</f>
        <v>n/a</v>
      </c>
      <c r="F956" s="1068">
        <f>+VLOOKUP(C956,[49]BASICS!B:E,3,FALSE)</f>
        <v>0</v>
      </c>
      <c r="G956" s="946">
        <f>F956-(F956/1.18)</f>
        <v>0</v>
      </c>
      <c r="H956" s="1031"/>
      <c r="I956" s="948">
        <f>D956*F956</f>
        <v>0</v>
      </c>
    </row>
    <row r="957" spans="2:9" ht="15.75">
      <c r="C957" s="951" t="s">
        <v>918</v>
      </c>
      <c r="D957" s="946"/>
      <c r="E957" s="947"/>
      <c r="F957" s="1054"/>
      <c r="G957" s="946"/>
      <c r="H957" s="1031"/>
      <c r="I957" s="952">
        <f>SUM(I956:I956)</f>
        <v>0</v>
      </c>
    </row>
    <row r="958" spans="2:9" ht="15.75">
      <c r="C958" s="949"/>
      <c r="D958" s="946"/>
      <c r="E958" s="947"/>
      <c r="F958" s="1054"/>
      <c r="G958" s="946"/>
      <c r="H958" s="1031"/>
      <c r="I958" s="948"/>
    </row>
    <row r="959" spans="2:9" ht="15.75">
      <c r="C959" s="945" t="s">
        <v>923</v>
      </c>
      <c r="D959" s="946"/>
      <c r="E959" s="947"/>
      <c r="F959" s="1054"/>
      <c r="G959" s="946"/>
      <c r="H959" s="1031"/>
      <c r="I959" s="948"/>
    </row>
    <row r="960" spans="2:9" ht="15.75">
      <c r="C960" s="949" t="s">
        <v>924</v>
      </c>
      <c r="D960" s="946"/>
      <c r="E960" s="947" t="str">
        <f>+VLOOKUP(C960,[49]BASICS!B:E,2,FALSE)</f>
        <v>n/a</v>
      </c>
      <c r="F960" s="1068">
        <f>+VLOOKUP(C960,[49]BASICS!B:E,3,FALSE)</f>
        <v>0</v>
      </c>
      <c r="G960" s="946">
        <f>F960-(F960/1.18)</f>
        <v>0</v>
      </c>
      <c r="H960" s="1031"/>
      <c r="I960" s="948">
        <f>D960*F960</f>
        <v>0</v>
      </c>
    </row>
    <row r="961" spans="2:9" ht="15.75">
      <c r="C961" s="951" t="s">
        <v>918</v>
      </c>
      <c r="D961" s="946"/>
      <c r="E961" s="947"/>
      <c r="F961" s="1054"/>
      <c r="G961" s="946"/>
      <c r="H961" s="1031"/>
      <c r="I961" s="952">
        <f>SUM(I960:I960)</f>
        <v>0</v>
      </c>
    </row>
    <row r="962" spans="2:9" ht="15.75">
      <c r="C962" s="949"/>
      <c r="D962" s="946"/>
      <c r="E962" s="947"/>
      <c r="F962" s="1054"/>
      <c r="G962" s="946"/>
      <c r="H962" s="1031"/>
      <c r="I962" s="948"/>
    </row>
    <row r="963" spans="2:9" ht="15.75">
      <c r="C963" s="945" t="s">
        <v>925</v>
      </c>
      <c r="D963" s="946"/>
      <c r="E963" s="947"/>
      <c r="F963" s="1054"/>
      <c r="G963" s="946"/>
      <c r="H963" s="1031"/>
      <c r="I963" s="948"/>
    </row>
    <row r="964" spans="2:9" ht="15.75">
      <c r="C964" s="949" t="s">
        <v>924</v>
      </c>
      <c r="D964" s="946"/>
      <c r="E964" s="947" t="str">
        <f>VLOOKUP(C964,[50]BASICS!B:D,2,FALSE)</f>
        <v>n/a</v>
      </c>
      <c r="F964" s="1054">
        <f>+VLOOKUP(C964,[49]BASICS!B:E,3,FALSE)</f>
        <v>0</v>
      </c>
      <c r="G964" s="946"/>
      <c r="H964" s="1031"/>
      <c r="I964" s="948">
        <f>D964*F964</f>
        <v>0</v>
      </c>
    </row>
    <row r="965" spans="2:9" ht="15.75">
      <c r="C965" s="951" t="s">
        <v>918</v>
      </c>
      <c r="D965" s="946"/>
      <c r="E965" s="947"/>
      <c r="F965" s="1054"/>
      <c r="G965" s="946"/>
      <c r="H965" s="1031"/>
      <c r="I965" s="952">
        <f>SUM(I964)</f>
        <v>0</v>
      </c>
    </row>
    <row r="966" spans="2:9" ht="15.75">
      <c r="C966" s="951"/>
      <c r="D966" s="946"/>
      <c r="E966" s="947"/>
      <c r="F966" s="1054"/>
      <c r="G966" s="946"/>
      <c r="H966" s="1031"/>
      <c r="I966" s="952"/>
    </row>
    <row r="967" spans="2:9" ht="15.75">
      <c r="C967" s="956" t="s">
        <v>926</v>
      </c>
      <c r="D967" s="957"/>
      <c r="E967" s="958"/>
      <c r="F967" s="1069"/>
      <c r="G967" s="957"/>
      <c r="H967" s="1032"/>
      <c r="I967" s="959">
        <f>+I953</f>
        <v>7000</v>
      </c>
    </row>
    <row r="968" spans="2:9" ht="15.75">
      <c r="C968" s="956" t="s">
        <v>927</v>
      </c>
      <c r="D968" s="957"/>
      <c r="E968" s="958"/>
      <c r="F968" s="1069"/>
      <c r="G968" s="957"/>
      <c r="H968" s="1032"/>
      <c r="I968" s="959">
        <f>+I957</f>
        <v>0</v>
      </c>
    </row>
    <row r="969" spans="2:9" ht="15.75">
      <c r="C969" s="956" t="s">
        <v>928</v>
      </c>
      <c r="D969" s="957"/>
      <c r="E969" s="958"/>
      <c r="F969" s="1069"/>
      <c r="G969" s="957"/>
      <c r="H969" s="1032"/>
      <c r="I969" s="959">
        <f>+I961</f>
        <v>0</v>
      </c>
    </row>
    <row r="970" spans="2:9" ht="15.75">
      <c r="C970" s="956" t="s">
        <v>929</v>
      </c>
      <c r="D970" s="957"/>
      <c r="E970" s="958"/>
      <c r="F970" s="1069"/>
      <c r="G970" s="957"/>
      <c r="H970" s="1032"/>
      <c r="I970" s="959">
        <f>+I965</f>
        <v>0</v>
      </c>
    </row>
    <row r="971" spans="2:9" ht="15.75">
      <c r="C971" s="949"/>
      <c r="D971" s="946"/>
      <c r="E971" s="947"/>
      <c r="F971" s="1054"/>
      <c r="G971" s="946"/>
      <c r="H971" s="1031"/>
      <c r="I971" s="948"/>
    </row>
    <row r="972" spans="2:9" ht="15.75">
      <c r="C972" s="949"/>
      <c r="D972" s="946"/>
      <c r="E972" s="947"/>
      <c r="F972" s="1054"/>
      <c r="G972" s="946"/>
      <c r="H972" s="1031"/>
      <c r="I972" s="948"/>
    </row>
    <row r="973" spans="2:9" ht="15.75">
      <c r="C973" s="951" t="s">
        <v>930</v>
      </c>
      <c r="D973" s="960"/>
      <c r="E973" s="943" t="str">
        <f>+E949</f>
        <v>UD</v>
      </c>
      <c r="F973" s="1070"/>
      <c r="G973" s="960"/>
      <c r="H973" s="1033"/>
      <c r="I973" s="952">
        <f>SUM(I967:I970)</f>
        <v>7000</v>
      </c>
    </row>
    <row r="974" spans="2:9" ht="15.75">
      <c r="C974" s="949"/>
      <c r="D974" s="946"/>
      <c r="E974" s="947"/>
      <c r="F974" s="1054"/>
      <c r="G974" s="946"/>
      <c r="H974" s="1031"/>
      <c r="I974" s="948"/>
    </row>
    <row r="976" spans="2:9" ht="15.75">
      <c r="B976" s="1040">
        <v>1.1299999999999999</v>
      </c>
      <c r="C976" s="937" t="str">
        <f>+'[49]LISTA VIAS Y PAISAJISMO'!B58</f>
        <v>Mano de obra (20%) (desde partida 1.3 hasta partida 1.7)</v>
      </c>
      <c r="D976" s="938"/>
      <c r="E976" s="962" t="str">
        <f>+'[49]LISTA VIAS Y PAISAJISMO'!D58</f>
        <v>UD</v>
      </c>
      <c r="F976" s="1066"/>
      <c r="G976" s="938"/>
      <c r="H976" s="1029"/>
      <c r="I976" s="940" t="e">
        <f>I1006</f>
        <v>#REF!</v>
      </c>
    </row>
    <row r="977" spans="3:9" ht="15.75">
      <c r="C977" s="941" t="s">
        <v>908</v>
      </c>
      <c r="D977" s="942" t="s">
        <v>9</v>
      </c>
      <c r="E977" s="943" t="s">
        <v>10</v>
      </c>
      <c r="F977" s="1067" t="s">
        <v>909</v>
      </c>
      <c r="G977" s="942" t="s">
        <v>910</v>
      </c>
      <c r="H977" s="1030" t="s">
        <v>911</v>
      </c>
      <c r="I977" s="944" t="s">
        <v>912</v>
      </c>
    </row>
    <row r="978" spans="3:9" ht="15.75">
      <c r="C978" s="945" t="s">
        <v>987</v>
      </c>
      <c r="D978" s="946"/>
      <c r="E978" s="947"/>
      <c r="F978" s="1054"/>
      <c r="G978" s="946"/>
      <c r="H978" s="1031"/>
      <c r="I978" s="948"/>
    </row>
    <row r="979" spans="3:9" ht="15.75">
      <c r="C979" s="964" t="s">
        <v>403</v>
      </c>
      <c r="D979" s="965">
        <v>20</v>
      </c>
      <c r="E979" s="947" t="s">
        <v>988</v>
      </c>
      <c r="F979" s="1068" t="e">
        <f>+#REF!</f>
        <v>#REF!</v>
      </c>
      <c r="G979" s="946" t="e">
        <f t="shared" ref="G979:G985" si="7">F979-(F979/1.18)</f>
        <v>#REF!</v>
      </c>
      <c r="H979" s="1031"/>
      <c r="I979" s="966" t="e">
        <f>(D979/100)*F979</f>
        <v>#REF!</v>
      </c>
    </row>
    <row r="980" spans="3:9" ht="15.75">
      <c r="C980" s="964" t="s">
        <v>404</v>
      </c>
      <c r="D980" s="965">
        <v>20</v>
      </c>
      <c r="E980" s="947" t="s">
        <v>988</v>
      </c>
      <c r="F980" s="1068" t="e">
        <f>+#REF!</f>
        <v>#REF!</v>
      </c>
      <c r="G980" s="946" t="e">
        <f t="shared" si="7"/>
        <v>#REF!</v>
      </c>
      <c r="H980" s="1031"/>
      <c r="I980" s="966" t="e">
        <f t="shared" ref="I980:I985" si="8">(D980/100)*F980</f>
        <v>#REF!</v>
      </c>
    </row>
    <row r="981" spans="3:9" ht="15.75">
      <c r="C981" s="964" t="s">
        <v>405</v>
      </c>
      <c r="D981" s="965">
        <v>20</v>
      </c>
      <c r="E981" s="947" t="s">
        <v>988</v>
      </c>
      <c r="F981" s="1068" t="e">
        <f>+#REF!</f>
        <v>#REF!</v>
      </c>
      <c r="G981" s="946" t="e">
        <f t="shared" si="7"/>
        <v>#REF!</v>
      </c>
      <c r="H981" s="1031"/>
      <c r="I981" s="966" t="e">
        <f t="shared" si="8"/>
        <v>#REF!</v>
      </c>
    </row>
    <row r="982" spans="3:9" ht="15.75">
      <c r="C982" s="964" t="s">
        <v>407</v>
      </c>
      <c r="D982" s="965">
        <v>20</v>
      </c>
      <c r="E982" s="947" t="s">
        <v>988</v>
      </c>
      <c r="F982" s="1068" t="e">
        <f>+#REF!</f>
        <v>#REF!</v>
      </c>
      <c r="G982" s="946" t="e">
        <f t="shared" si="7"/>
        <v>#REF!</v>
      </c>
      <c r="H982" s="1031"/>
      <c r="I982" s="966" t="e">
        <f t="shared" si="8"/>
        <v>#REF!</v>
      </c>
    </row>
    <row r="983" spans="3:9" ht="15.75">
      <c r="C983" s="964" t="s">
        <v>408</v>
      </c>
      <c r="D983" s="965">
        <v>20</v>
      </c>
      <c r="E983" s="947" t="s">
        <v>988</v>
      </c>
      <c r="F983" s="1068" t="e">
        <f>+#REF!</f>
        <v>#REF!</v>
      </c>
      <c r="G983" s="946" t="e">
        <f t="shared" si="7"/>
        <v>#REF!</v>
      </c>
      <c r="H983" s="1031"/>
      <c r="I983" s="966" t="e">
        <f t="shared" si="8"/>
        <v>#REF!</v>
      </c>
    </row>
    <row r="984" spans="3:9" ht="15.75">
      <c r="C984" s="964" t="s">
        <v>409</v>
      </c>
      <c r="D984" s="965">
        <v>20</v>
      </c>
      <c r="E984" s="947" t="s">
        <v>988</v>
      </c>
      <c r="F984" s="1068" t="e">
        <f>+#REF!</f>
        <v>#REF!</v>
      </c>
      <c r="G984" s="946" t="e">
        <f t="shared" si="7"/>
        <v>#REF!</v>
      </c>
      <c r="H984" s="1031"/>
      <c r="I984" s="966" t="e">
        <f t="shared" si="8"/>
        <v>#REF!</v>
      </c>
    </row>
    <row r="985" spans="3:9" ht="47.25">
      <c r="C985" s="964" t="s">
        <v>410</v>
      </c>
      <c r="D985" s="965">
        <v>20</v>
      </c>
      <c r="E985" s="947" t="s">
        <v>988</v>
      </c>
      <c r="F985" s="1068" t="e">
        <f>+#REF!</f>
        <v>#REF!</v>
      </c>
      <c r="G985" s="946" t="e">
        <f t="shared" si="7"/>
        <v>#REF!</v>
      </c>
      <c r="H985" s="1031"/>
      <c r="I985" s="966" t="e">
        <f t="shared" si="8"/>
        <v>#REF!</v>
      </c>
    </row>
    <row r="986" spans="3:9" ht="15.75">
      <c r="C986" s="951" t="s">
        <v>918</v>
      </c>
      <c r="D986" s="946"/>
      <c r="E986" s="947"/>
      <c r="F986" s="1068"/>
      <c r="G986" s="946"/>
      <c r="H986" s="1031"/>
      <c r="I986" s="952" t="e">
        <f>SUM(I979:I985)</f>
        <v>#REF!</v>
      </c>
    </row>
    <row r="987" spans="3:9" ht="15.75">
      <c r="C987" s="949"/>
      <c r="D987" s="946"/>
      <c r="E987" s="947"/>
      <c r="F987" s="1068"/>
      <c r="G987" s="946"/>
      <c r="H987" s="1031"/>
      <c r="I987" s="948"/>
    </row>
    <row r="988" spans="3:9" ht="15.75">
      <c r="C988" s="945" t="s">
        <v>919</v>
      </c>
      <c r="D988" s="946"/>
      <c r="E988" s="947"/>
      <c r="F988" s="1068"/>
      <c r="G988" s="946"/>
      <c r="H988" s="1031"/>
      <c r="I988" s="948"/>
    </row>
    <row r="989" spans="3:9" ht="15.75">
      <c r="C989" s="949" t="s">
        <v>924</v>
      </c>
      <c r="D989" s="953">
        <v>1</v>
      </c>
      <c r="E989" s="954" t="str">
        <f>+VLOOKUP(C989,[49]BASICS!B:E,2,FALSE)</f>
        <v>n/a</v>
      </c>
      <c r="F989" s="1068">
        <f>+VLOOKUP(C989,[49]BASICS!B:E,3,FALSE)</f>
        <v>0</v>
      </c>
      <c r="G989" s="946">
        <f>F989-(F989/1.18)</f>
        <v>0</v>
      </c>
      <c r="H989" s="1031"/>
      <c r="I989" s="948">
        <f>D989*F989</f>
        <v>0</v>
      </c>
    </row>
    <row r="990" spans="3:9" ht="15.75">
      <c r="C990" s="951" t="s">
        <v>918</v>
      </c>
      <c r="D990" s="946"/>
      <c r="E990" s="947"/>
      <c r="F990" s="1054"/>
      <c r="G990" s="946"/>
      <c r="H990" s="1031"/>
      <c r="I990" s="952">
        <f>SUM(I989:I989)</f>
        <v>0</v>
      </c>
    </row>
    <row r="991" spans="3:9" ht="15.75">
      <c r="C991" s="949"/>
      <c r="D991" s="946"/>
      <c r="E991" s="947"/>
      <c r="F991" s="1054"/>
      <c r="G991" s="946"/>
      <c r="H991" s="1031"/>
      <c r="I991" s="948"/>
    </row>
    <row r="992" spans="3:9" ht="15.75">
      <c r="C992" s="945" t="s">
        <v>923</v>
      </c>
      <c r="D992" s="946"/>
      <c r="E992" s="947"/>
      <c r="F992" s="1054"/>
      <c r="G992" s="946"/>
      <c r="H992" s="1031"/>
      <c r="I992" s="948"/>
    </row>
    <row r="993" spans="3:9" ht="15.75">
      <c r="C993" s="949" t="s">
        <v>924</v>
      </c>
      <c r="D993" s="946"/>
      <c r="E993" s="947" t="str">
        <f>+VLOOKUP(C993,[49]BASICS!B:E,2,FALSE)</f>
        <v>n/a</v>
      </c>
      <c r="F993" s="1068">
        <f>+VLOOKUP(C993,[49]BASICS!B:E,3,FALSE)</f>
        <v>0</v>
      </c>
      <c r="G993" s="946">
        <f>F993-(F993/1.18)</f>
        <v>0</v>
      </c>
      <c r="H993" s="1031"/>
      <c r="I993" s="948">
        <f>D993*F993</f>
        <v>0</v>
      </c>
    </row>
    <row r="994" spans="3:9" ht="15.75">
      <c r="C994" s="951" t="s">
        <v>918</v>
      </c>
      <c r="D994" s="946"/>
      <c r="E994" s="947"/>
      <c r="F994" s="1054"/>
      <c r="G994" s="946"/>
      <c r="H994" s="1031"/>
      <c r="I994" s="952">
        <f>SUM(I993:I993)</f>
        <v>0</v>
      </c>
    </row>
    <row r="995" spans="3:9" ht="15.75">
      <c r="C995" s="949"/>
      <c r="D995" s="946"/>
      <c r="E995" s="947"/>
      <c r="F995" s="1054"/>
      <c r="G995" s="946"/>
      <c r="H995" s="1031"/>
      <c r="I995" s="948"/>
    </row>
    <row r="996" spans="3:9" ht="15.75">
      <c r="C996" s="945" t="s">
        <v>925</v>
      </c>
      <c r="D996" s="946"/>
      <c r="E996" s="947"/>
      <c r="F996" s="1054"/>
      <c r="G996" s="946"/>
      <c r="H996" s="1031"/>
      <c r="I996" s="948"/>
    </row>
    <row r="997" spans="3:9" ht="15.75">
      <c r="C997" s="949" t="s">
        <v>924</v>
      </c>
      <c r="D997" s="946"/>
      <c r="E997" s="947" t="str">
        <f>VLOOKUP(C997,[50]BASICS!B:D,2,FALSE)</f>
        <v>n/a</v>
      </c>
      <c r="F997" s="1054">
        <f>+VLOOKUP(C997,[49]BASICS!B:E,3,FALSE)</f>
        <v>0</v>
      </c>
      <c r="G997" s="946"/>
      <c r="H997" s="1031"/>
      <c r="I997" s="948">
        <f>D997*F997</f>
        <v>0</v>
      </c>
    </row>
    <row r="998" spans="3:9" ht="15.75">
      <c r="C998" s="951" t="s">
        <v>918</v>
      </c>
      <c r="D998" s="946"/>
      <c r="E998" s="947"/>
      <c r="F998" s="1054"/>
      <c r="G998" s="946"/>
      <c r="H998" s="1031"/>
      <c r="I998" s="952">
        <f>SUM(I997)</f>
        <v>0</v>
      </c>
    </row>
    <row r="999" spans="3:9" ht="15.75">
      <c r="C999" s="951"/>
      <c r="D999" s="946"/>
      <c r="E999" s="947"/>
      <c r="F999" s="1054"/>
      <c r="G999" s="946"/>
      <c r="H999" s="1031"/>
      <c r="I999" s="952"/>
    </row>
    <row r="1000" spans="3:9" ht="15.75">
      <c r="C1000" s="956" t="s">
        <v>926</v>
      </c>
      <c r="D1000" s="957"/>
      <c r="E1000" s="958"/>
      <c r="F1000" s="1069"/>
      <c r="G1000" s="957"/>
      <c r="H1000" s="1032"/>
      <c r="I1000" s="959" t="e">
        <f>+I986</f>
        <v>#REF!</v>
      </c>
    </row>
    <row r="1001" spans="3:9" ht="15.75">
      <c r="C1001" s="956" t="s">
        <v>927</v>
      </c>
      <c r="D1001" s="957"/>
      <c r="E1001" s="958"/>
      <c r="F1001" s="1069"/>
      <c r="G1001" s="957"/>
      <c r="H1001" s="1032"/>
      <c r="I1001" s="959">
        <f>+I990</f>
        <v>0</v>
      </c>
    </row>
    <row r="1002" spans="3:9" ht="15.75">
      <c r="C1002" s="956" t="s">
        <v>928</v>
      </c>
      <c r="D1002" s="957"/>
      <c r="E1002" s="958"/>
      <c r="F1002" s="1069"/>
      <c r="G1002" s="957"/>
      <c r="H1002" s="1032"/>
      <c r="I1002" s="959">
        <f>+I994</f>
        <v>0</v>
      </c>
    </row>
    <row r="1003" spans="3:9" ht="15.75">
      <c r="C1003" s="956" t="s">
        <v>929</v>
      </c>
      <c r="D1003" s="957"/>
      <c r="E1003" s="958"/>
      <c r="F1003" s="1069"/>
      <c r="G1003" s="957"/>
      <c r="H1003" s="1032"/>
      <c r="I1003" s="959">
        <f>+I998</f>
        <v>0</v>
      </c>
    </row>
    <row r="1004" spans="3:9" ht="15.75">
      <c r="C1004" s="949"/>
      <c r="D1004" s="946"/>
      <c r="E1004" s="947"/>
      <c r="F1004" s="1054"/>
      <c r="G1004" s="946"/>
      <c r="H1004" s="1031"/>
      <c r="I1004" s="948"/>
    </row>
    <row r="1005" spans="3:9" ht="15.75">
      <c r="C1005" s="949"/>
      <c r="D1005" s="946"/>
      <c r="E1005" s="947"/>
      <c r="F1005" s="1054"/>
      <c r="G1005" s="946"/>
      <c r="H1005" s="1031"/>
      <c r="I1005" s="948"/>
    </row>
    <row r="1006" spans="3:9" ht="15.75">
      <c r="C1006" s="951" t="s">
        <v>930</v>
      </c>
      <c r="D1006" s="960"/>
      <c r="E1006" s="943" t="str">
        <f>+E976</f>
        <v>UD</v>
      </c>
      <c r="F1006" s="1070"/>
      <c r="G1006" s="960"/>
      <c r="H1006" s="1033"/>
      <c r="I1006" s="952" t="e">
        <f>SUM(I1000:I1003)</f>
        <v>#REF!</v>
      </c>
    </row>
    <row r="1007" spans="3:9" ht="15.75">
      <c r="C1007" s="949"/>
      <c r="D1007" s="946"/>
      <c r="E1007" s="947"/>
      <c r="F1007" s="1054"/>
      <c r="G1007" s="946"/>
      <c r="H1007" s="1031"/>
      <c r="I1007" s="948"/>
    </row>
    <row r="1009" spans="2:9" ht="18.75" customHeight="1">
      <c r="B1009" s="1435" t="s">
        <v>1518</v>
      </c>
      <c r="C1009" s="1435"/>
      <c r="D1009" s="1435"/>
      <c r="E1009" s="1435"/>
      <c r="F1009" s="1435"/>
      <c r="G1009" s="1435"/>
      <c r="H1009" s="1435"/>
      <c r="I1009" s="1436"/>
    </row>
    <row r="1011" spans="2:9" ht="15.75">
      <c r="B1011" s="1041">
        <v>1.1000000000000001</v>
      </c>
      <c r="C1011" s="937" t="str">
        <f>+'[49]LISTA VIAS Y PAISAJISMO'!B65</f>
        <v>Replanteo y Control topográfico</v>
      </c>
      <c r="D1011" s="938"/>
      <c r="E1011" s="939" t="s">
        <v>15</v>
      </c>
      <c r="F1011" s="1066"/>
      <c r="G1011" s="938"/>
      <c r="H1011" s="1029"/>
      <c r="I1011" s="940">
        <f>I1041</f>
        <v>168.42</v>
      </c>
    </row>
    <row r="1012" spans="2:9" ht="15.75">
      <c r="C1012" s="941" t="s">
        <v>908</v>
      </c>
      <c r="D1012" s="942" t="s">
        <v>9</v>
      </c>
      <c r="E1012" s="943" t="s">
        <v>10</v>
      </c>
      <c r="F1012" s="1067" t="s">
        <v>909</v>
      </c>
      <c r="G1012" s="942" t="s">
        <v>910</v>
      </c>
      <c r="H1012" s="1030" t="s">
        <v>911</v>
      </c>
      <c r="I1012" s="944" t="s">
        <v>912</v>
      </c>
    </row>
    <row r="1013" spans="2:9" ht="15.75">
      <c r="C1013" s="945" t="s">
        <v>913</v>
      </c>
      <c r="D1013" s="946"/>
      <c r="E1013" s="947"/>
      <c r="F1013" s="1054"/>
      <c r="G1013" s="946"/>
      <c r="H1013" s="1031"/>
      <c r="I1013" s="948"/>
    </row>
    <row r="1014" spans="2:9" ht="15.75">
      <c r="C1014" s="949" t="s">
        <v>914</v>
      </c>
      <c r="D1014" s="946">
        <v>2</v>
      </c>
      <c r="E1014" s="947" t="str">
        <f>+VLOOKUP(C1014,[49]BASICS!B:E,2,FALSE)</f>
        <v>lb</v>
      </c>
      <c r="F1014" s="1068">
        <f>'Basic (equilibrio) (2)'!$D$192</f>
        <v>78.2</v>
      </c>
      <c r="G1014" s="946">
        <f>F1014-(F1014/1.18)</f>
        <v>11.93</v>
      </c>
      <c r="H1014" s="1031">
        <v>200</v>
      </c>
      <c r="I1014" s="948">
        <f>D1014*F1014/H1014</f>
        <v>0.78</v>
      </c>
    </row>
    <row r="1015" spans="2:9" ht="15.75">
      <c r="C1015" s="949" t="s">
        <v>915</v>
      </c>
      <c r="D1015" s="946">
        <v>1</v>
      </c>
      <c r="E1015" s="950" t="str">
        <f>+VLOOKUP(C1015,[49]BASICS!B:E,2,FALSE)</f>
        <v>fda</v>
      </c>
      <c r="F1015" s="1068">
        <f>'Basic (equilibrio) (2)'!$D$193</f>
        <v>153.6</v>
      </c>
      <c r="G1015" s="946">
        <f>F1015-(F1015/1.18)</f>
        <v>23.43</v>
      </c>
      <c r="H1015" s="1031">
        <v>200</v>
      </c>
      <c r="I1015" s="948">
        <f t="shared" ref="I1015:I1018" si="9">D1015*F1015/H1015</f>
        <v>0.77</v>
      </c>
    </row>
    <row r="1016" spans="2:9" ht="15.75">
      <c r="C1016" s="949" t="s">
        <v>916</v>
      </c>
      <c r="D1016" s="946">
        <f>160.42/28.83</f>
        <v>5.56</v>
      </c>
      <c r="E1016" s="947" t="str">
        <f>+VLOOKUP(C1016,[49]BASICS!B:E,2,FALSE)</f>
        <v>pt</v>
      </c>
      <c r="F1016" s="1068">
        <f>'Basic (equilibrio) (2)'!$D$194</f>
        <v>107.7</v>
      </c>
      <c r="G1016" s="946">
        <f>F1016-(F1016/1.18)</f>
        <v>16.43</v>
      </c>
      <c r="H1016" s="1031">
        <v>200</v>
      </c>
      <c r="I1016" s="948">
        <f t="shared" si="9"/>
        <v>2.99</v>
      </c>
    </row>
    <row r="1017" spans="2:9" ht="15.75">
      <c r="C1017" s="949" t="s">
        <v>989</v>
      </c>
      <c r="D1017" s="946">
        <v>200</v>
      </c>
      <c r="E1017" s="950" t="str">
        <f>+VLOOKUP(C1017,[49]BASICS!B:E,2,FALSE)</f>
        <v>und</v>
      </c>
      <c r="F1017" s="1068">
        <f>'Basic (equilibrio) (2)'!$D$491</f>
        <v>5</v>
      </c>
      <c r="G1017" s="946">
        <f>F1017-(F1017/1.18)</f>
        <v>0.76</v>
      </c>
      <c r="H1017" s="1031">
        <v>200</v>
      </c>
      <c r="I1017" s="948">
        <f t="shared" si="9"/>
        <v>5</v>
      </c>
    </row>
    <row r="1018" spans="2:9" ht="15.75">
      <c r="C1018" s="949" t="s">
        <v>917</v>
      </c>
      <c r="D1018" s="946">
        <v>1</v>
      </c>
      <c r="E1018" s="950" t="str">
        <f>+VLOOKUP(C1018,[49]BASICS!B:E,2,FALSE)</f>
        <v>u</v>
      </c>
      <c r="F1018" s="1068">
        <f>'Basic (equilibrio) (2)'!$D$195</f>
        <v>139.19999999999999</v>
      </c>
      <c r="G1018" s="946">
        <f>F1018-(F1018/1.18)</f>
        <v>21.23</v>
      </c>
      <c r="H1018" s="1031">
        <v>200</v>
      </c>
      <c r="I1018" s="948">
        <f t="shared" si="9"/>
        <v>0.7</v>
      </c>
    </row>
    <row r="1019" spans="2:9" ht="15.75">
      <c r="C1019" s="951" t="s">
        <v>918</v>
      </c>
      <c r="D1019" s="946"/>
      <c r="E1019" s="947"/>
      <c r="F1019" s="1068"/>
      <c r="G1019" s="946"/>
      <c r="H1019" s="1031"/>
      <c r="I1019" s="952">
        <f>SUM(I1014:I1018)</f>
        <v>10.24</v>
      </c>
    </row>
    <row r="1020" spans="2:9" ht="15.75">
      <c r="C1020" s="949"/>
      <c r="D1020" s="946"/>
      <c r="E1020" s="947"/>
      <c r="F1020" s="1068"/>
      <c r="G1020" s="946"/>
      <c r="H1020" s="1031"/>
      <c r="I1020" s="948"/>
    </row>
    <row r="1021" spans="2:9" ht="15.75">
      <c r="C1021" s="945" t="s">
        <v>919</v>
      </c>
      <c r="D1021" s="946"/>
      <c r="E1021" s="947"/>
      <c r="F1021" s="1068"/>
      <c r="G1021" s="946"/>
      <c r="H1021" s="1031"/>
      <c r="I1021" s="948"/>
    </row>
    <row r="1022" spans="2:9" ht="15.75">
      <c r="C1022" s="949" t="s">
        <v>920</v>
      </c>
      <c r="D1022" s="953">
        <v>1</v>
      </c>
      <c r="E1022" s="954" t="str">
        <f>+VLOOKUP(C1022,[49]BASICS!B:E,2,FALSE)</f>
        <v>dia</v>
      </c>
      <c r="F1022" s="1068">
        <f>'Basic (equilibrio) (2)'!$D$18</f>
        <v>28535.5</v>
      </c>
      <c r="G1022" s="946">
        <v>0</v>
      </c>
      <c r="H1022" s="1031">
        <v>200</v>
      </c>
      <c r="I1022" s="948">
        <f t="shared" ref="I1022:I1024" si="10">D1022*F1022/H1022</f>
        <v>142.68</v>
      </c>
    </row>
    <row r="1023" spans="2:9" ht="15.75">
      <c r="C1023" s="949" t="s">
        <v>921</v>
      </c>
      <c r="D1023" s="946">
        <v>1</v>
      </c>
      <c r="E1023" s="954" t="str">
        <f>+VLOOKUP(C1023,[49]BASICS!B:E,2,FALSE)</f>
        <v>dia</v>
      </c>
      <c r="F1023" s="1054">
        <f>'Basic (equilibrio) (2)'!$D$12</f>
        <v>1900</v>
      </c>
      <c r="G1023" s="946">
        <v>0</v>
      </c>
      <c r="H1023" s="1031">
        <v>200</v>
      </c>
      <c r="I1023" s="948">
        <f t="shared" si="10"/>
        <v>9.5</v>
      </c>
    </row>
    <row r="1024" spans="2:9" ht="15.75">
      <c r="C1024" s="949" t="s">
        <v>1737</v>
      </c>
      <c r="D1024" s="946">
        <v>1</v>
      </c>
      <c r="E1024" s="954" t="s">
        <v>1027</v>
      </c>
      <c r="F1024" s="1054">
        <f>'Basic (equilibrio) (2)'!$D$13</f>
        <v>1200</v>
      </c>
      <c r="G1024" s="946">
        <v>0</v>
      </c>
      <c r="H1024" s="1031">
        <v>200</v>
      </c>
      <c r="I1024" s="948">
        <f t="shared" si="10"/>
        <v>6</v>
      </c>
    </row>
    <row r="1025" spans="3:9" ht="15.75">
      <c r="C1025" s="951" t="s">
        <v>918</v>
      </c>
      <c r="D1025" s="946"/>
      <c r="E1025" s="947"/>
      <c r="F1025" s="1054"/>
      <c r="G1025" s="946"/>
      <c r="H1025" s="1031"/>
      <c r="I1025" s="952">
        <f>SUM(I1022:I1024)</f>
        <v>158.18</v>
      </c>
    </row>
    <row r="1026" spans="3:9" ht="15.75">
      <c r="C1026" s="949"/>
      <c r="D1026" s="946"/>
      <c r="E1026" s="947"/>
      <c r="F1026" s="1054"/>
      <c r="G1026" s="946"/>
      <c r="H1026" s="1031"/>
      <c r="I1026" s="948"/>
    </row>
    <row r="1027" spans="3:9" ht="15.75">
      <c r="C1027" s="945" t="s">
        <v>923</v>
      </c>
      <c r="D1027" s="946"/>
      <c r="E1027" s="947"/>
      <c r="F1027" s="1054"/>
      <c r="G1027" s="946"/>
      <c r="H1027" s="1031"/>
      <c r="I1027" s="948"/>
    </row>
    <row r="1028" spans="3:9" ht="15.75">
      <c r="C1028" s="949" t="s">
        <v>924</v>
      </c>
      <c r="D1028" s="946"/>
      <c r="E1028" s="947"/>
      <c r="F1028" s="1054">
        <f>+VLOOKUP(C1028,[49]BASICS!B:E,3,FALSE)</f>
        <v>0</v>
      </c>
      <c r="G1028" s="946">
        <f>F1028-(F1028/1.18)</f>
        <v>0</v>
      </c>
      <c r="H1028" s="1039"/>
      <c r="I1028" s="955">
        <f>D1028*F1028</f>
        <v>0</v>
      </c>
    </row>
    <row r="1029" spans="3:9" ht="15.75">
      <c r="C1029" s="951" t="s">
        <v>918</v>
      </c>
      <c r="D1029" s="946"/>
      <c r="E1029" s="947"/>
      <c r="F1029" s="1054"/>
      <c r="G1029" s="946"/>
      <c r="H1029" s="1031"/>
      <c r="I1029" s="952">
        <f>SUM(I1028)</f>
        <v>0</v>
      </c>
    </row>
    <row r="1030" spans="3:9" ht="15.75">
      <c r="C1030" s="949"/>
      <c r="D1030" s="946"/>
      <c r="E1030" s="947"/>
      <c r="F1030" s="1054"/>
      <c r="G1030" s="946"/>
      <c r="H1030" s="1031"/>
      <c r="I1030" s="948"/>
    </row>
    <row r="1031" spans="3:9" ht="15.75">
      <c r="C1031" s="945" t="s">
        <v>925</v>
      </c>
      <c r="D1031" s="946"/>
      <c r="E1031" s="947"/>
      <c r="F1031" s="1054"/>
      <c r="G1031" s="946"/>
      <c r="H1031" s="1031"/>
      <c r="I1031" s="948"/>
    </row>
    <row r="1032" spans="3:9" ht="15.75">
      <c r="C1032" s="949" t="s">
        <v>925</v>
      </c>
      <c r="D1032" s="946">
        <f>+I1019</f>
        <v>10.24</v>
      </c>
      <c r="E1032" s="947" t="str">
        <f>VLOOKUP(C1032,[50]BASICS!B:D,2,FALSE)</f>
        <v>Pa</v>
      </c>
      <c r="F1032" s="1054">
        <f>+VLOOKUP(C1032,[49]BASICS!B:E,3,FALSE)</f>
        <v>0</v>
      </c>
      <c r="G1032" s="946"/>
      <c r="H1032" s="1031"/>
      <c r="I1032" s="948">
        <f>D1032*F1032</f>
        <v>0</v>
      </c>
    </row>
    <row r="1033" spans="3:9" ht="15.75">
      <c r="C1033" s="951" t="s">
        <v>918</v>
      </c>
      <c r="D1033" s="946"/>
      <c r="E1033" s="947"/>
      <c r="F1033" s="1054"/>
      <c r="G1033" s="946"/>
      <c r="H1033" s="1031"/>
      <c r="I1033" s="952">
        <f>SUM(I1032)</f>
        <v>0</v>
      </c>
    </row>
    <row r="1034" spans="3:9" ht="15.75">
      <c r="C1034" s="951"/>
      <c r="D1034" s="946"/>
      <c r="E1034" s="947"/>
      <c r="F1034" s="1054"/>
      <c r="G1034" s="946"/>
      <c r="H1034" s="1031"/>
      <c r="I1034" s="952"/>
    </row>
    <row r="1035" spans="3:9" ht="15.75">
      <c r="C1035" s="956" t="s">
        <v>926</v>
      </c>
      <c r="D1035" s="957"/>
      <c r="E1035" s="958"/>
      <c r="F1035" s="1069"/>
      <c r="G1035" s="957"/>
      <c r="H1035" s="1032"/>
      <c r="I1035" s="959">
        <f>+I1019</f>
        <v>10.24</v>
      </c>
    </row>
    <row r="1036" spans="3:9" ht="15.75">
      <c r="C1036" s="956" t="s">
        <v>927</v>
      </c>
      <c r="D1036" s="957"/>
      <c r="E1036" s="958"/>
      <c r="F1036" s="1069"/>
      <c r="G1036" s="957"/>
      <c r="H1036" s="1032"/>
      <c r="I1036" s="959">
        <f>+I1025</f>
        <v>158.18</v>
      </c>
    </row>
    <row r="1037" spans="3:9" ht="15.75">
      <c r="C1037" s="956" t="s">
        <v>928</v>
      </c>
      <c r="D1037" s="957"/>
      <c r="E1037" s="958"/>
      <c r="F1037" s="1069"/>
      <c r="G1037" s="957"/>
      <c r="H1037" s="1032"/>
      <c r="I1037" s="959">
        <f>+I1029</f>
        <v>0</v>
      </c>
    </row>
    <row r="1038" spans="3:9" ht="15.75">
      <c r="C1038" s="956" t="s">
        <v>929</v>
      </c>
      <c r="D1038" s="957"/>
      <c r="E1038" s="958"/>
      <c r="F1038" s="1069"/>
      <c r="G1038" s="957"/>
      <c r="H1038" s="1032"/>
      <c r="I1038" s="959">
        <f>+I1033</f>
        <v>0</v>
      </c>
    </row>
    <row r="1039" spans="3:9" ht="15.75">
      <c r="C1039" s="949"/>
      <c r="D1039" s="946"/>
      <c r="E1039" s="947"/>
      <c r="F1039" s="1054"/>
      <c r="G1039" s="946"/>
      <c r="H1039" s="1031"/>
      <c r="I1039" s="948"/>
    </row>
    <row r="1040" spans="3:9" ht="15.75">
      <c r="C1040" s="949"/>
      <c r="D1040" s="946"/>
      <c r="E1040" s="947"/>
      <c r="F1040" s="1054"/>
      <c r="G1040" s="946"/>
      <c r="H1040" s="1031"/>
      <c r="I1040" s="948"/>
    </row>
    <row r="1041" spans="2:9" ht="15.75">
      <c r="C1041" s="951" t="s">
        <v>930</v>
      </c>
      <c r="D1041" s="960"/>
      <c r="E1041" s="943" t="str">
        <f>+E1011</f>
        <v>M</v>
      </c>
      <c r="F1041" s="1070"/>
      <c r="G1041" s="960"/>
      <c r="H1041" s="1033"/>
      <c r="I1041" s="952">
        <f>SUM(I1035:I1038)</f>
        <v>168.42</v>
      </c>
    </row>
    <row r="1042" spans="2:9" ht="15.75">
      <c r="C1042" s="949"/>
      <c r="D1042" s="946"/>
      <c r="E1042" s="947"/>
      <c r="F1042" s="1054"/>
      <c r="G1042" s="946"/>
      <c r="H1042" s="1031"/>
      <c r="I1042" s="948"/>
    </row>
    <row r="1043" spans="2:9" ht="15.75">
      <c r="B1043" s="1041">
        <v>2.1</v>
      </c>
      <c r="C1043" s="937" t="str">
        <f>+'[49]LISTA VIAS Y PAISAJISMO'!B68</f>
        <v>Excavacion de material no clasificado con equipo</v>
      </c>
      <c r="D1043" s="938"/>
      <c r="E1043" s="962" t="str">
        <f>+'[49]LISTA VIAS Y PAISAJISMO'!D84</f>
        <v>M³N</v>
      </c>
      <c r="F1043" s="1066"/>
      <c r="G1043" s="938"/>
      <c r="H1043" s="1029"/>
      <c r="I1043" s="940">
        <f>I1068</f>
        <v>118.09</v>
      </c>
    </row>
    <row r="1044" spans="2:9" ht="15.75">
      <c r="C1044" s="941" t="s">
        <v>908</v>
      </c>
      <c r="D1044" s="942" t="s">
        <v>9</v>
      </c>
      <c r="E1044" s="943" t="s">
        <v>10</v>
      </c>
      <c r="F1044" s="1067" t="s">
        <v>909</v>
      </c>
      <c r="G1044" s="942" t="s">
        <v>910</v>
      </c>
      <c r="H1044" s="1030" t="s">
        <v>911</v>
      </c>
      <c r="I1044" s="944" t="s">
        <v>912</v>
      </c>
    </row>
    <row r="1045" spans="2:9" ht="15.75">
      <c r="C1045" s="945" t="s">
        <v>913</v>
      </c>
      <c r="D1045" s="946"/>
      <c r="E1045" s="947"/>
      <c r="F1045" s="1054"/>
      <c r="G1045" s="946"/>
      <c r="H1045" s="1031"/>
      <c r="I1045" s="948"/>
    </row>
    <row r="1046" spans="2:9" ht="15.75">
      <c r="C1046" s="949" t="s">
        <v>924</v>
      </c>
      <c r="D1046" s="946"/>
      <c r="E1046" s="947" t="str">
        <f>+VLOOKUP(C1046,[49]BASICS!B:E,2,FALSE)</f>
        <v>n/a</v>
      </c>
      <c r="F1046" s="1068">
        <f>+VLOOKUP(C1046,[49]BASICS!B:E,3,FALSE)</f>
        <v>0</v>
      </c>
      <c r="G1046" s="946">
        <f>F1046-(F1046/1.18)</f>
        <v>0</v>
      </c>
      <c r="H1046" s="1031"/>
      <c r="I1046" s="948">
        <f>D1046*F1046</f>
        <v>0</v>
      </c>
    </row>
    <row r="1047" spans="2:9" ht="15.75">
      <c r="C1047" s="951" t="s">
        <v>918</v>
      </c>
      <c r="D1047" s="946"/>
      <c r="E1047" s="947"/>
      <c r="F1047" s="1068"/>
      <c r="G1047" s="946"/>
      <c r="H1047" s="1031"/>
      <c r="I1047" s="952">
        <f>SUM(I1046:I1046)</f>
        <v>0</v>
      </c>
    </row>
    <row r="1048" spans="2:9" ht="15.75">
      <c r="C1048" s="949"/>
      <c r="D1048" s="946"/>
      <c r="E1048" s="947"/>
      <c r="F1048" s="1068"/>
      <c r="G1048" s="946"/>
      <c r="H1048" s="1031"/>
      <c r="I1048" s="948"/>
    </row>
    <row r="1049" spans="2:9" ht="15.75">
      <c r="C1049" s="945" t="s">
        <v>919</v>
      </c>
      <c r="D1049" s="946"/>
      <c r="E1049" s="947"/>
      <c r="F1049" s="1068"/>
      <c r="G1049" s="946"/>
      <c r="H1049" s="1031"/>
      <c r="I1049" s="948"/>
    </row>
    <row r="1050" spans="2:9" ht="15.75">
      <c r="C1050" s="949" t="s">
        <v>931</v>
      </c>
      <c r="D1050" s="953">
        <v>0.13</v>
      </c>
      <c r="E1050" s="954" t="str">
        <f>+VLOOKUP(C1050,[49]BASICS!B:E,2,FALSE)</f>
        <v>dia</v>
      </c>
      <c r="F1050" s="1068">
        <f>'Basic (equilibrio) (2)'!$D$14</f>
        <v>900</v>
      </c>
      <c r="G1050" s="946">
        <v>0</v>
      </c>
      <c r="H1050" s="1031">
        <v>70</v>
      </c>
      <c r="I1050" s="948">
        <f>(D1050*F1050)/H1050</f>
        <v>1.67</v>
      </c>
    </row>
    <row r="1051" spans="2:9" ht="15.75">
      <c r="C1051" s="951" t="s">
        <v>918</v>
      </c>
      <c r="D1051" s="946"/>
      <c r="E1051" s="947"/>
      <c r="F1051" s="1054"/>
      <c r="G1051" s="946"/>
      <c r="H1051" s="1031"/>
      <c r="I1051" s="952">
        <f>SUM(I1050:I1050)</f>
        <v>1.67</v>
      </c>
    </row>
    <row r="1052" spans="2:9" ht="15.75">
      <c r="C1052" s="949"/>
      <c r="D1052" s="946"/>
      <c r="E1052" s="947"/>
      <c r="F1052" s="1054"/>
      <c r="G1052" s="946"/>
      <c r="H1052" s="1031"/>
      <c r="I1052" s="948"/>
    </row>
    <row r="1053" spans="2:9" ht="15.75">
      <c r="C1053" s="945" t="s">
        <v>923</v>
      </c>
      <c r="D1053" s="946"/>
      <c r="E1053" s="947"/>
      <c r="F1053" s="1054"/>
      <c r="G1053" s="946"/>
      <c r="H1053" s="1031"/>
      <c r="I1053" s="948"/>
    </row>
    <row r="1054" spans="2:9" ht="31.5">
      <c r="C1054" s="949" t="s">
        <v>932</v>
      </c>
      <c r="D1054" s="946">
        <v>1</v>
      </c>
      <c r="E1054" s="947" t="str">
        <f>+VLOOKUP(C1054,[49]BASICS!B:E,2,FALSE)</f>
        <v>hr</v>
      </c>
      <c r="F1054" s="1054">
        <f>'Basic (equilibrio) (2)'!$D$690</f>
        <v>3900</v>
      </c>
      <c r="G1054" s="946">
        <f>F1054-(F1054/1.18)</f>
        <v>594.91999999999996</v>
      </c>
      <c r="H1054" s="1039">
        <v>70</v>
      </c>
      <c r="I1054" s="955">
        <f>D1054*F1054/H1054</f>
        <v>55.71</v>
      </c>
    </row>
    <row r="1055" spans="2:9" ht="15.75">
      <c r="C1055" s="949" t="s">
        <v>933</v>
      </c>
      <c r="D1055" s="946">
        <v>1</v>
      </c>
      <c r="E1055" s="947" t="str">
        <f>+VLOOKUP(C1055,[49]BASICS!B:E,2,FALSE)</f>
        <v>hr</v>
      </c>
      <c r="F1055" s="1054">
        <f>'Basic (equilibrio) (2)'!$D$682</f>
        <v>4250</v>
      </c>
      <c r="G1055" s="946">
        <f>F1055-(F1055/1.18)</f>
        <v>648.30999999999995</v>
      </c>
      <c r="H1055" s="1039">
        <v>70</v>
      </c>
      <c r="I1055" s="955">
        <f>D1055*F1055/H1055</f>
        <v>60.71</v>
      </c>
    </row>
    <row r="1056" spans="2:9" ht="15.75">
      <c r="C1056" s="951" t="s">
        <v>918</v>
      </c>
      <c r="D1056" s="946"/>
      <c r="E1056" s="947"/>
      <c r="F1056" s="1054"/>
      <c r="G1056" s="946"/>
      <c r="H1056" s="1031"/>
      <c r="I1056" s="952">
        <f>SUM(I1054:I1055)</f>
        <v>116.42</v>
      </c>
    </row>
    <row r="1057" spans="2:9" ht="15.75">
      <c r="C1057" s="949"/>
      <c r="D1057" s="946"/>
      <c r="E1057" s="947"/>
      <c r="F1057" s="1054"/>
      <c r="G1057" s="946"/>
      <c r="H1057" s="1031"/>
      <c r="I1057" s="948"/>
    </row>
    <row r="1058" spans="2:9" ht="15.75">
      <c r="C1058" s="945" t="s">
        <v>925</v>
      </c>
      <c r="D1058" s="946"/>
      <c r="E1058" s="947"/>
      <c r="F1058" s="1054"/>
      <c r="G1058" s="946"/>
      <c r="H1058" s="1031"/>
      <c r="I1058" s="948"/>
    </row>
    <row r="1059" spans="2:9" ht="15.75">
      <c r="C1059" s="949" t="s">
        <v>925</v>
      </c>
      <c r="D1059" s="946">
        <f>+I1051</f>
        <v>1.67</v>
      </c>
      <c r="E1059" s="947" t="str">
        <f>VLOOKUP(C1059,[50]BASICS!B:D,2,FALSE)</f>
        <v>Pa</v>
      </c>
      <c r="F1059" s="1054">
        <f>+VLOOKUP(C1059,[49]BASICS!B:E,3,FALSE)</f>
        <v>0</v>
      </c>
      <c r="G1059" s="946"/>
      <c r="H1059" s="1031"/>
      <c r="I1059" s="948">
        <f>D1059*F1059</f>
        <v>0</v>
      </c>
    </row>
    <row r="1060" spans="2:9" ht="15.75">
      <c r="C1060" s="951" t="s">
        <v>918</v>
      </c>
      <c r="D1060" s="946"/>
      <c r="E1060" s="947"/>
      <c r="F1060" s="1054"/>
      <c r="G1060" s="946"/>
      <c r="H1060" s="1031"/>
      <c r="I1060" s="952">
        <f>SUM(I1059)</f>
        <v>0</v>
      </c>
    </row>
    <row r="1061" spans="2:9" ht="15.75">
      <c r="C1061" s="951"/>
      <c r="D1061" s="946"/>
      <c r="E1061" s="947"/>
      <c r="F1061" s="1054"/>
      <c r="G1061" s="946"/>
      <c r="H1061" s="1031"/>
      <c r="I1061" s="952"/>
    </row>
    <row r="1062" spans="2:9" ht="15.75">
      <c r="C1062" s="956" t="s">
        <v>926</v>
      </c>
      <c r="D1062" s="957"/>
      <c r="E1062" s="958"/>
      <c r="F1062" s="1069"/>
      <c r="G1062" s="957"/>
      <c r="H1062" s="1032"/>
      <c r="I1062" s="959">
        <f>+I1047</f>
        <v>0</v>
      </c>
    </row>
    <row r="1063" spans="2:9" ht="15.75">
      <c r="C1063" s="956" t="s">
        <v>927</v>
      </c>
      <c r="D1063" s="957"/>
      <c r="E1063" s="958"/>
      <c r="F1063" s="1069"/>
      <c r="G1063" s="957"/>
      <c r="H1063" s="1032"/>
      <c r="I1063" s="959">
        <f>+I1051</f>
        <v>1.67</v>
      </c>
    </row>
    <row r="1064" spans="2:9" ht="15.75">
      <c r="C1064" s="956" t="s">
        <v>928</v>
      </c>
      <c r="D1064" s="957"/>
      <c r="E1064" s="958"/>
      <c r="F1064" s="1069"/>
      <c r="G1064" s="957"/>
      <c r="H1064" s="1032"/>
      <c r="I1064" s="959">
        <f>+I1056</f>
        <v>116.42</v>
      </c>
    </row>
    <row r="1065" spans="2:9" ht="15.75">
      <c r="C1065" s="956" t="s">
        <v>929</v>
      </c>
      <c r="D1065" s="957"/>
      <c r="E1065" s="958"/>
      <c r="F1065" s="1069"/>
      <c r="G1065" s="957"/>
      <c r="H1065" s="1032"/>
      <c r="I1065" s="959">
        <f>+I1060</f>
        <v>0</v>
      </c>
    </row>
    <row r="1066" spans="2:9" ht="15.75">
      <c r="C1066" s="949"/>
      <c r="D1066" s="946"/>
      <c r="E1066" s="947"/>
      <c r="F1066" s="1054"/>
      <c r="G1066" s="946"/>
      <c r="H1066" s="1031"/>
      <c r="I1066" s="948"/>
    </row>
    <row r="1067" spans="2:9" ht="15.75">
      <c r="C1067" s="949"/>
      <c r="D1067" s="946"/>
      <c r="E1067" s="947"/>
      <c r="F1067" s="1054"/>
      <c r="G1067" s="946"/>
      <c r="H1067" s="1031"/>
      <c r="I1067" s="948"/>
    </row>
    <row r="1068" spans="2:9" ht="15.75">
      <c r="C1068" s="951" t="s">
        <v>930</v>
      </c>
      <c r="D1068" s="960"/>
      <c r="E1068" s="943" t="str">
        <f>+E1043</f>
        <v>M³N</v>
      </c>
      <c r="F1068" s="1070"/>
      <c r="G1068" s="960"/>
      <c r="H1068" s="1033"/>
      <c r="I1068" s="952">
        <f>SUM(I1062:I1065)</f>
        <v>118.09</v>
      </c>
    </row>
    <row r="1069" spans="2:9" ht="15.75">
      <c r="C1069" s="949"/>
      <c r="D1069" s="946"/>
      <c r="E1069" s="947"/>
      <c r="F1069" s="1054"/>
      <c r="G1069" s="946"/>
      <c r="H1069" s="1031"/>
      <c r="I1069" s="948"/>
    </row>
    <row r="1071" spans="2:9" ht="15.75">
      <c r="B1071" s="1041">
        <v>2.2000000000000002</v>
      </c>
      <c r="C1071" s="937" t="str">
        <f>+'[49]LISTA VIAS Y PAISAJISMO'!B69</f>
        <v>Conformación de talud</v>
      </c>
      <c r="D1071" s="938"/>
      <c r="E1071" s="962" t="str">
        <f>+'[49]LISTA VIAS Y PAISAJISMO'!D69</f>
        <v>M³C</v>
      </c>
      <c r="F1071" s="1066"/>
      <c r="G1071" s="938"/>
      <c r="H1071" s="1029"/>
      <c r="I1071" s="940">
        <f>I1097</f>
        <v>135.94999999999999</v>
      </c>
    </row>
    <row r="1072" spans="2:9" ht="15.75">
      <c r="C1072" s="941" t="s">
        <v>908</v>
      </c>
      <c r="D1072" s="942" t="s">
        <v>9</v>
      </c>
      <c r="E1072" s="943" t="s">
        <v>10</v>
      </c>
      <c r="F1072" s="1067" t="s">
        <v>909</v>
      </c>
      <c r="G1072" s="942" t="s">
        <v>910</v>
      </c>
      <c r="H1072" s="1030" t="s">
        <v>911</v>
      </c>
      <c r="I1072" s="944" t="s">
        <v>912</v>
      </c>
    </row>
    <row r="1073" spans="3:9" ht="15.75">
      <c r="C1073" s="945" t="s">
        <v>913</v>
      </c>
      <c r="D1073" s="946"/>
      <c r="E1073" s="947"/>
      <c r="F1073" s="1054"/>
      <c r="G1073" s="946"/>
      <c r="H1073" s="1031"/>
      <c r="I1073" s="948"/>
    </row>
    <row r="1074" spans="3:9" ht="15.75">
      <c r="C1074" s="949" t="s">
        <v>924</v>
      </c>
      <c r="D1074" s="946"/>
      <c r="E1074" s="947" t="str">
        <f>+VLOOKUP(C1074,[49]BASICS!B:E,2,FALSE)</f>
        <v>n/a</v>
      </c>
      <c r="F1074" s="1068">
        <f>+VLOOKUP(C1074,[49]BASICS!B:E,3,FALSE)</f>
        <v>0</v>
      </c>
      <c r="G1074" s="946">
        <f>F1074-(F1074/1.18)</f>
        <v>0</v>
      </c>
      <c r="H1074" s="1031"/>
      <c r="I1074" s="948">
        <f>D1074*F1074</f>
        <v>0</v>
      </c>
    </row>
    <row r="1075" spans="3:9" ht="15.75">
      <c r="C1075" s="951" t="s">
        <v>918</v>
      </c>
      <c r="D1075" s="946"/>
      <c r="E1075" s="947"/>
      <c r="F1075" s="1068"/>
      <c r="G1075" s="946"/>
      <c r="H1075" s="1031"/>
      <c r="I1075" s="952">
        <f>SUM(I1074:I1074)</f>
        <v>0</v>
      </c>
    </row>
    <row r="1076" spans="3:9" ht="15.75">
      <c r="C1076" s="949"/>
      <c r="D1076" s="946"/>
      <c r="E1076" s="947"/>
      <c r="F1076" s="1068"/>
      <c r="G1076" s="946"/>
      <c r="H1076" s="1031"/>
      <c r="I1076" s="948"/>
    </row>
    <row r="1077" spans="3:9" ht="15.75">
      <c r="C1077" s="945" t="s">
        <v>919</v>
      </c>
      <c r="D1077" s="946"/>
      <c r="E1077" s="947"/>
      <c r="F1077" s="1068"/>
      <c r="G1077" s="946"/>
      <c r="H1077" s="1031"/>
      <c r="I1077" s="948"/>
    </row>
    <row r="1078" spans="3:9" ht="15.75">
      <c r="C1078" s="949" t="s">
        <v>931</v>
      </c>
      <c r="D1078" s="953">
        <v>0.13</v>
      </c>
      <c r="E1078" s="954" t="str">
        <f>+VLOOKUP(C1078,[49]BASICS!B:E,2,FALSE)</f>
        <v>dia</v>
      </c>
      <c r="F1078" s="1068">
        <f>'Basic (equilibrio) (2)'!$D$14</f>
        <v>900</v>
      </c>
      <c r="G1078" s="946">
        <f>F1078-(F1078/1.18)</f>
        <v>137.29</v>
      </c>
      <c r="H1078" s="1031">
        <v>70</v>
      </c>
      <c r="I1078" s="948">
        <f>(D1078*F1078)/H1078</f>
        <v>1.67</v>
      </c>
    </row>
    <row r="1079" spans="3:9" ht="15.75">
      <c r="C1079" s="951" t="s">
        <v>918</v>
      </c>
      <c r="D1079" s="946"/>
      <c r="E1079" s="947"/>
      <c r="F1079" s="1054"/>
      <c r="G1079" s="946"/>
      <c r="H1079" s="1031"/>
      <c r="I1079" s="952">
        <f>SUM(I1078:I1078)</f>
        <v>1.67</v>
      </c>
    </row>
    <row r="1080" spans="3:9" ht="15.75">
      <c r="C1080" s="949"/>
      <c r="D1080" s="946"/>
      <c r="E1080" s="947"/>
      <c r="F1080" s="1054"/>
      <c r="G1080" s="946"/>
      <c r="H1080" s="1031"/>
      <c r="I1080" s="948"/>
    </row>
    <row r="1081" spans="3:9" ht="15.75">
      <c r="C1081" s="945" t="s">
        <v>923</v>
      </c>
      <c r="D1081" s="946"/>
      <c r="E1081" s="947"/>
      <c r="F1081" s="1054"/>
      <c r="G1081" s="946"/>
      <c r="H1081" s="1031"/>
      <c r="I1081" s="948"/>
    </row>
    <row r="1082" spans="3:9" ht="31.5">
      <c r="C1082" s="949" t="s">
        <v>932</v>
      </c>
      <c r="D1082" s="946">
        <v>1</v>
      </c>
      <c r="E1082" s="947" t="str">
        <f>+VLOOKUP(C1082,[49]BASICS!B:E,2,FALSE)</f>
        <v>hr</v>
      </c>
      <c r="F1082" s="1054">
        <f>'Basic (equilibrio) (2)'!$D$690</f>
        <v>3900</v>
      </c>
      <c r="G1082" s="946">
        <f>F1082-(F1082/1.18)</f>
        <v>594.91999999999996</v>
      </c>
      <c r="H1082" s="1039">
        <v>70</v>
      </c>
      <c r="I1082" s="955">
        <f>D1082*F1082/H1082</f>
        <v>55.71</v>
      </c>
    </row>
    <row r="1083" spans="3:9" ht="15.75">
      <c r="C1083" s="949" t="s">
        <v>935</v>
      </c>
      <c r="D1083" s="946">
        <v>1</v>
      </c>
      <c r="E1083" s="947" t="str">
        <f>+VLOOKUP(C1083,[49]BASICS!B:E,2,FALSE)</f>
        <v>hr</v>
      </c>
      <c r="F1083" s="1054">
        <f>'Basic (equilibrio) (2)'!$D$684</f>
        <v>3000</v>
      </c>
      <c r="G1083" s="946">
        <f>F1083-(F1083/1.18)</f>
        <v>457.63</v>
      </c>
      <c r="H1083" s="1039">
        <v>70</v>
      </c>
      <c r="I1083" s="955">
        <f>D1083*F1083/H1083</f>
        <v>42.86</v>
      </c>
    </row>
    <row r="1084" spans="3:9" ht="15.75">
      <c r="C1084" s="949" t="s">
        <v>938</v>
      </c>
      <c r="D1084" s="946">
        <v>1</v>
      </c>
      <c r="E1084" s="947" t="str">
        <f>+VLOOKUP(C1084,[49]BASICS!B:E,2,FALSE)</f>
        <v>hr</v>
      </c>
      <c r="F1084" s="1054">
        <f>'Basic (equilibrio) (2)'!$D$683</f>
        <v>2500</v>
      </c>
      <c r="G1084" s="946">
        <f>F1084-(F1084/1.18)</f>
        <v>381.36</v>
      </c>
      <c r="H1084" s="1039">
        <v>70</v>
      </c>
      <c r="I1084" s="955">
        <f>D1084*F1084/H1084</f>
        <v>35.71</v>
      </c>
    </row>
    <row r="1085" spans="3:9" ht="15.75">
      <c r="C1085" s="951" t="s">
        <v>918</v>
      </c>
      <c r="D1085" s="946"/>
      <c r="E1085" s="947"/>
      <c r="F1085" s="1054"/>
      <c r="G1085" s="946"/>
      <c r="H1085" s="1031"/>
      <c r="I1085" s="952">
        <f>SUM(I1082:I1084)</f>
        <v>134.28</v>
      </c>
    </row>
    <row r="1086" spans="3:9" ht="15.75">
      <c r="C1086" s="949"/>
      <c r="D1086" s="946"/>
      <c r="E1086" s="947"/>
      <c r="F1086" s="1054"/>
      <c r="G1086" s="946"/>
      <c r="H1086" s="1031"/>
      <c r="I1086" s="948"/>
    </row>
    <row r="1087" spans="3:9" ht="15.75">
      <c r="C1087" s="945" t="s">
        <v>925</v>
      </c>
      <c r="D1087" s="946"/>
      <c r="E1087" s="947"/>
      <c r="F1087" s="1054"/>
      <c r="G1087" s="946"/>
      <c r="H1087" s="1031"/>
      <c r="I1087" s="948"/>
    </row>
    <row r="1088" spans="3:9" ht="15.75">
      <c r="C1088" s="949" t="s">
        <v>925</v>
      </c>
      <c r="D1088" s="946">
        <f>+I1079</f>
        <v>1.67</v>
      </c>
      <c r="E1088" s="947" t="str">
        <f>VLOOKUP(C1088,[50]BASICS!B:D,2,FALSE)</f>
        <v>Pa</v>
      </c>
      <c r="F1088" s="1054">
        <f>+VLOOKUP(C1088,[49]BASICS!B:E,3,FALSE)</f>
        <v>0</v>
      </c>
      <c r="G1088" s="946"/>
      <c r="H1088" s="1031"/>
      <c r="I1088" s="948">
        <f>D1088*F1088</f>
        <v>0</v>
      </c>
    </row>
    <row r="1089" spans="2:9" ht="15.75">
      <c r="C1089" s="951" t="s">
        <v>918</v>
      </c>
      <c r="D1089" s="946"/>
      <c r="E1089" s="947"/>
      <c r="F1089" s="1054"/>
      <c r="G1089" s="946"/>
      <c r="H1089" s="1031"/>
      <c r="I1089" s="952">
        <f>SUM(I1088)</f>
        <v>0</v>
      </c>
    </row>
    <row r="1090" spans="2:9" ht="15.75">
      <c r="C1090" s="951"/>
      <c r="D1090" s="946"/>
      <c r="E1090" s="947"/>
      <c r="F1090" s="1054"/>
      <c r="G1090" s="946"/>
      <c r="H1090" s="1031"/>
      <c r="I1090" s="952"/>
    </row>
    <row r="1091" spans="2:9" ht="15.75">
      <c r="C1091" s="956" t="s">
        <v>926</v>
      </c>
      <c r="D1091" s="957"/>
      <c r="E1091" s="958"/>
      <c r="F1091" s="1069"/>
      <c r="G1091" s="957"/>
      <c r="H1091" s="1032"/>
      <c r="I1091" s="959">
        <f>+I1075</f>
        <v>0</v>
      </c>
    </row>
    <row r="1092" spans="2:9" ht="15.75">
      <c r="C1092" s="956" t="s">
        <v>927</v>
      </c>
      <c r="D1092" s="957"/>
      <c r="E1092" s="958"/>
      <c r="F1092" s="1069"/>
      <c r="G1092" s="957"/>
      <c r="H1092" s="1032"/>
      <c r="I1092" s="959">
        <f>+I1079</f>
        <v>1.67</v>
      </c>
    </row>
    <row r="1093" spans="2:9" ht="15.75">
      <c r="C1093" s="956" t="s">
        <v>928</v>
      </c>
      <c r="D1093" s="957"/>
      <c r="E1093" s="958"/>
      <c r="F1093" s="1069"/>
      <c r="G1093" s="957"/>
      <c r="H1093" s="1032"/>
      <c r="I1093" s="959">
        <f>+I1085</f>
        <v>134.28</v>
      </c>
    </row>
    <row r="1094" spans="2:9" ht="15.75">
      <c r="C1094" s="956" t="s">
        <v>929</v>
      </c>
      <c r="D1094" s="957"/>
      <c r="E1094" s="958"/>
      <c r="F1094" s="1069"/>
      <c r="G1094" s="957"/>
      <c r="H1094" s="1032"/>
      <c r="I1094" s="959">
        <f>+I1089</f>
        <v>0</v>
      </c>
    </row>
    <row r="1095" spans="2:9" ht="15.75">
      <c r="C1095" s="949"/>
      <c r="D1095" s="946"/>
      <c r="E1095" s="947"/>
      <c r="F1095" s="1054"/>
      <c r="G1095" s="946"/>
      <c r="H1095" s="1031"/>
      <c r="I1095" s="948"/>
    </row>
    <row r="1096" spans="2:9" ht="15.75">
      <c r="C1096" s="949"/>
      <c r="D1096" s="946"/>
      <c r="E1096" s="947"/>
      <c r="F1096" s="1054"/>
      <c r="G1096" s="946"/>
      <c r="H1096" s="1031"/>
      <c r="I1096" s="948"/>
    </row>
    <row r="1097" spans="2:9" ht="15.75">
      <c r="C1097" s="951" t="s">
        <v>930</v>
      </c>
      <c r="D1097" s="960"/>
      <c r="E1097" s="943" t="str">
        <f>+E1071</f>
        <v>M³C</v>
      </c>
      <c r="F1097" s="1070"/>
      <c r="G1097" s="960"/>
      <c r="H1097" s="1033"/>
      <c r="I1097" s="952">
        <f>SUM(I1091:I1094)</f>
        <v>135.94999999999999</v>
      </c>
    </row>
    <row r="1098" spans="2:9" ht="15.75">
      <c r="C1098" s="949"/>
      <c r="D1098" s="946"/>
      <c r="E1098" s="947"/>
      <c r="F1098" s="1054"/>
      <c r="G1098" s="946"/>
      <c r="H1098" s="1031"/>
      <c r="I1098" s="948"/>
    </row>
    <row r="1100" spans="2:9" ht="15.75">
      <c r="B1100" s="1041">
        <v>2.2999999999999998</v>
      </c>
      <c r="C1100" s="937" t="str">
        <f>+'[49]LISTA VIAS Y PAISAJISMO'!B70</f>
        <v xml:space="preserve">Suministro material de mina </v>
      </c>
      <c r="D1100" s="938"/>
      <c r="E1100" s="962" t="str">
        <f>+'[49]LISTA VIAS Y PAISAJISMO'!D70</f>
        <v>M³C</v>
      </c>
      <c r="F1100" s="1066"/>
      <c r="G1100" s="938"/>
      <c r="H1100" s="1029"/>
      <c r="I1100" s="940">
        <f>I1124</f>
        <v>1094.5999999999999</v>
      </c>
    </row>
    <row r="1101" spans="2:9" ht="15.75">
      <c r="C1101" s="941" t="s">
        <v>908</v>
      </c>
      <c r="D1101" s="942" t="s">
        <v>9</v>
      </c>
      <c r="E1101" s="943" t="s">
        <v>10</v>
      </c>
      <c r="F1101" s="1067" t="s">
        <v>909</v>
      </c>
      <c r="G1101" s="942" t="s">
        <v>910</v>
      </c>
      <c r="H1101" s="1030" t="s">
        <v>911</v>
      </c>
      <c r="I1101" s="944" t="s">
        <v>912</v>
      </c>
    </row>
    <row r="1102" spans="2:9" ht="15.75">
      <c r="C1102" s="945" t="s">
        <v>913</v>
      </c>
      <c r="D1102" s="946"/>
      <c r="E1102" s="947"/>
      <c r="F1102" s="1054"/>
      <c r="G1102" s="946"/>
      <c r="H1102" s="1031"/>
      <c r="I1102" s="948"/>
    </row>
    <row r="1103" spans="2:9" ht="15.75">
      <c r="C1103" s="949" t="s">
        <v>936</v>
      </c>
      <c r="D1103" s="946">
        <v>1.3</v>
      </c>
      <c r="E1103" s="947" t="str">
        <f>+VLOOKUP(C1103,[49]BASICS!B:E,2,FALSE)</f>
        <v>m3</v>
      </c>
      <c r="F1103" s="1068">
        <f>'Basic (equilibrio) (2)'!$D$186</f>
        <v>500</v>
      </c>
      <c r="G1103" s="946">
        <f>F1103-(F1103/1.18)</f>
        <v>76.27</v>
      </c>
      <c r="H1103" s="1031"/>
      <c r="I1103" s="948">
        <f>D1103*F1103</f>
        <v>650</v>
      </c>
    </row>
    <row r="1104" spans="2:9" ht="15.75">
      <c r="C1104" s="951" t="s">
        <v>918</v>
      </c>
      <c r="D1104" s="946"/>
      <c r="E1104" s="947"/>
      <c r="F1104" s="1068"/>
      <c r="G1104" s="946"/>
      <c r="H1104" s="1031"/>
      <c r="I1104" s="952">
        <f>SUM(I1103:I1103)</f>
        <v>650</v>
      </c>
    </row>
    <row r="1105" spans="3:9" ht="15.75">
      <c r="C1105" s="949"/>
      <c r="D1105" s="946"/>
      <c r="E1105" s="947"/>
      <c r="F1105" s="1068"/>
      <c r="G1105" s="946"/>
      <c r="H1105" s="1031"/>
      <c r="I1105" s="948"/>
    </row>
    <row r="1106" spans="3:9" ht="15.75">
      <c r="C1106" s="945" t="s">
        <v>919</v>
      </c>
      <c r="D1106" s="946"/>
      <c r="E1106" s="947"/>
      <c r="F1106" s="1068"/>
      <c r="G1106" s="946"/>
      <c r="H1106" s="1031"/>
      <c r="I1106" s="948"/>
    </row>
    <row r="1107" spans="3:9" ht="15.75">
      <c r="C1107" s="949" t="s">
        <v>924</v>
      </c>
      <c r="D1107" s="953">
        <v>0.13</v>
      </c>
      <c r="E1107" s="954" t="str">
        <f>+VLOOKUP(C1107,[49]BASICS!B:E,2,FALSE)</f>
        <v>n/a</v>
      </c>
      <c r="F1107" s="1068">
        <f>+VLOOKUP(C1107,[49]BASICS!B:E,3,FALSE)</f>
        <v>0</v>
      </c>
      <c r="G1107" s="946">
        <f>F1107-(F1107/1.18)</f>
        <v>0</v>
      </c>
      <c r="H1107" s="1031"/>
      <c r="I1107" s="948">
        <f>(D1107*F1107)</f>
        <v>0</v>
      </c>
    </row>
    <row r="1108" spans="3:9" ht="15.75">
      <c r="C1108" s="951" t="s">
        <v>918</v>
      </c>
      <c r="D1108" s="946"/>
      <c r="E1108" s="947"/>
      <c r="F1108" s="1054"/>
      <c r="G1108" s="946"/>
      <c r="H1108" s="1031"/>
      <c r="I1108" s="952">
        <f>SUM(I1107:I1107)</f>
        <v>0</v>
      </c>
    </row>
    <row r="1109" spans="3:9" ht="15.75">
      <c r="C1109" s="949"/>
      <c r="D1109" s="946"/>
      <c r="E1109" s="947"/>
      <c r="F1109" s="1054"/>
      <c r="G1109" s="946"/>
      <c r="H1109" s="1031"/>
      <c r="I1109" s="948"/>
    </row>
    <row r="1110" spans="3:9" ht="15.75">
      <c r="C1110" s="945" t="s">
        <v>923</v>
      </c>
      <c r="D1110" s="946"/>
      <c r="E1110" s="947"/>
      <c r="F1110" s="1054"/>
      <c r="G1110" s="946"/>
      <c r="H1110" s="1031"/>
      <c r="I1110" s="948"/>
    </row>
    <row r="1111" spans="3:9" ht="15.75">
      <c r="C1111" s="949" t="s">
        <v>937</v>
      </c>
      <c r="D1111" s="946">
        <v>1.3</v>
      </c>
      <c r="E1111" s="947" t="str">
        <f>+VLOOKUP(C1111,[49]BASICS!B:E,2,FALSE)</f>
        <v>m3e</v>
      </c>
      <c r="F1111" s="1054">
        <f>'Basic (equilibrio) (2)'!$D$188</f>
        <v>342</v>
      </c>
      <c r="G1111" s="946">
        <f>F1111-(F1111/1.18)</f>
        <v>52.17</v>
      </c>
      <c r="H1111" s="1039"/>
      <c r="I1111" s="955">
        <f>D1111*F1111</f>
        <v>444.6</v>
      </c>
    </row>
    <row r="1112" spans="3:9" ht="15.75">
      <c r="C1112" s="951" t="s">
        <v>918</v>
      </c>
      <c r="D1112" s="946"/>
      <c r="E1112" s="947"/>
      <c r="F1112" s="1054"/>
      <c r="G1112" s="946"/>
      <c r="H1112" s="1031"/>
      <c r="I1112" s="952">
        <f>SUM(I1111:I1111)</f>
        <v>444.6</v>
      </c>
    </row>
    <row r="1113" spans="3:9" ht="15.75">
      <c r="C1113" s="949"/>
      <c r="D1113" s="946"/>
      <c r="E1113" s="947"/>
      <c r="F1113" s="1054"/>
      <c r="G1113" s="946"/>
      <c r="H1113" s="1031"/>
      <c r="I1113" s="948"/>
    </row>
    <row r="1114" spans="3:9" ht="15.75">
      <c r="C1114" s="945" t="s">
        <v>925</v>
      </c>
      <c r="D1114" s="946"/>
      <c r="E1114" s="947"/>
      <c r="F1114" s="1054"/>
      <c r="G1114" s="946"/>
      <c r="H1114" s="1031"/>
      <c r="I1114" s="948"/>
    </row>
    <row r="1115" spans="3:9" ht="15.75">
      <c r="C1115" s="949" t="s">
        <v>925</v>
      </c>
      <c r="D1115" s="946">
        <f>+I1108</f>
        <v>0</v>
      </c>
      <c r="E1115" s="947" t="str">
        <f>VLOOKUP(C1115,[50]BASICS!B:D,2,FALSE)</f>
        <v>Pa</v>
      </c>
      <c r="F1115" s="1054">
        <f>+VLOOKUP(C1115,[49]BASICS!B:E,3,FALSE)</f>
        <v>0</v>
      </c>
      <c r="G1115" s="946"/>
      <c r="H1115" s="1031"/>
      <c r="I1115" s="948">
        <f>D1115*F1115</f>
        <v>0</v>
      </c>
    </row>
    <row r="1116" spans="3:9" ht="15.75">
      <c r="C1116" s="951" t="s">
        <v>918</v>
      </c>
      <c r="D1116" s="946"/>
      <c r="E1116" s="947"/>
      <c r="F1116" s="1054"/>
      <c r="G1116" s="946"/>
      <c r="H1116" s="1031"/>
      <c r="I1116" s="952">
        <f>SUM(I1115)</f>
        <v>0</v>
      </c>
    </row>
    <row r="1117" spans="3:9" ht="15.75">
      <c r="C1117" s="951"/>
      <c r="D1117" s="946"/>
      <c r="E1117" s="947"/>
      <c r="F1117" s="1054"/>
      <c r="G1117" s="946"/>
      <c r="H1117" s="1031"/>
      <c r="I1117" s="952"/>
    </row>
    <row r="1118" spans="3:9" ht="15.75">
      <c r="C1118" s="956" t="s">
        <v>926</v>
      </c>
      <c r="D1118" s="957"/>
      <c r="E1118" s="958"/>
      <c r="F1118" s="1069"/>
      <c r="G1118" s="957"/>
      <c r="H1118" s="1032"/>
      <c r="I1118" s="959">
        <f>+I1104</f>
        <v>650</v>
      </c>
    </row>
    <row r="1119" spans="3:9" ht="15.75">
      <c r="C1119" s="956" t="s">
        <v>927</v>
      </c>
      <c r="D1119" s="957"/>
      <c r="E1119" s="958"/>
      <c r="F1119" s="1069"/>
      <c r="G1119" s="957"/>
      <c r="H1119" s="1032"/>
      <c r="I1119" s="959">
        <f>+I1108</f>
        <v>0</v>
      </c>
    </row>
    <row r="1120" spans="3:9" ht="15.75">
      <c r="C1120" s="956" t="s">
        <v>928</v>
      </c>
      <c r="D1120" s="957"/>
      <c r="E1120" s="958"/>
      <c r="F1120" s="1069"/>
      <c r="G1120" s="957"/>
      <c r="H1120" s="1032"/>
      <c r="I1120" s="959">
        <f>+I1112</f>
        <v>444.6</v>
      </c>
    </row>
    <row r="1121" spans="2:9" ht="15.75">
      <c r="C1121" s="956" t="s">
        <v>929</v>
      </c>
      <c r="D1121" s="957"/>
      <c r="E1121" s="958"/>
      <c r="F1121" s="1069"/>
      <c r="G1121" s="957"/>
      <c r="H1121" s="1032"/>
      <c r="I1121" s="959">
        <f>+I1116</f>
        <v>0</v>
      </c>
    </row>
    <row r="1122" spans="2:9" ht="15.75">
      <c r="C1122" s="949"/>
      <c r="D1122" s="946"/>
      <c r="E1122" s="947"/>
      <c r="F1122" s="1054"/>
      <c r="G1122" s="946"/>
      <c r="H1122" s="1031"/>
      <c r="I1122" s="948"/>
    </row>
    <row r="1123" spans="2:9" ht="15.75">
      <c r="C1123" s="949"/>
      <c r="D1123" s="946"/>
      <c r="E1123" s="947"/>
      <c r="F1123" s="1054"/>
      <c r="G1123" s="946"/>
      <c r="H1123" s="1031"/>
      <c r="I1123" s="948"/>
    </row>
    <row r="1124" spans="2:9" ht="15.75">
      <c r="C1124" s="951" t="s">
        <v>930</v>
      </c>
      <c r="D1124" s="960"/>
      <c r="E1124" s="943" t="str">
        <f>+E1100</f>
        <v>M³C</v>
      </c>
      <c r="F1124" s="1070"/>
      <c r="G1124" s="960"/>
      <c r="H1124" s="1033"/>
      <c r="I1124" s="952">
        <f>SUM(I1118:I1121)</f>
        <v>1094.5999999999999</v>
      </c>
    </row>
    <row r="1125" spans="2:9" ht="15.75">
      <c r="C1125" s="949"/>
      <c r="D1125" s="946"/>
      <c r="E1125" s="947"/>
      <c r="F1125" s="1054"/>
      <c r="G1125" s="946"/>
      <c r="H1125" s="1031"/>
      <c r="I1125" s="948"/>
    </row>
    <row r="1127" spans="2:9" ht="15.75">
      <c r="B1127" s="1041">
        <v>2.4</v>
      </c>
      <c r="C1127" s="937" t="str">
        <f>+'[49]LISTA VIAS Y PAISAJISMO'!B71</f>
        <v>Relleno compactado con caliche y equipo mecánico</v>
      </c>
      <c r="D1127" s="938"/>
      <c r="E1127" s="962" t="str">
        <f>+'[49]LISTA VIAS Y PAISAJISMO'!D71</f>
        <v>M³C</v>
      </c>
      <c r="F1127" s="1066"/>
      <c r="G1127" s="938"/>
      <c r="H1127" s="1029"/>
      <c r="I1127" s="940">
        <f>I1154</f>
        <v>1044.28</v>
      </c>
    </row>
    <row r="1128" spans="2:9" ht="15.75">
      <c r="C1128" s="941" t="s">
        <v>908</v>
      </c>
      <c r="D1128" s="942" t="s">
        <v>9</v>
      </c>
      <c r="E1128" s="943" t="s">
        <v>10</v>
      </c>
      <c r="F1128" s="1067" t="s">
        <v>909</v>
      </c>
      <c r="G1128" s="942" t="s">
        <v>910</v>
      </c>
      <c r="H1128" s="1030" t="s">
        <v>911</v>
      </c>
      <c r="I1128" s="944" t="s">
        <v>912</v>
      </c>
    </row>
    <row r="1129" spans="2:9" ht="15.75">
      <c r="C1129" s="945" t="s">
        <v>913</v>
      </c>
      <c r="D1129" s="946"/>
      <c r="E1129" s="947"/>
      <c r="F1129" s="1054"/>
      <c r="G1129" s="946"/>
      <c r="H1129" s="1031"/>
      <c r="I1129" s="948"/>
    </row>
    <row r="1130" spans="2:9" ht="15.75">
      <c r="C1130" s="949" t="s">
        <v>990</v>
      </c>
      <c r="D1130" s="946">
        <v>1.3</v>
      </c>
      <c r="E1130" s="947" t="str">
        <f>+VLOOKUP(C1130,[49]BASICS!B:E,2,FALSE)</f>
        <v>m3</v>
      </c>
      <c r="F1130" s="1068">
        <f>'Basic (equilibrio) (2)'!$D$189</f>
        <v>200</v>
      </c>
      <c r="G1130" s="946">
        <f>F1130-(F1130/1.18)</f>
        <v>30.51</v>
      </c>
      <c r="H1130" s="1031"/>
      <c r="I1130" s="948">
        <f>D1130*F1130</f>
        <v>260</v>
      </c>
    </row>
    <row r="1131" spans="2:9" ht="15.75">
      <c r="C1131" s="951" t="s">
        <v>918</v>
      </c>
      <c r="D1131" s="946"/>
      <c r="E1131" s="947"/>
      <c r="F1131" s="1068"/>
      <c r="G1131" s="946"/>
      <c r="H1131" s="1031"/>
      <c r="I1131" s="952">
        <f>SUM(I1130:I1130)</f>
        <v>260</v>
      </c>
    </row>
    <row r="1132" spans="2:9" ht="15.75">
      <c r="C1132" s="949"/>
      <c r="D1132" s="946"/>
      <c r="E1132" s="947"/>
      <c r="F1132" s="1068"/>
      <c r="G1132" s="946"/>
      <c r="H1132" s="1031"/>
      <c r="I1132" s="948"/>
    </row>
    <row r="1133" spans="2:9" ht="15.75">
      <c r="C1133" s="945" t="s">
        <v>919</v>
      </c>
      <c r="D1133" s="946"/>
      <c r="E1133" s="947"/>
      <c r="F1133" s="1068"/>
      <c r="G1133" s="946"/>
      <c r="H1133" s="1031"/>
      <c r="I1133" s="948"/>
    </row>
    <row r="1134" spans="2:9" ht="15.75">
      <c r="C1134" s="949" t="s">
        <v>924</v>
      </c>
      <c r="D1134" s="953">
        <v>0.13</v>
      </c>
      <c r="E1134" s="954" t="str">
        <f>+VLOOKUP(C1134,[49]BASICS!B:E,2,FALSE)</f>
        <v>n/a</v>
      </c>
      <c r="F1134" s="1068">
        <f>+VLOOKUP(C1134,[49]BASICS!B:E,3,FALSE)</f>
        <v>0</v>
      </c>
      <c r="G1134" s="946">
        <f>F1134-(F1134/1.18)</f>
        <v>0</v>
      </c>
      <c r="H1134" s="1031"/>
      <c r="I1134" s="948">
        <f>(D1134*F1134)</f>
        <v>0</v>
      </c>
    </row>
    <row r="1135" spans="2:9" ht="15.75">
      <c r="C1135" s="951" t="s">
        <v>918</v>
      </c>
      <c r="D1135" s="946"/>
      <c r="E1135" s="947"/>
      <c r="F1135" s="1054"/>
      <c r="G1135" s="946"/>
      <c r="H1135" s="1031"/>
      <c r="I1135" s="952">
        <f>SUM(I1134:I1134)</f>
        <v>0</v>
      </c>
    </row>
    <row r="1136" spans="2:9" ht="15.75">
      <c r="C1136" s="949"/>
      <c r="D1136" s="946"/>
      <c r="E1136" s="947"/>
      <c r="F1136" s="1054"/>
      <c r="G1136" s="946"/>
      <c r="H1136" s="1031"/>
      <c r="I1136" s="948"/>
    </row>
    <row r="1137" spans="3:9" ht="15.75">
      <c r="C1137" s="945" t="s">
        <v>923</v>
      </c>
      <c r="D1137" s="946"/>
      <c r="E1137" s="947"/>
      <c r="F1137" s="1054"/>
      <c r="G1137" s="946"/>
      <c r="H1137" s="1031"/>
      <c r="I1137" s="948"/>
    </row>
    <row r="1138" spans="3:9" ht="15.75">
      <c r="C1138" s="949" t="s">
        <v>991</v>
      </c>
      <c r="D1138" s="946">
        <v>1.3</v>
      </c>
      <c r="E1138" s="947" t="str">
        <f>+VLOOKUP(C1138,[49]BASICS!B:E,2,FALSE)</f>
        <v>m3e</v>
      </c>
      <c r="F1138" s="1054">
        <f>'Basic (equilibrio) (2)'!$D$190</f>
        <v>500</v>
      </c>
      <c r="G1138" s="946">
        <f>F1138-(F1138/1.18)</f>
        <v>76.27</v>
      </c>
      <c r="H1138" s="1039"/>
      <c r="I1138" s="955">
        <f>D1138*F1138</f>
        <v>650</v>
      </c>
    </row>
    <row r="1139" spans="3:9" ht="31.5">
      <c r="C1139" s="949" t="s">
        <v>932</v>
      </c>
      <c r="D1139" s="946">
        <v>1</v>
      </c>
      <c r="E1139" s="947" t="str">
        <f>+VLOOKUP(C1139,[49]BASICS!B:E,2,FALSE)</f>
        <v>hr</v>
      </c>
      <c r="F1139" s="1054">
        <f>'Basic (equilibrio) (2)'!$D$690</f>
        <v>3900</v>
      </c>
      <c r="G1139" s="946">
        <f>F1139-(F1139/1.18)</f>
        <v>594.91999999999996</v>
      </c>
      <c r="H1139" s="1039">
        <v>70</v>
      </c>
      <c r="I1139" s="955">
        <f>D1139*F1139/H1139</f>
        <v>55.71</v>
      </c>
    </row>
    <row r="1140" spans="3:9" ht="15.75">
      <c r="C1140" s="949" t="s">
        <v>935</v>
      </c>
      <c r="D1140" s="946">
        <v>1</v>
      </c>
      <c r="E1140" s="947" t="str">
        <f>+VLOOKUP(C1140,[49]BASICS!B:E,2,FALSE)</f>
        <v>hr</v>
      </c>
      <c r="F1140" s="1054">
        <f>'Basic (equilibrio) (2)'!$D$684</f>
        <v>3000</v>
      </c>
      <c r="G1140" s="946">
        <f>F1140-(F1140/1.18)</f>
        <v>457.63</v>
      </c>
      <c r="H1140" s="1039">
        <v>70</v>
      </c>
      <c r="I1140" s="955">
        <f>D1140*F1140/H1140</f>
        <v>42.86</v>
      </c>
    </row>
    <row r="1141" spans="3:9" ht="15.75">
      <c r="C1141" s="949" t="s">
        <v>938</v>
      </c>
      <c r="D1141" s="946">
        <v>1</v>
      </c>
      <c r="E1141" s="947" t="str">
        <f>+VLOOKUP(C1141,[49]BASICS!B:E,2,FALSE)</f>
        <v>hr</v>
      </c>
      <c r="F1141" s="1054">
        <f>'Basic (equilibrio) (2)'!$D$683</f>
        <v>2500</v>
      </c>
      <c r="G1141" s="946">
        <f>F1141-(F1141/1.18)</f>
        <v>381.36</v>
      </c>
      <c r="H1141" s="1039">
        <v>70</v>
      </c>
      <c r="I1141" s="955">
        <f>D1141*F1141/H1141</f>
        <v>35.71</v>
      </c>
    </row>
    <row r="1142" spans="3:9" ht="15.75">
      <c r="C1142" s="951" t="s">
        <v>918</v>
      </c>
      <c r="D1142" s="946"/>
      <c r="E1142" s="947"/>
      <c r="F1142" s="1054"/>
      <c r="G1142" s="946"/>
      <c r="H1142" s="1031"/>
      <c r="I1142" s="952">
        <f>SUM(I1138:I1141)</f>
        <v>784.28</v>
      </c>
    </row>
    <row r="1143" spans="3:9" ht="15.75">
      <c r="C1143" s="949"/>
      <c r="D1143" s="946"/>
      <c r="E1143" s="947"/>
      <c r="F1143" s="1054"/>
      <c r="G1143" s="946"/>
      <c r="H1143" s="1031"/>
      <c r="I1143" s="948"/>
    </row>
    <row r="1144" spans="3:9" ht="15.75">
      <c r="C1144" s="945" t="s">
        <v>925</v>
      </c>
      <c r="D1144" s="946"/>
      <c r="E1144" s="947"/>
      <c r="F1144" s="1054"/>
      <c r="G1144" s="946"/>
      <c r="H1144" s="1031"/>
      <c r="I1144" s="948"/>
    </row>
    <row r="1145" spans="3:9" ht="15.75">
      <c r="C1145" s="949" t="s">
        <v>925</v>
      </c>
      <c r="D1145" s="946">
        <f>+I1135</f>
        <v>0</v>
      </c>
      <c r="E1145" s="947" t="str">
        <f>VLOOKUP(C1145,[50]BASICS!B:D,2,FALSE)</f>
        <v>Pa</v>
      </c>
      <c r="F1145" s="1054">
        <f>+VLOOKUP(C1145,[49]BASICS!B:E,3,FALSE)</f>
        <v>0</v>
      </c>
      <c r="G1145" s="946"/>
      <c r="H1145" s="1031"/>
      <c r="I1145" s="948">
        <f>D1145*F1145</f>
        <v>0</v>
      </c>
    </row>
    <row r="1146" spans="3:9" ht="15.75">
      <c r="C1146" s="951" t="s">
        <v>918</v>
      </c>
      <c r="D1146" s="946"/>
      <c r="E1146" s="947"/>
      <c r="F1146" s="1054"/>
      <c r="G1146" s="946"/>
      <c r="H1146" s="1031"/>
      <c r="I1146" s="952">
        <f>SUM(I1145)</f>
        <v>0</v>
      </c>
    </row>
    <row r="1147" spans="3:9" ht="15.75">
      <c r="C1147" s="951"/>
      <c r="D1147" s="946"/>
      <c r="E1147" s="947"/>
      <c r="F1147" s="1054"/>
      <c r="G1147" s="946"/>
      <c r="H1147" s="1031"/>
      <c r="I1147" s="952"/>
    </row>
    <row r="1148" spans="3:9" ht="15.75">
      <c r="C1148" s="956" t="s">
        <v>926</v>
      </c>
      <c r="D1148" s="957"/>
      <c r="E1148" s="958"/>
      <c r="F1148" s="1069"/>
      <c r="G1148" s="957"/>
      <c r="H1148" s="1032"/>
      <c r="I1148" s="959">
        <f>+I1131</f>
        <v>260</v>
      </c>
    </row>
    <row r="1149" spans="3:9" ht="15.75">
      <c r="C1149" s="956" t="s">
        <v>927</v>
      </c>
      <c r="D1149" s="957"/>
      <c r="E1149" s="958"/>
      <c r="F1149" s="1069"/>
      <c r="G1149" s="957"/>
      <c r="H1149" s="1032"/>
      <c r="I1149" s="959">
        <f>+I1135</f>
        <v>0</v>
      </c>
    </row>
    <row r="1150" spans="3:9" ht="15.75">
      <c r="C1150" s="956" t="s">
        <v>928</v>
      </c>
      <c r="D1150" s="957"/>
      <c r="E1150" s="958"/>
      <c r="F1150" s="1069"/>
      <c r="G1150" s="957"/>
      <c r="H1150" s="1032"/>
      <c r="I1150" s="959">
        <f>+I1142</f>
        <v>784.28</v>
      </c>
    </row>
    <row r="1151" spans="3:9" ht="15.75">
      <c r="C1151" s="956" t="s">
        <v>929</v>
      </c>
      <c r="D1151" s="957"/>
      <c r="E1151" s="958"/>
      <c r="F1151" s="1069"/>
      <c r="G1151" s="957"/>
      <c r="H1151" s="1032"/>
      <c r="I1151" s="959">
        <f>+I1146</f>
        <v>0</v>
      </c>
    </row>
    <row r="1152" spans="3:9" ht="15.75">
      <c r="C1152" s="949"/>
      <c r="D1152" s="946"/>
      <c r="E1152" s="947"/>
      <c r="F1152" s="1054"/>
      <c r="G1152" s="946"/>
      <c r="H1152" s="1031"/>
      <c r="I1152" s="948"/>
    </row>
    <row r="1153" spans="2:9" ht="15.75">
      <c r="C1153" s="949"/>
      <c r="D1153" s="946"/>
      <c r="E1153" s="947"/>
      <c r="F1153" s="1054"/>
      <c r="G1153" s="946"/>
      <c r="H1153" s="1031"/>
      <c r="I1153" s="948"/>
    </row>
    <row r="1154" spans="2:9" ht="15.75">
      <c r="C1154" s="951" t="s">
        <v>930</v>
      </c>
      <c r="D1154" s="960"/>
      <c r="E1154" s="943" t="str">
        <f>+E1127</f>
        <v>M³C</v>
      </c>
      <c r="F1154" s="1070"/>
      <c r="G1154" s="960"/>
      <c r="H1154" s="1033"/>
      <c r="I1154" s="952">
        <f>SUM(I1148:I1151)</f>
        <v>1044.28</v>
      </c>
    </row>
    <row r="1155" spans="2:9" ht="15.75">
      <c r="C1155" s="949"/>
      <c r="D1155" s="946"/>
      <c r="E1155" s="947"/>
      <c r="F1155" s="1054"/>
      <c r="G1155" s="946"/>
      <c r="H1155" s="1031"/>
      <c r="I1155" s="948"/>
    </row>
    <row r="1157" spans="2:9" ht="31.5">
      <c r="B1157" s="1041">
        <v>2.5</v>
      </c>
      <c r="C1157" s="937" t="str">
        <f>+Presupuesto!B73</f>
        <v xml:space="preserve">Bote de material con camión D= 5 km (incluye carguío y esparcimiento en botadero) </v>
      </c>
      <c r="D1157" s="938"/>
      <c r="E1157" s="962" t="str">
        <f>+'[49]LISTA VIAS Y PAISAJISMO'!D72</f>
        <v>M³E</v>
      </c>
      <c r="F1157" s="1066"/>
      <c r="G1157" s="938"/>
      <c r="H1157" s="1029"/>
      <c r="I1157" s="940">
        <f>I1181</f>
        <v>350</v>
      </c>
    </row>
    <row r="1158" spans="2:9" ht="15.75">
      <c r="C1158" s="941" t="s">
        <v>908</v>
      </c>
      <c r="D1158" s="942" t="s">
        <v>9</v>
      </c>
      <c r="E1158" s="943" t="s">
        <v>10</v>
      </c>
      <c r="F1158" s="1067" t="s">
        <v>909</v>
      </c>
      <c r="G1158" s="942" t="s">
        <v>910</v>
      </c>
      <c r="H1158" s="1030" t="s">
        <v>911</v>
      </c>
      <c r="I1158" s="944" t="s">
        <v>912</v>
      </c>
    </row>
    <row r="1159" spans="2:9" ht="15.75">
      <c r="C1159" s="945" t="s">
        <v>913</v>
      </c>
      <c r="D1159" s="946"/>
      <c r="E1159" s="947"/>
      <c r="F1159" s="1054"/>
      <c r="G1159" s="946"/>
      <c r="H1159" s="1031"/>
      <c r="I1159" s="948"/>
    </row>
    <row r="1160" spans="2:9" ht="15.75">
      <c r="C1160" s="949" t="s">
        <v>924</v>
      </c>
      <c r="D1160" s="946"/>
      <c r="E1160" s="947" t="str">
        <f>+VLOOKUP(C1160,[49]BASICS!B:E,2,FALSE)</f>
        <v>n/a</v>
      </c>
      <c r="F1160" s="1068">
        <f>+VLOOKUP(C1160,[49]BASICS!B:E,3,FALSE)</f>
        <v>0</v>
      </c>
      <c r="G1160" s="946">
        <f>F1160-(F1160/1.18)</f>
        <v>0</v>
      </c>
      <c r="H1160" s="1031"/>
      <c r="I1160" s="948">
        <f>D1160*F1160</f>
        <v>0</v>
      </c>
    </row>
    <row r="1161" spans="2:9" ht="15.75">
      <c r="C1161" s="951" t="s">
        <v>918</v>
      </c>
      <c r="D1161" s="946"/>
      <c r="E1161" s="947"/>
      <c r="F1161" s="1068"/>
      <c r="G1161" s="946"/>
      <c r="H1161" s="1031"/>
      <c r="I1161" s="952">
        <f>SUM(I1160:I1160)</f>
        <v>0</v>
      </c>
    </row>
    <row r="1162" spans="2:9" ht="15.75">
      <c r="C1162" s="949"/>
      <c r="D1162" s="946"/>
      <c r="E1162" s="947"/>
      <c r="F1162" s="1068"/>
      <c r="G1162" s="946"/>
      <c r="H1162" s="1031"/>
      <c r="I1162" s="948"/>
    </row>
    <row r="1163" spans="2:9" ht="15.75">
      <c r="C1163" s="945" t="s">
        <v>919</v>
      </c>
      <c r="D1163" s="946"/>
      <c r="E1163" s="947"/>
      <c r="F1163" s="1068"/>
      <c r="G1163" s="946"/>
      <c r="H1163" s="1031"/>
      <c r="I1163" s="948"/>
    </row>
    <row r="1164" spans="2:9" ht="15.75">
      <c r="C1164" s="949" t="s">
        <v>924</v>
      </c>
      <c r="D1164" s="953"/>
      <c r="E1164" s="954" t="str">
        <f>+VLOOKUP(C1164,[49]BASICS!B:E,2,FALSE)</f>
        <v>n/a</v>
      </c>
      <c r="F1164" s="1068">
        <f>+VLOOKUP(C1164,[49]BASICS!B:E,3,FALSE)</f>
        <v>0</v>
      </c>
      <c r="G1164" s="946">
        <f>F1164-(F1164/1.18)</f>
        <v>0</v>
      </c>
      <c r="H1164" s="1031"/>
      <c r="I1164" s="948">
        <f>(D1164*F1164)</f>
        <v>0</v>
      </c>
    </row>
    <row r="1165" spans="2:9" ht="15.75">
      <c r="C1165" s="951" t="s">
        <v>918</v>
      </c>
      <c r="D1165" s="946"/>
      <c r="E1165" s="947"/>
      <c r="F1165" s="1054"/>
      <c r="G1165" s="946"/>
      <c r="H1165" s="1031"/>
      <c r="I1165" s="952">
        <f>SUM(I1164:I1164)</f>
        <v>0</v>
      </c>
    </row>
    <row r="1166" spans="2:9" ht="15.75">
      <c r="C1166" s="949"/>
      <c r="D1166" s="946"/>
      <c r="E1166" s="947"/>
      <c r="F1166" s="1054"/>
      <c r="G1166" s="946"/>
      <c r="H1166" s="1031"/>
      <c r="I1166" s="948"/>
    </row>
    <row r="1167" spans="2:9" ht="15.75">
      <c r="C1167" s="945" t="s">
        <v>923</v>
      </c>
      <c r="D1167" s="946"/>
      <c r="E1167" s="947"/>
      <c r="F1167" s="1054"/>
      <c r="G1167" s="946"/>
      <c r="H1167" s="1031"/>
      <c r="I1167" s="948"/>
    </row>
    <row r="1168" spans="2:9" ht="15.75">
      <c r="C1168" s="949" t="s">
        <v>934</v>
      </c>
      <c r="D1168" s="946">
        <v>1</v>
      </c>
      <c r="E1168" s="947" t="str">
        <f>+VLOOKUP(C1168,[49]BASICS!B:E,2,FALSE)</f>
        <v>m3e</v>
      </c>
      <c r="F1168" s="1054">
        <f>+'Basic (equilibrio) (2)'!$D$685</f>
        <v>350</v>
      </c>
      <c r="G1168" s="946">
        <f>F1168-(F1168/1.18)</f>
        <v>53.39</v>
      </c>
      <c r="H1168" s="1039"/>
      <c r="I1168" s="955">
        <f>D1168*F1168</f>
        <v>350</v>
      </c>
    </row>
    <row r="1169" spans="2:9" ht="15.75">
      <c r="C1169" s="951" t="s">
        <v>918</v>
      </c>
      <c r="D1169" s="946"/>
      <c r="E1169" s="947"/>
      <c r="F1169" s="1054"/>
      <c r="G1169" s="946"/>
      <c r="H1169" s="1031"/>
      <c r="I1169" s="952">
        <f>SUM(I1168:I1168)</f>
        <v>350</v>
      </c>
    </row>
    <row r="1170" spans="2:9" ht="15.75">
      <c r="C1170" s="949"/>
      <c r="D1170" s="946"/>
      <c r="E1170" s="947"/>
      <c r="F1170" s="1054"/>
      <c r="G1170" s="946"/>
      <c r="H1170" s="1031"/>
      <c r="I1170" s="948"/>
    </row>
    <row r="1171" spans="2:9" ht="15.75">
      <c r="C1171" s="945" t="s">
        <v>925</v>
      </c>
      <c r="D1171" s="946"/>
      <c r="E1171" s="947"/>
      <c r="F1171" s="1054"/>
      <c r="G1171" s="946"/>
      <c r="H1171" s="1031"/>
      <c r="I1171" s="948"/>
    </row>
    <row r="1172" spans="2:9" ht="15.75">
      <c r="C1172" s="949" t="s">
        <v>924</v>
      </c>
      <c r="D1172" s="946"/>
      <c r="E1172" s="947" t="str">
        <f>VLOOKUP(C1172,[50]BASICS!B:D,2,FALSE)</f>
        <v>n/a</v>
      </c>
      <c r="F1172" s="1054">
        <f>+VLOOKUP(C1172,[49]BASICS!B:E,3,FALSE)</f>
        <v>0</v>
      </c>
      <c r="G1172" s="946"/>
      <c r="H1172" s="1031"/>
      <c r="I1172" s="948">
        <f>D1172*F1172</f>
        <v>0</v>
      </c>
    </row>
    <row r="1173" spans="2:9" ht="15.75">
      <c r="C1173" s="951" t="s">
        <v>918</v>
      </c>
      <c r="D1173" s="946"/>
      <c r="E1173" s="947"/>
      <c r="F1173" s="1054"/>
      <c r="G1173" s="946"/>
      <c r="H1173" s="1031"/>
      <c r="I1173" s="952">
        <f>SUM(I1172)</f>
        <v>0</v>
      </c>
    </row>
    <row r="1174" spans="2:9" ht="15.75">
      <c r="C1174" s="951"/>
      <c r="D1174" s="946"/>
      <c r="E1174" s="947"/>
      <c r="F1174" s="1054"/>
      <c r="G1174" s="946"/>
      <c r="H1174" s="1031"/>
      <c r="I1174" s="952"/>
    </row>
    <row r="1175" spans="2:9" ht="15.75">
      <c r="C1175" s="956" t="s">
        <v>926</v>
      </c>
      <c r="D1175" s="957"/>
      <c r="E1175" s="958"/>
      <c r="F1175" s="1069"/>
      <c r="G1175" s="957"/>
      <c r="H1175" s="1032"/>
      <c r="I1175" s="959">
        <f>+I1161</f>
        <v>0</v>
      </c>
    </row>
    <row r="1176" spans="2:9" ht="15.75">
      <c r="C1176" s="956" t="s">
        <v>927</v>
      </c>
      <c r="D1176" s="957"/>
      <c r="E1176" s="958"/>
      <c r="F1176" s="1069"/>
      <c r="G1176" s="957"/>
      <c r="H1176" s="1032"/>
      <c r="I1176" s="959">
        <f>+I1165</f>
        <v>0</v>
      </c>
    </row>
    <row r="1177" spans="2:9" ht="15.75">
      <c r="C1177" s="956" t="s">
        <v>928</v>
      </c>
      <c r="D1177" s="957"/>
      <c r="E1177" s="958"/>
      <c r="F1177" s="1069"/>
      <c r="G1177" s="957"/>
      <c r="H1177" s="1032"/>
      <c r="I1177" s="959">
        <f>+I1169</f>
        <v>350</v>
      </c>
    </row>
    <row r="1178" spans="2:9" ht="15.75">
      <c r="C1178" s="956" t="s">
        <v>929</v>
      </c>
      <c r="D1178" s="957"/>
      <c r="E1178" s="958"/>
      <c r="F1178" s="1069"/>
      <c r="G1178" s="957"/>
      <c r="H1178" s="1032"/>
      <c r="I1178" s="959">
        <f>+I1173</f>
        <v>0</v>
      </c>
    </row>
    <row r="1179" spans="2:9" ht="15.75">
      <c r="C1179" s="949"/>
      <c r="D1179" s="946"/>
      <c r="E1179" s="947"/>
      <c r="F1179" s="1054"/>
      <c r="G1179" s="946"/>
      <c r="H1179" s="1031"/>
      <c r="I1179" s="948"/>
    </row>
    <row r="1180" spans="2:9" ht="15.75">
      <c r="C1180" s="949"/>
      <c r="D1180" s="946"/>
      <c r="E1180" s="947"/>
      <c r="F1180" s="1054"/>
      <c r="G1180" s="946"/>
      <c r="H1180" s="1031"/>
      <c r="I1180" s="948"/>
    </row>
    <row r="1181" spans="2:9" ht="15.75">
      <c r="C1181" s="951" t="s">
        <v>930</v>
      </c>
      <c r="D1181" s="960"/>
      <c r="E1181" s="943" t="str">
        <f>+E1157</f>
        <v>M³E</v>
      </c>
      <c r="F1181" s="1070"/>
      <c r="G1181" s="960"/>
      <c r="H1181" s="1033"/>
      <c r="I1181" s="952">
        <f>SUM(I1175:I1178)</f>
        <v>350</v>
      </c>
    </row>
    <row r="1182" spans="2:9" ht="15.75">
      <c r="C1182" s="949"/>
      <c r="D1182" s="946"/>
      <c r="E1182" s="947"/>
      <c r="F1182" s="1054"/>
      <c r="G1182" s="946"/>
      <c r="H1182" s="1031"/>
      <c r="I1182" s="948"/>
    </row>
    <row r="1184" spans="2:9" ht="15.75">
      <c r="B1184" s="1041">
        <v>3.1</v>
      </c>
      <c r="C1184" s="937" t="str">
        <f>+'[49]LISTA VIAS Y PAISAJISMO'!B75</f>
        <v>Encaches  laterales y fondo 20 cm</v>
      </c>
      <c r="D1184" s="938"/>
      <c r="E1184" s="962" t="str">
        <f>+'[49]LISTA VIAS Y PAISAJISMO'!D75</f>
        <v>M²</v>
      </c>
      <c r="F1184" s="1066"/>
      <c r="G1184" s="938"/>
      <c r="H1184" s="1029"/>
      <c r="I1184" s="940">
        <f>+I1210</f>
        <v>1153.1500000000001</v>
      </c>
    </row>
    <row r="1185" spans="3:9" ht="15.75">
      <c r="C1185" s="941" t="s">
        <v>908</v>
      </c>
      <c r="D1185" s="942" t="s">
        <v>9</v>
      </c>
      <c r="E1185" s="943" t="s">
        <v>10</v>
      </c>
      <c r="F1185" s="1067" t="s">
        <v>909</v>
      </c>
      <c r="G1185" s="942" t="s">
        <v>910</v>
      </c>
      <c r="H1185" s="1030" t="s">
        <v>911</v>
      </c>
      <c r="I1185" s="944" t="s">
        <v>912</v>
      </c>
    </row>
    <row r="1186" spans="3:9" ht="15.75">
      <c r="C1186" s="945" t="s">
        <v>913</v>
      </c>
      <c r="D1186" s="946"/>
      <c r="E1186" s="947"/>
      <c r="F1186" s="1054"/>
      <c r="G1186" s="946"/>
      <c r="H1186" s="1031"/>
      <c r="I1186" s="948"/>
    </row>
    <row r="1187" spans="3:9" ht="15.75">
      <c r="C1187" s="949" t="s">
        <v>994</v>
      </c>
      <c r="D1187" s="946">
        <v>0.4</v>
      </c>
      <c r="E1187" s="947" t="str">
        <f>+VLOOKUP(C1187,[49]BASICS!B:E,2,FALSE)</f>
        <v>m3</v>
      </c>
      <c r="F1187" s="1068">
        <f>'Basic (equilibrio) (2)'!$D$179</f>
        <v>7600</v>
      </c>
      <c r="G1187" s="946">
        <f>F1187-(F1187/1.18)</f>
        <v>1159.32</v>
      </c>
      <c r="H1187" s="1031"/>
      <c r="I1187" s="948">
        <f>D1187*F1187</f>
        <v>3040</v>
      </c>
    </row>
    <row r="1188" spans="3:9" ht="15.75">
      <c r="C1188" s="949" t="s">
        <v>995</v>
      </c>
      <c r="D1188" s="946">
        <v>0.6</v>
      </c>
      <c r="E1188" s="947" t="str">
        <f>+VLOOKUP(C1188,[49]BASICS!B:E,2,FALSE)</f>
        <v>m3</v>
      </c>
      <c r="F1188" s="1068">
        <f>'Basic (equilibrio) (2)'!$D$367</f>
        <v>750</v>
      </c>
      <c r="G1188" s="946">
        <f>F1188-(F1188/1.18)</f>
        <v>114.41</v>
      </c>
      <c r="H1188" s="1031"/>
      <c r="I1188" s="948">
        <f>D1188*F1188</f>
        <v>450</v>
      </c>
    </row>
    <row r="1189" spans="3:9" ht="15.75">
      <c r="C1189" s="951" t="s">
        <v>918</v>
      </c>
      <c r="D1189" s="946"/>
      <c r="E1189" s="947"/>
      <c r="F1189" s="1068"/>
      <c r="G1189" s="946"/>
      <c r="H1189" s="1031"/>
      <c r="I1189" s="952">
        <f>SUM(I1187:I1188)</f>
        <v>3490</v>
      </c>
    </row>
    <row r="1190" spans="3:9" ht="15.75">
      <c r="C1190" s="949"/>
      <c r="D1190" s="946"/>
      <c r="E1190" s="947"/>
      <c r="F1190" s="1068"/>
      <c r="G1190" s="946"/>
      <c r="H1190" s="1031"/>
      <c r="I1190" s="948"/>
    </row>
    <row r="1191" spans="3:9" ht="15.75">
      <c r="C1191" s="945" t="s">
        <v>919</v>
      </c>
      <c r="D1191" s="946"/>
      <c r="E1191" s="947"/>
      <c r="F1191" s="1068"/>
      <c r="G1191" s="946"/>
      <c r="H1191" s="1031"/>
      <c r="I1191" s="948"/>
    </row>
    <row r="1192" spans="3:9" ht="15.75">
      <c r="C1192" s="949" t="s">
        <v>996</v>
      </c>
      <c r="D1192" s="953">
        <v>1</v>
      </c>
      <c r="E1192" s="954" t="str">
        <f>+VLOOKUP(C1192,[49]BASICS!B:E,2,FALSE)</f>
        <v xml:space="preserve">m3 </v>
      </c>
      <c r="F1192" s="1068">
        <f>'Basic (equilibrio) (2)'!$D$56</f>
        <v>350</v>
      </c>
      <c r="G1192" s="946">
        <f>F1192-(F1192/1.18)</f>
        <v>53.39</v>
      </c>
      <c r="H1192" s="1031"/>
      <c r="I1192" s="948">
        <f>(D1192*F1192)</f>
        <v>350</v>
      </c>
    </row>
    <row r="1193" spans="3:9" ht="15.75">
      <c r="C1193" s="951" t="s">
        <v>918</v>
      </c>
      <c r="D1193" s="946"/>
      <c r="E1193" s="947"/>
      <c r="F1193" s="1054"/>
      <c r="G1193" s="946"/>
      <c r="H1193" s="1031"/>
      <c r="I1193" s="952">
        <f>SUM(I1192:I1192)</f>
        <v>350</v>
      </c>
    </row>
    <row r="1194" spans="3:9" ht="15.75">
      <c r="C1194" s="949"/>
      <c r="D1194" s="946"/>
      <c r="E1194" s="947"/>
      <c r="F1194" s="1054"/>
      <c r="G1194" s="946"/>
      <c r="H1194" s="1031"/>
      <c r="I1194" s="948"/>
    </row>
    <row r="1195" spans="3:9" ht="15.75">
      <c r="C1195" s="945" t="s">
        <v>923</v>
      </c>
      <c r="D1195" s="946"/>
      <c r="E1195" s="947"/>
      <c r="F1195" s="1054"/>
      <c r="G1195" s="946"/>
      <c r="H1195" s="1031"/>
      <c r="I1195" s="948"/>
    </row>
    <row r="1196" spans="3:9" ht="15.75">
      <c r="C1196" s="949" t="s">
        <v>924</v>
      </c>
      <c r="D1196" s="946"/>
      <c r="E1196" s="947" t="str">
        <f>+VLOOKUP(C1196,[49]BASICS!B:E,2,FALSE)</f>
        <v>n/a</v>
      </c>
      <c r="F1196" s="1054">
        <f>+VLOOKUP(C1196,[49]BASICS!B:E,3,FALSE)</f>
        <v>0</v>
      </c>
      <c r="G1196" s="946">
        <f>F1196-(F1196/1.18)</f>
        <v>0</v>
      </c>
      <c r="H1196" s="1039"/>
      <c r="I1196" s="955">
        <f>D1196*F1196</f>
        <v>0</v>
      </c>
    </row>
    <row r="1197" spans="3:9" ht="15.75">
      <c r="C1197" s="951" t="s">
        <v>918</v>
      </c>
      <c r="D1197" s="946"/>
      <c r="E1197" s="947"/>
      <c r="F1197" s="1054"/>
      <c r="G1197" s="946"/>
      <c r="H1197" s="1031"/>
      <c r="I1197" s="952">
        <f>SUM(I1196:I1196)</f>
        <v>0</v>
      </c>
    </row>
    <row r="1198" spans="3:9" ht="15.75">
      <c r="C1198" s="949"/>
      <c r="D1198" s="946"/>
      <c r="E1198" s="947"/>
      <c r="F1198" s="1054"/>
      <c r="G1198" s="946"/>
      <c r="H1198" s="1031"/>
      <c r="I1198" s="948"/>
    </row>
    <row r="1199" spans="3:9" ht="15.75">
      <c r="C1199" s="945" t="s">
        <v>925</v>
      </c>
      <c r="D1199" s="946"/>
      <c r="E1199" s="947"/>
      <c r="F1199" s="1054"/>
      <c r="G1199" s="946"/>
      <c r="H1199" s="1031"/>
      <c r="I1199" s="948"/>
    </row>
    <row r="1200" spans="3:9" ht="15.75">
      <c r="C1200" s="949" t="s">
        <v>925</v>
      </c>
      <c r="D1200" s="946">
        <f>+I1193</f>
        <v>350</v>
      </c>
      <c r="E1200" s="947" t="str">
        <f>VLOOKUP(C1200,[50]BASICS!B:D,2,FALSE)</f>
        <v>Pa</v>
      </c>
      <c r="F1200" s="1054">
        <f>+VLOOKUP(C1200,[49]BASICS!B:E,3,FALSE)</f>
        <v>0</v>
      </c>
      <c r="G1200" s="946"/>
      <c r="H1200" s="1031"/>
      <c r="I1200" s="948">
        <f>D1200*F1200</f>
        <v>0</v>
      </c>
    </row>
    <row r="1201" spans="2:9" ht="15.75">
      <c r="C1201" s="951" t="s">
        <v>918</v>
      </c>
      <c r="D1201" s="946"/>
      <c r="E1201" s="947"/>
      <c r="F1201" s="1054"/>
      <c r="G1201" s="946"/>
      <c r="H1201" s="1031"/>
      <c r="I1201" s="952">
        <f>SUM(I1200)</f>
        <v>0</v>
      </c>
    </row>
    <row r="1202" spans="2:9" ht="15.75">
      <c r="C1202" s="951"/>
      <c r="D1202" s="946"/>
      <c r="E1202" s="947"/>
      <c r="F1202" s="1054"/>
      <c r="G1202" s="946"/>
      <c r="H1202" s="1031"/>
      <c r="I1202" s="952"/>
    </row>
    <row r="1203" spans="2:9" ht="15.75">
      <c r="C1203" s="956" t="s">
        <v>926</v>
      </c>
      <c r="D1203" s="957"/>
      <c r="E1203" s="958"/>
      <c r="F1203" s="1069"/>
      <c r="G1203" s="957"/>
      <c r="H1203" s="1032"/>
      <c r="I1203" s="959">
        <f>+I1189</f>
        <v>3490</v>
      </c>
    </row>
    <row r="1204" spans="2:9" ht="15.75">
      <c r="C1204" s="956" t="s">
        <v>927</v>
      </c>
      <c r="D1204" s="957"/>
      <c r="E1204" s="958"/>
      <c r="F1204" s="1069"/>
      <c r="G1204" s="957"/>
      <c r="H1204" s="1032"/>
      <c r="I1204" s="959">
        <f>+I1193</f>
        <v>350</v>
      </c>
    </row>
    <row r="1205" spans="2:9" ht="15.75">
      <c r="C1205" s="956" t="s">
        <v>928</v>
      </c>
      <c r="D1205" s="957"/>
      <c r="E1205" s="958"/>
      <c r="F1205" s="1069"/>
      <c r="G1205" s="957"/>
      <c r="H1205" s="1032"/>
      <c r="I1205" s="959">
        <f>+I1197</f>
        <v>0</v>
      </c>
    </row>
    <row r="1206" spans="2:9" ht="15.75">
      <c r="C1206" s="956" t="s">
        <v>929</v>
      </c>
      <c r="D1206" s="957"/>
      <c r="E1206" s="958"/>
      <c r="F1206" s="1069"/>
      <c r="G1206" s="957"/>
      <c r="H1206" s="1032"/>
      <c r="I1206" s="959">
        <f>+I1201</f>
        <v>0</v>
      </c>
    </row>
    <row r="1207" spans="2:9" ht="15.75">
      <c r="C1207" s="949"/>
      <c r="D1207" s="946"/>
      <c r="E1207" s="947"/>
      <c r="F1207" s="1054"/>
      <c r="G1207" s="946"/>
      <c r="H1207" s="1031"/>
      <c r="I1207" s="948"/>
    </row>
    <row r="1208" spans="2:9" ht="15.75">
      <c r="C1208" s="949"/>
      <c r="D1208" s="946"/>
      <c r="E1208" s="947"/>
      <c r="F1208" s="1054"/>
      <c r="G1208" s="946"/>
      <c r="H1208" s="1031"/>
      <c r="I1208" s="948"/>
    </row>
    <row r="1209" spans="2:9" ht="15.75">
      <c r="C1209" s="951" t="s">
        <v>930</v>
      </c>
      <c r="D1209" s="960">
        <f>1/0.3</f>
        <v>3.33</v>
      </c>
      <c r="E1209" s="943" t="s">
        <v>997</v>
      </c>
      <c r="F1209" s="1070"/>
      <c r="G1209" s="960"/>
      <c r="H1209" s="1033"/>
      <c r="I1209" s="952">
        <f>SUM(I1203:I1206)</f>
        <v>3840</v>
      </c>
    </row>
    <row r="1210" spans="2:9" ht="15.75">
      <c r="C1210" s="951" t="s">
        <v>930</v>
      </c>
      <c r="D1210" s="967"/>
      <c r="E1210" s="943" t="s">
        <v>20</v>
      </c>
      <c r="F1210" s="1071"/>
      <c r="G1210" s="967"/>
      <c r="H1210" s="1034"/>
      <c r="I1210" s="963">
        <f>+I1209/D1209</f>
        <v>1153.1500000000001</v>
      </c>
    </row>
    <row r="1211" spans="2:9" ht="15.75">
      <c r="C1211" s="968"/>
      <c r="D1211" s="969"/>
      <c r="E1211" s="970"/>
      <c r="F1211" s="1072"/>
      <c r="G1211" s="969"/>
      <c r="H1211" s="1035"/>
      <c r="I1211" s="971"/>
    </row>
    <row r="1212" spans="2:9" ht="15">
      <c r="C1212" s="972"/>
      <c r="D1212" s="973"/>
      <c r="E1212" s="974"/>
      <c r="F1212" s="1073"/>
      <c r="G1212" s="973"/>
      <c r="H1212" s="1036"/>
      <c r="I1212" s="972"/>
    </row>
    <row r="1213" spans="2:9" ht="18.75" customHeight="1">
      <c r="B1213" s="1435" t="s">
        <v>1519</v>
      </c>
      <c r="C1213" s="1435"/>
      <c r="D1213" s="1435"/>
      <c r="E1213" s="1435"/>
      <c r="F1213" s="1435"/>
      <c r="G1213" s="1435"/>
      <c r="H1213" s="1435"/>
      <c r="I1213" s="1436"/>
    </row>
    <row r="1215" spans="2:9" ht="15.75">
      <c r="B1215" s="1041">
        <v>1.1000000000000001</v>
      </c>
      <c r="C1215" s="937" t="str">
        <f>+'[49]LISTA VIAS Y PAISAJISMO'!B81</f>
        <v>Replanteo y control topográfico</v>
      </c>
      <c r="D1215" s="938"/>
      <c r="E1215" s="939" t="str">
        <f>+'[49]LISTA VIAS Y PAISAJISMO'!D81</f>
        <v>M</v>
      </c>
      <c r="F1215" s="1066"/>
      <c r="G1215" s="938"/>
      <c r="H1215" s="1029"/>
      <c r="I1215" s="940">
        <f>I1245</f>
        <v>168.42</v>
      </c>
    </row>
    <row r="1216" spans="2:9" ht="15.75">
      <c r="C1216" s="941" t="s">
        <v>908</v>
      </c>
      <c r="D1216" s="942" t="s">
        <v>9</v>
      </c>
      <c r="E1216" s="943" t="s">
        <v>10</v>
      </c>
      <c r="F1216" s="1067" t="s">
        <v>909</v>
      </c>
      <c r="G1216" s="942" t="s">
        <v>910</v>
      </c>
      <c r="H1216" s="1030" t="s">
        <v>911</v>
      </c>
      <c r="I1216" s="944" t="s">
        <v>912</v>
      </c>
    </row>
    <row r="1217" spans="3:9" ht="15.75">
      <c r="C1217" s="945" t="s">
        <v>913</v>
      </c>
      <c r="D1217" s="946"/>
      <c r="E1217" s="947"/>
      <c r="F1217" s="1054"/>
      <c r="G1217" s="946"/>
      <c r="H1217" s="1031"/>
      <c r="I1217" s="948"/>
    </row>
    <row r="1218" spans="3:9" ht="15.75">
      <c r="C1218" s="949" t="s">
        <v>914</v>
      </c>
      <c r="D1218" s="946">
        <v>2</v>
      </c>
      <c r="E1218" s="947" t="str">
        <f>+VLOOKUP(C1218,[49]BASICS!B:E,2,FALSE)</f>
        <v>lb</v>
      </c>
      <c r="F1218" s="1068">
        <f>'Basic (equilibrio) (2)'!$D$192</f>
        <v>78.2</v>
      </c>
      <c r="G1218" s="946">
        <f>F1218-(F1218/1.18)</f>
        <v>11.93</v>
      </c>
      <c r="H1218" s="1031">
        <v>200</v>
      </c>
      <c r="I1218" s="948">
        <f>D1218*F1218/H1218</f>
        <v>0.78</v>
      </c>
    </row>
    <row r="1219" spans="3:9" ht="15.75">
      <c r="C1219" s="949" t="s">
        <v>915</v>
      </c>
      <c r="D1219" s="946">
        <v>1</v>
      </c>
      <c r="E1219" s="950" t="str">
        <f>+VLOOKUP(C1219,[49]BASICS!B:E,2,FALSE)</f>
        <v>fda</v>
      </c>
      <c r="F1219" s="1068">
        <f>'Basic (equilibrio) (2)'!$D$193</f>
        <v>153.6</v>
      </c>
      <c r="G1219" s="946">
        <f>F1219-(F1219/1.18)</f>
        <v>23.43</v>
      </c>
      <c r="H1219" s="1031">
        <v>200</v>
      </c>
      <c r="I1219" s="948">
        <f t="shared" ref="I1219:I1222" si="11">D1219*F1219/H1219</f>
        <v>0.77</v>
      </c>
    </row>
    <row r="1220" spans="3:9" ht="15.75">
      <c r="C1220" s="949" t="s">
        <v>916</v>
      </c>
      <c r="D1220" s="946">
        <f>160.42/28.83</f>
        <v>5.56</v>
      </c>
      <c r="E1220" s="947" t="str">
        <f>+VLOOKUP(C1220,[49]BASICS!B:E,2,FALSE)</f>
        <v>pt</v>
      </c>
      <c r="F1220" s="1068">
        <f>'Basic (equilibrio) (2)'!$D$194</f>
        <v>107.7</v>
      </c>
      <c r="G1220" s="946">
        <f>F1220-(F1220/1.18)</f>
        <v>16.43</v>
      </c>
      <c r="H1220" s="1031">
        <v>200</v>
      </c>
      <c r="I1220" s="948">
        <f t="shared" si="11"/>
        <v>2.99</v>
      </c>
    </row>
    <row r="1221" spans="3:9" ht="15.75">
      <c r="C1221" s="949" t="s">
        <v>989</v>
      </c>
      <c r="D1221" s="946">
        <v>200</v>
      </c>
      <c r="E1221" s="950" t="str">
        <f>+VLOOKUP(C1221,[49]BASICS!B:E,2,FALSE)</f>
        <v>und</v>
      </c>
      <c r="F1221" s="1068">
        <f>'Basic (equilibrio) (2)'!$D$491</f>
        <v>5</v>
      </c>
      <c r="G1221" s="946">
        <f>F1221-(F1221/1.18)</f>
        <v>0.76</v>
      </c>
      <c r="H1221" s="1031">
        <v>200</v>
      </c>
      <c r="I1221" s="948">
        <f t="shared" si="11"/>
        <v>5</v>
      </c>
    </row>
    <row r="1222" spans="3:9" ht="15.75">
      <c r="C1222" s="949" t="s">
        <v>917</v>
      </c>
      <c r="D1222" s="946">
        <v>1</v>
      </c>
      <c r="E1222" s="950" t="str">
        <f>+VLOOKUP(C1222,[49]BASICS!B:E,2,FALSE)</f>
        <v>u</v>
      </c>
      <c r="F1222" s="1068">
        <f>'Basic (equilibrio) (2)'!$D$195</f>
        <v>139.19999999999999</v>
      </c>
      <c r="G1222" s="946">
        <f>F1222-(F1222/1.18)</f>
        <v>21.23</v>
      </c>
      <c r="H1222" s="1031">
        <v>200</v>
      </c>
      <c r="I1222" s="948">
        <f t="shared" si="11"/>
        <v>0.7</v>
      </c>
    </row>
    <row r="1223" spans="3:9" ht="15.75">
      <c r="C1223" s="951" t="s">
        <v>918</v>
      </c>
      <c r="D1223" s="946"/>
      <c r="E1223" s="947"/>
      <c r="F1223" s="1068"/>
      <c r="G1223" s="946"/>
      <c r="H1223" s="1031"/>
      <c r="I1223" s="952">
        <f>SUM(I1218:I1222)</f>
        <v>10.24</v>
      </c>
    </row>
    <row r="1224" spans="3:9" ht="15.75">
      <c r="C1224" s="949"/>
      <c r="D1224" s="946"/>
      <c r="E1224" s="947"/>
      <c r="F1224" s="1068"/>
      <c r="G1224" s="946"/>
      <c r="H1224" s="1031"/>
      <c r="I1224" s="948"/>
    </row>
    <row r="1225" spans="3:9" ht="15.75">
      <c r="C1225" s="945" t="s">
        <v>919</v>
      </c>
      <c r="D1225" s="946"/>
      <c r="E1225" s="947"/>
      <c r="F1225" s="1068"/>
      <c r="G1225" s="946"/>
      <c r="H1225" s="1031"/>
      <c r="I1225" s="948"/>
    </row>
    <row r="1226" spans="3:9" ht="15.75">
      <c r="C1226" s="949" t="s">
        <v>920</v>
      </c>
      <c r="D1226" s="953">
        <v>1</v>
      </c>
      <c r="E1226" s="954" t="str">
        <f>+VLOOKUP(C1226,[49]BASICS!B:E,2,FALSE)</f>
        <v>dia</v>
      </c>
      <c r="F1226" s="1068">
        <f>'Basic (equilibrio) (2)'!$D$18</f>
        <v>28535.5</v>
      </c>
      <c r="G1226" s="946">
        <v>0</v>
      </c>
      <c r="H1226" s="1031">
        <v>200</v>
      </c>
      <c r="I1226" s="948">
        <f t="shared" ref="I1226:I1228" si="12">D1226*F1226/H1226</f>
        <v>142.68</v>
      </c>
    </row>
    <row r="1227" spans="3:9" ht="15.75">
      <c r="C1227" s="949" t="s">
        <v>921</v>
      </c>
      <c r="D1227" s="946">
        <v>1</v>
      </c>
      <c r="E1227" s="954" t="str">
        <f>+VLOOKUP(C1227,[49]BASICS!B:E,2,FALSE)</f>
        <v>dia</v>
      </c>
      <c r="F1227" s="1054">
        <f>'Basic (equilibrio) (2)'!$D$12</f>
        <v>1900</v>
      </c>
      <c r="G1227" s="946">
        <v>0</v>
      </c>
      <c r="H1227" s="1031">
        <v>200</v>
      </c>
      <c r="I1227" s="948">
        <f t="shared" si="12"/>
        <v>9.5</v>
      </c>
    </row>
    <row r="1228" spans="3:9" ht="15.75">
      <c r="C1228" s="949" t="s">
        <v>922</v>
      </c>
      <c r="D1228" s="946">
        <v>1</v>
      </c>
      <c r="E1228" s="954" t="str">
        <f>+VLOOKUP(C1228,[49]BASICS!B:E,2,FALSE)</f>
        <v>dia</v>
      </c>
      <c r="F1228" s="1054">
        <f>'Basic (equilibrio) (2)'!$D$13</f>
        <v>1200</v>
      </c>
      <c r="G1228" s="946">
        <v>0</v>
      </c>
      <c r="H1228" s="1031">
        <v>200</v>
      </c>
      <c r="I1228" s="948">
        <f t="shared" si="12"/>
        <v>6</v>
      </c>
    </row>
    <row r="1229" spans="3:9" ht="15.75">
      <c r="C1229" s="951" t="s">
        <v>918</v>
      </c>
      <c r="D1229" s="946"/>
      <c r="E1229" s="947"/>
      <c r="F1229" s="1054"/>
      <c r="G1229" s="946"/>
      <c r="H1229" s="1031"/>
      <c r="I1229" s="952">
        <f>SUM(I1226:I1228)</f>
        <v>158.18</v>
      </c>
    </row>
    <row r="1230" spans="3:9" ht="15.75">
      <c r="C1230" s="949"/>
      <c r="D1230" s="946"/>
      <c r="E1230" s="947"/>
      <c r="F1230" s="1054"/>
      <c r="G1230" s="946"/>
      <c r="H1230" s="1031"/>
      <c r="I1230" s="948"/>
    </row>
    <row r="1231" spans="3:9" ht="15.75">
      <c r="C1231" s="945" t="s">
        <v>923</v>
      </c>
      <c r="D1231" s="946"/>
      <c r="E1231" s="947"/>
      <c r="F1231" s="1054"/>
      <c r="G1231" s="946"/>
      <c r="H1231" s="1031"/>
      <c r="I1231" s="948"/>
    </row>
    <row r="1232" spans="3:9" ht="15.75">
      <c r="C1232" s="949" t="s">
        <v>924</v>
      </c>
      <c r="D1232" s="946"/>
      <c r="E1232" s="947"/>
      <c r="F1232" s="1054">
        <f>+VLOOKUP(C1232,[49]BASICS!B:E,3,FALSE)</f>
        <v>0</v>
      </c>
      <c r="G1232" s="946">
        <f>F1232-(F1232/1.18)</f>
        <v>0</v>
      </c>
      <c r="H1232" s="1039"/>
      <c r="I1232" s="955">
        <f>D1232*F1232</f>
        <v>0</v>
      </c>
    </row>
    <row r="1233" spans="2:9" ht="15.75">
      <c r="C1233" s="951" t="s">
        <v>918</v>
      </c>
      <c r="D1233" s="946"/>
      <c r="E1233" s="947"/>
      <c r="F1233" s="1054"/>
      <c r="G1233" s="946"/>
      <c r="H1233" s="1031"/>
      <c r="I1233" s="952">
        <f>SUM(I1232)</f>
        <v>0</v>
      </c>
    </row>
    <row r="1234" spans="2:9" ht="15.75">
      <c r="C1234" s="949"/>
      <c r="D1234" s="946"/>
      <c r="E1234" s="947"/>
      <c r="F1234" s="1054"/>
      <c r="G1234" s="946"/>
      <c r="H1234" s="1031"/>
      <c r="I1234" s="948"/>
    </row>
    <row r="1235" spans="2:9" ht="15.75">
      <c r="C1235" s="945" t="s">
        <v>925</v>
      </c>
      <c r="D1235" s="946"/>
      <c r="E1235" s="947"/>
      <c r="F1235" s="1054"/>
      <c r="G1235" s="946"/>
      <c r="H1235" s="1031"/>
      <c r="I1235" s="948"/>
    </row>
    <row r="1236" spans="2:9" ht="15.75">
      <c r="C1236" s="949" t="s">
        <v>925</v>
      </c>
      <c r="D1236" s="946">
        <f>+I1223</f>
        <v>10.24</v>
      </c>
      <c r="E1236" s="947" t="str">
        <f>VLOOKUP(C1236,[50]BASICS!B:D,2,FALSE)</f>
        <v>Pa</v>
      </c>
      <c r="F1236" s="1054">
        <f>+VLOOKUP(C1236,[49]BASICS!B:E,3,FALSE)</f>
        <v>0</v>
      </c>
      <c r="G1236" s="946"/>
      <c r="H1236" s="1031"/>
      <c r="I1236" s="948">
        <f>D1236*F1236</f>
        <v>0</v>
      </c>
    </row>
    <row r="1237" spans="2:9" ht="15.75">
      <c r="C1237" s="951" t="s">
        <v>918</v>
      </c>
      <c r="D1237" s="946"/>
      <c r="E1237" s="947"/>
      <c r="F1237" s="1054"/>
      <c r="G1237" s="946"/>
      <c r="H1237" s="1031"/>
      <c r="I1237" s="952">
        <f>SUM(I1236)</f>
        <v>0</v>
      </c>
    </row>
    <row r="1238" spans="2:9" ht="15.75">
      <c r="C1238" s="951"/>
      <c r="D1238" s="946"/>
      <c r="E1238" s="947"/>
      <c r="F1238" s="1054"/>
      <c r="G1238" s="946"/>
      <c r="H1238" s="1031"/>
      <c r="I1238" s="952"/>
    </row>
    <row r="1239" spans="2:9" ht="15.75">
      <c r="C1239" s="956" t="s">
        <v>926</v>
      </c>
      <c r="D1239" s="957"/>
      <c r="E1239" s="958"/>
      <c r="F1239" s="1069"/>
      <c r="G1239" s="957"/>
      <c r="H1239" s="1032"/>
      <c r="I1239" s="959">
        <f>+I1223</f>
        <v>10.24</v>
      </c>
    </row>
    <row r="1240" spans="2:9" ht="15.75">
      <c r="C1240" s="956" t="s">
        <v>927</v>
      </c>
      <c r="D1240" s="957"/>
      <c r="E1240" s="958"/>
      <c r="F1240" s="1069"/>
      <c r="G1240" s="957"/>
      <c r="H1240" s="1032"/>
      <c r="I1240" s="959">
        <f>+I1229</f>
        <v>158.18</v>
      </c>
    </row>
    <row r="1241" spans="2:9" ht="15.75">
      <c r="C1241" s="956" t="s">
        <v>928</v>
      </c>
      <c r="D1241" s="957"/>
      <c r="E1241" s="958"/>
      <c r="F1241" s="1069"/>
      <c r="G1241" s="957"/>
      <c r="H1241" s="1032"/>
      <c r="I1241" s="959">
        <f>+I1233</f>
        <v>0</v>
      </c>
    </row>
    <row r="1242" spans="2:9" ht="15.75">
      <c r="C1242" s="956" t="s">
        <v>929</v>
      </c>
      <c r="D1242" s="957"/>
      <c r="E1242" s="958"/>
      <c r="F1242" s="1069"/>
      <c r="G1242" s="957"/>
      <c r="H1242" s="1032"/>
      <c r="I1242" s="959">
        <f>+I1237</f>
        <v>0</v>
      </c>
    </row>
    <row r="1243" spans="2:9" ht="15.75">
      <c r="C1243" s="949"/>
      <c r="D1243" s="946"/>
      <c r="E1243" s="947"/>
      <c r="F1243" s="1054"/>
      <c r="G1243" s="946"/>
      <c r="H1243" s="1031"/>
      <c r="I1243" s="948"/>
    </row>
    <row r="1244" spans="2:9" ht="15.75">
      <c r="C1244" s="949"/>
      <c r="D1244" s="946"/>
      <c r="E1244" s="947"/>
      <c r="F1244" s="1054"/>
      <c r="G1244" s="946"/>
      <c r="H1244" s="1031"/>
      <c r="I1244" s="948"/>
    </row>
    <row r="1245" spans="2:9" ht="15.75">
      <c r="C1245" s="951" t="s">
        <v>930</v>
      </c>
      <c r="D1245" s="960"/>
      <c r="E1245" s="943" t="str">
        <f>+E1215</f>
        <v>M</v>
      </c>
      <c r="F1245" s="1070"/>
      <c r="G1245" s="960"/>
      <c r="H1245" s="1033"/>
      <c r="I1245" s="952">
        <f>SUM(I1239:I1242)</f>
        <v>168.42</v>
      </c>
    </row>
    <row r="1246" spans="2:9" ht="15.75">
      <c r="C1246" s="949"/>
      <c r="D1246" s="946"/>
      <c r="E1246" s="947"/>
      <c r="F1246" s="1054"/>
      <c r="G1246" s="946"/>
      <c r="H1246" s="1031"/>
      <c r="I1246" s="948"/>
    </row>
    <row r="1247" spans="2:9" ht="15">
      <c r="C1247" s="972"/>
      <c r="D1247" s="973"/>
      <c r="E1247" s="974"/>
      <c r="F1247" s="1073"/>
      <c r="G1247" s="973"/>
      <c r="H1247" s="1036"/>
      <c r="I1247" s="972"/>
    </row>
    <row r="1248" spans="2:9" ht="15.75">
      <c r="B1248" s="1041">
        <v>2.1</v>
      </c>
      <c r="C1248" s="937" t="str">
        <f>+'[49]LISTA VIAS Y PAISAJISMO'!B84</f>
        <v>Excavación material no clasificado c/equipo</v>
      </c>
      <c r="D1248" s="938"/>
      <c r="E1248" s="962" t="str">
        <f>+'[49]LISTA VIAS Y PAISAJISMO'!D84</f>
        <v>M³N</v>
      </c>
      <c r="F1248" s="1066"/>
      <c r="G1248" s="938"/>
      <c r="H1248" s="1029"/>
      <c r="I1248" s="940">
        <f>I1273</f>
        <v>118.09</v>
      </c>
    </row>
    <row r="1249" spans="3:9" ht="15.75">
      <c r="C1249" s="941" t="s">
        <v>908</v>
      </c>
      <c r="D1249" s="942" t="s">
        <v>9</v>
      </c>
      <c r="E1249" s="943" t="s">
        <v>10</v>
      </c>
      <c r="F1249" s="1067" t="s">
        <v>909</v>
      </c>
      <c r="G1249" s="942" t="s">
        <v>910</v>
      </c>
      <c r="H1249" s="1030" t="s">
        <v>911</v>
      </c>
      <c r="I1249" s="944" t="s">
        <v>912</v>
      </c>
    </row>
    <row r="1250" spans="3:9" ht="15.75">
      <c r="C1250" s="945" t="s">
        <v>913</v>
      </c>
      <c r="D1250" s="946"/>
      <c r="E1250" s="947"/>
      <c r="F1250" s="1054"/>
      <c r="G1250" s="946"/>
      <c r="H1250" s="1031"/>
      <c r="I1250" s="948"/>
    </row>
    <row r="1251" spans="3:9" ht="15.75">
      <c r="C1251" s="949" t="s">
        <v>924</v>
      </c>
      <c r="D1251" s="946"/>
      <c r="E1251" s="947" t="str">
        <f>+VLOOKUP(C1251,[49]BASICS!B:E,2,FALSE)</f>
        <v>n/a</v>
      </c>
      <c r="F1251" s="1068">
        <f>+VLOOKUP(C1251,[49]BASICS!B:E,3,FALSE)</f>
        <v>0</v>
      </c>
      <c r="G1251" s="946">
        <f>F1251-(F1251/1.18)</f>
        <v>0</v>
      </c>
      <c r="H1251" s="1031"/>
      <c r="I1251" s="948">
        <f>D1251*F1251</f>
        <v>0</v>
      </c>
    </row>
    <row r="1252" spans="3:9" ht="15.75">
      <c r="C1252" s="951" t="s">
        <v>918</v>
      </c>
      <c r="D1252" s="946"/>
      <c r="E1252" s="947"/>
      <c r="F1252" s="1068"/>
      <c r="G1252" s="946"/>
      <c r="H1252" s="1031"/>
      <c r="I1252" s="952">
        <f>SUM(I1251:I1251)</f>
        <v>0</v>
      </c>
    </row>
    <row r="1253" spans="3:9" ht="15.75">
      <c r="C1253" s="949"/>
      <c r="D1253" s="946"/>
      <c r="E1253" s="947"/>
      <c r="F1253" s="1068"/>
      <c r="G1253" s="946"/>
      <c r="H1253" s="1031"/>
      <c r="I1253" s="948"/>
    </row>
    <row r="1254" spans="3:9" ht="15.75">
      <c r="C1254" s="945" t="s">
        <v>919</v>
      </c>
      <c r="D1254" s="946"/>
      <c r="E1254" s="947"/>
      <c r="F1254" s="1068"/>
      <c r="G1254" s="946"/>
      <c r="H1254" s="1031"/>
      <c r="I1254" s="948"/>
    </row>
    <row r="1255" spans="3:9" ht="15.75">
      <c r="C1255" s="949" t="s">
        <v>931</v>
      </c>
      <c r="D1255" s="953">
        <v>0.13</v>
      </c>
      <c r="E1255" s="954" t="str">
        <f>+VLOOKUP(C1255,[49]BASICS!B:E,2,FALSE)</f>
        <v>dia</v>
      </c>
      <c r="F1255" s="1068">
        <f>'Basic (equilibrio) (2)'!$D$14</f>
        <v>900</v>
      </c>
      <c r="G1255" s="946">
        <v>0</v>
      </c>
      <c r="H1255" s="1031">
        <v>70</v>
      </c>
      <c r="I1255" s="948">
        <f>(D1255*F1255)/H1255</f>
        <v>1.67</v>
      </c>
    </row>
    <row r="1256" spans="3:9" ht="15.75">
      <c r="C1256" s="951" t="s">
        <v>918</v>
      </c>
      <c r="D1256" s="946"/>
      <c r="E1256" s="947"/>
      <c r="F1256" s="1054"/>
      <c r="G1256" s="946"/>
      <c r="H1256" s="1031"/>
      <c r="I1256" s="952">
        <f>SUM(I1255:I1255)</f>
        <v>1.67</v>
      </c>
    </row>
    <row r="1257" spans="3:9" ht="15.75">
      <c r="C1257" s="949"/>
      <c r="D1257" s="946"/>
      <c r="E1257" s="947"/>
      <c r="F1257" s="1054"/>
      <c r="G1257" s="946"/>
      <c r="H1257" s="1031"/>
      <c r="I1257" s="948"/>
    </row>
    <row r="1258" spans="3:9" ht="15.75">
      <c r="C1258" s="945" t="s">
        <v>923</v>
      </c>
      <c r="D1258" s="946"/>
      <c r="E1258" s="947"/>
      <c r="F1258" s="1054"/>
      <c r="G1258" s="946"/>
      <c r="H1258" s="1031"/>
      <c r="I1258" s="948"/>
    </row>
    <row r="1259" spans="3:9" ht="31.5">
      <c r="C1259" s="949" t="s">
        <v>932</v>
      </c>
      <c r="D1259" s="946">
        <v>1</v>
      </c>
      <c r="E1259" s="947" t="str">
        <f>+VLOOKUP(C1259,[49]BASICS!B:E,2,FALSE)</f>
        <v>hr</v>
      </c>
      <c r="F1259" s="1054">
        <f>'Basic (equilibrio) (2)'!$D$690</f>
        <v>3900</v>
      </c>
      <c r="G1259" s="946">
        <f>F1259-(F1259/1.18)</f>
        <v>594.91999999999996</v>
      </c>
      <c r="H1259" s="1039">
        <v>70</v>
      </c>
      <c r="I1259" s="955">
        <f>D1259*F1259/H1259</f>
        <v>55.71</v>
      </c>
    </row>
    <row r="1260" spans="3:9" ht="15.75">
      <c r="C1260" s="949" t="s">
        <v>933</v>
      </c>
      <c r="D1260" s="946">
        <v>1</v>
      </c>
      <c r="E1260" s="947" t="str">
        <f>+VLOOKUP(C1260,[49]BASICS!B:E,2,FALSE)</f>
        <v>hr</v>
      </c>
      <c r="F1260" s="1054">
        <f>'Basic (equilibrio) (2)'!$D$682</f>
        <v>4250</v>
      </c>
      <c r="G1260" s="946">
        <f>F1260-(F1260/1.18)</f>
        <v>648.30999999999995</v>
      </c>
      <c r="H1260" s="1039">
        <v>70</v>
      </c>
      <c r="I1260" s="955">
        <f>D1260*F1260/H1260</f>
        <v>60.71</v>
      </c>
    </row>
    <row r="1261" spans="3:9" ht="15.75">
      <c r="C1261" s="951" t="s">
        <v>918</v>
      </c>
      <c r="D1261" s="946"/>
      <c r="E1261" s="947"/>
      <c r="F1261" s="1054"/>
      <c r="G1261" s="946"/>
      <c r="H1261" s="1031"/>
      <c r="I1261" s="952">
        <f>SUM(I1259:I1260)</f>
        <v>116.42</v>
      </c>
    </row>
    <row r="1262" spans="3:9" ht="15.75">
      <c r="C1262" s="949"/>
      <c r="D1262" s="946"/>
      <c r="E1262" s="947"/>
      <c r="F1262" s="1054"/>
      <c r="G1262" s="946"/>
      <c r="H1262" s="1031"/>
      <c r="I1262" s="948"/>
    </row>
    <row r="1263" spans="3:9" ht="15.75">
      <c r="C1263" s="945" t="s">
        <v>925</v>
      </c>
      <c r="D1263" s="946"/>
      <c r="E1263" s="947"/>
      <c r="F1263" s="1054"/>
      <c r="G1263" s="946"/>
      <c r="H1263" s="1031"/>
      <c r="I1263" s="948"/>
    </row>
    <row r="1264" spans="3:9" ht="15.75">
      <c r="C1264" s="949" t="s">
        <v>925</v>
      </c>
      <c r="D1264" s="946">
        <f>+I1256</f>
        <v>1.67</v>
      </c>
      <c r="E1264" s="947" t="str">
        <f>VLOOKUP(C1264,[50]BASICS!B:D,2,FALSE)</f>
        <v>Pa</v>
      </c>
      <c r="F1264" s="1054">
        <f>+VLOOKUP(C1264,[49]BASICS!B:E,3,FALSE)</f>
        <v>0</v>
      </c>
      <c r="G1264" s="946"/>
      <c r="H1264" s="1031"/>
      <c r="I1264" s="948">
        <f>D1264*F1264</f>
        <v>0</v>
      </c>
    </row>
    <row r="1265" spans="2:9" ht="15.75">
      <c r="C1265" s="951" t="s">
        <v>918</v>
      </c>
      <c r="D1265" s="946"/>
      <c r="E1265" s="947"/>
      <c r="F1265" s="1054"/>
      <c r="G1265" s="946"/>
      <c r="H1265" s="1031"/>
      <c r="I1265" s="952">
        <f>SUM(I1264)</f>
        <v>0</v>
      </c>
    </row>
    <row r="1266" spans="2:9" ht="15.75">
      <c r="C1266" s="951"/>
      <c r="D1266" s="946"/>
      <c r="E1266" s="947"/>
      <c r="F1266" s="1054"/>
      <c r="G1266" s="946"/>
      <c r="H1266" s="1031"/>
      <c r="I1266" s="952"/>
    </row>
    <row r="1267" spans="2:9" ht="15.75">
      <c r="C1267" s="956" t="s">
        <v>926</v>
      </c>
      <c r="D1267" s="957"/>
      <c r="E1267" s="958"/>
      <c r="F1267" s="1069"/>
      <c r="G1267" s="957"/>
      <c r="H1267" s="1032"/>
      <c r="I1267" s="959">
        <f>+I1252</f>
        <v>0</v>
      </c>
    </row>
    <row r="1268" spans="2:9" ht="15.75">
      <c r="C1268" s="956" t="s">
        <v>927</v>
      </c>
      <c r="D1268" s="957"/>
      <c r="E1268" s="958"/>
      <c r="F1268" s="1069"/>
      <c r="G1268" s="957"/>
      <c r="H1268" s="1032"/>
      <c r="I1268" s="959">
        <f>+I1256</f>
        <v>1.67</v>
      </c>
    </row>
    <row r="1269" spans="2:9" ht="15.75">
      <c r="C1269" s="956" t="s">
        <v>928</v>
      </c>
      <c r="D1269" s="957"/>
      <c r="E1269" s="958"/>
      <c r="F1269" s="1069"/>
      <c r="G1269" s="957"/>
      <c r="H1269" s="1032"/>
      <c r="I1269" s="959">
        <f>+I1261</f>
        <v>116.42</v>
      </c>
    </row>
    <row r="1270" spans="2:9" ht="15.75">
      <c r="C1270" s="956" t="s">
        <v>929</v>
      </c>
      <c r="D1270" s="957"/>
      <c r="E1270" s="958"/>
      <c r="F1270" s="1069"/>
      <c r="G1270" s="957"/>
      <c r="H1270" s="1032"/>
      <c r="I1270" s="959">
        <f>+I1265</f>
        <v>0</v>
      </c>
    </row>
    <row r="1271" spans="2:9" ht="15.75">
      <c r="C1271" s="949"/>
      <c r="D1271" s="946"/>
      <c r="E1271" s="947"/>
      <c r="F1271" s="1054"/>
      <c r="G1271" s="946"/>
      <c r="H1271" s="1031"/>
      <c r="I1271" s="948"/>
    </row>
    <row r="1272" spans="2:9" ht="15.75">
      <c r="C1272" s="949"/>
      <c r="D1272" s="946"/>
      <c r="E1272" s="947"/>
      <c r="F1272" s="1054"/>
      <c r="G1272" s="946"/>
      <c r="H1272" s="1031"/>
      <c r="I1272" s="948"/>
    </row>
    <row r="1273" spans="2:9" ht="15.75">
      <c r="C1273" s="951" t="s">
        <v>930</v>
      </c>
      <c r="D1273" s="960"/>
      <c r="E1273" s="943" t="str">
        <f>+E1248</f>
        <v>M³N</v>
      </c>
      <c r="F1273" s="1070"/>
      <c r="G1273" s="960"/>
      <c r="H1273" s="1033"/>
      <c r="I1273" s="952">
        <f>SUM(I1267:I1270)</f>
        <v>118.09</v>
      </c>
    </row>
    <row r="1274" spans="2:9" ht="15.75">
      <c r="C1274" s="949"/>
      <c r="D1274" s="946"/>
      <c r="E1274" s="947"/>
      <c r="F1274" s="1054"/>
      <c r="G1274" s="946"/>
      <c r="H1274" s="1031"/>
      <c r="I1274" s="948"/>
    </row>
    <row r="1277" spans="2:9" ht="15.75">
      <c r="B1277" s="1041">
        <v>2.2000000000000002</v>
      </c>
      <c r="C1277" s="937" t="str">
        <f>+'[49]LISTA VIAS Y PAISAJISMO'!B85</f>
        <v>Excavación material roca  c/equipo (incluye extracción)</v>
      </c>
      <c r="D1277" s="938"/>
      <c r="E1277" s="962" t="str">
        <f>+'[49]LISTA VIAS Y PAISAJISMO'!D85</f>
        <v>M³N</v>
      </c>
      <c r="F1277" s="1066"/>
      <c r="G1277" s="938"/>
      <c r="H1277" s="1029"/>
      <c r="I1277" s="940">
        <f>I1302</f>
        <v>206.68</v>
      </c>
    </row>
    <row r="1278" spans="2:9" ht="15.75">
      <c r="C1278" s="941" t="s">
        <v>908</v>
      </c>
      <c r="D1278" s="942" t="s">
        <v>9</v>
      </c>
      <c r="E1278" s="943" t="s">
        <v>10</v>
      </c>
      <c r="F1278" s="1067" t="s">
        <v>909</v>
      </c>
      <c r="G1278" s="942" t="s">
        <v>910</v>
      </c>
      <c r="H1278" s="1030" t="s">
        <v>911</v>
      </c>
      <c r="I1278" s="944" t="s">
        <v>912</v>
      </c>
    </row>
    <row r="1279" spans="2:9" ht="15.75">
      <c r="C1279" s="945" t="s">
        <v>913</v>
      </c>
      <c r="D1279" s="946"/>
      <c r="E1279" s="947"/>
      <c r="F1279" s="1054"/>
      <c r="G1279" s="946"/>
      <c r="H1279" s="1031"/>
      <c r="I1279" s="948"/>
    </row>
    <row r="1280" spans="2:9" ht="15.75">
      <c r="C1280" s="949" t="s">
        <v>924</v>
      </c>
      <c r="D1280" s="946"/>
      <c r="E1280" s="947" t="str">
        <f>+VLOOKUP(C1280,[49]BASICS!B:E,2,FALSE)</f>
        <v>n/a</v>
      </c>
      <c r="F1280" s="1068">
        <f>+VLOOKUP(C1280,[49]BASICS!B:E,3,FALSE)</f>
        <v>0</v>
      </c>
      <c r="G1280" s="946">
        <f>F1280-(F1280/1.18)</f>
        <v>0</v>
      </c>
      <c r="H1280" s="1031"/>
      <c r="I1280" s="948">
        <f>D1280*F1280</f>
        <v>0</v>
      </c>
    </row>
    <row r="1281" spans="3:9" ht="15.75">
      <c r="C1281" s="951" t="s">
        <v>918</v>
      </c>
      <c r="D1281" s="946"/>
      <c r="E1281" s="947"/>
      <c r="F1281" s="1068"/>
      <c r="G1281" s="946"/>
      <c r="H1281" s="1031"/>
      <c r="I1281" s="952">
        <f>SUM(I1280:I1280)</f>
        <v>0</v>
      </c>
    </row>
    <row r="1282" spans="3:9" ht="15.75">
      <c r="C1282" s="949"/>
      <c r="D1282" s="946"/>
      <c r="E1282" s="947"/>
      <c r="F1282" s="1068"/>
      <c r="G1282" s="946"/>
      <c r="H1282" s="1031"/>
      <c r="I1282" s="948"/>
    </row>
    <row r="1283" spans="3:9" ht="15.75">
      <c r="C1283" s="945" t="s">
        <v>919</v>
      </c>
      <c r="D1283" s="946"/>
      <c r="E1283" s="947"/>
      <c r="F1283" s="1068"/>
      <c r="G1283" s="946"/>
      <c r="H1283" s="1031"/>
      <c r="I1283" s="948"/>
    </row>
    <row r="1284" spans="3:9" ht="15.75">
      <c r="C1284" s="949" t="s">
        <v>931</v>
      </c>
      <c r="D1284" s="953">
        <v>0.13</v>
      </c>
      <c r="E1284" s="954" t="str">
        <f>+VLOOKUP(C1284,[49]BASICS!B:E,2,FALSE)</f>
        <v>dia</v>
      </c>
      <c r="F1284" s="1068">
        <f>'Basic (equilibrio) (2)'!$D$14</f>
        <v>900</v>
      </c>
      <c r="G1284" s="946">
        <v>0</v>
      </c>
      <c r="H1284" s="1031">
        <v>40</v>
      </c>
      <c r="I1284" s="948">
        <f>(D1284*F1284)/H1284</f>
        <v>2.93</v>
      </c>
    </row>
    <row r="1285" spans="3:9" ht="15.75">
      <c r="C1285" s="951" t="s">
        <v>918</v>
      </c>
      <c r="D1285" s="946"/>
      <c r="E1285" s="947"/>
      <c r="F1285" s="1054"/>
      <c r="G1285" s="946"/>
      <c r="H1285" s="1031"/>
      <c r="I1285" s="952">
        <f>SUM(I1284:I1284)</f>
        <v>2.93</v>
      </c>
    </row>
    <row r="1286" spans="3:9" ht="15.75">
      <c r="C1286" s="949"/>
      <c r="D1286" s="946"/>
      <c r="E1286" s="947"/>
      <c r="F1286" s="1054"/>
      <c r="G1286" s="946"/>
      <c r="H1286" s="1031"/>
      <c r="I1286" s="948"/>
    </row>
    <row r="1287" spans="3:9" ht="15.75">
      <c r="C1287" s="945" t="s">
        <v>923</v>
      </c>
      <c r="D1287" s="946"/>
      <c r="E1287" s="947"/>
      <c r="F1287" s="1054"/>
      <c r="G1287" s="946"/>
      <c r="H1287" s="1031"/>
      <c r="I1287" s="948"/>
    </row>
    <row r="1288" spans="3:9" ht="31.5">
      <c r="C1288" s="949" t="s">
        <v>932</v>
      </c>
      <c r="D1288" s="946">
        <v>1</v>
      </c>
      <c r="E1288" s="947" t="str">
        <f>+VLOOKUP(C1288,[49]BASICS!B:E,2,FALSE)</f>
        <v>hr</v>
      </c>
      <c r="F1288" s="1054">
        <f>'Basic (equilibrio) (2)'!$D$690</f>
        <v>3900</v>
      </c>
      <c r="G1288" s="946">
        <f>F1288-(F1288/1.18)</f>
        <v>594.91999999999996</v>
      </c>
      <c r="H1288" s="1039">
        <v>40</v>
      </c>
      <c r="I1288" s="955">
        <f>D1288*F1288/H1288</f>
        <v>97.5</v>
      </c>
    </row>
    <row r="1289" spans="3:9" ht="15.75">
      <c r="C1289" s="949" t="s">
        <v>933</v>
      </c>
      <c r="D1289" s="946">
        <v>1</v>
      </c>
      <c r="E1289" s="947" t="str">
        <f>+VLOOKUP(C1289,[49]BASICS!B:E,2,FALSE)</f>
        <v>hr</v>
      </c>
      <c r="F1289" s="1054">
        <f>'Basic (equilibrio) (2)'!$D$682</f>
        <v>4250</v>
      </c>
      <c r="G1289" s="946">
        <f>F1289-(F1289/1.18)</f>
        <v>648.30999999999995</v>
      </c>
      <c r="H1289" s="1039">
        <v>40</v>
      </c>
      <c r="I1289" s="955">
        <f>D1289*F1289/H1289</f>
        <v>106.25</v>
      </c>
    </row>
    <row r="1290" spans="3:9" ht="15.75">
      <c r="C1290" s="951" t="s">
        <v>918</v>
      </c>
      <c r="D1290" s="946"/>
      <c r="E1290" s="947"/>
      <c r="F1290" s="1054"/>
      <c r="G1290" s="946"/>
      <c r="H1290" s="1031"/>
      <c r="I1290" s="952">
        <f>SUM(I1288:I1289)</f>
        <v>203.75</v>
      </c>
    </row>
    <row r="1291" spans="3:9" ht="15.75">
      <c r="C1291" s="949"/>
      <c r="D1291" s="946"/>
      <c r="E1291" s="947"/>
      <c r="F1291" s="1054"/>
      <c r="G1291" s="946"/>
      <c r="H1291" s="1031"/>
      <c r="I1291" s="948"/>
    </row>
    <row r="1292" spans="3:9" ht="15.75">
      <c r="C1292" s="945" t="s">
        <v>925</v>
      </c>
      <c r="D1292" s="946"/>
      <c r="E1292" s="947"/>
      <c r="F1292" s="1054"/>
      <c r="G1292" s="946"/>
      <c r="H1292" s="1031"/>
      <c r="I1292" s="948"/>
    </row>
    <row r="1293" spans="3:9" ht="15.75">
      <c r="C1293" s="949" t="s">
        <v>925</v>
      </c>
      <c r="D1293" s="946">
        <f>+I1285</f>
        <v>2.93</v>
      </c>
      <c r="E1293" s="947" t="str">
        <f>VLOOKUP(C1293,[50]BASICS!B:D,2,FALSE)</f>
        <v>Pa</v>
      </c>
      <c r="F1293" s="1054">
        <f>+VLOOKUP(C1293,[49]BASICS!B:E,3,FALSE)</f>
        <v>0</v>
      </c>
      <c r="G1293" s="946"/>
      <c r="H1293" s="1031"/>
      <c r="I1293" s="948">
        <f>D1293*F1293</f>
        <v>0</v>
      </c>
    </row>
    <row r="1294" spans="3:9" ht="15.75">
      <c r="C1294" s="951" t="s">
        <v>918</v>
      </c>
      <c r="D1294" s="946"/>
      <c r="E1294" s="947"/>
      <c r="F1294" s="1054"/>
      <c r="G1294" s="946"/>
      <c r="H1294" s="1031"/>
      <c r="I1294" s="952">
        <f>SUM(I1293)</f>
        <v>0</v>
      </c>
    </row>
    <row r="1295" spans="3:9" ht="15.75">
      <c r="C1295" s="951"/>
      <c r="D1295" s="946"/>
      <c r="E1295" s="947"/>
      <c r="F1295" s="1054"/>
      <c r="G1295" s="946"/>
      <c r="H1295" s="1031"/>
      <c r="I1295" s="952"/>
    </row>
    <row r="1296" spans="3:9" ht="15.75">
      <c r="C1296" s="956" t="s">
        <v>926</v>
      </c>
      <c r="D1296" s="957"/>
      <c r="E1296" s="958"/>
      <c r="F1296" s="1069"/>
      <c r="G1296" s="957"/>
      <c r="H1296" s="1032"/>
      <c r="I1296" s="959">
        <f>+I1281</f>
        <v>0</v>
      </c>
    </row>
    <row r="1297" spans="2:9" ht="15.75">
      <c r="C1297" s="956" t="s">
        <v>927</v>
      </c>
      <c r="D1297" s="957"/>
      <c r="E1297" s="958"/>
      <c r="F1297" s="1069"/>
      <c r="G1297" s="957"/>
      <c r="H1297" s="1032"/>
      <c r="I1297" s="959">
        <f>+I1285</f>
        <v>2.93</v>
      </c>
    </row>
    <row r="1298" spans="2:9" ht="15.75">
      <c r="C1298" s="956" t="s">
        <v>928</v>
      </c>
      <c r="D1298" s="957"/>
      <c r="E1298" s="958"/>
      <c r="F1298" s="1069"/>
      <c r="G1298" s="957"/>
      <c r="H1298" s="1032"/>
      <c r="I1298" s="959">
        <f>+I1290</f>
        <v>203.75</v>
      </c>
    </row>
    <row r="1299" spans="2:9" ht="15.75">
      <c r="C1299" s="956" t="s">
        <v>929</v>
      </c>
      <c r="D1299" s="957"/>
      <c r="E1299" s="958"/>
      <c r="F1299" s="1069"/>
      <c r="G1299" s="957"/>
      <c r="H1299" s="1032"/>
      <c r="I1299" s="959">
        <f>+I1294</f>
        <v>0</v>
      </c>
    </row>
    <row r="1300" spans="2:9" ht="15.75">
      <c r="C1300" s="949"/>
      <c r="D1300" s="946"/>
      <c r="E1300" s="947"/>
      <c r="F1300" s="1054"/>
      <c r="G1300" s="946"/>
      <c r="H1300" s="1031"/>
      <c r="I1300" s="948"/>
    </row>
    <row r="1301" spans="2:9" ht="15.75">
      <c r="C1301" s="949"/>
      <c r="D1301" s="946"/>
      <c r="E1301" s="947"/>
      <c r="F1301" s="1054"/>
      <c r="G1301" s="946"/>
      <c r="H1301" s="1031"/>
      <c r="I1301" s="948"/>
    </row>
    <row r="1302" spans="2:9" ht="15.75">
      <c r="C1302" s="951" t="s">
        <v>930</v>
      </c>
      <c r="D1302" s="960"/>
      <c r="E1302" s="943" t="str">
        <f>+E1277</f>
        <v>M³N</v>
      </c>
      <c r="F1302" s="1070"/>
      <c r="G1302" s="960"/>
      <c r="H1302" s="1033"/>
      <c r="I1302" s="952">
        <f>SUM(I1296:I1299)</f>
        <v>206.68</v>
      </c>
    </row>
    <row r="1303" spans="2:9" ht="15.75">
      <c r="C1303" s="949"/>
      <c r="D1303" s="946"/>
      <c r="E1303" s="947"/>
      <c r="F1303" s="1054"/>
      <c r="G1303" s="946"/>
      <c r="H1303" s="1031"/>
      <c r="I1303" s="948"/>
    </row>
    <row r="1305" spans="2:9" ht="15.75">
      <c r="B1305" s="1041">
        <v>2.2999999999999998</v>
      </c>
      <c r="C1305" s="937" t="str">
        <f>+'[49]LISTA VIAS Y PAISAJISMO'!B86</f>
        <v>Regularización de fondo zanja</v>
      </c>
      <c r="D1305" s="938"/>
      <c r="E1305" s="962" t="str">
        <f>+'[49]LISTA VIAS Y PAISAJISMO'!D86</f>
        <v xml:space="preserve">M2 </v>
      </c>
      <c r="F1305" s="1066"/>
      <c r="G1305" s="938"/>
      <c r="H1305" s="1029"/>
      <c r="I1305" s="940">
        <f>+I1330</f>
        <v>379.35</v>
      </c>
    </row>
    <row r="1306" spans="2:9" ht="15.75">
      <c r="C1306" s="941" t="s">
        <v>908</v>
      </c>
      <c r="D1306" s="942" t="s">
        <v>9</v>
      </c>
      <c r="E1306" s="943" t="s">
        <v>10</v>
      </c>
      <c r="F1306" s="1067" t="s">
        <v>909</v>
      </c>
      <c r="G1306" s="942" t="s">
        <v>910</v>
      </c>
      <c r="H1306" s="1030" t="s">
        <v>911</v>
      </c>
      <c r="I1306" s="944" t="s">
        <v>912</v>
      </c>
    </row>
    <row r="1307" spans="2:9" ht="15.75">
      <c r="C1307" s="945" t="s">
        <v>913</v>
      </c>
      <c r="D1307" s="946"/>
      <c r="E1307" s="947"/>
      <c r="F1307" s="1054"/>
      <c r="G1307" s="946"/>
      <c r="H1307" s="1031"/>
      <c r="I1307" s="948"/>
    </row>
    <row r="1308" spans="2:9" ht="15.75">
      <c r="C1308" s="949" t="s">
        <v>998</v>
      </c>
      <c r="D1308" s="946">
        <v>1.05</v>
      </c>
      <c r="E1308" s="947" t="str">
        <f>+VLOOKUP(C1308,[49]BASICS!B:E,2,FALSE)</f>
        <v>m3</v>
      </c>
      <c r="F1308" s="1068">
        <f>'Basic (equilibrio) (2)'!$D$180</f>
        <v>7200</v>
      </c>
      <c r="G1308" s="946">
        <f>F1308-(F1308/1.18)</f>
        <v>1098.31</v>
      </c>
      <c r="H1308" s="1031"/>
      <c r="I1308" s="948">
        <f>D1308*F1308</f>
        <v>7560</v>
      </c>
    </row>
    <row r="1309" spans="2:9" ht="15.75">
      <c r="C1309" s="951" t="s">
        <v>918</v>
      </c>
      <c r="D1309" s="946"/>
      <c r="E1309" s="947"/>
      <c r="F1309" s="1068"/>
      <c r="G1309" s="946"/>
      <c r="H1309" s="1031"/>
      <c r="I1309" s="952">
        <f>SUM(I1308:I1308)</f>
        <v>7560</v>
      </c>
    </row>
    <row r="1310" spans="2:9" ht="15.75">
      <c r="C1310" s="949"/>
      <c r="D1310" s="946"/>
      <c r="E1310" s="947"/>
      <c r="F1310" s="1068"/>
      <c r="G1310" s="946"/>
      <c r="H1310" s="1031"/>
      <c r="I1310" s="948"/>
    </row>
    <row r="1311" spans="2:9" ht="15.75">
      <c r="C1311" s="945" t="s">
        <v>919</v>
      </c>
      <c r="D1311" s="946"/>
      <c r="E1311" s="947"/>
      <c r="F1311" s="1068"/>
      <c r="G1311" s="946"/>
      <c r="H1311" s="1031"/>
      <c r="I1311" s="948"/>
    </row>
    <row r="1312" spans="2:9" ht="15.75">
      <c r="C1312" s="949" t="s">
        <v>931</v>
      </c>
      <c r="D1312" s="953">
        <v>0.03</v>
      </c>
      <c r="E1312" s="954" t="str">
        <f>+VLOOKUP(C1312,[49]BASICS!B:E,2,FALSE)</f>
        <v>dia</v>
      </c>
      <c r="F1312" s="1068">
        <f>'Basic (equilibrio) (2)'!$D$14</f>
        <v>900</v>
      </c>
      <c r="G1312" s="946">
        <v>0</v>
      </c>
      <c r="H1312" s="1031"/>
      <c r="I1312" s="948">
        <f>(D1312*F1312)</f>
        <v>27</v>
      </c>
    </row>
    <row r="1313" spans="3:9" ht="15.75">
      <c r="C1313" s="951" t="s">
        <v>918</v>
      </c>
      <c r="D1313" s="946"/>
      <c r="E1313" s="947"/>
      <c r="F1313" s="1054"/>
      <c r="G1313" s="946"/>
      <c r="H1313" s="1031"/>
      <c r="I1313" s="952">
        <f>SUM(I1312:I1312)</f>
        <v>27</v>
      </c>
    </row>
    <row r="1314" spans="3:9" ht="15.75">
      <c r="C1314" s="949"/>
      <c r="D1314" s="946"/>
      <c r="E1314" s="947"/>
      <c r="F1314" s="1054"/>
      <c r="G1314" s="946"/>
      <c r="H1314" s="1031"/>
      <c r="I1314" s="948"/>
    </row>
    <row r="1315" spans="3:9" ht="15.75">
      <c r="C1315" s="945" t="s">
        <v>923</v>
      </c>
      <c r="D1315" s="946"/>
      <c r="E1315" s="947"/>
      <c r="F1315" s="1054"/>
      <c r="G1315" s="946"/>
      <c r="H1315" s="1031"/>
      <c r="I1315" s="948"/>
    </row>
    <row r="1316" spans="3:9" ht="15.75">
      <c r="C1316" s="949" t="s">
        <v>924</v>
      </c>
      <c r="D1316" s="946"/>
      <c r="E1316" s="947" t="str">
        <f>+VLOOKUP(C1316,[49]BASICS!B:E,2,FALSE)</f>
        <v>n/a</v>
      </c>
      <c r="F1316" s="1054">
        <f>+VLOOKUP(C1316,[49]BASICS!B:E,3,FALSE)</f>
        <v>0</v>
      </c>
      <c r="G1316" s="946">
        <f>F1316-(F1316/1.18)</f>
        <v>0</v>
      </c>
      <c r="H1316" s="1039"/>
      <c r="I1316" s="955">
        <f>D1316*F1316</f>
        <v>0</v>
      </c>
    </row>
    <row r="1317" spans="3:9" ht="15.75">
      <c r="C1317" s="951" t="s">
        <v>918</v>
      </c>
      <c r="D1317" s="946"/>
      <c r="E1317" s="947"/>
      <c r="F1317" s="1054"/>
      <c r="G1317" s="946"/>
      <c r="H1317" s="1031"/>
      <c r="I1317" s="952">
        <f>SUM(I1316:I1316)</f>
        <v>0</v>
      </c>
    </row>
    <row r="1318" spans="3:9" ht="15.75">
      <c r="C1318" s="949"/>
      <c r="D1318" s="946"/>
      <c r="E1318" s="947"/>
      <c r="F1318" s="1054"/>
      <c r="G1318" s="946"/>
      <c r="H1318" s="1031"/>
      <c r="I1318" s="948"/>
    </row>
    <row r="1319" spans="3:9" ht="15.75">
      <c r="C1319" s="945" t="s">
        <v>925</v>
      </c>
      <c r="D1319" s="946"/>
      <c r="E1319" s="947"/>
      <c r="F1319" s="1054"/>
      <c r="G1319" s="946"/>
      <c r="H1319" s="1031"/>
      <c r="I1319" s="948"/>
    </row>
    <row r="1320" spans="3:9" ht="15.75">
      <c r="C1320" s="949" t="s">
        <v>925</v>
      </c>
      <c r="D1320" s="946">
        <f>+I1313</f>
        <v>27</v>
      </c>
      <c r="E1320" s="947" t="str">
        <f>VLOOKUP(C1320,[50]BASICS!B:D,2,FALSE)</f>
        <v>Pa</v>
      </c>
      <c r="F1320" s="1054">
        <f>+VLOOKUP(C1320,[49]BASICS!B:E,3,FALSE)</f>
        <v>0</v>
      </c>
      <c r="G1320" s="946"/>
      <c r="H1320" s="1031"/>
      <c r="I1320" s="948">
        <f>D1320*F1320</f>
        <v>0</v>
      </c>
    </row>
    <row r="1321" spans="3:9" ht="15.75">
      <c r="C1321" s="951" t="s">
        <v>918</v>
      </c>
      <c r="D1321" s="946"/>
      <c r="E1321" s="947"/>
      <c r="F1321" s="1054"/>
      <c r="G1321" s="946"/>
      <c r="H1321" s="1031"/>
      <c r="I1321" s="952">
        <f>SUM(I1320)</f>
        <v>0</v>
      </c>
    </row>
    <row r="1322" spans="3:9" ht="15.75">
      <c r="C1322" s="951"/>
      <c r="D1322" s="946"/>
      <c r="E1322" s="947"/>
      <c r="F1322" s="1054"/>
      <c r="G1322" s="946"/>
      <c r="H1322" s="1031"/>
      <c r="I1322" s="952"/>
    </row>
    <row r="1323" spans="3:9" ht="15.75">
      <c r="C1323" s="956" t="s">
        <v>926</v>
      </c>
      <c r="D1323" s="957"/>
      <c r="E1323" s="958"/>
      <c r="F1323" s="1069"/>
      <c r="G1323" s="957"/>
      <c r="H1323" s="1032"/>
      <c r="I1323" s="959">
        <f>+I1309</f>
        <v>7560</v>
      </c>
    </row>
    <row r="1324" spans="3:9" ht="15.75">
      <c r="C1324" s="956" t="s">
        <v>927</v>
      </c>
      <c r="D1324" s="957"/>
      <c r="E1324" s="958"/>
      <c r="F1324" s="1069"/>
      <c r="G1324" s="957"/>
      <c r="H1324" s="1032"/>
      <c r="I1324" s="959">
        <f>+I1313</f>
        <v>27</v>
      </c>
    </row>
    <row r="1325" spans="3:9" ht="15.75">
      <c r="C1325" s="956" t="s">
        <v>928</v>
      </c>
      <c r="D1325" s="957"/>
      <c r="E1325" s="958"/>
      <c r="F1325" s="1069"/>
      <c r="G1325" s="957"/>
      <c r="H1325" s="1032"/>
      <c r="I1325" s="959">
        <f>+I1317</f>
        <v>0</v>
      </c>
    </row>
    <row r="1326" spans="3:9" ht="15.75">
      <c r="C1326" s="956" t="s">
        <v>929</v>
      </c>
      <c r="D1326" s="957"/>
      <c r="E1326" s="958"/>
      <c r="F1326" s="1069"/>
      <c r="G1326" s="957"/>
      <c r="H1326" s="1032"/>
      <c r="I1326" s="959">
        <f>+I1321</f>
        <v>0</v>
      </c>
    </row>
    <row r="1327" spans="3:9" ht="15.75">
      <c r="C1327" s="949"/>
      <c r="D1327" s="946"/>
      <c r="E1327" s="947"/>
      <c r="F1327" s="1054"/>
      <c r="G1327" s="946"/>
      <c r="H1327" s="1031"/>
      <c r="I1327" s="948"/>
    </row>
    <row r="1328" spans="3:9" ht="15.75">
      <c r="C1328" s="949"/>
      <c r="D1328" s="946"/>
      <c r="E1328" s="947"/>
      <c r="F1328" s="1054"/>
      <c r="G1328" s="946"/>
      <c r="H1328" s="1031"/>
      <c r="I1328" s="948"/>
    </row>
    <row r="1329" spans="2:9" ht="15.75">
      <c r="C1329" s="951" t="s">
        <v>930</v>
      </c>
      <c r="D1329" s="960">
        <v>20</v>
      </c>
      <c r="E1329" s="975" t="s">
        <v>999</v>
      </c>
      <c r="F1329" s="1070"/>
      <c r="G1329" s="960"/>
      <c r="H1329" s="1033"/>
      <c r="I1329" s="952">
        <f>SUM(I1323:I1326)</f>
        <v>7587</v>
      </c>
    </row>
    <row r="1330" spans="2:9" ht="15.75">
      <c r="C1330" s="951" t="s">
        <v>930</v>
      </c>
      <c r="D1330" s="960"/>
      <c r="E1330" s="975" t="s">
        <v>1000</v>
      </c>
      <c r="F1330" s="1070"/>
      <c r="G1330" s="960"/>
      <c r="H1330" s="1033"/>
      <c r="I1330" s="952">
        <f>+I1329/D1329</f>
        <v>379.35</v>
      </c>
    </row>
    <row r="1331" spans="2:9" ht="15.75">
      <c r="C1331" s="949"/>
      <c r="D1331" s="946"/>
      <c r="E1331" s="947"/>
      <c r="F1331" s="1054"/>
      <c r="G1331" s="946"/>
      <c r="H1331" s="1031"/>
      <c r="I1331" s="948"/>
    </row>
    <row r="1332" spans="2:9" ht="15.75">
      <c r="C1332" s="949"/>
      <c r="D1332" s="946"/>
      <c r="E1332" s="947"/>
      <c r="F1332" s="1054"/>
      <c r="G1332" s="946"/>
      <c r="H1332" s="1031"/>
      <c r="I1332" s="948"/>
    </row>
    <row r="1333" spans="2:9" ht="31.5">
      <c r="B1333" s="1041">
        <v>2.4</v>
      </c>
      <c r="C1333" s="937" t="str">
        <f>+'[49]LISTA VIAS Y PAISAJISMO'!B87</f>
        <v>Relleno compactado con compactador mecánico en capas de 0.20m</v>
      </c>
      <c r="D1333" s="938"/>
      <c r="E1333" s="962" t="str">
        <f>+'[49]LISTA VIAS Y PAISAJISMO'!D87</f>
        <v>M³C</v>
      </c>
      <c r="F1333" s="1066"/>
      <c r="G1333" s="938"/>
      <c r="H1333" s="1029"/>
      <c r="I1333" s="940">
        <f>+I1358</f>
        <v>486.5</v>
      </c>
    </row>
    <row r="1334" spans="2:9" ht="15.75">
      <c r="C1334" s="941" t="s">
        <v>908</v>
      </c>
      <c r="D1334" s="942" t="s">
        <v>9</v>
      </c>
      <c r="E1334" s="943" t="s">
        <v>10</v>
      </c>
      <c r="F1334" s="1067" t="s">
        <v>909</v>
      </c>
      <c r="G1334" s="942" t="s">
        <v>910</v>
      </c>
      <c r="H1334" s="1030" t="s">
        <v>911</v>
      </c>
      <c r="I1334" s="944" t="s">
        <v>912</v>
      </c>
    </row>
    <row r="1335" spans="2:9" ht="15.75">
      <c r="C1335" s="945" t="s">
        <v>913</v>
      </c>
      <c r="D1335" s="946"/>
      <c r="E1335" s="947"/>
      <c r="F1335" s="1054"/>
      <c r="G1335" s="946"/>
      <c r="H1335" s="1031"/>
      <c r="I1335" s="948"/>
    </row>
    <row r="1336" spans="2:9" ht="15.75">
      <c r="C1336" s="949" t="s">
        <v>990</v>
      </c>
      <c r="D1336" s="946">
        <v>1.3</v>
      </c>
      <c r="E1336" s="947" t="str">
        <f>+VLOOKUP(C1336,[49]BASICS!B:E,2,FALSE)</f>
        <v>m3</v>
      </c>
      <c r="F1336" s="1068">
        <f>'Basic (equilibrio) (2)'!$D$189</f>
        <v>200</v>
      </c>
      <c r="G1336" s="946">
        <f>F1336-(F1336/1.18)</f>
        <v>30.51</v>
      </c>
      <c r="H1336" s="1031"/>
      <c r="I1336" s="948">
        <f>D1336*F1336</f>
        <v>260</v>
      </c>
    </row>
    <row r="1337" spans="2:9" ht="15.75">
      <c r="C1337" s="951" t="s">
        <v>918</v>
      </c>
      <c r="D1337" s="946"/>
      <c r="E1337" s="947"/>
      <c r="F1337" s="1068"/>
      <c r="G1337" s="946"/>
      <c r="H1337" s="1031"/>
      <c r="I1337" s="952">
        <f>SUM(I1336:I1336)</f>
        <v>260</v>
      </c>
    </row>
    <row r="1338" spans="2:9" ht="15.75">
      <c r="C1338" s="949"/>
      <c r="D1338" s="946"/>
      <c r="E1338" s="947"/>
      <c r="F1338" s="1068"/>
      <c r="G1338" s="946"/>
      <c r="H1338" s="1031"/>
      <c r="I1338" s="948"/>
    </row>
    <row r="1339" spans="2:9" ht="15.75">
      <c r="C1339" s="945" t="s">
        <v>919</v>
      </c>
      <c r="D1339" s="946"/>
      <c r="E1339" s="947"/>
      <c r="F1339" s="1068"/>
      <c r="G1339" s="946"/>
      <c r="H1339" s="1031"/>
      <c r="I1339" s="948"/>
    </row>
    <row r="1340" spans="2:9" ht="15.75">
      <c r="C1340" s="949" t="s">
        <v>931</v>
      </c>
      <c r="D1340" s="953">
        <v>0.06</v>
      </c>
      <c r="E1340" s="954" t="str">
        <f>+VLOOKUP(C1340,[49]BASICS!B:E,2,FALSE)</f>
        <v>dia</v>
      </c>
      <c r="F1340" s="1068">
        <f>'Basic (equilibrio) (2)'!$D$14</f>
        <v>900</v>
      </c>
      <c r="G1340" s="946">
        <v>0</v>
      </c>
      <c r="H1340" s="1031"/>
      <c r="I1340" s="948">
        <f>(D1340*F1340)</f>
        <v>54</v>
      </c>
    </row>
    <row r="1341" spans="2:9" ht="15.75">
      <c r="C1341" s="951" t="s">
        <v>918</v>
      </c>
      <c r="D1341" s="946"/>
      <c r="E1341" s="947"/>
      <c r="F1341" s="1054"/>
      <c r="G1341" s="946"/>
      <c r="H1341" s="1031"/>
      <c r="I1341" s="952">
        <f>SUM(I1340:I1340)</f>
        <v>54</v>
      </c>
    </row>
    <row r="1342" spans="2:9" ht="15.75">
      <c r="C1342" s="949"/>
      <c r="D1342" s="946"/>
      <c r="E1342" s="947"/>
      <c r="F1342" s="1054"/>
      <c r="G1342" s="946"/>
      <c r="H1342" s="1031"/>
      <c r="I1342" s="948"/>
    </row>
    <row r="1343" spans="2:9" ht="15.75">
      <c r="C1343" s="945" t="s">
        <v>923</v>
      </c>
      <c r="D1343" s="946"/>
      <c r="E1343" s="947"/>
      <c r="F1343" s="1054"/>
      <c r="G1343" s="946"/>
      <c r="H1343" s="1031"/>
      <c r="I1343" s="948"/>
    </row>
    <row r="1344" spans="2:9" ht="31.5">
      <c r="C1344" s="949" t="s">
        <v>932</v>
      </c>
      <c r="D1344" s="946">
        <v>1</v>
      </c>
      <c r="E1344" s="947" t="str">
        <f>+VLOOKUP(C1344,[49]BASICS!B:E,2,FALSE)</f>
        <v>hr</v>
      </c>
      <c r="F1344" s="1054">
        <f>'Basic (equilibrio) (2)'!$D$690</f>
        <v>3900</v>
      </c>
      <c r="G1344" s="946">
        <f>F1344-(F1344/1.18)</f>
        <v>594.91999999999996</v>
      </c>
      <c r="H1344" s="1039">
        <v>40</v>
      </c>
      <c r="I1344" s="955">
        <f>D1344*F1344/H1344</f>
        <v>97.5</v>
      </c>
    </row>
    <row r="1345" spans="3:9" ht="15.75">
      <c r="C1345" s="949" t="s">
        <v>935</v>
      </c>
      <c r="D1345" s="946">
        <v>1</v>
      </c>
      <c r="E1345" s="947" t="str">
        <f>+VLOOKUP(C1345,[49]BASICS!B:E,2,FALSE)</f>
        <v>hr</v>
      </c>
      <c r="F1345" s="1054">
        <f>'Basic (equilibrio) (2)'!$D$684</f>
        <v>3000</v>
      </c>
      <c r="G1345" s="946">
        <f>F1345-(F1345/1.18)</f>
        <v>457.63</v>
      </c>
      <c r="H1345" s="1039">
        <v>40</v>
      </c>
      <c r="I1345" s="955">
        <f>D1345*F1345/H1345</f>
        <v>75</v>
      </c>
    </row>
    <row r="1346" spans="3:9" ht="15.75">
      <c r="C1346" s="951" t="s">
        <v>918</v>
      </c>
      <c r="D1346" s="946"/>
      <c r="E1346" s="947"/>
      <c r="F1346" s="1054"/>
      <c r="G1346" s="946"/>
      <c r="H1346" s="1031"/>
      <c r="I1346" s="952">
        <f>SUM(I1344:I1345)</f>
        <v>172.5</v>
      </c>
    </row>
    <row r="1347" spans="3:9" ht="15.75">
      <c r="C1347" s="949"/>
      <c r="D1347" s="946"/>
      <c r="E1347" s="947"/>
      <c r="F1347" s="1054"/>
      <c r="G1347" s="946"/>
      <c r="H1347" s="1031"/>
      <c r="I1347" s="948"/>
    </row>
    <row r="1348" spans="3:9" ht="15.75">
      <c r="C1348" s="945" t="s">
        <v>925</v>
      </c>
      <c r="D1348" s="946"/>
      <c r="E1348" s="947"/>
      <c r="F1348" s="1054"/>
      <c r="G1348" s="946"/>
      <c r="H1348" s="1031"/>
      <c r="I1348" s="948"/>
    </row>
    <row r="1349" spans="3:9" ht="15.75">
      <c r="C1349" s="949" t="s">
        <v>925</v>
      </c>
      <c r="D1349" s="946">
        <f>+I1341</f>
        <v>54</v>
      </c>
      <c r="E1349" s="947" t="str">
        <f>VLOOKUP(C1349,[50]BASICS!B:D,2,FALSE)</f>
        <v>Pa</v>
      </c>
      <c r="F1349" s="1054">
        <f>+VLOOKUP(C1349,[49]BASICS!B:E,3,FALSE)</f>
        <v>0</v>
      </c>
      <c r="G1349" s="946"/>
      <c r="H1349" s="1031"/>
      <c r="I1349" s="948">
        <f>D1349*F1349</f>
        <v>0</v>
      </c>
    </row>
    <row r="1350" spans="3:9" ht="15.75">
      <c r="C1350" s="951" t="s">
        <v>918</v>
      </c>
      <c r="D1350" s="946"/>
      <c r="E1350" s="947"/>
      <c r="F1350" s="1054"/>
      <c r="G1350" s="946"/>
      <c r="H1350" s="1031"/>
      <c r="I1350" s="952">
        <f>SUM(I1349)</f>
        <v>0</v>
      </c>
    </row>
    <row r="1351" spans="3:9" ht="15.75">
      <c r="C1351" s="951"/>
      <c r="D1351" s="946"/>
      <c r="E1351" s="947"/>
      <c r="F1351" s="1054"/>
      <c r="G1351" s="946"/>
      <c r="H1351" s="1031"/>
      <c r="I1351" s="952"/>
    </row>
    <row r="1352" spans="3:9" ht="15.75">
      <c r="C1352" s="956" t="s">
        <v>926</v>
      </c>
      <c r="D1352" s="957"/>
      <c r="E1352" s="958"/>
      <c r="F1352" s="1069"/>
      <c r="G1352" s="957"/>
      <c r="H1352" s="1032"/>
      <c r="I1352" s="959">
        <f>+I1337</f>
        <v>260</v>
      </c>
    </row>
    <row r="1353" spans="3:9" ht="15.75">
      <c r="C1353" s="956" t="s">
        <v>927</v>
      </c>
      <c r="D1353" s="957"/>
      <c r="E1353" s="958"/>
      <c r="F1353" s="1069"/>
      <c r="G1353" s="957"/>
      <c r="H1353" s="1032"/>
      <c r="I1353" s="959">
        <f>+I1341</f>
        <v>54</v>
      </c>
    </row>
    <row r="1354" spans="3:9" ht="15.75">
      <c r="C1354" s="956" t="s">
        <v>928</v>
      </c>
      <c r="D1354" s="957"/>
      <c r="E1354" s="958"/>
      <c r="F1354" s="1069"/>
      <c r="G1354" s="957"/>
      <c r="H1354" s="1032"/>
      <c r="I1354" s="959">
        <f>+I1346</f>
        <v>172.5</v>
      </c>
    </row>
    <row r="1355" spans="3:9" ht="15.75">
      <c r="C1355" s="956" t="s">
        <v>929</v>
      </c>
      <c r="D1355" s="957"/>
      <c r="E1355" s="958"/>
      <c r="F1355" s="1069"/>
      <c r="G1355" s="957"/>
      <c r="H1355" s="1032"/>
      <c r="I1355" s="959">
        <f>+I1350</f>
        <v>0</v>
      </c>
    </row>
    <row r="1356" spans="3:9" ht="15.75">
      <c r="C1356" s="949"/>
      <c r="D1356" s="946"/>
      <c r="E1356" s="947"/>
      <c r="F1356" s="1054"/>
      <c r="G1356" s="946"/>
      <c r="H1356" s="1031"/>
      <c r="I1356" s="948"/>
    </row>
    <row r="1357" spans="3:9" ht="15.75">
      <c r="C1357" s="949"/>
      <c r="D1357" s="946"/>
      <c r="E1357" s="947"/>
      <c r="F1357" s="1054"/>
      <c r="G1357" s="946"/>
      <c r="H1357" s="1031"/>
      <c r="I1357" s="948"/>
    </row>
    <row r="1358" spans="3:9" ht="15.75">
      <c r="C1358" s="951" t="s">
        <v>930</v>
      </c>
      <c r="D1358" s="960"/>
      <c r="E1358" s="975" t="str">
        <f>+E1333</f>
        <v>M³C</v>
      </c>
      <c r="F1358" s="1070"/>
      <c r="G1358" s="960"/>
      <c r="H1358" s="1033"/>
      <c r="I1358" s="952">
        <f>SUM(I1352:I1355)</f>
        <v>486.5</v>
      </c>
    </row>
    <row r="1359" spans="3:9" ht="15.75">
      <c r="C1359" s="949"/>
      <c r="D1359" s="946"/>
      <c r="E1359" s="947"/>
      <c r="F1359" s="1054"/>
      <c r="G1359" s="946"/>
      <c r="H1359" s="1031"/>
      <c r="I1359" s="948"/>
    </row>
    <row r="1361" spans="2:9" ht="31.5">
      <c r="B1361" s="1038">
        <v>2.5</v>
      </c>
      <c r="C1361" s="937" t="str">
        <f>+Presupuesto!B88</f>
        <v>Bote de  material c/camión dist.5km (incluye esparcimiento en botadero)</v>
      </c>
      <c r="D1361" s="938"/>
      <c r="E1361" s="962" t="str">
        <f>+Presupuesto!D88</f>
        <v>M³E</v>
      </c>
      <c r="F1361" s="1066"/>
      <c r="G1361" s="938"/>
      <c r="H1361" s="1029"/>
      <c r="I1361" s="940">
        <f>I1387</f>
        <v>455.24</v>
      </c>
    </row>
    <row r="1362" spans="2:9" ht="15.75">
      <c r="C1362" s="941" t="s">
        <v>908</v>
      </c>
      <c r="D1362" s="942" t="s">
        <v>9</v>
      </c>
      <c r="E1362" s="943" t="s">
        <v>10</v>
      </c>
      <c r="F1362" s="1067" t="s">
        <v>909</v>
      </c>
      <c r="G1362" s="942" t="s">
        <v>910</v>
      </c>
      <c r="H1362" s="1030" t="s">
        <v>911</v>
      </c>
      <c r="I1362" s="944" t="s">
        <v>912</v>
      </c>
    </row>
    <row r="1363" spans="2:9" ht="15.75">
      <c r="C1363" s="945" t="s">
        <v>913</v>
      </c>
      <c r="D1363" s="946"/>
      <c r="E1363" s="947"/>
      <c r="F1363" s="1054"/>
      <c r="G1363" s="946"/>
      <c r="H1363" s="1031"/>
      <c r="I1363" s="948"/>
    </row>
    <row r="1364" spans="2:9" ht="15.75">
      <c r="C1364" s="949" t="s">
        <v>924</v>
      </c>
      <c r="D1364" s="946"/>
      <c r="E1364" s="947" t="str">
        <f>+VLOOKUP(C1364,[49]BASICS!B:E,2,FALSE)</f>
        <v>n/a</v>
      </c>
      <c r="F1364" s="1068">
        <f>+VLOOKUP(C1364,[49]BASICS!B:E,3,FALSE)</f>
        <v>0</v>
      </c>
      <c r="G1364" s="946">
        <f>F1364-(F1364/1.18)</f>
        <v>0</v>
      </c>
      <c r="H1364" s="1031"/>
      <c r="I1364" s="948">
        <f>D1364*F1364</f>
        <v>0</v>
      </c>
    </row>
    <row r="1365" spans="2:9" ht="15.75">
      <c r="C1365" s="951" t="s">
        <v>918</v>
      </c>
      <c r="D1365" s="946"/>
      <c r="E1365" s="947"/>
      <c r="F1365" s="1068"/>
      <c r="G1365" s="946"/>
      <c r="H1365" s="1031"/>
      <c r="I1365" s="952">
        <f>SUM(I1364:I1364)</f>
        <v>0</v>
      </c>
    </row>
    <row r="1366" spans="2:9" ht="15.75">
      <c r="C1366" s="949"/>
      <c r="D1366" s="946"/>
      <c r="E1366" s="947"/>
      <c r="F1366" s="1068"/>
      <c r="G1366" s="946"/>
      <c r="H1366" s="1031"/>
      <c r="I1366" s="948"/>
    </row>
    <row r="1367" spans="2:9" ht="15.75">
      <c r="C1367" s="945" t="s">
        <v>919</v>
      </c>
      <c r="D1367" s="946"/>
      <c r="E1367" s="947"/>
      <c r="F1367" s="1068"/>
      <c r="G1367" s="946"/>
      <c r="H1367" s="1031"/>
      <c r="I1367" s="948"/>
    </row>
    <row r="1368" spans="2:9" ht="15.75">
      <c r="C1368" s="949" t="s">
        <v>931</v>
      </c>
      <c r="D1368" s="953">
        <v>0.13</v>
      </c>
      <c r="E1368" s="954" t="str">
        <f>+VLOOKUP(C1368,[49]BASICS!B:E,2,FALSE)</f>
        <v>dia</v>
      </c>
      <c r="F1368" s="1068">
        <f>'Basic (equilibrio) (2)'!$D$14</f>
        <v>900</v>
      </c>
      <c r="G1368" s="946">
        <f>F1368-(F1368/1.18)</f>
        <v>137.29</v>
      </c>
      <c r="H1368" s="1031">
        <v>70</v>
      </c>
      <c r="I1368" s="948">
        <f>(D1368*F1368)/H1368</f>
        <v>1.67</v>
      </c>
    </row>
    <row r="1369" spans="2:9" ht="15.75">
      <c r="C1369" s="951" t="s">
        <v>918</v>
      </c>
      <c r="D1369" s="946"/>
      <c r="E1369" s="947"/>
      <c r="F1369" s="1054"/>
      <c r="G1369" s="946"/>
      <c r="H1369" s="1031"/>
      <c r="I1369" s="952">
        <f>SUM(I1368:I1368)</f>
        <v>1.67</v>
      </c>
    </row>
    <row r="1370" spans="2:9" ht="15.75">
      <c r="C1370" s="949"/>
      <c r="D1370" s="946"/>
      <c r="E1370" s="947"/>
      <c r="F1370" s="1054"/>
      <c r="G1370" s="946"/>
      <c r="H1370" s="1031"/>
      <c r="I1370" s="948"/>
    </row>
    <row r="1371" spans="2:9" ht="15.75">
      <c r="C1371" s="945" t="s">
        <v>923</v>
      </c>
      <c r="D1371" s="946"/>
      <c r="E1371" s="947"/>
      <c r="F1371" s="1054"/>
      <c r="G1371" s="946"/>
      <c r="H1371" s="1031"/>
      <c r="I1371" s="948"/>
    </row>
    <row r="1372" spans="2:9" ht="15.75">
      <c r="C1372" s="949" t="s">
        <v>934</v>
      </c>
      <c r="D1372" s="946">
        <v>1</v>
      </c>
      <c r="E1372" s="947" t="str">
        <f>+VLOOKUP(C1372,[49]BASICS!B:E,2,FALSE)</f>
        <v>m3e</v>
      </c>
      <c r="F1372" s="1054">
        <f>'Basic (equilibrio) (2)'!$D$685</f>
        <v>350</v>
      </c>
      <c r="G1372" s="946">
        <f>F1372-(F1372/1.18)</f>
        <v>53.39</v>
      </c>
      <c r="H1372" s="1039"/>
      <c r="I1372" s="955">
        <f>D1372*F1372</f>
        <v>350</v>
      </c>
    </row>
    <row r="1373" spans="2:9" ht="15.75">
      <c r="C1373" s="949" t="s">
        <v>933</v>
      </c>
      <c r="D1373" s="946">
        <v>1</v>
      </c>
      <c r="E1373" s="947" t="str">
        <f>+VLOOKUP(C1373,[49]BASICS!B:E,2,FALSE)</f>
        <v>hr</v>
      </c>
      <c r="F1373" s="1054">
        <f>'Basic (equilibrio) (2)'!$D$682</f>
        <v>4250</v>
      </c>
      <c r="G1373" s="946">
        <f>F1373-(F1373/1.18)</f>
        <v>648.30999999999995</v>
      </c>
      <c r="H1373" s="1039">
        <v>70</v>
      </c>
      <c r="I1373" s="955">
        <f>D1373*F1373/H1373</f>
        <v>60.71</v>
      </c>
    </row>
    <row r="1374" spans="2:9" ht="15.75">
      <c r="C1374" s="949" t="s">
        <v>935</v>
      </c>
      <c r="D1374" s="946">
        <v>1</v>
      </c>
      <c r="E1374" s="947" t="str">
        <f>+VLOOKUP(C1374,[49]BASICS!B:E,2,FALSE)</f>
        <v>hr</v>
      </c>
      <c r="F1374" s="1054">
        <f>'Basic (equilibrio) (2)'!$D$684</f>
        <v>3000</v>
      </c>
      <c r="G1374" s="946">
        <f>F1374-(F1374/1.18)</f>
        <v>457.63</v>
      </c>
      <c r="H1374" s="1039">
        <v>70</v>
      </c>
      <c r="I1374" s="955">
        <f>D1374*F1374/H1374</f>
        <v>42.86</v>
      </c>
    </row>
    <row r="1375" spans="2:9" ht="15.75">
      <c r="C1375" s="951" t="s">
        <v>918</v>
      </c>
      <c r="D1375" s="946"/>
      <c r="E1375" s="947"/>
      <c r="F1375" s="1054"/>
      <c r="G1375" s="946"/>
      <c r="H1375" s="1031"/>
      <c r="I1375" s="952">
        <f>SUM(I1372:I1374)</f>
        <v>453.57</v>
      </c>
    </row>
    <row r="1376" spans="2:9" ht="15.75">
      <c r="C1376" s="949"/>
      <c r="D1376" s="946"/>
      <c r="E1376" s="947"/>
      <c r="F1376" s="1054"/>
      <c r="G1376" s="946"/>
      <c r="H1376" s="1031"/>
      <c r="I1376" s="948"/>
    </row>
    <row r="1377" spans="2:9" ht="15.75">
      <c r="C1377" s="945" t="s">
        <v>925</v>
      </c>
      <c r="D1377" s="946"/>
      <c r="E1377" s="947"/>
      <c r="F1377" s="1054"/>
      <c r="G1377" s="946"/>
      <c r="H1377" s="1031"/>
      <c r="I1377" s="948"/>
    </row>
    <row r="1378" spans="2:9" ht="15.75">
      <c r="C1378" s="949" t="s">
        <v>925</v>
      </c>
      <c r="D1378" s="946">
        <f>+I1369</f>
        <v>1.67</v>
      </c>
      <c r="E1378" s="947" t="str">
        <f>VLOOKUP(C1378,[50]BASICS!B:D,2,FALSE)</f>
        <v>Pa</v>
      </c>
      <c r="F1378" s="1054">
        <f>+VLOOKUP(C1378,[49]BASICS!B:E,3,FALSE)</f>
        <v>0</v>
      </c>
      <c r="G1378" s="946"/>
      <c r="H1378" s="1031"/>
      <c r="I1378" s="948">
        <f>D1378*F1378</f>
        <v>0</v>
      </c>
    </row>
    <row r="1379" spans="2:9" ht="15.75">
      <c r="C1379" s="951" t="s">
        <v>918</v>
      </c>
      <c r="D1379" s="946"/>
      <c r="E1379" s="947"/>
      <c r="F1379" s="1054"/>
      <c r="G1379" s="946"/>
      <c r="H1379" s="1031"/>
      <c r="I1379" s="952">
        <f>SUM(I1378)</f>
        <v>0</v>
      </c>
    </row>
    <row r="1380" spans="2:9" ht="15.75">
      <c r="C1380" s="951"/>
      <c r="D1380" s="946"/>
      <c r="E1380" s="947"/>
      <c r="F1380" s="1054"/>
      <c r="G1380" s="946"/>
      <c r="H1380" s="1031"/>
      <c r="I1380" s="952"/>
    </row>
    <row r="1381" spans="2:9" ht="15.75">
      <c r="C1381" s="956" t="s">
        <v>926</v>
      </c>
      <c r="D1381" s="957"/>
      <c r="E1381" s="958"/>
      <c r="F1381" s="1069"/>
      <c r="G1381" s="957"/>
      <c r="H1381" s="1032"/>
      <c r="I1381" s="959">
        <f>+I1365</f>
        <v>0</v>
      </c>
    </row>
    <row r="1382" spans="2:9" ht="15.75">
      <c r="C1382" s="956" t="s">
        <v>927</v>
      </c>
      <c r="D1382" s="957"/>
      <c r="E1382" s="958"/>
      <c r="F1382" s="1069"/>
      <c r="G1382" s="957"/>
      <c r="H1382" s="1032"/>
      <c r="I1382" s="959">
        <f>+I1369</f>
        <v>1.67</v>
      </c>
    </row>
    <row r="1383" spans="2:9" ht="15.75">
      <c r="C1383" s="956" t="s">
        <v>928</v>
      </c>
      <c r="D1383" s="957"/>
      <c r="E1383" s="958"/>
      <c r="F1383" s="1069"/>
      <c r="G1383" s="957"/>
      <c r="H1383" s="1032"/>
      <c r="I1383" s="959">
        <f>+I1375</f>
        <v>453.57</v>
      </c>
    </row>
    <row r="1384" spans="2:9" ht="15.75">
      <c r="C1384" s="956" t="s">
        <v>929</v>
      </c>
      <c r="D1384" s="957"/>
      <c r="E1384" s="958"/>
      <c r="F1384" s="1069"/>
      <c r="G1384" s="957"/>
      <c r="H1384" s="1032"/>
      <c r="I1384" s="959">
        <f>+I1379</f>
        <v>0</v>
      </c>
    </row>
    <row r="1385" spans="2:9" ht="15.75">
      <c r="C1385" s="949"/>
      <c r="D1385" s="946"/>
      <c r="E1385" s="947"/>
      <c r="F1385" s="1054"/>
      <c r="G1385" s="946"/>
      <c r="H1385" s="1031"/>
      <c r="I1385" s="948"/>
    </row>
    <row r="1386" spans="2:9" ht="15.75">
      <c r="C1386" s="949"/>
      <c r="D1386" s="946"/>
      <c r="E1386" s="947"/>
      <c r="F1386" s="1054"/>
      <c r="G1386" s="946"/>
      <c r="H1386" s="1031"/>
      <c r="I1386" s="948"/>
    </row>
    <row r="1387" spans="2:9" ht="15.75">
      <c r="C1387" s="951" t="s">
        <v>930</v>
      </c>
      <c r="D1387" s="960"/>
      <c r="E1387" s="943" t="str">
        <f>+E1361</f>
        <v>M³E</v>
      </c>
      <c r="F1387" s="1070"/>
      <c r="G1387" s="960"/>
      <c r="H1387" s="1033"/>
      <c r="I1387" s="952">
        <f>SUM(I1381:I1384)</f>
        <v>455.24</v>
      </c>
    </row>
    <row r="1388" spans="2:9" ht="15.75">
      <c r="C1388" s="949"/>
      <c r="D1388" s="946"/>
      <c r="E1388" s="947"/>
      <c r="F1388" s="1054"/>
      <c r="G1388" s="946"/>
      <c r="H1388" s="1031"/>
      <c r="I1388" s="948"/>
    </row>
    <row r="1390" spans="2:9" ht="15.75">
      <c r="B1390" s="1038">
        <v>3.1</v>
      </c>
      <c r="C1390" s="937" t="str">
        <f>+'[49]LISTA VIAS Y PAISAJISMO'!B91</f>
        <v>De 60" H.A. Clase II</v>
      </c>
      <c r="D1390" s="938"/>
      <c r="E1390" s="962" t="str">
        <f>+'[49]LISTA VIAS Y PAISAJISMO'!D91</f>
        <v>Ud</v>
      </c>
      <c r="F1390" s="1066"/>
      <c r="G1390" s="938"/>
      <c r="H1390" s="1029"/>
      <c r="I1390" s="940">
        <f>I1417</f>
        <v>22500</v>
      </c>
    </row>
    <row r="1391" spans="2:9" ht="15.75">
      <c r="C1391" s="941" t="s">
        <v>908</v>
      </c>
      <c r="D1391" s="942" t="s">
        <v>9</v>
      </c>
      <c r="E1391" s="943" t="s">
        <v>10</v>
      </c>
      <c r="F1391" s="1067" t="s">
        <v>909</v>
      </c>
      <c r="G1391" s="942" t="s">
        <v>910</v>
      </c>
      <c r="H1391" s="1030" t="s">
        <v>911</v>
      </c>
      <c r="I1391" s="944" t="s">
        <v>912</v>
      </c>
    </row>
    <row r="1392" spans="2:9" ht="15.75">
      <c r="C1392" s="945" t="s">
        <v>913</v>
      </c>
      <c r="D1392" s="946"/>
      <c r="E1392" s="947"/>
      <c r="F1392" s="1054"/>
      <c r="G1392" s="946"/>
      <c r="H1392" s="1031"/>
      <c r="I1392" s="948"/>
    </row>
    <row r="1393" spans="3:9" ht="18" customHeight="1">
      <c r="C1393" s="949" t="s">
        <v>1001</v>
      </c>
      <c r="D1393" s="946">
        <v>1</v>
      </c>
      <c r="E1393" s="947" t="str">
        <f>+VLOOKUP(C1393,[49]BASICS!B:E,2,FALSE)</f>
        <v>und</v>
      </c>
      <c r="F1393" s="1068">
        <f>'Basic (equilibrio) (2)'!$D$368</f>
        <v>22500</v>
      </c>
      <c r="G1393" s="946">
        <f>F1393-(F1393/1.18)</f>
        <v>3432.2</v>
      </c>
      <c r="H1393" s="1031"/>
      <c r="I1393" s="948">
        <f>D1393*F1393</f>
        <v>22500</v>
      </c>
    </row>
    <row r="1394" spans="3:9" ht="15.75">
      <c r="C1394" s="949" t="s">
        <v>1002</v>
      </c>
      <c r="D1394" s="946"/>
      <c r="E1394" s="947"/>
      <c r="F1394" s="1068"/>
      <c r="G1394" s="946">
        <f>F1394-(F1394/1.18)</f>
        <v>0</v>
      </c>
      <c r="H1394" s="1031"/>
      <c r="I1394" s="948">
        <f>D1394*F1394</f>
        <v>0</v>
      </c>
    </row>
    <row r="1395" spans="3:9" ht="15.75">
      <c r="C1395" s="949" t="s">
        <v>1003</v>
      </c>
      <c r="D1395" s="946"/>
      <c r="E1395" s="947"/>
      <c r="F1395" s="1068"/>
      <c r="G1395" s="946">
        <f>F1395-(F1395/1.18)</f>
        <v>0</v>
      </c>
      <c r="H1395" s="1031"/>
      <c r="I1395" s="948">
        <f>D1395*F1395</f>
        <v>0</v>
      </c>
    </row>
    <row r="1396" spans="3:9" ht="15.75">
      <c r="C1396" s="949" t="s">
        <v>1004</v>
      </c>
      <c r="D1396" s="946"/>
      <c r="E1396" s="947"/>
      <c r="F1396" s="1068"/>
      <c r="G1396" s="946">
        <f>F1396-(F1396/1.18)</f>
        <v>0</v>
      </c>
      <c r="H1396" s="1031"/>
      <c r="I1396" s="948">
        <f>D1396*F1396</f>
        <v>0</v>
      </c>
    </row>
    <row r="1397" spans="3:9" ht="15.75">
      <c r="C1397" s="951" t="s">
        <v>918</v>
      </c>
      <c r="D1397" s="946"/>
      <c r="E1397" s="947"/>
      <c r="F1397" s="1068"/>
      <c r="G1397" s="946"/>
      <c r="H1397" s="1031"/>
      <c r="I1397" s="952">
        <f>SUM(I1393:I1396)</f>
        <v>22500</v>
      </c>
    </row>
    <row r="1398" spans="3:9" ht="15.75">
      <c r="C1398" s="949"/>
      <c r="D1398" s="946"/>
      <c r="E1398" s="947"/>
      <c r="F1398" s="1068"/>
      <c r="G1398" s="946"/>
      <c r="H1398" s="1031"/>
      <c r="I1398" s="948"/>
    </row>
    <row r="1399" spans="3:9" ht="15.75">
      <c r="C1399" s="945" t="s">
        <v>919</v>
      </c>
      <c r="D1399" s="946"/>
      <c r="E1399" s="947"/>
      <c r="F1399" s="1068"/>
      <c r="G1399" s="946"/>
      <c r="H1399" s="1031"/>
      <c r="I1399" s="948"/>
    </row>
    <row r="1400" spans="3:9" ht="15.75">
      <c r="C1400" s="949" t="s">
        <v>924</v>
      </c>
      <c r="D1400" s="953"/>
      <c r="E1400" s="954" t="str">
        <f>+VLOOKUP(C1400,[49]BASICS!B:E,2,FALSE)</f>
        <v>n/a</v>
      </c>
      <c r="F1400" s="1068">
        <f>+VLOOKUP(C1400,[49]BASICS!B:E,3,FALSE)</f>
        <v>0</v>
      </c>
      <c r="G1400" s="946">
        <f>F1400-(F1400/1.18)</f>
        <v>0</v>
      </c>
      <c r="H1400" s="1031"/>
      <c r="I1400" s="948">
        <f>(D1400*F1400)</f>
        <v>0</v>
      </c>
    </row>
    <row r="1401" spans="3:9" ht="15.75">
      <c r="C1401" s="951" t="s">
        <v>918</v>
      </c>
      <c r="D1401" s="946"/>
      <c r="E1401" s="947"/>
      <c r="F1401" s="1054"/>
      <c r="G1401" s="946"/>
      <c r="H1401" s="1031"/>
      <c r="I1401" s="952">
        <f>SUM(I1400:I1400)</f>
        <v>0</v>
      </c>
    </row>
    <row r="1402" spans="3:9" ht="15.75">
      <c r="C1402" s="949"/>
      <c r="D1402" s="946"/>
      <c r="E1402" s="947"/>
      <c r="F1402" s="1054"/>
      <c r="G1402" s="946"/>
      <c r="H1402" s="1031"/>
      <c r="I1402" s="948"/>
    </row>
    <row r="1403" spans="3:9" ht="15.75">
      <c r="C1403" s="945" t="s">
        <v>923</v>
      </c>
      <c r="D1403" s="946"/>
      <c r="E1403" s="947"/>
      <c r="F1403" s="1054"/>
      <c r="G1403" s="946"/>
      <c r="H1403" s="1031"/>
      <c r="I1403" s="948"/>
    </row>
    <row r="1404" spans="3:9" ht="15.75">
      <c r="C1404" s="949" t="s">
        <v>924</v>
      </c>
      <c r="D1404" s="946"/>
      <c r="E1404" s="947" t="str">
        <f>+VLOOKUP(C1404,[49]BASICS!B:E,2,FALSE)</f>
        <v>n/a</v>
      </c>
      <c r="F1404" s="1054">
        <f>+VLOOKUP(C1404,[49]BASICS!B:E,3,FALSE)</f>
        <v>0</v>
      </c>
      <c r="G1404" s="946">
        <f>F1404-(F1404/1.18)</f>
        <v>0</v>
      </c>
      <c r="H1404" s="1039"/>
      <c r="I1404" s="955">
        <f>D1404*F1404</f>
        <v>0</v>
      </c>
    </row>
    <row r="1405" spans="3:9" ht="15.75">
      <c r="C1405" s="951" t="s">
        <v>918</v>
      </c>
      <c r="D1405" s="946"/>
      <c r="E1405" s="947"/>
      <c r="F1405" s="1054"/>
      <c r="G1405" s="946"/>
      <c r="H1405" s="1031"/>
      <c r="I1405" s="952">
        <f>SUM(I1404:I1404)</f>
        <v>0</v>
      </c>
    </row>
    <row r="1406" spans="3:9" ht="15.75">
      <c r="C1406" s="949"/>
      <c r="D1406" s="946"/>
      <c r="E1406" s="947"/>
      <c r="F1406" s="1054"/>
      <c r="G1406" s="946"/>
      <c r="H1406" s="1031"/>
      <c r="I1406" s="948"/>
    </row>
    <row r="1407" spans="3:9" ht="15.75">
      <c r="C1407" s="945" t="s">
        <v>925</v>
      </c>
      <c r="D1407" s="946"/>
      <c r="E1407" s="947"/>
      <c r="F1407" s="1054"/>
      <c r="G1407" s="946"/>
      <c r="H1407" s="1031"/>
      <c r="I1407" s="948"/>
    </row>
    <row r="1408" spans="3:9" ht="15.75">
      <c r="C1408" s="949" t="s">
        <v>924</v>
      </c>
      <c r="D1408" s="946"/>
      <c r="E1408" s="947" t="str">
        <f>VLOOKUP(C1408,[50]BASICS!B:D,2,FALSE)</f>
        <v>n/a</v>
      </c>
      <c r="F1408" s="1054">
        <f>+VLOOKUP(C1408,[49]BASICS!B:E,3,FALSE)</f>
        <v>0</v>
      </c>
      <c r="G1408" s="946"/>
      <c r="H1408" s="1031"/>
      <c r="I1408" s="948">
        <f>D1408*F1408</f>
        <v>0</v>
      </c>
    </row>
    <row r="1409" spans="2:9" ht="15.75">
      <c r="C1409" s="951" t="s">
        <v>918</v>
      </c>
      <c r="D1409" s="946"/>
      <c r="E1409" s="947"/>
      <c r="F1409" s="1054"/>
      <c r="G1409" s="946"/>
      <c r="H1409" s="1031"/>
      <c r="I1409" s="952">
        <f>SUM(I1408)</f>
        <v>0</v>
      </c>
    </row>
    <row r="1410" spans="2:9" ht="15.75">
      <c r="C1410" s="951"/>
      <c r="D1410" s="946"/>
      <c r="E1410" s="947"/>
      <c r="F1410" s="1054"/>
      <c r="G1410" s="946"/>
      <c r="H1410" s="1031"/>
      <c r="I1410" s="952"/>
    </row>
    <row r="1411" spans="2:9" ht="15.75">
      <c r="C1411" s="956" t="s">
        <v>926</v>
      </c>
      <c r="D1411" s="957"/>
      <c r="E1411" s="958"/>
      <c r="F1411" s="1069"/>
      <c r="G1411" s="957"/>
      <c r="H1411" s="1032"/>
      <c r="I1411" s="959">
        <f>+I1397</f>
        <v>22500</v>
      </c>
    </row>
    <row r="1412" spans="2:9" ht="15.75">
      <c r="C1412" s="956" t="s">
        <v>927</v>
      </c>
      <c r="D1412" s="957"/>
      <c r="E1412" s="958"/>
      <c r="F1412" s="1069"/>
      <c r="G1412" s="957"/>
      <c r="H1412" s="1032"/>
      <c r="I1412" s="959">
        <f>+I1401</f>
        <v>0</v>
      </c>
    </row>
    <row r="1413" spans="2:9" ht="15.75">
      <c r="C1413" s="956" t="s">
        <v>928</v>
      </c>
      <c r="D1413" s="957"/>
      <c r="E1413" s="958"/>
      <c r="F1413" s="1069"/>
      <c r="G1413" s="957"/>
      <c r="H1413" s="1032"/>
      <c r="I1413" s="959">
        <f>+I1405</f>
        <v>0</v>
      </c>
    </row>
    <row r="1414" spans="2:9" ht="15.75">
      <c r="C1414" s="956" t="s">
        <v>929</v>
      </c>
      <c r="D1414" s="957"/>
      <c r="E1414" s="958"/>
      <c r="F1414" s="1069"/>
      <c r="G1414" s="957"/>
      <c r="H1414" s="1032"/>
      <c r="I1414" s="959">
        <f>+I1409</f>
        <v>0</v>
      </c>
    </row>
    <row r="1415" spans="2:9" ht="15.75">
      <c r="C1415" s="949"/>
      <c r="D1415" s="946"/>
      <c r="E1415" s="947"/>
      <c r="F1415" s="1054"/>
      <c r="G1415" s="946"/>
      <c r="H1415" s="1031"/>
      <c r="I1415" s="948"/>
    </row>
    <row r="1416" spans="2:9" ht="15.75">
      <c r="C1416" s="949"/>
      <c r="D1416" s="946"/>
      <c r="E1416" s="947"/>
      <c r="F1416" s="1054"/>
      <c r="G1416" s="946"/>
      <c r="H1416" s="1031"/>
      <c r="I1416" s="948"/>
    </row>
    <row r="1417" spans="2:9" ht="15.75">
      <c r="C1417" s="951" t="s">
        <v>930</v>
      </c>
      <c r="D1417" s="960"/>
      <c r="E1417" s="943" t="str">
        <f>+E1390</f>
        <v>Ud</v>
      </c>
      <c r="F1417" s="1070"/>
      <c r="G1417" s="960"/>
      <c r="H1417" s="1033"/>
      <c r="I1417" s="952">
        <f>SUM(I1411:I1414)</f>
        <v>22500</v>
      </c>
    </row>
    <row r="1418" spans="2:9" ht="15.75">
      <c r="C1418" s="949"/>
      <c r="D1418" s="946"/>
      <c r="E1418" s="947"/>
      <c r="F1418" s="1054"/>
      <c r="G1418" s="946"/>
      <c r="H1418" s="1031"/>
      <c r="I1418" s="948"/>
    </row>
    <row r="1420" spans="2:9" ht="15.75">
      <c r="B1420" s="1038">
        <v>4.2</v>
      </c>
      <c r="C1420" s="937" t="str">
        <f>+'[49]LISTA VIAS Y PAISAJISMO'!B94</f>
        <v>De 60" H.A. Clase II</v>
      </c>
      <c r="D1420" s="938"/>
      <c r="E1420" s="962" t="str">
        <f>+'[49]LISTA VIAS Y PAISAJISMO'!D94</f>
        <v>M</v>
      </c>
      <c r="F1420" s="1066"/>
      <c r="G1420" s="938"/>
      <c r="H1420" s="1029"/>
      <c r="I1420" s="940">
        <f>I1445</f>
        <v>2414</v>
      </c>
    </row>
    <row r="1421" spans="2:9" ht="15.75">
      <c r="C1421" s="941" t="s">
        <v>908</v>
      </c>
      <c r="D1421" s="942" t="s">
        <v>9</v>
      </c>
      <c r="E1421" s="943" t="s">
        <v>10</v>
      </c>
      <c r="F1421" s="1067" t="s">
        <v>909</v>
      </c>
      <c r="G1421" s="942" t="s">
        <v>910</v>
      </c>
      <c r="H1421" s="1030" t="s">
        <v>911</v>
      </c>
      <c r="I1421" s="944" t="s">
        <v>912</v>
      </c>
    </row>
    <row r="1422" spans="2:9" ht="15.75">
      <c r="C1422" s="945" t="s">
        <v>913</v>
      </c>
      <c r="D1422" s="946"/>
      <c r="E1422" s="947"/>
      <c r="F1422" s="1054"/>
      <c r="G1422" s="946"/>
      <c r="H1422" s="1031"/>
      <c r="I1422" s="948"/>
    </row>
    <row r="1423" spans="2:9" ht="15.75">
      <c r="C1423" s="949" t="s">
        <v>924</v>
      </c>
      <c r="D1423" s="946"/>
      <c r="E1423" s="947" t="str">
        <f>+VLOOKUP(C1423,[49]BASICS!B:E,2,FALSE)</f>
        <v>n/a</v>
      </c>
      <c r="F1423" s="1068">
        <f>+VLOOKUP(C1423,[49]BASICS!B:E,3,FALSE)</f>
        <v>0</v>
      </c>
      <c r="G1423" s="946">
        <f>F1423-(F1423/1.18)</f>
        <v>0</v>
      </c>
      <c r="H1423" s="1031"/>
      <c r="I1423" s="948">
        <f>D1423*F1423</f>
        <v>0</v>
      </c>
    </row>
    <row r="1424" spans="2:9" ht="15.75">
      <c r="C1424" s="951" t="s">
        <v>918</v>
      </c>
      <c r="D1424" s="946"/>
      <c r="E1424" s="947"/>
      <c r="F1424" s="1068"/>
      <c r="G1424" s="946"/>
      <c r="H1424" s="1031"/>
      <c r="I1424" s="952">
        <f>SUM(I1423:I1423)</f>
        <v>0</v>
      </c>
    </row>
    <row r="1425" spans="3:9" ht="15.75">
      <c r="C1425" s="949"/>
      <c r="D1425" s="946"/>
      <c r="E1425" s="947"/>
      <c r="F1425" s="1068"/>
      <c r="G1425" s="946"/>
      <c r="H1425" s="1031"/>
      <c r="I1425" s="948"/>
    </row>
    <row r="1426" spans="3:9" ht="15.75">
      <c r="C1426" s="945" t="s">
        <v>919</v>
      </c>
      <c r="D1426" s="946"/>
      <c r="E1426" s="947"/>
      <c r="F1426" s="1068"/>
      <c r="G1426" s="946"/>
      <c r="H1426" s="1031"/>
      <c r="I1426" s="948"/>
    </row>
    <row r="1427" spans="3:9" ht="15.75">
      <c r="C1427" s="949" t="s">
        <v>973</v>
      </c>
      <c r="D1427" s="953">
        <v>1</v>
      </c>
      <c r="E1427" s="954" t="s">
        <v>1027</v>
      </c>
      <c r="F1427" s="1068">
        <f>'Basic (equilibrio) (2)'!$D$11</f>
        <v>1364</v>
      </c>
      <c r="G1427" s="946">
        <f>F1427-(F1427/1.18)</f>
        <v>208.07</v>
      </c>
      <c r="H1427" s="1031"/>
      <c r="I1427" s="948">
        <f>(D1427*F1427)</f>
        <v>1364</v>
      </c>
    </row>
    <row r="1428" spans="3:9" ht="15.75">
      <c r="C1428" s="949" t="s">
        <v>931</v>
      </c>
      <c r="D1428" s="953">
        <v>1</v>
      </c>
      <c r="E1428" s="954" t="str">
        <f>+VLOOKUP(C1428,[49]BASICS!B:E,2,FALSE)</f>
        <v>dia</v>
      </c>
      <c r="F1428" s="1068">
        <f>'Basic (equilibrio) (2)'!$D$14</f>
        <v>900</v>
      </c>
      <c r="G1428" s="946">
        <f>F1428-(F1428/1.18)</f>
        <v>137.29</v>
      </c>
      <c r="H1428" s="1031"/>
      <c r="I1428" s="948">
        <f>(D1428*F1428)</f>
        <v>900</v>
      </c>
    </row>
    <row r="1429" spans="3:9" ht="15.75">
      <c r="C1429" s="951" t="s">
        <v>918</v>
      </c>
      <c r="D1429" s="946"/>
      <c r="E1429" s="947"/>
      <c r="F1429" s="1054"/>
      <c r="G1429" s="946"/>
      <c r="H1429" s="1031"/>
      <c r="I1429" s="952">
        <f>SUM(I1427:I1428)</f>
        <v>2264</v>
      </c>
    </row>
    <row r="1430" spans="3:9" ht="15.75">
      <c r="C1430" s="949"/>
      <c r="D1430" s="946"/>
      <c r="E1430" s="947"/>
      <c r="F1430" s="1054"/>
      <c r="G1430" s="946"/>
      <c r="H1430" s="1031"/>
      <c r="I1430" s="948"/>
    </row>
    <row r="1431" spans="3:9" ht="15.75">
      <c r="C1431" s="945" t="s">
        <v>923</v>
      </c>
      <c r="D1431" s="946"/>
      <c r="E1431" s="947"/>
      <c r="F1431" s="1054"/>
      <c r="G1431" s="946"/>
      <c r="H1431" s="1031"/>
      <c r="I1431" s="948"/>
    </row>
    <row r="1432" spans="3:9" ht="15.75">
      <c r="C1432" s="949" t="s">
        <v>1005</v>
      </c>
      <c r="D1432" s="946">
        <v>1</v>
      </c>
      <c r="E1432" s="947" t="str">
        <f>+VLOOKUP(C1432,[49]BASICS!B:E,2,FALSE)</f>
        <v>hr</v>
      </c>
      <c r="F1432" s="1054">
        <f>'Basic (equilibrio) (2)'!$D$689</f>
        <v>1500</v>
      </c>
      <c r="G1432" s="946">
        <f>F1432-(F1432/1.18)</f>
        <v>228.81</v>
      </c>
      <c r="H1432" s="1039">
        <v>10</v>
      </c>
      <c r="I1432" s="955">
        <f>D1432*F1432/H1432</f>
        <v>150</v>
      </c>
    </row>
    <row r="1433" spans="3:9" ht="15.75">
      <c r="C1433" s="951" t="s">
        <v>918</v>
      </c>
      <c r="D1433" s="946"/>
      <c r="E1433" s="947"/>
      <c r="F1433" s="1054"/>
      <c r="G1433" s="946"/>
      <c r="H1433" s="1031"/>
      <c r="I1433" s="952">
        <f>SUM(I1432:I1432)</f>
        <v>150</v>
      </c>
    </row>
    <row r="1434" spans="3:9" ht="15.75">
      <c r="C1434" s="949"/>
      <c r="D1434" s="946"/>
      <c r="E1434" s="947"/>
      <c r="F1434" s="1054"/>
      <c r="G1434" s="946"/>
      <c r="H1434" s="1031"/>
      <c r="I1434" s="948"/>
    </row>
    <row r="1435" spans="3:9" ht="15.75">
      <c r="C1435" s="945" t="s">
        <v>925</v>
      </c>
      <c r="D1435" s="946"/>
      <c r="E1435" s="947"/>
      <c r="F1435" s="1054"/>
      <c r="G1435" s="946"/>
      <c r="H1435" s="1031"/>
      <c r="I1435" s="948"/>
    </row>
    <row r="1436" spans="3:9" ht="15.75">
      <c r="C1436" s="949" t="s">
        <v>925</v>
      </c>
      <c r="D1436" s="946">
        <v>1</v>
      </c>
      <c r="E1436" s="947" t="str">
        <f>VLOOKUP(C1436,[50]BASICS!B:D,2,FALSE)</f>
        <v>Pa</v>
      </c>
      <c r="F1436" s="1054">
        <f>+VLOOKUP(C1436,[49]BASICS!B:E,3,FALSE)</f>
        <v>0</v>
      </c>
      <c r="G1436" s="946"/>
      <c r="H1436" s="1031"/>
      <c r="I1436" s="948">
        <f>D1436*F1436</f>
        <v>0</v>
      </c>
    </row>
    <row r="1437" spans="3:9" ht="15.75">
      <c r="C1437" s="951" t="s">
        <v>918</v>
      </c>
      <c r="D1437" s="946"/>
      <c r="E1437" s="947"/>
      <c r="F1437" s="1054"/>
      <c r="G1437" s="946"/>
      <c r="H1437" s="1031"/>
      <c r="I1437" s="952">
        <f>SUM(I1436)</f>
        <v>0</v>
      </c>
    </row>
    <row r="1438" spans="3:9" ht="15.75">
      <c r="C1438" s="951"/>
      <c r="D1438" s="946"/>
      <c r="E1438" s="947"/>
      <c r="F1438" s="1054"/>
      <c r="G1438" s="946"/>
      <c r="H1438" s="1031"/>
      <c r="I1438" s="952"/>
    </row>
    <row r="1439" spans="3:9" ht="15.75">
      <c r="C1439" s="956" t="s">
        <v>926</v>
      </c>
      <c r="D1439" s="957"/>
      <c r="E1439" s="958"/>
      <c r="F1439" s="1069"/>
      <c r="G1439" s="957"/>
      <c r="H1439" s="1032"/>
      <c r="I1439" s="959">
        <f>+I1424</f>
        <v>0</v>
      </c>
    </row>
    <row r="1440" spans="3:9" ht="15.75">
      <c r="C1440" s="956" t="s">
        <v>927</v>
      </c>
      <c r="D1440" s="957"/>
      <c r="E1440" s="958"/>
      <c r="F1440" s="1069"/>
      <c r="G1440" s="957"/>
      <c r="H1440" s="1032"/>
      <c r="I1440" s="959">
        <f>+I1429</f>
        <v>2264</v>
      </c>
    </row>
    <row r="1441" spans="2:9" ht="15.75">
      <c r="C1441" s="956" t="s">
        <v>928</v>
      </c>
      <c r="D1441" s="957"/>
      <c r="E1441" s="958"/>
      <c r="F1441" s="1069"/>
      <c r="G1441" s="957"/>
      <c r="H1441" s="1032"/>
      <c r="I1441" s="959">
        <f>+I1433</f>
        <v>150</v>
      </c>
    </row>
    <row r="1442" spans="2:9" ht="15.75">
      <c r="C1442" s="956" t="s">
        <v>929</v>
      </c>
      <c r="D1442" s="957"/>
      <c r="E1442" s="958"/>
      <c r="F1442" s="1069"/>
      <c r="G1442" s="957"/>
      <c r="H1442" s="1032"/>
      <c r="I1442" s="959">
        <f>+I1437</f>
        <v>0</v>
      </c>
    </row>
    <row r="1443" spans="2:9" ht="15.75">
      <c r="C1443" s="949"/>
      <c r="D1443" s="946"/>
      <c r="E1443" s="947"/>
      <c r="F1443" s="1054"/>
      <c r="G1443" s="946"/>
      <c r="H1443" s="1031"/>
      <c r="I1443" s="948"/>
    </row>
    <row r="1444" spans="2:9" ht="15.75">
      <c r="C1444" s="949"/>
      <c r="D1444" s="946"/>
      <c r="E1444" s="947"/>
      <c r="F1444" s="1054"/>
      <c r="G1444" s="946"/>
      <c r="H1444" s="1031"/>
      <c r="I1444" s="948"/>
    </row>
    <row r="1445" spans="2:9" ht="15.75">
      <c r="C1445" s="951" t="s">
        <v>930</v>
      </c>
      <c r="D1445" s="960"/>
      <c r="E1445" s="943" t="str">
        <f>+E1420</f>
        <v>M</v>
      </c>
      <c r="F1445" s="1070"/>
      <c r="G1445" s="960"/>
      <c r="H1445" s="1033"/>
      <c r="I1445" s="952">
        <f>SUM(I1439:I1442)</f>
        <v>2414</v>
      </c>
    </row>
    <row r="1446" spans="2:9" ht="15.75">
      <c r="C1446" s="949"/>
      <c r="D1446" s="946"/>
      <c r="E1446" s="947"/>
      <c r="F1446" s="1054"/>
      <c r="G1446" s="946"/>
      <c r="H1446" s="1031"/>
      <c r="I1446" s="948"/>
    </row>
    <row r="1448" spans="2:9" ht="15.75">
      <c r="B1448" s="1038">
        <v>5</v>
      </c>
      <c r="C1448" s="937" t="str">
        <f>+'[49]LISTA VIAS Y PAISAJISMO'!B96</f>
        <v>CABEZAL DE DESCARGA</v>
      </c>
      <c r="D1448" s="938"/>
      <c r="E1448" s="962" t="str">
        <f>+'[49]LISTA VIAS Y PAISAJISMO'!D96</f>
        <v>UD</v>
      </c>
      <c r="F1448" s="1066"/>
      <c r="G1448" s="938"/>
      <c r="H1448" s="1029"/>
      <c r="I1448" s="940">
        <f>I1476</f>
        <v>11262</v>
      </c>
    </row>
    <row r="1449" spans="2:9" ht="15.75">
      <c r="C1449" s="941" t="s">
        <v>908</v>
      </c>
      <c r="D1449" s="942" t="s">
        <v>9</v>
      </c>
      <c r="E1449" s="943" t="s">
        <v>10</v>
      </c>
      <c r="F1449" s="1067" t="s">
        <v>909</v>
      </c>
      <c r="G1449" s="942" t="s">
        <v>910</v>
      </c>
      <c r="H1449" s="1030" t="s">
        <v>911</v>
      </c>
      <c r="I1449" s="944" t="s">
        <v>912</v>
      </c>
    </row>
    <row r="1450" spans="2:9" ht="15.75">
      <c r="C1450" s="945" t="s">
        <v>913</v>
      </c>
      <c r="D1450" s="946"/>
      <c r="E1450" s="947"/>
      <c r="F1450" s="1054"/>
      <c r="G1450" s="946"/>
      <c r="H1450" s="1031"/>
      <c r="I1450" s="948"/>
    </row>
    <row r="1451" spans="2:9" ht="15.75">
      <c r="C1451" s="949" t="s">
        <v>1006</v>
      </c>
      <c r="D1451" s="946">
        <v>1</v>
      </c>
      <c r="E1451" s="947" t="str">
        <f>+VLOOKUP(C1451,[49]BASICS!B:E,2,FALSE)</f>
        <v>und</v>
      </c>
      <c r="F1451" s="1068">
        <f>'Basic (equilibrio) (2)'!$D$369</f>
        <v>5396</v>
      </c>
      <c r="G1451" s="946">
        <f>F1451-(F1451/1.18)</f>
        <v>823.12</v>
      </c>
      <c r="H1451" s="1031"/>
      <c r="I1451" s="948">
        <f>D1451*F1451</f>
        <v>5396</v>
      </c>
    </row>
    <row r="1452" spans="2:9" ht="15.75">
      <c r="C1452" s="949" t="s">
        <v>1002</v>
      </c>
      <c r="D1452" s="946">
        <v>1.02</v>
      </c>
      <c r="E1452" s="947" t="str">
        <f>+VLOOKUP(C1452,[49]BASICS!B:E,2,FALSE)</f>
        <v>m3e</v>
      </c>
      <c r="F1452" s="1068">
        <f>'Basic (equilibrio) (2)'!$D$181</f>
        <v>1800</v>
      </c>
      <c r="G1452" s="946">
        <f>F1452-(F1452/1.18)</f>
        <v>274.58</v>
      </c>
      <c r="H1452" s="1031"/>
      <c r="I1452" s="948">
        <f>D1452*F1452</f>
        <v>1836</v>
      </c>
    </row>
    <row r="1453" spans="2:9" ht="15.75">
      <c r="C1453" s="949" t="s">
        <v>1003</v>
      </c>
      <c r="D1453" s="946">
        <v>6</v>
      </c>
      <c r="E1453" s="947" t="str">
        <f>+VLOOKUP(C1453,[49]BASICS!B:E,2,FALSE)</f>
        <v>fda</v>
      </c>
      <c r="F1453" s="1068">
        <f>'Basic (equilibrio) (2)'!$D$298</f>
        <v>480</v>
      </c>
      <c r="G1453" s="946">
        <f>F1453-(F1453/1.18)</f>
        <v>73.22</v>
      </c>
      <c r="H1453" s="1031"/>
      <c r="I1453" s="948">
        <f>D1453*F1453</f>
        <v>2880</v>
      </c>
    </row>
    <row r="1454" spans="2:9" ht="15.75">
      <c r="C1454" s="949" t="s">
        <v>1004</v>
      </c>
      <c r="D1454" s="946">
        <v>40</v>
      </c>
      <c r="E1454" s="947" t="str">
        <f>+VLOOKUP(C1454,[49]BASICS!B:E,2,FALSE)</f>
        <v>gl</v>
      </c>
      <c r="F1454" s="1068">
        <f>'Basic (equilibrio) (2)'!$D$191</f>
        <v>1</v>
      </c>
      <c r="G1454" s="946">
        <f>F1454-(F1454/1.18)</f>
        <v>0.15</v>
      </c>
      <c r="H1454" s="1031"/>
      <c r="I1454" s="948">
        <f>D1454*F1454</f>
        <v>40</v>
      </c>
    </row>
    <row r="1455" spans="2:9" ht="15.75">
      <c r="C1455" s="951" t="s">
        <v>918</v>
      </c>
      <c r="D1455" s="946"/>
      <c r="E1455" s="947"/>
      <c r="F1455" s="1068"/>
      <c r="G1455" s="946"/>
      <c r="H1455" s="1031"/>
      <c r="I1455" s="952">
        <f>SUM(I1451:I1454)</f>
        <v>10152</v>
      </c>
    </row>
    <row r="1456" spans="2:9" ht="15.75">
      <c r="C1456" s="949"/>
      <c r="D1456" s="946"/>
      <c r="E1456" s="947"/>
      <c r="F1456" s="1068"/>
      <c r="G1456" s="946"/>
      <c r="H1456" s="1031"/>
      <c r="I1456" s="948"/>
    </row>
    <row r="1457" spans="3:9" ht="15.75">
      <c r="C1457" s="945" t="s">
        <v>919</v>
      </c>
      <c r="D1457" s="946"/>
      <c r="E1457" s="947"/>
      <c r="F1457" s="1068"/>
      <c r="G1457" s="946"/>
      <c r="H1457" s="1031"/>
      <c r="I1457" s="948"/>
    </row>
    <row r="1458" spans="3:9" ht="15.75">
      <c r="C1458" s="949" t="s">
        <v>973</v>
      </c>
      <c r="D1458" s="953">
        <v>0.5</v>
      </c>
      <c r="E1458" s="954" t="str">
        <f>+VLOOKUP(C1458,[49]BASICS!B:E,2,FALSE)</f>
        <v>m2</v>
      </c>
      <c r="F1458" s="1068">
        <f>'Basic (equilibrio) (2)'!$D$15</f>
        <v>120</v>
      </c>
      <c r="G1458" s="946">
        <f>F1458-(F1458/1.18)</f>
        <v>18.309999999999999</v>
      </c>
      <c r="H1458" s="1031"/>
      <c r="I1458" s="948">
        <f>(D1458*F1458)</f>
        <v>60</v>
      </c>
    </row>
    <row r="1459" spans="3:9" ht="15.75">
      <c r="C1459" s="949" t="s">
        <v>931</v>
      </c>
      <c r="D1459" s="953">
        <v>1</v>
      </c>
      <c r="E1459" s="954" t="str">
        <f>+VLOOKUP(C1459,[49]BASICS!B:E,2,FALSE)</f>
        <v>dia</v>
      </c>
      <c r="F1459" s="1068">
        <f>'Basic (equilibrio) (2)'!$D$14</f>
        <v>900</v>
      </c>
      <c r="G1459" s="946">
        <f>F1459-(F1459/1.18)</f>
        <v>137.29</v>
      </c>
      <c r="H1459" s="1031"/>
      <c r="I1459" s="948">
        <f>(D1459*F1459)</f>
        <v>900</v>
      </c>
    </row>
    <row r="1460" spans="3:9" ht="15.75">
      <c r="C1460" s="951" t="s">
        <v>918</v>
      </c>
      <c r="D1460" s="946"/>
      <c r="E1460" s="947"/>
      <c r="F1460" s="1054"/>
      <c r="G1460" s="946"/>
      <c r="H1460" s="1031"/>
      <c r="I1460" s="952">
        <f>SUM(I1458:I1459)</f>
        <v>960</v>
      </c>
    </row>
    <row r="1461" spans="3:9" ht="15.75">
      <c r="C1461" s="949"/>
      <c r="D1461" s="946"/>
      <c r="E1461" s="947"/>
      <c r="F1461" s="1054"/>
      <c r="G1461" s="946"/>
      <c r="H1461" s="1031"/>
      <c r="I1461" s="948"/>
    </row>
    <row r="1462" spans="3:9" ht="15.75">
      <c r="C1462" s="945" t="s">
        <v>923</v>
      </c>
      <c r="D1462" s="946"/>
      <c r="E1462" s="947"/>
      <c r="F1462" s="1054"/>
      <c r="G1462" s="946"/>
      <c r="H1462" s="1031"/>
      <c r="I1462" s="948"/>
    </row>
    <row r="1463" spans="3:9" ht="15.75">
      <c r="C1463" s="949" t="s">
        <v>1005</v>
      </c>
      <c r="D1463" s="946">
        <v>1</v>
      </c>
      <c r="E1463" s="947" t="str">
        <f>+VLOOKUP(C1463,[49]BASICS!B:E,2,FALSE)</f>
        <v>hr</v>
      </c>
      <c r="F1463" s="1054">
        <f>'Basic (equilibrio) (2)'!$D$689</f>
        <v>1500</v>
      </c>
      <c r="G1463" s="946">
        <f>F1463-(F1463/1.18)</f>
        <v>228.81</v>
      </c>
      <c r="H1463" s="1039">
        <v>10</v>
      </c>
      <c r="I1463" s="955">
        <f>D1463*F1463/H1463</f>
        <v>150</v>
      </c>
    </row>
    <row r="1464" spans="3:9" ht="15.75">
      <c r="C1464" s="951" t="s">
        <v>918</v>
      </c>
      <c r="D1464" s="946"/>
      <c r="E1464" s="947"/>
      <c r="F1464" s="1054"/>
      <c r="G1464" s="946"/>
      <c r="H1464" s="1031"/>
      <c r="I1464" s="952">
        <f>SUM(I1463:I1463)</f>
        <v>150</v>
      </c>
    </row>
    <row r="1465" spans="3:9" ht="15.75">
      <c r="C1465" s="949"/>
      <c r="D1465" s="946"/>
      <c r="E1465" s="947"/>
      <c r="F1465" s="1054"/>
      <c r="G1465" s="946"/>
      <c r="H1465" s="1031"/>
      <c r="I1465" s="948"/>
    </row>
    <row r="1466" spans="3:9" ht="15.75">
      <c r="C1466" s="945" t="s">
        <v>925</v>
      </c>
      <c r="D1466" s="946"/>
      <c r="E1466" s="947"/>
      <c r="F1466" s="1054"/>
      <c r="G1466" s="946"/>
      <c r="H1466" s="1031"/>
      <c r="I1466" s="948"/>
    </row>
    <row r="1467" spans="3:9" ht="15.75">
      <c r="C1467" s="949" t="s">
        <v>925</v>
      </c>
      <c r="D1467" s="946">
        <v>1</v>
      </c>
      <c r="E1467" s="947" t="str">
        <f>VLOOKUP(C1467,[50]BASICS!B:D,2,FALSE)</f>
        <v>Pa</v>
      </c>
      <c r="F1467" s="1054">
        <f>+VLOOKUP(C1467,[49]BASICS!B:E,3,FALSE)</f>
        <v>0</v>
      </c>
      <c r="G1467" s="946"/>
      <c r="H1467" s="1031"/>
      <c r="I1467" s="948">
        <f>D1467*F1467</f>
        <v>0</v>
      </c>
    </row>
    <row r="1468" spans="3:9" ht="15.75">
      <c r="C1468" s="951" t="s">
        <v>918</v>
      </c>
      <c r="D1468" s="946"/>
      <c r="E1468" s="947"/>
      <c r="F1468" s="1054"/>
      <c r="G1468" s="946"/>
      <c r="H1468" s="1031"/>
      <c r="I1468" s="952">
        <f>SUM(I1467)</f>
        <v>0</v>
      </c>
    </row>
    <row r="1469" spans="3:9" ht="15.75">
      <c r="C1469" s="951"/>
      <c r="D1469" s="946"/>
      <c r="E1469" s="947"/>
      <c r="F1469" s="1054"/>
      <c r="G1469" s="946"/>
      <c r="H1469" s="1031"/>
      <c r="I1469" s="952"/>
    </row>
    <row r="1470" spans="3:9" ht="15.75">
      <c r="C1470" s="956" t="s">
        <v>926</v>
      </c>
      <c r="D1470" s="957"/>
      <c r="E1470" s="958"/>
      <c r="F1470" s="1069"/>
      <c r="G1470" s="957"/>
      <c r="H1470" s="1032"/>
      <c r="I1470" s="959">
        <f>+I1455</f>
        <v>10152</v>
      </c>
    </row>
    <row r="1471" spans="3:9" ht="15.75">
      <c r="C1471" s="956" t="s">
        <v>927</v>
      </c>
      <c r="D1471" s="957"/>
      <c r="E1471" s="958"/>
      <c r="F1471" s="1069"/>
      <c r="G1471" s="957"/>
      <c r="H1471" s="1032"/>
      <c r="I1471" s="959">
        <f>+I1460</f>
        <v>960</v>
      </c>
    </row>
    <row r="1472" spans="3:9" ht="15.75">
      <c r="C1472" s="956" t="s">
        <v>928</v>
      </c>
      <c r="D1472" s="957"/>
      <c r="E1472" s="958"/>
      <c r="F1472" s="1069"/>
      <c r="G1472" s="957"/>
      <c r="H1472" s="1032"/>
      <c r="I1472" s="959">
        <f>+I1464</f>
        <v>150</v>
      </c>
    </row>
    <row r="1473" spans="2:9" ht="15.75">
      <c r="C1473" s="956" t="s">
        <v>929</v>
      </c>
      <c r="D1473" s="957"/>
      <c r="E1473" s="958"/>
      <c r="F1473" s="1069"/>
      <c r="G1473" s="957"/>
      <c r="H1473" s="1032"/>
      <c r="I1473" s="959">
        <f>+I1468</f>
        <v>0</v>
      </c>
    </row>
    <row r="1474" spans="2:9" ht="15.75">
      <c r="C1474" s="949"/>
      <c r="D1474" s="946"/>
      <c r="E1474" s="947"/>
      <c r="F1474" s="1054"/>
      <c r="G1474" s="946"/>
      <c r="H1474" s="1031"/>
      <c r="I1474" s="948"/>
    </row>
    <row r="1475" spans="2:9" ht="15.75">
      <c r="C1475" s="949"/>
      <c r="D1475" s="946"/>
      <c r="E1475" s="947"/>
      <c r="F1475" s="1054"/>
      <c r="G1475" s="946"/>
      <c r="H1475" s="1031"/>
      <c r="I1475" s="948"/>
    </row>
    <row r="1476" spans="2:9" ht="15.75">
      <c r="C1476" s="951" t="s">
        <v>930</v>
      </c>
      <c r="D1476" s="960"/>
      <c r="E1476" s="943" t="str">
        <f>+E1448</f>
        <v>UD</v>
      </c>
      <c r="F1476" s="1070"/>
      <c r="G1476" s="960"/>
      <c r="H1476" s="1033"/>
      <c r="I1476" s="952">
        <f>SUM(I1470:I1473)</f>
        <v>11262</v>
      </c>
    </row>
    <row r="1477" spans="2:9" ht="15.75">
      <c r="C1477" s="949"/>
      <c r="D1477" s="946"/>
      <c r="E1477" s="947"/>
      <c r="F1477" s="1054"/>
      <c r="G1477" s="946"/>
      <c r="H1477" s="1031"/>
      <c r="I1477" s="948"/>
    </row>
    <row r="1479" spans="2:9" ht="18.75" customHeight="1">
      <c r="B1479" s="1435" t="s">
        <v>1520</v>
      </c>
      <c r="C1479" s="1435"/>
      <c r="D1479" s="1435"/>
      <c r="E1479" s="1435"/>
      <c r="F1479" s="1435"/>
      <c r="G1479" s="1435"/>
      <c r="H1479" s="1435"/>
      <c r="I1479" s="1436"/>
    </row>
    <row r="1481" spans="2:9" ht="15.75">
      <c r="B1481" s="1024">
        <v>1.1000000000000001</v>
      </c>
      <c r="C1481" s="937" t="str">
        <f>+Presupuesto!B104</f>
        <v>Replanteo</v>
      </c>
      <c r="D1481" s="938"/>
      <c r="E1481" s="939" t="s">
        <v>38</v>
      </c>
      <c r="F1481" s="1066"/>
      <c r="G1481" s="938"/>
      <c r="H1481" s="1029"/>
      <c r="I1481" s="940">
        <f>I1510</f>
        <v>32457.25</v>
      </c>
    </row>
    <row r="1482" spans="2:9" ht="15.75">
      <c r="C1482" s="941" t="s">
        <v>908</v>
      </c>
      <c r="D1482" s="942" t="s">
        <v>9</v>
      </c>
      <c r="E1482" s="943" t="s">
        <v>10</v>
      </c>
      <c r="F1482" s="1067" t="s">
        <v>909</v>
      </c>
      <c r="G1482" s="942" t="s">
        <v>910</v>
      </c>
      <c r="H1482" s="1030" t="s">
        <v>911</v>
      </c>
      <c r="I1482" s="944" t="s">
        <v>912</v>
      </c>
    </row>
    <row r="1483" spans="2:9" ht="15.75">
      <c r="C1483" s="945" t="s">
        <v>913</v>
      </c>
      <c r="D1483" s="946"/>
      <c r="E1483" s="947"/>
      <c r="F1483" s="1054"/>
      <c r="G1483" s="946"/>
      <c r="H1483" s="1031"/>
      <c r="I1483" s="948"/>
    </row>
    <row r="1484" spans="2:9" ht="15.75">
      <c r="C1484" s="949" t="s">
        <v>914</v>
      </c>
      <c r="D1484" s="946">
        <f>33.94/28.83</f>
        <v>1.18</v>
      </c>
      <c r="E1484" s="947" t="str">
        <f>+VLOOKUP(C1484,[49]BASICS!B:E,2,FALSE)</f>
        <v>lb</v>
      </c>
      <c r="F1484" s="1068">
        <f>'Basic (equilibrio) (2)'!$D$192</f>
        <v>78.2</v>
      </c>
      <c r="G1484" s="946">
        <f>F1484-(F1484/1.18)</f>
        <v>11.93</v>
      </c>
      <c r="H1484" s="1031"/>
      <c r="I1484" s="948">
        <f>D1484*F1484</f>
        <v>92.28</v>
      </c>
    </row>
    <row r="1485" spans="2:9" ht="15.75">
      <c r="C1485" s="949" t="s">
        <v>915</v>
      </c>
      <c r="D1485" s="946">
        <f>22/28.83</f>
        <v>0.76</v>
      </c>
      <c r="E1485" s="950" t="str">
        <f>+VLOOKUP(C1485,[49]BASICS!B:E,2,FALSE)</f>
        <v>fda</v>
      </c>
      <c r="F1485" s="1068">
        <f>'Basic (equilibrio) (2)'!$D$193</f>
        <v>153.6</v>
      </c>
      <c r="G1485" s="946">
        <f>F1485-(F1485/1.18)</f>
        <v>23.43</v>
      </c>
      <c r="H1485" s="1031"/>
      <c r="I1485" s="948">
        <f>D1485*F1485</f>
        <v>116.74</v>
      </c>
    </row>
    <row r="1486" spans="2:9" ht="15.75">
      <c r="C1486" s="949" t="s">
        <v>916</v>
      </c>
      <c r="D1486" s="946">
        <f>160.42/28.83</f>
        <v>5.56</v>
      </c>
      <c r="E1486" s="947" t="str">
        <f>+VLOOKUP(C1486,[49]BASICS!B:E,2,FALSE)</f>
        <v>pt</v>
      </c>
      <c r="F1486" s="1068">
        <f>'Basic (equilibrio) (2)'!$D$194</f>
        <v>107.7</v>
      </c>
      <c r="G1486" s="946">
        <f>F1486-(F1486/1.18)</f>
        <v>16.43</v>
      </c>
      <c r="H1486" s="1031"/>
      <c r="I1486" s="948">
        <f>D1486*F1486</f>
        <v>598.80999999999995</v>
      </c>
    </row>
    <row r="1487" spans="2:9" ht="15.75">
      <c r="C1487" s="949" t="s">
        <v>917</v>
      </c>
      <c r="D1487" s="946">
        <f>3/28.83</f>
        <v>0.1</v>
      </c>
      <c r="E1487" s="950" t="str">
        <f>+VLOOKUP(C1487,[49]BASICS!B:E,2,FALSE)</f>
        <v>u</v>
      </c>
      <c r="F1487" s="1068">
        <f>'Basic (equilibrio) (2)'!$D$195</f>
        <v>139.19999999999999</v>
      </c>
      <c r="G1487" s="946">
        <f>F1487-(F1487/1.18)</f>
        <v>21.23</v>
      </c>
      <c r="H1487" s="1031"/>
      <c r="I1487" s="948">
        <f>D1487*F1487</f>
        <v>13.92</v>
      </c>
    </row>
    <row r="1488" spans="2:9" ht="15.75">
      <c r="C1488" s="951" t="s">
        <v>918</v>
      </c>
      <c r="D1488" s="946"/>
      <c r="E1488" s="947"/>
      <c r="F1488" s="1068"/>
      <c r="G1488" s="946"/>
      <c r="H1488" s="1031"/>
      <c r="I1488" s="952">
        <f>SUM(I1484:I1487)</f>
        <v>821.75</v>
      </c>
    </row>
    <row r="1489" spans="3:9" ht="15.75">
      <c r="C1489" s="949"/>
      <c r="D1489" s="946"/>
      <c r="E1489" s="947"/>
      <c r="F1489" s="1068"/>
      <c r="G1489" s="946"/>
      <c r="H1489" s="1031"/>
      <c r="I1489" s="948"/>
    </row>
    <row r="1490" spans="3:9" ht="15.75">
      <c r="C1490" s="945" t="s">
        <v>919</v>
      </c>
      <c r="D1490" s="946"/>
      <c r="E1490" s="947"/>
      <c r="F1490" s="1068"/>
      <c r="G1490" s="946"/>
      <c r="H1490" s="1031"/>
      <c r="I1490" s="948"/>
    </row>
    <row r="1491" spans="3:9" ht="15.75">
      <c r="C1491" s="949" t="s">
        <v>920</v>
      </c>
      <c r="D1491" s="953">
        <v>1</v>
      </c>
      <c r="E1491" s="954" t="str">
        <f>+VLOOKUP(C1491,[49]BASICS!B:E,2,FALSE)</f>
        <v>dia</v>
      </c>
      <c r="F1491" s="1068">
        <f>'Basic (equilibrio) (2)'!$D$18</f>
        <v>28535.5</v>
      </c>
      <c r="G1491" s="946">
        <v>0</v>
      </c>
      <c r="H1491" s="1031"/>
      <c r="I1491" s="948">
        <f>D1491*F1491</f>
        <v>28535.5</v>
      </c>
    </row>
    <row r="1492" spans="3:9" ht="15.75">
      <c r="C1492" s="949" t="s">
        <v>921</v>
      </c>
      <c r="D1492" s="946">
        <v>1</v>
      </c>
      <c r="E1492" s="954" t="str">
        <f>+VLOOKUP(C1492,[49]BASICS!B:E,2,FALSE)</f>
        <v>dia</v>
      </c>
      <c r="F1492" s="1054">
        <f>'Basic (equilibrio) (2)'!$D$12</f>
        <v>1900</v>
      </c>
      <c r="G1492" s="946">
        <v>0</v>
      </c>
      <c r="H1492" s="1031"/>
      <c r="I1492" s="948">
        <f>D1492*F1492</f>
        <v>1900</v>
      </c>
    </row>
    <row r="1493" spans="3:9" ht="15.75">
      <c r="C1493" s="949" t="s">
        <v>922</v>
      </c>
      <c r="D1493" s="946">
        <v>1</v>
      </c>
      <c r="E1493" s="954" t="str">
        <f>+VLOOKUP(C1493,[49]BASICS!B:E,2,FALSE)</f>
        <v>dia</v>
      </c>
      <c r="F1493" s="1054">
        <f>'Basic (equilibrio) (2)'!$D$13</f>
        <v>1200</v>
      </c>
      <c r="G1493" s="946">
        <v>0</v>
      </c>
      <c r="H1493" s="1031"/>
      <c r="I1493" s="948">
        <f>D1493*F1493</f>
        <v>1200</v>
      </c>
    </row>
    <row r="1494" spans="3:9" ht="15.75">
      <c r="C1494" s="951" t="s">
        <v>918</v>
      </c>
      <c r="D1494" s="946"/>
      <c r="E1494" s="947"/>
      <c r="F1494" s="1054"/>
      <c r="G1494" s="946"/>
      <c r="H1494" s="1031"/>
      <c r="I1494" s="952">
        <f>SUM(I1491:I1493)</f>
        <v>31635.5</v>
      </c>
    </row>
    <row r="1495" spans="3:9" ht="15.75">
      <c r="C1495" s="949"/>
      <c r="D1495" s="946"/>
      <c r="E1495" s="947"/>
      <c r="F1495" s="1054"/>
      <c r="G1495" s="946"/>
      <c r="H1495" s="1031"/>
      <c r="I1495" s="948"/>
    </row>
    <row r="1496" spans="3:9" ht="15.75">
      <c r="C1496" s="945" t="s">
        <v>923</v>
      </c>
      <c r="D1496" s="946"/>
      <c r="E1496" s="947"/>
      <c r="F1496" s="1054"/>
      <c r="G1496" s="946"/>
      <c r="H1496" s="1031"/>
      <c r="I1496" s="948"/>
    </row>
    <row r="1497" spans="3:9" ht="15.75">
      <c r="C1497" s="949" t="s">
        <v>924</v>
      </c>
      <c r="D1497" s="946"/>
      <c r="E1497" s="947"/>
      <c r="F1497" s="1054">
        <f>+VLOOKUP(C1497,[49]BASICS!B:E,3,FALSE)</f>
        <v>0</v>
      </c>
      <c r="G1497" s="946">
        <f>F1497-(F1497/1.18)</f>
        <v>0</v>
      </c>
      <c r="H1497" s="1039"/>
      <c r="I1497" s="955">
        <f>D1497*F1497</f>
        <v>0</v>
      </c>
    </row>
    <row r="1498" spans="3:9" ht="15.75">
      <c r="C1498" s="951" t="s">
        <v>918</v>
      </c>
      <c r="D1498" s="946"/>
      <c r="E1498" s="947"/>
      <c r="F1498" s="1054"/>
      <c r="G1498" s="946"/>
      <c r="H1498" s="1031"/>
      <c r="I1498" s="952">
        <f>SUM(I1497)</f>
        <v>0</v>
      </c>
    </row>
    <row r="1499" spans="3:9" ht="15.75">
      <c r="C1499" s="949"/>
      <c r="D1499" s="946"/>
      <c r="E1499" s="947"/>
      <c r="F1499" s="1054"/>
      <c r="G1499" s="946"/>
      <c r="H1499" s="1031"/>
      <c r="I1499" s="948"/>
    </row>
    <row r="1500" spans="3:9" ht="15.75">
      <c r="C1500" s="945" t="s">
        <v>925</v>
      </c>
      <c r="D1500" s="946"/>
      <c r="E1500" s="947"/>
      <c r="F1500" s="1054"/>
      <c r="G1500" s="946"/>
      <c r="H1500" s="1031"/>
      <c r="I1500" s="948"/>
    </row>
    <row r="1501" spans="3:9" ht="15.75">
      <c r="C1501" s="949" t="s">
        <v>925</v>
      </c>
      <c r="D1501" s="946">
        <f>+I1488</f>
        <v>821.75</v>
      </c>
      <c r="E1501" s="947" t="str">
        <f>VLOOKUP(C1501,[50]BASICS!B:D,2,FALSE)</f>
        <v>Pa</v>
      </c>
      <c r="F1501" s="1054">
        <f>+VLOOKUP(C1501,[49]BASICS!B:E,3,FALSE)</f>
        <v>0</v>
      </c>
      <c r="G1501" s="946">
        <f>F1501-(F1501/1.18)</f>
        <v>0</v>
      </c>
      <c r="H1501" s="1031"/>
      <c r="I1501" s="948">
        <f>D1501*F1501</f>
        <v>0</v>
      </c>
    </row>
    <row r="1502" spans="3:9" ht="15.75">
      <c r="C1502" s="951" t="s">
        <v>918</v>
      </c>
      <c r="D1502" s="946"/>
      <c r="E1502" s="947"/>
      <c r="F1502" s="1054"/>
      <c r="G1502" s="946"/>
      <c r="H1502" s="1031"/>
      <c r="I1502" s="952">
        <f>SUM(I1501)</f>
        <v>0</v>
      </c>
    </row>
    <row r="1503" spans="3:9" ht="15.75">
      <c r="C1503" s="951"/>
      <c r="D1503" s="946"/>
      <c r="E1503" s="947"/>
      <c r="F1503" s="1054"/>
      <c r="G1503" s="946"/>
      <c r="H1503" s="1031"/>
      <c r="I1503" s="952"/>
    </row>
    <row r="1504" spans="3:9" ht="15.75">
      <c r="C1504" s="956" t="s">
        <v>926</v>
      </c>
      <c r="D1504" s="957"/>
      <c r="E1504" s="958"/>
      <c r="F1504" s="1069"/>
      <c r="G1504" s="957"/>
      <c r="H1504" s="1032"/>
      <c r="I1504" s="959">
        <f>+I1488</f>
        <v>821.75</v>
      </c>
    </row>
    <row r="1505" spans="2:9" ht="15.75">
      <c r="C1505" s="956" t="s">
        <v>927</v>
      </c>
      <c r="D1505" s="957"/>
      <c r="E1505" s="958"/>
      <c r="F1505" s="1069"/>
      <c r="G1505" s="957"/>
      <c r="H1505" s="1032"/>
      <c r="I1505" s="959">
        <f>+I1494</f>
        <v>31635.5</v>
      </c>
    </row>
    <row r="1506" spans="2:9" ht="15.75">
      <c r="C1506" s="956" t="s">
        <v>928</v>
      </c>
      <c r="D1506" s="957"/>
      <c r="E1506" s="958"/>
      <c r="F1506" s="1069"/>
      <c r="G1506" s="957"/>
      <c r="H1506" s="1032"/>
      <c r="I1506" s="959">
        <f>+I1498</f>
        <v>0</v>
      </c>
    </row>
    <row r="1507" spans="2:9" ht="15.75">
      <c r="C1507" s="956" t="s">
        <v>929</v>
      </c>
      <c r="D1507" s="957"/>
      <c r="E1507" s="958"/>
      <c r="F1507" s="1069"/>
      <c r="G1507" s="957"/>
      <c r="H1507" s="1032"/>
      <c r="I1507" s="959">
        <f>+I1502</f>
        <v>0</v>
      </c>
    </row>
    <row r="1508" spans="2:9" ht="15.75">
      <c r="C1508" s="949"/>
      <c r="D1508" s="946"/>
      <c r="E1508" s="947"/>
      <c r="F1508" s="1054"/>
      <c r="G1508" s="946"/>
      <c r="H1508" s="1031"/>
      <c r="I1508" s="948"/>
    </row>
    <row r="1509" spans="2:9" ht="15.75">
      <c r="C1509" s="949"/>
      <c r="D1509" s="946"/>
      <c r="E1509" s="947"/>
      <c r="F1509" s="1054"/>
      <c r="G1509" s="946"/>
      <c r="H1509" s="1031"/>
      <c r="I1509" s="948"/>
    </row>
    <row r="1510" spans="2:9" ht="15.75">
      <c r="C1510" s="951" t="s">
        <v>930</v>
      </c>
      <c r="D1510" s="960"/>
      <c r="E1510" s="943" t="str">
        <f>+E1481</f>
        <v>UD</v>
      </c>
      <c r="F1510" s="1070"/>
      <c r="G1510" s="960"/>
      <c r="H1510" s="1033"/>
      <c r="I1510" s="952">
        <f>SUM(I1504:I1507)</f>
        <v>32457.25</v>
      </c>
    </row>
    <row r="1511" spans="2:9" ht="15.75">
      <c r="C1511" s="949"/>
      <c r="D1511" s="946"/>
      <c r="E1511" s="947"/>
      <c r="F1511" s="1054"/>
      <c r="G1511" s="946"/>
      <c r="H1511" s="1031"/>
      <c r="I1511" s="948"/>
    </row>
    <row r="1512" spans="2:9" ht="15.75">
      <c r="B1512" s="1024">
        <v>2.1</v>
      </c>
      <c r="C1512" s="937" t="str">
        <f>+Presupuesto!B107</f>
        <v>Suministro y colocación de arena, e=0.15m</v>
      </c>
      <c r="D1512" s="938"/>
      <c r="E1512" s="939" t="s">
        <v>22</v>
      </c>
      <c r="F1512" s="1066"/>
      <c r="G1512" s="938"/>
      <c r="H1512" s="1029"/>
      <c r="I1512" s="940">
        <f>I1539</f>
        <v>2015</v>
      </c>
    </row>
    <row r="1513" spans="2:9" ht="15.75">
      <c r="C1513" s="941" t="s">
        <v>908</v>
      </c>
      <c r="D1513" s="942" t="s">
        <v>9</v>
      </c>
      <c r="E1513" s="943" t="s">
        <v>10</v>
      </c>
      <c r="F1513" s="1067" t="s">
        <v>909</v>
      </c>
      <c r="G1513" s="942" t="s">
        <v>910</v>
      </c>
      <c r="H1513" s="1030" t="s">
        <v>911</v>
      </c>
      <c r="I1513" s="944" t="s">
        <v>912</v>
      </c>
    </row>
    <row r="1514" spans="2:9" ht="15.75">
      <c r="C1514" s="945" t="s">
        <v>913</v>
      </c>
      <c r="D1514" s="946"/>
      <c r="E1514" s="947"/>
      <c r="F1514" s="1054"/>
      <c r="G1514" s="946"/>
      <c r="H1514" s="1031"/>
      <c r="I1514" s="948"/>
    </row>
    <row r="1515" spans="2:9" ht="15.75">
      <c r="C1515" s="949" t="s">
        <v>1191</v>
      </c>
      <c r="D1515" s="946">
        <v>1.2</v>
      </c>
      <c r="E1515" s="950" t="str">
        <f>+VLOOKUP(C1515,[49]BASICS!B:E,2,FALSE)</f>
        <v>m3</v>
      </c>
      <c r="F1515" s="1068">
        <f>'Basic (equilibrio) (2)'!$D$184</f>
        <v>1000</v>
      </c>
      <c r="G1515" s="946">
        <f>F1515-(F1515/1.18)</f>
        <v>152.54</v>
      </c>
      <c r="H1515" s="1031"/>
      <c r="I1515" s="948">
        <f>D1515*F1515</f>
        <v>1200</v>
      </c>
    </row>
    <row r="1516" spans="2:9" ht="15.75">
      <c r="C1516" s="951" t="s">
        <v>918</v>
      </c>
      <c r="D1516" s="946"/>
      <c r="E1516" s="947"/>
      <c r="F1516" s="1068"/>
      <c r="G1516" s="946"/>
      <c r="H1516" s="1031"/>
      <c r="I1516" s="952">
        <f>SUM(I1515:I1515)</f>
        <v>1200</v>
      </c>
    </row>
    <row r="1517" spans="2:9" ht="15.75">
      <c r="C1517" s="949"/>
      <c r="D1517" s="946"/>
      <c r="E1517" s="947"/>
      <c r="F1517" s="1068"/>
      <c r="G1517" s="946"/>
      <c r="H1517" s="1031"/>
      <c r="I1517" s="948"/>
    </row>
    <row r="1518" spans="2:9" ht="15.75">
      <c r="C1518" s="945" t="s">
        <v>919</v>
      </c>
      <c r="D1518" s="946"/>
      <c r="E1518" s="947"/>
      <c r="F1518" s="1068"/>
      <c r="G1518" s="946"/>
      <c r="H1518" s="1031"/>
      <c r="I1518" s="948"/>
    </row>
    <row r="1519" spans="2:9" ht="15.75">
      <c r="C1519" s="949" t="s">
        <v>924</v>
      </c>
      <c r="D1519" s="953"/>
      <c r="E1519" s="954" t="str">
        <f>+VLOOKUP(C1519,[49]BASICS!B:E,2,FALSE)</f>
        <v>n/a</v>
      </c>
      <c r="F1519" s="1068">
        <f>+VLOOKUP(C1519,[49]BASICS!B:E,3,FALSE)</f>
        <v>0</v>
      </c>
      <c r="G1519" s="946">
        <v>0</v>
      </c>
      <c r="H1519" s="1031"/>
      <c r="I1519" s="948">
        <f>D1519*F1519</f>
        <v>0</v>
      </c>
    </row>
    <row r="1520" spans="2:9" ht="15.75">
      <c r="C1520" s="951" t="s">
        <v>918</v>
      </c>
      <c r="D1520" s="946"/>
      <c r="E1520" s="947"/>
      <c r="F1520" s="1054"/>
      <c r="G1520" s="946"/>
      <c r="H1520" s="1031"/>
      <c r="I1520" s="952">
        <f>SUM(I1519:I1519)</f>
        <v>0</v>
      </c>
    </row>
    <row r="1521" spans="3:9" ht="15.75">
      <c r="C1521" s="949"/>
      <c r="D1521" s="946"/>
      <c r="E1521" s="947"/>
      <c r="F1521" s="1054"/>
      <c r="G1521" s="946"/>
      <c r="H1521" s="1031"/>
      <c r="I1521" s="948"/>
    </row>
    <row r="1522" spans="3:9" ht="15.75">
      <c r="C1522" s="945" t="s">
        <v>923</v>
      </c>
      <c r="D1522" s="946"/>
      <c r="E1522" s="947"/>
      <c r="F1522" s="1054"/>
      <c r="G1522" s="946"/>
      <c r="H1522" s="1031"/>
      <c r="I1522" s="948"/>
    </row>
    <row r="1523" spans="3:9" ht="15.75">
      <c r="C1523" s="949" t="s">
        <v>938</v>
      </c>
      <c r="D1523" s="946">
        <v>0.01</v>
      </c>
      <c r="E1523" s="947" t="str">
        <f>+VLOOKUP(C1523,[49]BASICS!B:E,2,FALSE)</f>
        <v>hr</v>
      </c>
      <c r="F1523" s="1054">
        <f>'Basic (equilibrio) (2)'!$D$683</f>
        <v>2500</v>
      </c>
      <c r="G1523" s="946">
        <f>F1523-(F1523/1.18)</f>
        <v>381.36</v>
      </c>
      <c r="H1523" s="1039"/>
      <c r="I1523" s="955">
        <f>D1523*F1523</f>
        <v>25</v>
      </c>
    </row>
    <row r="1524" spans="3:9" ht="15.75">
      <c r="C1524" s="949" t="s">
        <v>935</v>
      </c>
      <c r="D1524" s="946">
        <v>0.01</v>
      </c>
      <c r="E1524" s="947" t="str">
        <f>+VLOOKUP(C1524,[49]BASICS!B:E,2,FALSE)</f>
        <v>hr</v>
      </c>
      <c r="F1524" s="1054">
        <f>'Basic (equilibrio) (2)'!$D$684</f>
        <v>3000</v>
      </c>
      <c r="G1524" s="946">
        <f>F1524-(F1524/1.18)</f>
        <v>457.63</v>
      </c>
      <c r="H1524" s="1039"/>
      <c r="I1524" s="955">
        <f>D1524*F1524</f>
        <v>30</v>
      </c>
    </row>
    <row r="1525" spans="3:9" ht="15.75">
      <c r="C1525" s="949" t="s">
        <v>939</v>
      </c>
      <c r="D1525" s="946">
        <v>0.01</v>
      </c>
      <c r="E1525" s="947" t="str">
        <f>+VLOOKUP(C1525,[49]BASICS!B:E,2,FALSE)</f>
        <v>hr</v>
      </c>
      <c r="F1525" s="1054">
        <f>'Basic (equilibrio) (2)'!$D$688</f>
        <v>400</v>
      </c>
      <c r="G1525" s="946">
        <f>F1525-(F1525/1.18)</f>
        <v>61.02</v>
      </c>
      <c r="H1525" s="1039"/>
      <c r="I1525" s="955">
        <f>D1525*F1525</f>
        <v>4</v>
      </c>
    </row>
    <row r="1526" spans="3:9" ht="15.75">
      <c r="C1526" s="949" t="s">
        <v>1193</v>
      </c>
      <c r="D1526" s="946">
        <v>1.2</v>
      </c>
      <c r="E1526" s="947" t="str">
        <f>+VLOOKUP(C1526,[49]BASICS!B:E,2,FALSE)</f>
        <v>m3e</v>
      </c>
      <c r="F1526" s="1054">
        <f>'Basic (equilibrio) (2)'!$D$486</f>
        <v>630</v>
      </c>
      <c r="G1526" s="946">
        <f>F1526-(F1526/1.18)</f>
        <v>96.1</v>
      </c>
      <c r="H1526" s="1039"/>
      <c r="I1526" s="955">
        <f>D1526*F1526</f>
        <v>756</v>
      </c>
    </row>
    <row r="1527" spans="3:9" ht="15.75">
      <c r="C1527" s="951" t="s">
        <v>918</v>
      </c>
      <c r="D1527" s="946"/>
      <c r="E1527" s="947"/>
      <c r="F1527" s="1054"/>
      <c r="G1527" s="946"/>
      <c r="H1527" s="1031"/>
      <c r="I1527" s="952">
        <f>SUM(I1523:I1526)</f>
        <v>815</v>
      </c>
    </row>
    <row r="1528" spans="3:9" ht="15.75">
      <c r="C1528" s="949"/>
      <c r="D1528" s="946"/>
      <c r="E1528" s="947"/>
      <c r="F1528" s="1054"/>
      <c r="G1528" s="946"/>
      <c r="H1528" s="1031"/>
      <c r="I1528" s="948"/>
    </row>
    <row r="1529" spans="3:9" ht="15.75">
      <c r="C1529" s="945" t="s">
        <v>925</v>
      </c>
      <c r="D1529" s="946"/>
      <c r="E1529" s="947"/>
      <c r="F1529" s="1054"/>
      <c r="G1529" s="946"/>
      <c r="H1529" s="1031"/>
      <c r="I1529" s="948"/>
    </row>
    <row r="1530" spans="3:9" ht="15.75">
      <c r="C1530" s="949" t="s">
        <v>924</v>
      </c>
      <c r="D1530" s="946"/>
      <c r="E1530" s="947" t="str">
        <f>VLOOKUP(C1530,[50]BASICS!B:D,2,FALSE)</f>
        <v>n/a</v>
      </c>
      <c r="F1530" s="1054">
        <f>+VLOOKUP(C1530,[49]BASICS!B:E,3,FALSE)</f>
        <v>0</v>
      </c>
      <c r="G1530" s="946">
        <f>F1530-(F1530/1.18)</f>
        <v>0</v>
      </c>
      <c r="H1530" s="1031"/>
      <c r="I1530" s="948">
        <f>D1530*F1530</f>
        <v>0</v>
      </c>
    </row>
    <row r="1531" spans="3:9" ht="15.75">
      <c r="C1531" s="951" t="s">
        <v>918</v>
      </c>
      <c r="D1531" s="946"/>
      <c r="E1531" s="947"/>
      <c r="F1531" s="1054"/>
      <c r="G1531" s="946"/>
      <c r="H1531" s="1031"/>
      <c r="I1531" s="952">
        <f>SUM(I1530)</f>
        <v>0</v>
      </c>
    </row>
    <row r="1532" spans="3:9" ht="15.75">
      <c r="C1532" s="951"/>
      <c r="D1532" s="946"/>
      <c r="E1532" s="947"/>
      <c r="F1532" s="1054"/>
      <c r="G1532" s="946"/>
      <c r="H1532" s="1031"/>
      <c r="I1532" s="952"/>
    </row>
    <row r="1533" spans="3:9" ht="15.75">
      <c r="C1533" s="956" t="s">
        <v>926</v>
      </c>
      <c r="D1533" s="957"/>
      <c r="E1533" s="958"/>
      <c r="F1533" s="1069"/>
      <c r="G1533" s="957"/>
      <c r="H1533" s="1032"/>
      <c r="I1533" s="959">
        <f>+I1516</f>
        <v>1200</v>
      </c>
    </row>
    <row r="1534" spans="3:9" ht="15.75">
      <c r="C1534" s="956" t="s">
        <v>927</v>
      </c>
      <c r="D1534" s="957"/>
      <c r="E1534" s="958"/>
      <c r="F1534" s="1069"/>
      <c r="G1534" s="957"/>
      <c r="H1534" s="1032"/>
      <c r="I1534" s="959">
        <f>+I1520</f>
        <v>0</v>
      </c>
    </row>
    <row r="1535" spans="3:9" ht="15.75">
      <c r="C1535" s="956" t="s">
        <v>928</v>
      </c>
      <c r="D1535" s="957"/>
      <c r="E1535" s="958"/>
      <c r="F1535" s="1069"/>
      <c r="G1535" s="957"/>
      <c r="H1535" s="1032"/>
      <c r="I1535" s="959">
        <f>+I1527</f>
        <v>815</v>
      </c>
    </row>
    <row r="1536" spans="3:9" ht="15.75">
      <c r="C1536" s="956" t="s">
        <v>929</v>
      </c>
      <c r="D1536" s="957"/>
      <c r="E1536" s="958"/>
      <c r="F1536" s="1069"/>
      <c r="G1536" s="957"/>
      <c r="H1536" s="1032"/>
      <c r="I1536" s="959">
        <f>+I1531</f>
        <v>0</v>
      </c>
    </row>
    <row r="1537" spans="2:9" ht="15.75">
      <c r="C1537" s="949"/>
      <c r="D1537" s="946"/>
      <c r="E1537" s="947"/>
      <c r="F1537" s="1054"/>
      <c r="G1537" s="946"/>
      <c r="H1537" s="1031"/>
      <c r="I1537" s="948"/>
    </row>
    <row r="1538" spans="2:9" ht="15.75">
      <c r="C1538" s="949"/>
      <c r="D1538" s="946"/>
      <c r="E1538" s="947"/>
      <c r="F1538" s="1054"/>
      <c r="G1538" s="946"/>
      <c r="H1538" s="1031"/>
      <c r="I1538" s="948"/>
    </row>
    <row r="1539" spans="2:9" ht="15.75">
      <c r="C1539" s="951" t="s">
        <v>930</v>
      </c>
      <c r="D1539" s="960"/>
      <c r="E1539" s="943" t="str">
        <f>+E1512</f>
        <v>M3</v>
      </c>
      <c r="F1539" s="1070"/>
      <c r="G1539" s="960"/>
      <c r="H1539" s="1033"/>
      <c r="I1539" s="952">
        <f>SUM(I1533:I1536)</f>
        <v>2015</v>
      </c>
    </row>
    <row r="1540" spans="2:9" ht="15.75">
      <c r="C1540" s="951"/>
      <c r="D1540" s="960"/>
      <c r="E1540" s="943"/>
      <c r="F1540" s="1070"/>
      <c r="G1540" s="960"/>
      <c r="H1540" s="1033"/>
      <c r="I1540" s="952"/>
    </row>
    <row r="1541" spans="2:9" ht="15.75">
      <c r="B1541" s="1024">
        <v>2.2000000000000002</v>
      </c>
      <c r="C1541" s="937" t="str">
        <f>+Presupuesto!B108</f>
        <v>Piso de hormigón estampado en accesos internos, e=0.15m</v>
      </c>
      <c r="D1541" s="938"/>
      <c r="E1541" s="939" t="s">
        <v>22</v>
      </c>
      <c r="F1541" s="1066"/>
      <c r="G1541" s="938"/>
      <c r="H1541" s="1029"/>
      <c r="I1541" s="940">
        <f>I1569</f>
        <v>10450.42</v>
      </c>
    </row>
    <row r="1542" spans="2:9" ht="15.75">
      <c r="C1542" s="941" t="s">
        <v>908</v>
      </c>
      <c r="D1542" s="942" t="s">
        <v>9</v>
      </c>
      <c r="E1542" s="943" t="s">
        <v>10</v>
      </c>
      <c r="F1542" s="1067" t="s">
        <v>909</v>
      </c>
      <c r="G1542" s="942" t="s">
        <v>910</v>
      </c>
      <c r="H1542" s="1030" t="s">
        <v>911</v>
      </c>
      <c r="I1542" s="944" t="s">
        <v>912</v>
      </c>
    </row>
    <row r="1543" spans="2:9" ht="15.75">
      <c r="C1543" s="945" t="s">
        <v>913</v>
      </c>
      <c r="D1543" s="946"/>
      <c r="E1543" s="947"/>
      <c r="F1543" s="1054"/>
      <c r="G1543" s="946"/>
      <c r="H1543" s="1031"/>
      <c r="I1543" s="948"/>
    </row>
    <row r="1544" spans="2:9" ht="15.75">
      <c r="C1544" s="949" t="s">
        <v>994</v>
      </c>
      <c r="D1544" s="946">
        <v>1.02</v>
      </c>
      <c r="E1544" s="950" t="str">
        <f>+VLOOKUP(C1544,[49]BASICS!B:E,2,FALSE)</f>
        <v>m3</v>
      </c>
      <c r="F1544" s="1068">
        <f>'Basic (equilibrio) (2)'!$D$179</f>
        <v>7600</v>
      </c>
      <c r="G1544" s="946">
        <f>F1544-(F1544/1.18)</f>
        <v>1159.32</v>
      </c>
      <c r="H1544" s="1031"/>
      <c r="I1544" s="948">
        <f>D1544*F1544</f>
        <v>7752</v>
      </c>
    </row>
    <row r="1545" spans="2:9" ht="15.75">
      <c r="C1545" s="949" t="s">
        <v>956</v>
      </c>
      <c r="D1545" s="946">
        <v>0.11</v>
      </c>
      <c r="E1545" s="950" t="str">
        <f>+VLOOKUP(C1545,[49]BASICS!B:E,2,FALSE)</f>
        <v>rollo</v>
      </c>
      <c r="F1545" s="1068">
        <f>'Basic (equilibrio) (2)'!$D$330</f>
        <v>22294</v>
      </c>
      <c r="G1545" s="946">
        <f>F1545-(F1545/1.18)</f>
        <v>3400.78</v>
      </c>
      <c r="H1545" s="1031"/>
      <c r="I1545" s="948">
        <f>D1545*F1545</f>
        <v>2452.34</v>
      </c>
    </row>
    <row r="1546" spans="2:9" ht="15.75">
      <c r="C1546" s="949" t="s">
        <v>1066</v>
      </c>
      <c r="D1546" s="946">
        <v>1.07</v>
      </c>
      <c r="E1546" s="950" t="str">
        <f>+VLOOKUP(C1546,[49]BASICS!B:E,2,FALSE)</f>
        <v>ml</v>
      </c>
      <c r="F1546" s="1068">
        <f>'Basic (equilibrio) (2)'!$D$20</f>
        <v>144</v>
      </c>
      <c r="G1546" s="946">
        <f>F1546-(F1546/1.18)</f>
        <v>21.97</v>
      </c>
      <c r="H1546" s="1031"/>
      <c r="I1546" s="948">
        <f>D1546*F1546</f>
        <v>154.08000000000001</v>
      </c>
    </row>
    <row r="1547" spans="2:9" ht="15.75">
      <c r="C1547" s="949" t="s">
        <v>1521</v>
      </c>
      <c r="D1547" s="1054">
        <v>0.1</v>
      </c>
      <c r="E1547" s="950" t="str">
        <f>+VLOOKUP(C1547,'Basic (equilibrio) (2)'!B:D,2,FALSE)</f>
        <v>und</v>
      </c>
      <c r="F1547" s="1068">
        <f>'Basic (equilibrio) (2)'!$D$165</f>
        <v>900</v>
      </c>
      <c r="G1547" s="946">
        <f>F1547-(F1547/1.18)</f>
        <v>137.29</v>
      </c>
      <c r="H1547" s="1031"/>
      <c r="I1547" s="948">
        <f>D1547*F1547</f>
        <v>90</v>
      </c>
    </row>
    <row r="1548" spans="2:9" ht="15.75">
      <c r="C1548" s="951" t="s">
        <v>918</v>
      </c>
      <c r="D1548" s="946"/>
      <c r="E1548" s="947"/>
      <c r="F1548" s="1068"/>
      <c r="G1548" s="946"/>
      <c r="H1548" s="1031"/>
      <c r="I1548" s="952">
        <f>SUM(I1544:I1547)</f>
        <v>10448.42</v>
      </c>
    </row>
    <row r="1549" spans="2:9" ht="15.75">
      <c r="C1549" s="949"/>
      <c r="D1549" s="946"/>
      <c r="E1549" s="947"/>
      <c r="F1549" s="1068"/>
      <c r="G1549" s="946"/>
      <c r="H1549" s="1031"/>
      <c r="I1549" s="948"/>
    </row>
    <row r="1550" spans="2:9" ht="15.75">
      <c r="C1550" s="945" t="s">
        <v>919</v>
      </c>
      <c r="D1550" s="946"/>
      <c r="E1550" s="947"/>
      <c r="F1550" s="1068"/>
      <c r="G1550" s="946"/>
      <c r="H1550" s="1031"/>
      <c r="I1550" s="948"/>
    </row>
    <row r="1551" spans="2:9" ht="15.75">
      <c r="C1551" s="949" t="s">
        <v>924</v>
      </c>
      <c r="D1551" s="953"/>
      <c r="E1551" s="954" t="str">
        <f>+VLOOKUP(C1551,'Basic (equilibrio) (2)'!B:D,2,FALSE)</f>
        <v>n/a</v>
      </c>
      <c r="F1551" s="1068">
        <f>+VLOOKUP(C1551,'Basic (equilibrio) (2)'!B:D,3,FALSE)</f>
        <v>0</v>
      </c>
      <c r="G1551" s="946">
        <v>0</v>
      </c>
      <c r="H1551" s="1031"/>
      <c r="I1551" s="948">
        <f>D1551*F1551</f>
        <v>0</v>
      </c>
    </row>
    <row r="1552" spans="2:9" ht="15.75">
      <c r="C1552" s="951" t="s">
        <v>918</v>
      </c>
      <c r="D1552" s="946"/>
      <c r="E1552" s="947"/>
      <c r="F1552" s="1054"/>
      <c r="G1552" s="946"/>
      <c r="H1552" s="1031"/>
      <c r="I1552" s="952">
        <f>SUM(I1551:I1551)</f>
        <v>0</v>
      </c>
    </row>
    <row r="1553" spans="3:9" ht="15.75">
      <c r="C1553" s="949"/>
      <c r="D1553" s="946"/>
      <c r="E1553" s="947"/>
      <c r="F1553" s="1054"/>
      <c r="G1553" s="946"/>
      <c r="H1553" s="1031"/>
      <c r="I1553" s="948"/>
    </row>
    <row r="1554" spans="3:9" ht="15.75">
      <c r="C1554" s="945" t="s">
        <v>923</v>
      </c>
      <c r="D1554" s="946"/>
      <c r="E1554" s="947"/>
      <c r="F1554" s="1054"/>
      <c r="G1554" s="946"/>
      <c r="H1554" s="1031"/>
      <c r="I1554" s="948"/>
    </row>
    <row r="1555" spans="3:9" ht="15.75">
      <c r="C1555" s="949" t="s">
        <v>961</v>
      </c>
      <c r="D1555" s="946">
        <v>0.01</v>
      </c>
      <c r="E1555" s="947" t="str">
        <f>+VLOOKUP(C1555,'Basic (equilibrio) (2)'!B:D,2,FALSE)</f>
        <v>m2</v>
      </c>
      <c r="F1555" s="1054">
        <f>'Basic (equilibrio) (2)'!$D$47</f>
        <v>86.2</v>
      </c>
      <c r="G1555" s="946">
        <f>F1555-(F1555/1.18)</f>
        <v>13.15</v>
      </c>
      <c r="H1555" s="1039"/>
      <c r="I1555" s="955">
        <f>D1555*F1555</f>
        <v>0.86</v>
      </c>
    </row>
    <row r="1556" spans="3:9" ht="15.75">
      <c r="C1556" s="949" t="s">
        <v>1064</v>
      </c>
      <c r="D1556" s="946">
        <v>0.01</v>
      </c>
      <c r="E1556" s="947" t="str">
        <f>+VLOOKUP(C1556,'Basic (equilibrio) (2)'!B:D,2,FALSE)</f>
        <v>m2</v>
      </c>
      <c r="F1556" s="1054">
        <f>'Basic (equilibrio) (2)'!$D$19</f>
        <v>114</v>
      </c>
      <c r="G1556" s="946">
        <f>F1556-(F1556/1.18)</f>
        <v>17.39</v>
      </c>
      <c r="H1556" s="1039"/>
      <c r="I1556" s="955">
        <f>D1556*F1556</f>
        <v>1.1399999999999999</v>
      </c>
    </row>
    <row r="1557" spans="3:9" ht="15.75">
      <c r="C1557" s="951" t="s">
        <v>918</v>
      </c>
      <c r="D1557" s="946"/>
      <c r="E1557" s="947"/>
      <c r="F1557" s="1054"/>
      <c r="G1557" s="946"/>
      <c r="H1557" s="1031"/>
      <c r="I1557" s="952">
        <f>SUM(I1555:I1556)</f>
        <v>2</v>
      </c>
    </row>
    <row r="1558" spans="3:9" ht="15.75">
      <c r="C1558" s="949"/>
      <c r="D1558" s="946"/>
      <c r="E1558" s="947"/>
      <c r="F1558" s="1054"/>
      <c r="G1558" s="946"/>
      <c r="H1558" s="1031"/>
      <c r="I1558" s="948"/>
    </row>
    <row r="1559" spans="3:9" ht="15.75">
      <c r="C1559" s="945" t="s">
        <v>925</v>
      </c>
      <c r="D1559" s="946"/>
      <c r="E1559" s="947"/>
      <c r="F1559" s="1054"/>
      <c r="G1559" s="946"/>
      <c r="H1559" s="1031"/>
      <c r="I1559" s="948"/>
    </row>
    <row r="1560" spans="3:9" ht="15.75">
      <c r="C1560" s="949" t="s">
        <v>924</v>
      </c>
      <c r="D1560" s="946"/>
      <c r="E1560" s="947" t="str">
        <f>VLOOKUP(C1560,[50]BASICS!B:D,2,FALSE)</f>
        <v>n/a</v>
      </c>
      <c r="F1560" s="1054">
        <f>+VLOOKUP(C1560,[49]BASICS!B:E,3,FALSE)</f>
        <v>0</v>
      </c>
      <c r="G1560" s="946">
        <f>F1560-(F1560/1.18)</f>
        <v>0</v>
      </c>
      <c r="H1560" s="1031"/>
      <c r="I1560" s="948">
        <f>D1560*F1560</f>
        <v>0</v>
      </c>
    </row>
    <row r="1561" spans="3:9" ht="15.75">
      <c r="C1561" s="951" t="s">
        <v>918</v>
      </c>
      <c r="D1561" s="946"/>
      <c r="E1561" s="947"/>
      <c r="F1561" s="1054"/>
      <c r="G1561" s="946"/>
      <c r="H1561" s="1031"/>
      <c r="I1561" s="952">
        <f>SUM(I1560)</f>
        <v>0</v>
      </c>
    </row>
    <row r="1562" spans="3:9" ht="15.75">
      <c r="C1562" s="951"/>
      <c r="D1562" s="946"/>
      <c r="E1562" s="947"/>
      <c r="F1562" s="1054"/>
      <c r="G1562" s="946"/>
      <c r="H1562" s="1031"/>
      <c r="I1562" s="952"/>
    </row>
    <row r="1563" spans="3:9" ht="15.75">
      <c r="C1563" s="956" t="s">
        <v>926</v>
      </c>
      <c r="D1563" s="957"/>
      <c r="E1563" s="958"/>
      <c r="F1563" s="1069"/>
      <c r="G1563" s="957"/>
      <c r="H1563" s="1032"/>
      <c r="I1563" s="959">
        <f>+I1548</f>
        <v>10448.42</v>
      </c>
    </row>
    <row r="1564" spans="3:9" ht="15.75">
      <c r="C1564" s="956" t="s">
        <v>927</v>
      </c>
      <c r="D1564" s="957"/>
      <c r="E1564" s="958"/>
      <c r="F1564" s="1069"/>
      <c r="G1564" s="957"/>
      <c r="H1564" s="1032"/>
      <c r="I1564" s="959">
        <f>+I1552</f>
        <v>0</v>
      </c>
    </row>
    <row r="1565" spans="3:9" ht="15.75">
      <c r="C1565" s="956" t="s">
        <v>928</v>
      </c>
      <c r="D1565" s="957"/>
      <c r="E1565" s="958"/>
      <c r="F1565" s="1069"/>
      <c r="G1565" s="957"/>
      <c r="H1565" s="1032"/>
      <c r="I1565" s="959">
        <f>+I1557</f>
        <v>2</v>
      </c>
    </row>
    <row r="1566" spans="3:9" ht="15.75">
      <c r="C1566" s="956" t="s">
        <v>929</v>
      </c>
      <c r="D1566" s="957"/>
      <c r="E1566" s="958"/>
      <c r="F1566" s="1069"/>
      <c r="G1566" s="957"/>
      <c r="H1566" s="1032"/>
      <c r="I1566" s="959">
        <f>+I1561</f>
        <v>0</v>
      </c>
    </row>
    <row r="1567" spans="3:9" ht="15.75">
      <c r="C1567" s="949"/>
      <c r="D1567" s="946"/>
      <c r="E1567" s="947"/>
      <c r="F1567" s="1054"/>
      <c r="G1567" s="946"/>
      <c r="H1567" s="1031"/>
      <c r="I1567" s="948"/>
    </row>
    <row r="1568" spans="3:9" ht="15.75">
      <c r="C1568" s="949"/>
      <c r="D1568" s="946"/>
      <c r="E1568" s="947"/>
      <c r="F1568" s="1054"/>
      <c r="G1568" s="946"/>
      <c r="H1568" s="1031"/>
      <c r="I1568" s="948"/>
    </row>
    <row r="1569" spans="2:9" ht="15.75">
      <c r="C1569" s="951" t="s">
        <v>930</v>
      </c>
      <c r="D1569" s="960"/>
      <c r="E1569" s="943" t="str">
        <f>+E1541</f>
        <v>M3</v>
      </c>
      <c r="F1569" s="1070"/>
      <c r="G1569" s="960"/>
      <c r="H1569" s="1033"/>
      <c r="I1569" s="952">
        <f>SUM(I1563:I1566)</f>
        <v>10450.42</v>
      </c>
    </row>
    <row r="1570" spans="2:9" ht="15.75">
      <c r="C1570" s="951"/>
      <c r="D1570" s="960"/>
      <c r="E1570" s="943"/>
      <c r="F1570" s="1070"/>
      <c r="G1570" s="960"/>
      <c r="H1570" s="1033"/>
      <c r="I1570" s="952"/>
    </row>
    <row r="1571" spans="2:9" ht="15.75">
      <c r="B1571" s="1024">
        <v>2.2999999999999998</v>
      </c>
      <c r="C1571" s="937" t="str">
        <f>+Presupuesto!B109</f>
        <v>Rueda giratoria</v>
      </c>
      <c r="D1571" s="938"/>
      <c r="E1571" s="939" t="s">
        <v>1106</v>
      </c>
      <c r="F1571" s="1066"/>
      <c r="G1571" s="938"/>
      <c r="H1571" s="1029"/>
      <c r="I1571" s="940">
        <f>I1595</f>
        <v>153459</v>
      </c>
    </row>
    <row r="1572" spans="2:9" ht="15.75">
      <c r="C1572" s="941" t="s">
        <v>908</v>
      </c>
      <c r="D1572" s="942" t="s">
        <v>9</v>
      </c>
      <c r="E1572" s="943" t="s">
        <v>10</v>
      </c>
      <c r="F1572" s="1067" t="s">
        <v>909</v>
      </c>
      <c r="G1572" s="942" t="s">
        <v>910</v>
      </c>
      <c r="H1572" s="1030" t="s">
        <v>911</v>
      </c>
      <c r="I1572" s="944" t="s">
        <v>912</v>
      </c>
    </row>
    <row r="1573" spans="2:9" ht="15.75">
      <c r="C1573" s="945" t="s">
        <v>913</v>
      </c>
      <c r="D1573" s="946"/>
      <c r="E1573" s="947"/>
      <c r="F1573" s="1054"/>
      <c r="G1573" s="946"/>
      <c r="H1573" s="1031"/>
      <c r="I1573" s="948"/>
    </row>
    <row r="1574" spans="2:9" ht="15.75">
      <c r="C1574" s="949" t="s">
        <v>1522</v>
      </c>
      <c r="D1574" s="946">
        <v>1</v>
      </c>
      <c r="E1574" s="950" t="str">
        <f>+VLOOKUP(C1574,'Basic (equilibrio) (2)'!B:D,2,FALSE)</f>
        <v>Ud</v>
      </c>
      <c r="F1574" s="1068">
        <f>'Basic (equilibrio) (2)'!$D$345</f>
        <v>153459</v>
      </c>
      <c r="G1574" s="946">
        <f>F1574-(F1574/1.18)</f>
        <v>23409</v>
      </c>
      <c r="H1574" s="1031"/>
      <c r="I1574" s="948">
        <f>D1574*F1574</f>
        <v>153459</v>
      </c>
    </row>
    <row r="1575" spans="2:9" ht="15.75">
      <c r="C1575" s="951" t="s">
        <v>918</v>
      </c>
      <c r="D1575" s="946"/>
      <c r="E1575" s="947"/>
      <c r="F1575" s="1068"/>
      <c r="G1575" s="946"/>
      <c r="H1575" s="1031"/>
      <c r="I1575" s="952">
        <f>SUM(I1574:I1574)</f>
        <v>153459</v>
      </c>
    </row>
    <row r="1576" spans="2:9" ht="15.75">
      <c r="C1576" s="949"/>
      <c r="D1576" s="946"/>
      <c r="E1576" s="947"/>
      <c r="F1576" s="1068"/>
      <c r="G1576" s="946"/>
      <c r="H1576" s="1031"/>
      <c r="I1576" s="948"/>
    </row>
    <row r="1577" spans="2:9" ht="15.75">
      <c r="C1577" s="945" t="s">
        <v>919</v>
      </c>
      <c r="D1577" s="946"/>
      <c r="E1577" s="947"/>
      <c r="F1577" s="1068"/>
      <c r="G1577" s="946"/>
      <c r="H1577" s="1031"/>
      <c r="I1577" s="948"/>
    </row>
    <row r="1578" spans="2:9" ht="15.75">
      <c r="C1578" s="949" t="s">
        <v>924</v>
      </c>
      <c r="D1578" s="953"/>
      <c r="E1578" s="954" t="str">
        <f>+VLOOKUP(C1578,'Basic (equilibrio) (2)'!B:D,2,FALSE)</f>
        <v>n/a</v>
      </c>
      <c r="F1578" s="1068">
        <f>+VLOOKUP(C1578,'Basic (equilibrio) (2)'!B:D,3,FALSE)</f>
        <v>0</v>
      </c>
      <c r="G1578" s="946">
        <v>0</v>
      </c>
      <c r="H1578" s="1031"/>
      <c r="I1578" s="948">
        <f>D1578*F1578</f>
        <v>0</v>
      </c>
    </row>
    <row r="1579" spans="2:9" ht="15.75">
      <c r="C1579" s="951" t="s">
        <v>918</v>
      </c>
      <c r="D1579" s="946"/>
      <c r="E1579" s="947"/>
      <c r="F1579" s="1054"/>
      <c r="G1579" s="946"/>
      <c r="H1579" s="1031"/>
      <c r="I1579" s="952">
        <f>SUM(I1578:I1578)</f>
        <v>0</v>
      </c>
    </row>
    <row r="1580" spans="2:9" ht="15.75">
      <c r="C1580" s="949"/>
      <c r="D1580" s="946"/>
      <c r="E1580" s="947"/>
      <c r="F1580" s="1054"/>
      <c r="G1580" s="946"/>
      <c r="H1580" s="1031"/>
      <c r="I1580" s="948"/>
    </row>
    <row r="1581" spans="2:9" ht="15.75">
      <c r="C1581" s="945" t="s">
        <v>923</v>
      </c>
      <c r="D1581" s="946"/>
      <c r="E1581" s="947"/>
      <c r="F1581" s="1054"/>
      <c r="G1581" s="946"/>
      <c r="H1581" s="1031"/>
      <c r="I1581" s="948"/>
    </row>
    <row r="1582" spans="2:9" ht="15.75">
      <c r="C1582" s="949" t="s">
        <v>924</v>
      </c>
      <c r="D1582" s="946"/>
      <c r="E1582" s="947" t="str">
        <f>+VLOOKUP(C1582,'Basic (equilibrio) (2)'!B:D,2,FALSE)</f>
        <v>n/a</v>
      </c>
      <c r="F1582" s="1054">
        <f>+VLOOKUP(C1582,'Basic (equilibrio) (2)'!B:D,3,FALSE)</f>
        <v>0</v>
      </c>
      <c r="G1582" s="946">
        <f>F1582-(F1582/1.18)</f>
        <v>0</v>
      </c>
      <c r="H1582" s="1039"/>
      <c r="I1582" s="955">
        <f>D1582*F1582</f>
        <v>0</v>
      </c>
    </row>
    <row r="1583" spans="2:9" ht="15.75">
      <c r="C1583" s="951" t="s">
        <v>918</v>
      </c>
      <c r="D1583" s="946"/>
      <c r="E1583" s="947"/>
      <c r="F1583" s="1054"/>
      <c r="G1583" s="946"/>
      <c r="H1583" s="1031"/>
      <c r="I1583" s="952">
        <f>SUM(I1582:I1582)</f>
        <v>0</v>
      </c>
    </row>
    <row r="1584" spans="2:9" ht="15.75">
      <c r="C1584" s="949"/>
      <c r="D1584" s="946"/>
      <c r="E1584" s="947"/>
      <c r="F1584" s="1054"/>
      <c r="G1584" s="946"/>
      <c r="H1584" s="1031"/>
      <c r="I1584" s="948"/>
    </row>
    <row r="1585" spans="2:9" ht="15.75">
      <c r="C1585" s="945" t="s">
        <v>925</v>
      </c>
      <c r="D1585" s="946"/>
      <c r="E1585" s="947"/>
      <c r="F1585" s="1054"/>
      <c r="G1585" s="946"/>
      <c r="H1585" s="1031"/>
      <c r="I1585" s="948"/>
    </row>
    <row r="1586" spans="2:9" ht="15.75">
      <c r="C1586" s="949" t="s">
        <v>924</v>
      </c>
      <c r="D1586" s="946"/>
      <c r="E1586" s="947" t="str">
        <f>+VLOOKUP(C1586,'Basic (equilibrio) (2)'!B:D,2,FALSE)</f>
        <v>n/a</v>
      </c>
      <c r="F1586" s="1054">
        <f>+VLOOKUP(C1586,'Basic (equilibrio) (2)'!B:D,3,FALSE)</f>
        <v>0</v>
      </c>
      <c r="G1586" s="946">
        <f>F1586-(F1586/1.18)</f>
        <v>0</v>
      </c>
      <c r="H1586" s="1031"/>
      <c r="I1586" s="948">
        <f>D1586*F1586</f>
        <v>0</v>
      </c>
    </row>
    <row r="1587" spans="2:9" ht="15.75">
      <c r="C1587" s="951" t="s">
        <v>918</v>
      </c>
      <c r="D1587" s="946"/>
      <c r="E1587" s="947"/>
      <c r="F1587" s="1054"/>
      <c r="G1587" s="946"/>
      <c r="H1587" s="1031"/>
      <c r="I1587" s="952">
        <f>SUM(I1586)</f>
        <v>0</v>
      </c>
    </row>
    <row r="1588" spans="2:9" ht="15.75">
      <c r="C1588" s="951"/>
      <c r="D1588" s="946"/>
      <c r="E1588" s="947"/>
      <c r="F1588" s="1054"/>
      <c r="G1588" s="946"/>
      <c r="H1588" s="1031"/>
      <c r="I1588" s="952"/>
    </row>
    <row r="1589" spans="2:9" ht="15.75">
      <c r="C1589" s="956" t="s">
        <v>926</v>
      </c>
      <c r="D1589" s="957"/>
      <c r="E1589" s="958"/>
      <c r="F1589" s="1069"/>
      <c r="G1589" s="957"/>
      <c r="H1589" s="1032"/>
      <c r="I1589" s="959">
        <f>+I1575</f>
        <v>153459</v>
      </c>
    </row>
    <row r="1590" spans="2:9" ht="15.75">
      <c r="C1590" s="956" t="s">
        <v>927</v>
      </c>
      <c r="D1590" s="957"/>
      <c r="E1590" s="958"/>
      <c r="F1590" s="1069"/>
      <c r="G1590" s="957"/>
      <c r="H1590" s="1032"/>
      <c r="I1590" s="959">
        <f>+I1579</f>
        <v>0</v>
      </c>
    </row>
    <row r="1591" spans="2:9" ht="15.75">
      <c r="C1591" s="956" t="s">
        <v>928</v>
      </c>
      <c r="D1591" s="957"/>
      <c r="E1591" s="958"/>
      <c r="F1591" s="1069"/>
      <c r="G1591" s="957"/>
      <c r="H1591" s="1032"/>
      <c r="I1591" s="959">
        <f>+I1583</f>
        <v>0</v>
      </c>
    </row>
    <row r="1592" spans="2:9" ht="15.75">
      <c r="C1592" s="956" t="s">
        <v>929</v>
      </c>
      <c r="D1592" s="957"/>
      <c r="E1592" s="958"/>
      <c r="F1592" s="1069"/>
      <c r="G1592" s="957"/>
      <c r="H1592" s="1032"/>
      <c r="I1592" s="959">
        <f>+I1587</f>
        <v>0</v>
      </c>
    </row>
    <row r="1593" spans="2:9" ht="15.75">
      <c r="C1593" s="949"/>
      <c r="D1593" s="946"/>
      <c r="E1593" s="947"/>
      <c r="F1593" s="1054"/>
      <c r="G1593" s="946"/>
      <c r="H1593" s="1031"/>
      <c r="I1593" s="948"/>
    </row>
    <row r="1594" spans="2:9" ht="15.75">
      <c r="C1594" s="949"/>
      <c r="D1594" s="946"/>
      <c r="E1594" s="947"/>
      <c r="F1594" s="1054"/>
      <c r="G1594" s="946"/>
      <c r="H1594" s="1031"/>
      <c r="I1594" s="948"/>
    </row>
    <row r="1595" spans="2:9" ht="15.75">
      <c r="C1595" s="951" t="s">
        <v>930</v>
      </c>
      <c r="D1595" s="960"/>
      <c r="E1595" s="943" t="str">
        <f>+E1571</f>
        <v>und</v>
      </c>
      <c r="F1595" s="1070"/>
      <c r="G1595" s="960"/>
      <c r="H1595" s="1033"/>
      <c r="I1595" s="952">
        <f>SUM(I1589:I1592)</f>
        <v>153459</v>
      </c>
    </row>
    <row r="1596" spans="2:9" ht="15.75">
      <c r="C1596" s="951"/>
      <c r="D1596" s="960"/>
      <c r="E1596" s="943"/>
      <c r="F1596" s="1070"/>
      <c r="G1596" s="960"/>
      <c r="H1596" s="1033"/>
      <c r="I1596" s="952"/>
    </row>
    <row r="1597" spans="2:9" ht="15.75">
      <c r="C1597" s="951"/>
      <c r="D1597" s="960"/>
      <c r="E1597" s="943"/>
      <c r="F1597" s="1070"/>
      <c r="G1597" s="960"/>
      <c r="H1597" s="1033"/>
      <c r="I1597" s="952"/>
    </row>
    <row r="1598" spans="2:9" ht="15.75">
      <c r="B1598" s="1024">
        <v>2.4</v>
      </c>
      <c r="C1598" s="937" t="str">
        <f>+Presupuesto!B110</f>
        <v>Balancín</v>
      </c>
      <c r="D1598" s="938"/>
      <c r="E1598" s="939" t="s">
        <v>1106</v>
      </c>
      <c r="F1598" s="1066"/>
      <c r="G1598" s="938"/>
      <c r="H1598" s="1029"/>
      <c r="I1598" s="940">
        <f>I1622</f>
        <v>40922.400000000001</v>
      </c>
    </row>
    <row r="1599" spans="2:9" ht="15.75">
      <c r="C1599" s="941" t="s">
        <v>908</v>
      </c>
      <c r="D1599" s="942" t="s">
        <v>9</v>
      </c>
      <c r="E1599" s="943" t="s">
        <v>10</v>
      </c>
      <c r="F1599" s="1067" t="s">
        <v>909</v>
      </c>
      <c r="G1599" s="942" t="s">
        <v>910</v>
      </c>
      <c r="H1599" s="1030" t="s">
        <v>911</v>
      </c>
      <c r="I1599" s="944" t="s">
        <v>912</v>
      </c>
    </row>
    <row r="1600" spans="2:9" ht="15.75">
      <c r="C1600" s="945" t="s">
        <v>913</v>
      </c>
      <c r="D1600" s="946"/>
      <c r="E1600" s="947"/>
      <c r="F1600" s="1054"/>
      <c r="G1600" s="946"/>
      <c r="H1600" s="1031"/>
      <c r="I1600" s="948"/>
    </row>
    <row r="1601" spans="3:9" ht="15.75">
      <c r="C1601" s="949" t="s">
        <v>1523</v>
      </c>
      <c r="D1601" s="946">
        <v>1</v>
      </c>
      <c r="E1601" s="950" t="str">
        <f>+VLOOKUP(C1601,'Basic (equilibrio) (2)'!B:D,2,FALSE)</f>
        <v>Ud</v>
      </c>
      <c r="F1601" s="1068">
        <f>'Basic (equilibrio) (2)'!$D$346</f>
        <v>40922.400000000001</v>
      </c>
      <c r="G1601" s="946">
        <f>F1601-(F1601/1.18)</f>
        <v>6242.4</v>
      </c>
      <c r="H1601" s="1031"/>
      <c r="I1601" s="948">
        <f>D1601*F1601</f>
        <v>40922.400000000001</v>
      </c>
    </row>
    <row r="1602" spans="3:9" ht="15.75">
      <c r="C1602" s="951" t="s">
        <v>918</v>
      </c>
      <c r="D1602" s="946"/>
      <c r="E1602" s="947"/>
      <c r="F1602" s="1068"/>
      <c r="G1602" s="946"/>
      <c r="H1602" s="1031"/>
      <c r="I1602" s="952">
        <f>SUM(I1601:I1601)</f>
        <v>40922.400000000001</v>
      </c>
    </row>
    <row r="1603" spans="3:9" ht="15.75">
      <c r="C1603" s="949"/>
      <c r="D1603" s="946"/>
      <c r="E1603" s="947"/>
      <c r="F1603" s="1068"/>
      <c r="G1603" s="946"/>
      <c r="H1603" s="1031"/>
      <c r="I1603" s="948"/>
    </row>
    <row r="1604" spans="3:9" ht="15.75">
      <c r="C1604" s="945" t="s">
        <v>919</v>
      </c>
      <c r="D1604" s="946"/>
      <c r="E1604" s="947"/>
      <c r="F1604" s="1068"/>
      <c r="G1604" s="946"/>
      <c r="H1604" s="1031"/>
      <c r="I1604" s="948"/>
    </row>
    <row r="1605" spans="3:9" ht="15.75">
      <c r="C1605" s="949" t="s">
        <v>924</v>
      </c>
      <c r="D1605" s="953"/>
      <c r="E1605" s="954" t="str">
        <f>+VLOOKUP(C1605,'Basic (equilibrio) (2)'!B:D,2,FALSE)</f>
        <v>n/a</v>
      </c>
      <c r="F1605" s="1068">
        <f>+VLOOKUP(C1605,'Basic (equilibrio) (2)'!B:D,3,FALSE)</f>
        <v>0</v>
      </c>
      <c r="G1605" s="946">
        <v>0</v>
      </c>
      <c r="H1605" s="1031"/>
      <c r="I1605" s="948">
        <f>D1605*F1605</f>
        <v>0</v>
      </c>
    </row>
    <row r="1606" spans="3:9" ht="15.75">
      <c r="C1606" s="951" t="s">
        <v>918</v>
      </c>
      <c r="D1606" s="946"/>
      <c r="E1606" s="947"/>
      <c r="F1606" s="1054"/>
      <c r="G1606" s="946"/>
      <c r="H1606" s="1031"/>
      <c r="I1606" s="952">
        <f>SUM(I1605:I1605)</f>
        <v>0</v>
      </c>
    </row>
    <row r="1607" spans="3:9" ht="15.75">
      <c r="C1607" s="949"/>
      <c r="D1607" s="946"/>
      <c r="E1607" s="947"/>
      <c r="F1607" s="1054"/>
      <c r="G1607" s="946"/>
      <c r="H1607" s="1031"/>
      <c r="I1607" s="948"/>
    </row>
    <row r="1608" spans="3:9" ht="15.75">
      <c r="C1608" s="945" t="s">
        <v>923</v>
      </c>
      <c r="D1608" s="946"/>
      <c r="E1608" s="947"/>
      <c r="F1608" s="1054"/>
      <c r="G1608" s="946"/>
      <c r="H1608" s="1031"/>
      <c r="I1608" s="948"/>
    </row>
    <row r="1609" spans="3:9" ht="15.75">
      <c r="C1609" s="949" t="s">
        <v>924</v>
      </c>
      <c r="D1609" s="946"/>
      <c r="E1609" s="947" t="str">
        <f>+VLOOKUP(C1609,'Basic (equilibrio) (2)'!B:D,2,FALSE)</f>
        <v>n/a</v>
      </c>
      <c r="F1609" s="1054">
        <f>+VLOOKUP(C1609,'Basic (equilibrio) (2)'!B:D,3,FALSE)</f>
        <v>0</v>
      </c>
      <c r="G1609" s="946">
        <f>F1609-(F1609/1.18)</f>
        <v>0</v>
      </c>
      <c r="H1609" s="1039"/>
      <c r="I1609" s="955">
        <f>D1609*F1609</f>
        <v>0</v>
      </c>
    </row>
    <row r="1610" spans="3:9" ht="15.75">
      <c r="C1610" s="951" t="s">
        <v>918</v>
      </c>
      <c r="D1610" s="946"/>
      <c r="E1610" s="947"/>
      <c r="F1610" s="1054"/>
      <c r="G1610" s="946"/>
      <c r="H1610" s="1031"/>
      <c r="I1610" s="952">
        <f>SUM(I1609:I1609)</f>
        <v>0</v>
      </c>
    </row>
    <row r="1611" spans="3:9" ht="15.75">
      <c r="C1611" s="949"/>
      <c r="D1611" s="946"/>
      <c r="E1611" s="947"/>
      <c r="F1611" s="1054"/>
      <c r="G1611" s="946"/>
      <c r="H1611" s="1031"/>
      <c r="I1611" s="948"/>
    </row>
    <row r="1612" spans="3:9" ht="15.75">
      <c r="C1612" s="945" t="s">
        <v>925</v>
      </c>
      <c r="D1612" s="946"/>
      <c r="E1612" s="947"/>
      <c r="F1612" s="1054"/>
      <c r="G1612" s="946"/>
      <c r="H1612" s="1031"/>
      <c r="I1612" s="948"/>
    </row>
    <row r="1613" spans="3:9" ht="15.75">
      <c r="C1613" s="949" t="s">
        <v>924</v>
      </c>
      <c r="D1613" s="946"/>
      <c r="E1613" s="947" t="str">
        <f>+VLOOKUP(C1613,'Basic (equilibrio) (2)'!B:D,2,FALSE)</f>
        <v>n/a</v>
      </c>
      <c r="F1613" s="1054">
        <f>+VLOOKUP(C1613,'Basic (equilibrio) (2)'!B:D,3,FALSE)</f>
        <v>0</v>
      </c>
      <c r="G1613" s="946">
        <f>F1613-(F1613/1.18)</f>
        <v>0</v>
      </c>
      <c r="H1613" s="1031"/>
      <c r="I1613" s="948">
        <f>D1613*F1613</f>
        <v>0</v>
      </c>
    </row>
    <row r="1614" spans="3:9" ht="15.75">
      <c r="C1614" s="951" t="s">
        <v>918</v>
      </c>
      <c r="D1614" s="946"/>
      <c r="E1614" s="947"/>
      <c r="F1614" s="1054"/>
      <c r="G1614" s="946"/>
      <c r="H1614" s="1031"/>
      <c r="I1614" s="952">
        <f>SUM(I1613)</f>
        <v>0</v>
      </c>
    </row>
    <row r="1615" spans="3:9" ht="15.75">
      <c r="C1615" s="951"/>
      <c r="D1615" s="946"/>
      <c r="E1615" s="947"/>
      <c r="F1615" s="1054"/>
      <c r="G1615" s="946"/>
      <c r="H1615" s="1031"/>
      <c r="I1615" s="952"/>
    </row>
    <row r="1616" spans="3:9" ht="15.75">
      <c r="C1616" s="956" t="s">
        <v>926</v>
      </c>
      <c r="D1616" s="957"/>
      <c r="E1616" s="958"/>
      <c r="F1616" s="1069"/>
      <c r="G1616" s="957"/>
      <c r="H1616" s="1032"/>
      <c r="I1616" s="959">
        <f>+I1602</f>
        <v>40922.400000000001</v>
      </c>
    </row>
    <row r="1617" spans="2:9" ht="15.75">
      <c r="C1617" s="956" t="s">
        <v>927</v>
      </c>
      <c r="D1617" s="957"/>
      <c r="E1617" s="958"/>
      <c r="F1617" s="1069"/>
      <c r="G1617" s="957"/>
      <c r="H1617" s="1032"/>
      <c r="I1617" s="959">
        <f>+I1606</f>
        <v>0</v>
      </c>
    </row>
    <row r="1618" spans="2:9" ht="15.75">
      <c r="C1618" s="956" t="s">
        <v>928</v>
      </c>
      <c r="D1618" s="957"/>
      <c r="E1618" s="958"/>
      <c r="F1618" s="1069"/>
      <c r="G1618" s="957"/>
      <c r="H1618" s="1032"/>
      <c r="I1618" s="959">
        <f>+I1610</f>
        <v>0</v>
      </c>
    </row>
    <row r="1619" spans="2:9" ht="15.75">
      <c r="C1619" s="956" t="s">
        <v>929</v>
      </c>
      <c r="D1619" s="957"/>
      <c r="E1619" s="958"/>
      <c r="F1619" s="1069"/>
      <c r="G1619" s="957"/>
      <c r="H1619" s="1032"/>
      <c r="I1619" s="959">
        <f>+I1614</f>
        <v>0</v>
      </c>
    </row>
    <row r="1620" spans="2:9" ht="15.75">
      <c r="C1620" s="949"/>
      <c r="D1620" s="946"/>
      <c r="E1620" s="947"/>
      <c r="F1620" s="1054"/>
      <c r="G1620" s="946"/>
      <c r="H1620" s="1031"/>
      <c r="I1620" s="948"/>
    </row>
    <row r="1621" spans="2:9" ht="15.75">
      <c r="C1621" s="949"/>
      <c r="D1621" s="946"/>
      <c r="E1621" s="947"/>
      <c r="F1621" s="1054"/>
      <c r="G1621" s="946"/>
      <c r="H1621" s="1031"/>
      <c r="I1621" s="948"/>
    </row>
    <row r="1622" spans="2:9" ht="15.75">
      <c r="C1622" s="951" t="s">
        <v>930</v>
      </c>
      <c r="D1622" s="960"/>
      <c r="E1622" s="943" t="str">
        <f>+E1598</f>
        <v>und</v>
      </c>
      <c r="F1622" s="1070"/>
      <c r="G1622" s="960"/>
      <c r="H1622" s="1033"/>
      <c r="I1622" s="952">
        <f>SUM(I1616:I1619)</f>
        <v>40922.400000000001</v>
      </c>
    </row>
    <row r="1623" spans="2:9" ht="15.75">
      <c r="C1623" s="951"/>
      <c r="D1623" s="960"/>
      <c r="E1623" s="943"/>
      <c r="F1623" s="1070"/>
      <c r="G1623" s="960"/>
      <c r="H1623" s="1033"/>
      <c r="I1623" s="952"/>
    </row>
    <row r="1624" spans="2:9" ht="15.75">
      <c r="C1624" s="951"/>
      <c r="D1624" s="960"/>
      <c r="E1624" s="943"/>
      <c r="F1624" s="1070"/>
      <c r="G1624" s="960"/>
      <c r="H1624" s="1033"/>
      <c r="I1624" s="952"/>
    </row>
    <row r="1625" spans="2:9" ht="15.75">
      <c r="B1625" s="1024">
        <v>2.5</v>
      </c>
      <c r="C1625" s="937" t="str">
        <f>+Presupuesto!B111</f>
        <v>Tobogán</v>
      </c>
      <c r="D1625" s="938"/>
      <c r="E1625" s="939" t="s">
        <v>1106</v>
      </c>
      <c r="F1625" s="1066"/>
      <c r="G1625" s="938"/>
      <c r="H1625" s="1029"/>
      <c r="I1625" s="940">
        <f>I1649</f>
        <v>202585</v>
      </c>
    </row>
    <row r="1626" spans="2:9" ht="15.75">
      <c r="C1626" s="941" t="s">
        <v>908</v>
      </c>
      <c r="D1626" s="942" t="s">
        <v>9</v>
      </c>
      <c r="E1626" s="943" t="s">
        <v>10</v>
      </c>
      <c r="F1626" s="1067" t="s">
        <v>909</v>
      </c>
      <c r="G1626" s="942" t="s">
        <v>910</v>
      </c>
      <c r="H1626" s="1030" t="s">
        <v>911</v>
      </c>
      <c r="I1626" s="944" t="s">
        <v>912</v>
      </c>
    </row>
    <row r="1627" spans="2:9" ht="15.75">
      <c r="C1627" s="945" t="s">
        <v>913</v>
      </c>
      <c r="D1627" s="946"/>
      <c r="E1627" s="947"/>
      <c r="F1627" s="1054"/>
      <c r="G1627" s="946"/>
      <c r="H1627" s="1031"/>
      <c r="I1627" s="948"/>
    </row>
    <row r="1628" spans="2:9" ht="15.75">
      <c r="C1628" s="949" t="s">
        <v>1524</v>
      </c>
      <c r="D1628" s="946">
        <v>1</v>
      </c>
      <c r="E1628" s="950" t="str">
        <f>+VLOOKUP(C1628,'Basic (equilibrio) (2)'!B:D,2,FALSE)</f>
        <v>Ud</v>
      </c>
      <c r="F1628" s="1068">
        <f>'Basic (equilibrio) (2)'!$D$347</f>
        <v>202585</v>
      </c>
      <c r="G1628" s="946">
        <f>F1628-(F1628/1.18)</f>
        <v>30902.799999999999</v>
      </c>
      <c r="H1628" s="1031"/>
      <c r="I1628" s="948">
        <f>D1628*F1628</f>
        <v>202585</v>
      </c>
    </row>
    <row r="1629" spans="2:9" ht="15.75">
      <c r="C1629" s="951" t="s">
        <v>918</v>
      </c>
      <c r="D1629" s="946"/>
      <c r="E1629" s="947"/>
      <c r="F1629" s="1068"/>
      <c r="G1629" s="946"/>
      <c r="H1629" s="1031"/>
      <c r="I1629" s="952">
        <f>SUM(I1628:I1628)</f>
        <v>202585</v>
      </c>
    </row>
    <row r="1630" spans="2:9" ht="15.75">
      <c r="C1630" s="949"/>
      <c r="D1630" s="946"/>
      <c r="E1630" s="947"/>
      <c r="F1630" s="1068"/>
      <c r="G1630" s="946"/>
      <c r="H1630" s="1031"/>
      <c r="I1630" s="948"/>
    </row>
    <row r="1631" spans="2:9" ht="15.75">
      <c r="C1631" s="945" t="s">
        <v>919</v>
      </c>
      <c r="D1631" s="946"/>
      <c r="E1631" s="947"/>
      <c r="F1631" s="1068"/>
      <c r="G1631" s="946"/>
      <c r="H1631" s="1031"/>
      <c r="I1631" s="948"/>
    </row>
    <row r="1632" spans="2:9" ht="15.75">
      <c r="C1632" s="949" t="s">
        <v>924</v>
      </c>
      <c r="D1632" s="953"/>
      <c r="E1632" s="954" t="str">
        <f>+VLOOKUP(C1632,'Basic (equilibrio) (2)'!B:D,2,FALSE)</f>
        <v>n/a</v>
      </c>
      <c r="F1632" s="1068">
        <f>+VLOOKUP(C1632,'Basic (equilibrio) (2)'!B:D,3,FALSE)</f>
        <v>0</v>
      </c>
      <c r="G1632" s="946">
        <v>0</v>
      </c>
      <c r="H1632" s="1031"/>
      <c r="I1632" s="948">
        <f>D1632*F1632</f>
        <v>0</v>
      </c>
    </row>
    <row r="1633" spans="3:9" ht="15.75">
      <c r="C1633" s="951" t="s">
        <v>918</v>
      </c>
      <c r="D1633" s="946"/>
      <c r="E1633" s="947"/>
      <c r="F1633" s="1054"/>
      <c r="G1633" s="946"/>
      <c r="H1633" s="1031"/>
      <c r="I1633" s="952">
        <f>SUM(I1632:I1632)</f>
        <v>0</v>
      </c>
    </row>
    <row r="1634" spans="3:9" ht="15.75">
      <c r="C1634" s="949"/>
      <c r="D1634" s="946"/>
      <c r="E1634" s="947"/>
      <c r="F1634" s="1054"/>
      <c r="G1634" s="946"/>
      <c r="H1634" s="1031"/>
      <c r="I1634" s="948"/>
    </row>
    <row r="1635" spans="3:9" ht="15.75">
      <c r="C1635" s="945" t="s">
        <v>923</v>
      </c>
      <c r="D1635" s="946"/>
      <c r="E1635" s="947"/>
      <c r="F1635" s="1054"/>
      <c r="G1635" s="946"/>
      <c r="H1635" s="1031"/>
      <c r="I1635" s="948"/>
    </row>
    <row r="1636" spans="3:9" ht="15.75">
      <c r="C1636" s="949" t="s">
        <v>924</v>
      </c>
      <c r="D1636" s="946"/>
      <c r="E1636" s="947" t="str">
        <f>+VLOOKUP(C1636,'Basic (equilibrio) (2)'!B:D,2,FALSE)</f>
        <v>n/a</v>
      </c>
      <c r="F1636" s="1054">
        <f>+VLOOKUP(C1636,'Basic (equilibrio) (2)'!B:D,3,FALSE)</f>
        <v>0</v>
      </c>
      <c r="G1636" s="946">
        <f>F1636-(F1636/1.18)</f>
        <v>0</v>
      </c>
      <c r="H1636" s="1039"/>
      <c r="I1636" s="955">
        <f>D1636*F1636</f>
        <v>0</v>
      </c>
    </row>
    <row r="1637" spans="3:9" ht="15.75">
      <c r="C1637" s="951" t="s">
        <v>918</v>
      </c>
      <c r="D1637" s="946"/>
      <c r="E1637" s="947"/>
      <c r="F1637" s="1054"/>
      <c r="G1637" s="946"/>
      <c r="H1637" s="1031"/>
      <c r="I1637" s="952">
        <f>SUM(I1636:I1636)</f>
        <v>0</v>
      </c>
    </row>
    <row r="1638" spans="3:9" ht="15.75">
      <c r="C1638" s="949"/>
      <c r="D1638" s="946"/>
      <c r="E1638" s="947"/>
      <c r="F1638" s="1054"/>
      <c r="G1638" s="946"/>
      <c r="H1638" s="1031"/>
      <c r="I1638" s="948"/>
    </row>
    <row r="1639" spans="3:9" ht="15.75">
      <c r="C1639" s="945" t="s">
        <v>925</v>
      </c>
      <c r="D1639" s="946"/>
      <c r="E1639" s="947"/>
      <c r="F1639" s="1054"/>
      <c r="G1639" s="946"/>
      <c r="H1639" s="1031"/>
      <c r="I1639" s="948"/>
    </row>
    <row r="1640" spans="3:9" ht="15.75">
      <c r="C1640" s="949" t="s">
        <v>924</v>
      </c>
      <c r="D1640" s="946"/>
      <c r="E1640" s="947" t="str">
        <f>+VLOOKUP(C1640,'Basic (equilibrio) (2)'!B:D,2,FALSE)</f>
        <v>n/a</v>
      </c>
      <c r="F1640" s="1054">
        <f>+VLOOKUP(C1640,'Basic (equilibrio) (2)'!B:D,3,FALSE)</f>
        <v>0</v>
      </c>
      <c r="G1640" s="946">
        <f>F1640-(F1640/1.18)</f>
        <v>0</v>
      </c>
      <c r="H1640" s="1031"/>
      <c r="I1640" s="948">
        <f>D1640*F1640</f>
        <v>0</v>
      </c>
    </row>
    <row r="1641" spans="3:9" ht="15.75">
      <c r="C1641" s="951" t="s">
        <v>918</v>
      </c>
      <c r="D1641" s="946"/>
      <c r="E1641" s="947"/>
      <c r="F1641" s="1054"/>
      <c r="G1641" s="946"/>
      <c r="H1641" s="1031"/>
      <c r="I1641" s="952">
        <f>SUM(I1640)</f>
        <v>0</v>
      </c>
    </row>
    <row r="1642" spans="3:9" ht="15.75">
      <c r="C1642" s="951"/>
      <c r="D1642" s="946"/>
      <c r="E1642" s="947"/>
      <c r="F1642" s="1054"/>
      <c r="G1642" s="946"/>
      <c r="H1642" s="1031"/>
      <c r="I1642" s="952"/>
    </row>
    <row r="1643" spans="3:9" ht="15.75">
      <c r="C1643" s="956" t="s">
        <v>926</v>
      </c>
      <c r="D1643" s="957"/>
      <c r="E1643" s="958"/>
      <c r="F1643" s="1069"/>
      <c r="G1643" s="957"/>
      <c r="H1643" s="1032"/>
      <c r="I1643" s="959">
        <f>+I1629</f>
        <v>202585</v>
      </c>
    </row>
    <row r="1644" spans="3:9" ht="15.75">
      <c r="C1644" s="956" t="s">
        <v>927</v>
      </c>
      <c r="D1644" s="957"/>
      <c r="E1644" s="958"/>
      <c r="F1644" s="1069"/>
      <c r="G1644" s="957"/>
      <c r="H1644" s="1032"/>
      <c r="I1644" s="959">
        <f>+I1633</f>
        <v>0</v>
      </c>
    </row>
    <row r="1645" spans="3:9" ht="15.75">
      <c r="C1645" s="956" t="s">
        <v>928</v>
      </c>
      <c r="D1645" s="957"/>
      <c r="E1645" s="958"/>
      <c r="F1645" s="1069"/>
      <c r="G1645" s="957"/>
      <c r="H1645" s="1032"/>
      <c r="I1645" s="959">
        <f>+I1637</f>
        <v>0</v>
      </c>
    </row>
    <row r="1646" spans="3:9" ht="15.75">
      <c r="C1646" s="956" t="s">
        <v>929</v>
      </c>
      <c r="D1646" s="957"/>
      <c r="E1646" s="958"/>
      <c r="F1646" s="1069"/>
      <c r="G1646" s="957"/>
      <c r="H1646" s="1032"/>
      <c r="I1646" s="959">
        <f>+I1641</f>
        <v>0</v>
      </c>
    </row>
    <row r="1647" spans="3:9" ht="15.75">
      <c r="C1647" s="949"/>
      <c r="D1647" s="946"/>
      <c r="E1647" s="947"/>
      <c r="F1647" s="1054"/>
      <c r="G1647" s="946"/>
      <c r="H1647" s="1031"/>
      <c r="I1647" s="948"/>
    </row>
    <row r="1648" spans="3:9" ht="15.75">
      <c r="C1648" s="949"/>
      <c r="D1648" s="946"/>
      <c r="E1648" s="947"/>
      <c r="F1648" s="1054"/>
      <c r="G1648" s="946"/>
      <c r="H1648" s="1031"/>
      <c r="I1648" s="948"/>
    </row>
    <row r="1649" spans="2:9" ht="15.75">
      <c r="C1649" s="951" t="s">
        <v>930</v>
      </c>
      <c r="D1649" s="960"/>
      <c r="E1649" s="943" t="str">
        <f>+E1625</f>
        <v>und</v>
      </c>
      <c r="F1649" s="1070"/>
      <c r="G1649" s="960"/>
      <c r="H1649" s="1033"/>
      <c r="I1649" s="952">
        <f>SUM(I1643:I1646)</f>
        <v>202585</v>
      </c>
    </row>
    <row r="1650" spans="2:9" ht="15.75">
      <c r="C1650" s="951"/>
      <c r="D1650" s="960"/>
      <c r="E1650" s="943"/>
      <c r="F1650" s="1070"/>
      <c r="G1650" s="960"/>
      <c r="H1650" s="1033"/>
      <c r="I1650" s="952"/>
    </row>
    <row r="1651" spans="2:9" ht="15.75">
      <c r="C1651" s="951"/>
      <c r="D1651" s="960"/>
      <c r="E1651" s="943"/>
      <c r="F1651" s="1070"/>
      <c r="G1651" s="960"/>
      <c r="H1651" s="1033"/>
      <c r="I1651" s="952"/>
    </row>
    <row r="1652" spans="2:9" ht="15.75">
      <c r="B1652" s="1024">
        <v>2.6</v>
      </c>
      <c r="C1652" s="937" t="str">
        <f>+Presupuesto!B112</f>
        <v>Columpio triple</v>
      </c>
      <c r="D1652" s="938"/>
      <c r="E1652" s="939" t="s">
        <v>1106</v>
      </c>
      <c r="F1652" s="1066"/>
      <c r="G1652" s="938"/>
      <c r="H1652" s="1029"/>
      <c r="I1652" s="940">
        <f>I1676</f>
        <v>81844.800000000003</v>
      </c>
    </row>
    <row r="1653" spans="2:9" ht="15.75">
      <c r="C1653" s="941" t="s">
        <v>908</v>
      </c>
      <c r="D1653" s="942" t="s">
        <v>9</v>
      </c>
      <c r="E1653" s="943" t="s">
        <v>10</v>
      </c>
      <c r="F1653" s="1067" t="s">
        <v>909</v>
      </c>
      <c r="G1653" s="942" t="s">
        <v>910</v>
      </c>
      <c r="H1653" s="1030" t="s">
        <v>911</v>
      </c>
      <c r="I1653" s="944" t="s">
        <v>912</v>
      </c>
    </row>
    <row r="1654" spans="2:9" ht="15.75">
      <c r="C1654" s="945" t="s">
        <v>913</v>
      </c>
      <c r="D1654" s="946"/>
      <c r="E1654" s="947"/>
      <c r="F1654" s="1054"/>
      <c r="G1654" s="946"/>
      <c r="H1654" s="1031"/>
      <c r="I1654" s="948"/>
    </row>
    <row r="1655" spans="2:9" ht="15.75">
      <c r="C1655" s="949" t="s">
        <v>1525</v>
      </c>
      <c r="D1655" s="946">
        <v>1</v>
      </c>
      <c r="E1655" s="950" t="str">
        <f>+VLOOKUP(C1655,'Basic (equilibrio) (2)'!B:D,2,FALSE)</f>
        <v>Ud</v>
      </c>
      <c r="F1655" s="1068">
        <f>'Basic (equilibrio) (2)'!$D$343</f>
        <v>81844.800000000003</v>
      </c>
      <c r="G1655" s="946">
        <f>F1655-(F1655/1.18)</f>
        <v>12484.8</v>
      </c>
      <c r="H1655" s="1031"/>
      <c r="I1655" s="948">
        <f>D1655*F1655</f>
        <v>81844.800000000003</v>
      </c>
    </row>
    <row r="1656" spans="2:9" ht="15.75">
      <c r="C1656" s="951" t="s">
        <v>918</v>
      </c>
      <c r="D1656" s="946"/>
      <c r="E1656" s="947"/>
      <c r="F1656" s="1068"/>
      <c r="G1656" s="946"/>
      <c r="H1656" s="1031"/>
      <c r="I1656" s="952">
        <f>SUM(I1655:I1655)</f>
        <v>81844.800000000003</v>
      </c>
    </row>
    <row r="1657" spans="2:9" ht="15.75">
      <c r="C1657" s="949"/>
      <c r="D1657" s="946"/>
      <c r="E1657" s="947"/>
      <c r="F1657" s="1068"/>
      <c r="G1657" s="946"/>
      <c r="H1657" s="1031"/>
      <c r="I1657" s="948"/>
    </row>
    <row r="1658" spans="2:9" ht="15.75">
      <c r="C1658" s="945" t="s">
        <v>919</v>
      </c>
      <c r="D1658" s="946"/>
      <c r="E1658" s="947"/>
      <c r="F1658" s="1068"/>
      <c r="G1658" s="946"/>
      <c r="H1658" s="1031"/>
      <c r="I1658" s="948"/>
    </row>
    <row r="1659" spans="2:9" ht="15.75">
      <c r="C1659" s="949" t="s">
        <v>924</v>
      </c>
      <c r="D1659" s="953"/>
      <c r="E1659" s="954" t="str">
        <f>+VLOOKUP(C1659,'Basic (equilibrio) (2)'!B:D,2,FALSE)</f>
        <v>n/a</v>
      </c>
      <c r="F1659" s="1068">
        <f>+VLOOKUP(C1659,'Basic (equilibrio) (2)'!B:D,3,FALSE)</f>
        <v>0</v>
      </c>
      <c r="G1659" s="946">
        <v>0</v>
      </c>
      <c r="H1659" s="1031"/>
      <c r="I1659" s="948">
        <f>D1659*F1659</f>
        <v>0</v>
      </c>
    </row>
    <row r="1660" spans="2:9" ht="15.75">
      <c r="C1660" s="951" t="s">
        <v>918</v>
      </c>
      <c r="D1660" s="946"/>
      <c r="E1660" s="947"/>
      <c r="F1660" s="1054"/>
      <c r="G1660" s="946"/>
      <c r="H1660" s="1031"/>
      <c r="I1660" s="952">
        <f>SUM(I1659:I1659)</f>
        <v>0</v>
      </c>
    </row>
    <row r="1661" spans="2:9" ht="15.75">
      <c r="C1661" s="949"/>
      <c r="D1661" s="946"/>
      <c r="E1661" s="947"/>
      <c r="F1661" s="1054"/>
      <c r="G1661" s="946"/>
      <c r="H1661" s="1031"/>
      <c r="I1661" s="948"/>
    </row>
    <row r="1662" spans="2:9" ht="15.75">
      <c r="C1662" s="945" t="s">
        <v>923</v>
      </c>
      <c r="D1662" s="946"/>
      <c r="E1662" s="947"/>
      <c r="F1662" s="1054"/>
      <c r="G1662" s="946"/>
      <c r="H1662" s="1031"/>
      <c r="I1662" s="948"/>
    </row>
    <row r="1663" spans="2:9" ht="15.75">
      <c r="C1663" s="949" t="s">
        <v>924</v>
      </c>
      <c r="D1663" s="946"/>
      <c r="E1663" s="947" t="str">
        <f>+VLOOKUP(C1663,'Basic (equilibrio) (2)'!B:D,2,FALSE)</f>
        <v>n/a</v>
      </c>
      <c r="F1663" s="1054">
        <f>+VLOOKUP(C1663,'Basic (equilibrio) (2)'!B:D,3,FALSE)</f>
        <v>0</v>
      </c>
      <c r="G1663" s="946">
        <f>F1663-(F1663/1.18)</f>
        <v>0</v>
      </c>
      <c r="H1663" s="1039"/>
      <c r="I1663" s="955">
        <f>D1663*F1663</f>
        <v>0</v>
      </c>
    </row>
    <row r="1664" spans="2:9" ht="15.75">
      <c r="C1664" s="951" t="s">
        <v>918</v>
      </c>
      <c r="D1664" s="946"/>
      <c r="E1664" s="947"/>
      <c r="F1664" s="1054"/>
      <c r="G1664" s="946"/>
      <c r="H1664" s="1031"/>
      <c r="I1664" s="952">
        <f>SUM(I1663:I1663)</f>
        <v>0</v>
      </c>
    </row>
    <row r="1665" spans="2:9" ht="15.75">
      <c r="C1665" s="949"/>
      <c r="D1665" s="946"/>
      <c r="E1665" s="947"/>
      <c r="F1665" s="1054"/>
      <c r="G1665" s="946"/>
      <c r="H1665" s="1031"/>
      <c r="I1665" s="948"/>
    </row>
    <row r="1666" spans="2:9" ht="15.75">
      <c r="C1666" s="945" t="s">
        <v>925</v>
      </c>
      <c r="D1666" s="946"/>
      <c r="E1666" s="947"/>
      <c r="F1666" s="1054"/>
      <c r="G1666" s="946"/>
      <c r="H1666" s="1031"/>
      <c r="I1666" s="948"/>
    </row>
    <row r="1667" spans="2:9" ht="15.75">
      <c r="C1667" s="949" t="s">
        <v>924</v>
      </c>
      <c r="D1667" s="946"/>
      <c r="E1667" s="947" t="str">
        <f>+VLOOKUP(C1667,'Basic (equilibrio) (2)'!B:D,2,FALSE)</f>
        <v>n/a</v>
      </c>
      <c r="F1667" s="1054">
        <f>+VLOOKUP(C1667,'Basic (equilibrio) (2)'!B:D,3,FALSE)</f>
        <v>0</v>
      </c>
      <c r="G1667" s="946">
        <f>F1667-(F1667/1.18)</f>
        <v>0</v>
      </c>
      <c r="H1667" s="1031"/>
      <c r="I1667" s="948">
        <f>D1667*F1667</f>
        <v>0</v>
      </c>
    </row>
    <row r="1668" spans="2:9" ht="15.75">
      <c r="C1668" s="951" t="s">
        <v>918</v>
      </c>
      <c r="D1668" s="946"/>
      <c r="E1668" s="947"/>
      <c r="F1668" s="1054"/>
      <c r="G1668" s="946"/>
      <c r="H1668" s="1031"/>
      <c r="I1668" s="952">
        <f>SUM(I1667)</f>
        <v>0</v>
      </c>
    </row>
    <row r="1669" spans="2:9" ht="15.75">
      <c r="C1669" s="951"/>
      <c r="D1669" s="946"/>
      <c r="E1669" s="947"/>
      <c r="F1669" s="1054"/>
      <c r="G1669" s="946"/>
      <c r="H1669" s="1031"/>
      <c r="I1669" s="952"/>
    </row>
    <row r="1670" spans="2:9" ht="15.75">
      <c r="C1670" s="956" t="s">
        <v>926</v>
      </c>
      <c r="D1670" s="957"/>
      <c r="E1670" s="958"/>
      <c r="F1670" s="1069"/>
      <c r="G1670" s="957"/>
      <c r="H1670" s="1032"/>
      <c r="I1670" s="959">
        <f>+I1656</f>
        <v>81844.800000000003</v>
      </c>
    </row>
    <row r="1671" spans="2:9" ht="15.75">
      <c r="C1671" s="956" t="s">
        <v>927</v>
      </c>
      <c r="D1671" s="957"/>
      <c r="E1671" s="958"/>
      <c r="F1671" s="1069"/>
      <c r="G1671" s="957"/>
      <c r="H1671" s="1032"/>
      <c r="I1671" s="959">
        <f>+I1660</f>
        <v>0</v>
      </c>
    </row>
    <row r="1672" spans="2:9" ht="15.75">
      <c r="C1672" s="956" t="s">
        <v>928</v>
      </c>
      <c r="D1672" s="957"/>
      <c r="E1672" s="958"/>
      <c r="F1672" s="1069"/>
      <c r="G1672" s="957"/>
      <c r="H1672" s="1032"/>
      <c r="I1672" s="959">
        <f>+I1664</f>
        <v>0</v>
      </c>
    </row>
    <row r="1673" spans="2:9" ht="15.75">
      <c r="C1673" s="956" t="s">
        <v>929</v>
      </c>
      <c r="D1673" s="957"/>
      <c r="E1673" s="958"/>
      <c r="F1673" s="1069"/>
      <c r="G1673" s="957"/>
      <c r="H1673" s="1032"/>
      <c r="I1673" s="959">
        <f>+I1668</f>
        <v>0</v>
      </c>
    </row>
    <row r="1674" spans="2:9" ht="15.75">
      <c r="C1674" s="949"/>
      <c r="D1674" s="946"/>
      <c r="E1674" s="947"/>
      <c r="F1674" s="1054"/>
      <c r="G1674" s="946"/>
      <c r="H1674" s="1031"/>
      <c r="I1674" s="948"/>
    </row>
    <row r="1675" spans="2:9" ht="15.75">
      <c r="C1675" s="949"/>
      <c r="D1675" s="946"/>
      <c r="E1675" s="947"/>
      <c r="F1675" s="1054"/>
      <c r="G1675" s="946"/>
      <c r="H1675" s="1031"/>
      <c r="I1675" s="948"/>
    </row>
    <row r="1676" spans="2:9" ht="15.75">
      <c r="C1676" s="951" t="s">
        <v>930</v>
      </c>
      <c r="D1676" s="960"/>
      <c r="E1676" s="943" t="str">
        <f>+E1652</f>
        <v>und</v>
      </c>
      <c r="F1676" s="1070"/>
      <c r="G1676" s="960"/>
      <c r="H1676" s="1033"/>
      <c r="I1676" s="952">
        <f>SUM(I1670:I1673)</f>
        <v>81844.800000000003</v>
      </c>
    </row>
    <row r="1677" spans="2:9" ht="15.75">
      <c r="C1677" s="951"/>
      <c r="D1677" s="960"/>
      <c r="E1677" s="943"/>
      <c r="F1677" s="1070"/>
      <c r="G1677" s="960"/>
      <c r="H1677" s="1033"/>
      <c r="I1677" s="952"/>
    </row>
    <row r="1678" spans="2:9" ht="15.75">
      <c r="C1678" s="951"/>
      <c r="D1678" s="960"/>
      <c r="E1678" s="943"/>
      <c r="F1678" s="1070"/>
      <c r="G1678" s="960"/>
      <c r="H1678" s="1033"/>
      <c r="I1678" s="952"/>
    </row>
    <row r="1679" spans="2:9" ht="15.75">
      <c r="B1679" s="1024">
        <v>2.7</v>
      </c>
      <c r="C1679" s="937" t="str">
        <f>+Presupuesto!B113</f>
        <v>Barra escaladora o Juego de Pasamanos</v>
      </c>
      <c r="D1679" s="938"/>
      <c r="E1679" s="939" t="s">
        <v>1106</v>
      </c>
      <c r="F1679" s="1066"/>
      <c r="G1679" s="938"/>
      <c r="H1679" s="1029"/>
      <c r="I1679" s="940">
        <f>I1703</f>
        <v>209727.3</v>
      </c>
    </row>
    <row r="1680" spans="2:9" ht="15.75">
      <c r="C1680" s="941" t="s">
        <v>908</v>
      </c>
      <c r="D1680" s="942" t="s">
        <v>9</v>
      </c>
      <c r="E1680" s="943" t="s">
        <v>10</v>
      </c>
      <c r="F1680" s="1067" t="s">
        <v>909</v>
      </c>
      <c r="G1680" s="942" t="s">
        <v>910</v>
      </c>
      <c r="H1680" s="1030" t="s">
        <v>911</v>
      </c>
      <c r="I1680" s="944" t="s">
        <v>912</v>
      </c>
    </row>
    <row r="1681" spans="3:9" ht="15.75">
      <c r="C1681" s="945" t="s">
        <v>913</v>
      </c>
      <c r="D1681" s="946"/>
      <c r="E1681" s="947"/>
      <c r="F1681" s="1054"/>
      <c r="G1681" s="946"/>
      <c r="H1681" s="1031"/>
      <c r="I1681" s="948"/>
    </row>
    <row r="1682" spans="3:9" ht="15.75">
      <c r="C1682" s="949" t="s">
        <v>458</v>
      </c>
      <c r="D1682" s="946">
        <v>1</v>
      </c>
      <c r="E1682" s="950" t="str">
        <f>+VLOOKUP(C1682,'Basic (equilibrio) (2)'!B:D,2,FALSE)</f>
        <v>Ud</v>
      </c>
      <c r="F1682" s="1068">
        <f>'Basic (equilibrio) (2)'!$D$348</f>
        <v>209727.3</v>
      </c>
      <c r="G1682" s="946">
        <f>F1682-(F1682/1.18)</f>
        <v>31992.3</v>
      </c>
      <c r="H1682" s="1031"/>
      <c r="I1682" s="948">
        <f>D1682*F1682</f>
        <v>209727.3</v>
      </c>
    </row>
    <row r="1683" spans="3:9" ht="15.75">
      <c r="C1683" s="951" t="s">
        <v>918</v>
      </c>
      <c r="D1683" s="946"/>
      <c r="E1683" s="947"/>
      <c r="F1683" s="1068"/>
      <c r="G1683" s="946"/>
      <c r="H1683" s="1031"/>
      <c r="I1683" s="952">
        <f>SUM(I1682:I1682)</f>
        <v>209727.3</v>
      </c>
    </row>
    <row r="1684" spans="3:9" ht="15.75">
      <c r="C1684" s="949"/>
      <c r="D1684" s="946"/>
      <c r="E1684" s="947"/>
      <c r="F1684" s="1068"/>
      <c r="G1684" s="946"/>
      <c r="H1684" s="1031"/>
      <c r="I1684" s="948"/>
    </row>
    <row r="1685" spans="3:9" ht="15.75">
      <c r="C1685" s="945" t="s">
        <v>919</v>
      </c>
      <c r="D1685" s="946"/>
      <c r="E1685" s="947"/>
      <c r="F1685" s="1068"/>
      <c r="G1685" s="946"/>
      <c r="H1685" s="1031"/>
      <c r="I1685" s="948"/>
    </row>
    <row r="1686" spans="3:9" ht="15.75">
      <c r="C1686" s="949" t="s">
        <v>924</v>
      </c>
      <c r="D1686" s="953"/>
      <c r="E1686" s="954" t="str">
        <f>+VLOOKUP(C1686,'Basic (equilibrio) (2)'!B:D,2,FALSE)</f>
        <v>n/a</v>
      </c>
      <c r="F1686" s="1068">
        <f>+VLOOKUP(C1686,'Basic (equilibrio) (2)'!B:D,3,FALSE)</f>
        <v>0</v>
      </c>
      <c r="G1686" s="946">
        <v>0</v>
      </c>
      <c r="H1686" s="1031"/>
      <c r="I1686" s="948">
        <f>D1686*F1686</f>
        <v>0</v>
      </c>
    </row>
    <row r="1687" spans="3:9" ht="15.75">
      <c r="C1687" s="951" t="s">
        <v>918</v>
      </c>
      <c r="D1687" s="946"/>
      <c r="E1687" s="947"/>
      <c r="F1687" s="1054"/>
      <c r="G1687" s="946"/>
      <c r="H1687" s="1031"/>
      <c r="I1687" s="952">
        <f>SUM(I1686:I1686)</f>
        <v>0</v>
      </c>
    </row>
    <row r="1688" spans="3:9" ht="15.75">
      <c r="C1688" s="949"/>
      <c r="D1688" s="946"/>
      <c r="E1688" s="947"/>
      <c r="F1688" s="1054"/>
      <c r="G1688" s="946"/>
      <c r="H1688" s="1031"/>
      <c r="I1688" s="948"/>
    </row>
    <row r="1689" spans="3:9" ht="15.75">
      <c r="C1689" s="945" t="s">
        <v>923</v>
      </c>
      <c r="D1689" s="946"/>
      <c r="E1689" s="947"/>
      <c r="F1689" s="1054"/>
      <c r="G1689" s="946"/>
      <c r="H1689" s="1031"/>
      <c r="I1689" s="948"/>
    </row>
    <row r="1690" spans="3:9" ht="15.75">
      <c r="C1690" s="949" t="s">
        <v>924</v>
      </c>
      <c r="D1690" s="946"/>
      <c r="E1690" s="947" t="str">
        <f>+VLOOKUP(C1690,'Basic (equilibrio) (2)'!B:D,2,FALSE)</f>
        <v>n/a</v>
      </c>
      <c r="F1690" s="1054">
        <f>+VLOOKUP(C1690,'Basic (equilibrio) (2)'!B:D,3,FALSE)</f>
        <v>0</v>
      </c>
      <c r="G1690" s="946">
        <f>F1690-(F1690/1.18)</f>
        <v>0</v>
      </c>
      <c r="H1690" s="1039"/>
      <c r="I1690" s="955">
        <f>D1690*F1690</f>
        <v>0</v>
      </c>
    </row>
    <row r="1691" spans="3:9" ht="15.75">
      <c r="C1691" s="951" t="s">
        <v>918</v>
      </c>
      <c r="D1691" s="946"/>
      <c r="E1691" s="947"/>
      <c r="F1691" s="1054"/>
      <c r="G1691" s="946"/>
      <c r="H1691" s="1031"/>
      <c r="I1691" s="952">
        <f>SUM(I1690:I1690)</f>
        <v>0</v>
      </c>
    </row>
    <row r="1692" spans="3:9" ht="15.75">
      <c r="C1692" s="949"/>
      <c r="D1692" s="946"/>
      <c r="E1692" s="947"/>
      <c r="F1692" s="1054"/>
      <c r="G1692" s="946"/>
      <c r="H1692" s="1031"/>
      <c r="I1692" s="948"/>
    </row>
    <row r="1693" spans="3:9" ht="15.75">
      <c r="C1693" s="945" t="s">
        <v>925</v>
      </c>
      <c r="D1693" s="946"/>
      <c r="E1693" s="947"/>
      <c r="F1693" s="1054"/>
      <c r="G1693" s="946"/>
      <c r="H1693" s="1031"/>
      <c r="I1693" s="948"/>
    </row>
    <row r="1694" spans="3:9" ht="15.75">
      <c r="C1694" s="949" t="s">
        <v>924</v>
      </c>
      <c r="D1694" s="946"/>
      <c r="E1694" s="947" t="str">
        <f>+VLOOKUP(C1694,'Basic (equilibrio) (2)'!B:D,2,FALSE)</f>
        <v>n/a</v>
      </c>
      <c r="F1694" s="1054">
        <f>+VLOOKUP(C1694,'Basic (equilibrio) (2)'!B:D,3,FALSE)</f>
        <v>0</v>
      </c>
      <c r="G1694" s="946">
        <f>F1694-(F1694/1.18)</f>
        <v>0</v>
      </c>
      <c r="H1694" s="1031"/>
      <c r="I1694" s="948">
        <f>D1694*F1694</f>
        <v>0</v>
      </c>
    </row>
    <row r="1695" spans="3:9" ht="15.75">
      <c r="C1695" s="951" t="s">
        <v>918</v>
      </c>
      <c r="D1695" s="946"/>
      <c r="E1695" s="947"/>
      <c r="F1695" s="1054"/>
      <c r="G1695" s="946"/>
      <c r="H1695" s="1031"/>
      <c r="I1695" s="952">
        <f>SUM(I1694)</f>
        <v>0</v>
      </c>
    </row>
    <row r="1696" spans="3:9" ht="15.75">
      <c r="C1696" s="951"/>
      <c r="D1696" s="946"/>
      <c r="E1696" s="947"/>
      <c r="F1696" s="1054"/>
      <c r="G1696" s="946"/>
      <c r="H1696" s="1031"/>
      <c r="I1696" s="952"/>
    </row>
    <row r="1697" spans="2:9" ht="15.75">
      <c r="C1697" s="956" t="s">
        <v>926</v>
      </c>
      <c r="D1697" s="957"/>
      <c r="E1697" s="958"/>
      <c r="F1697" s="1069"/>
      <c r="G1697" s="957"/>
      <c r="H1697" s="1032"/>
      <c r="I1697" s="959">
        <f>+I1683</f>
        <v>209727.3</v>
      </c>
    </row>
    <row r="1698" spans="2:9" ht="15.75">
      <c r="C1698" s="956" t="s">
        <v>927</v>
      </c>
      <c r="D1698" s="957"/>
      <c r="E1698" s="958"/>
      <c r="F1698" s="1069"/>
      <c r="G1698" s="957"/>
      <c r="H1698" s="1032"/>
      <c r="I1698" s="959">
        <f>+I1687</f>
        <v>0</v>
      </c>
    </row>
    <row r="1699" spans="2:9" ht="15.75">
      <c r="C1699" s="956" t="s">
        <v>928</v>
      </c>
      <c r="D1699" s="957"/>
      <c r="E1699" s="958"/>
      <c r="F1699" s="1069"/>
      <c r="G1699" s="957"/>
      <c r="H1699" s="1032"/>
      <c r="I1699" s="959">
        <f>+I1691</f>
        <v>0</v>
      </c>
    </row>
    <row r="1700" spans="2:9" ht="15.75">
      <c r="C1700" s="956" t="s">
        <v>929</v>
      </c>
      <c r="D1700" s="957"/>
      <c r="E1700" s="958"/>
      <c r="F1700" s="1069"/>
      <c r="G1700" s="957"/>
      <c r="H1700" s="1032"/>
      <c r="I1700" s="959">
        <f>+I1695</f>
        <v>0</v>
      </c>
    </row>
    <row r="1701" spans="2:9" ht="15.75">
      <c r="C1701" s="949"/>
      <c r="D1701" s="946"/>
      <c r="E1701" s="947"/>
      <c r="F1701" s="1054"/>
      <c r="G1701" s="946"/>
      <c r="H1701" s="1031"/>
      <c r="I1701" s="948"/>
    </row>
    <row r="1702" spans="2:9" ht="15.75">
      <c r="C1702" s="949"/>
      <c r="D1702" s="946"/>
      <c r="E1702" s="947"/>
      <c r="F1702" s="1054"/>
      <c r="G1702" s="946"/>
      <c r="H1702" s="1031"/>
      <c r="I1702" s="948"/>
    </row>
    <row r="1703" spans="2:9" ht="15.75">
      <c r="C1703" s="951" t="s">
        <v>930</v>
      </c>
      <c r="D1703" s="960"/>
      <c r="E1703" s="943" t="str">
        <f>+E1679</f>
        <v>und</v>
      </c>
      <c r="F1703" s="1070"/>
      <c r="G1703" s="960"/>
      <c r="H1703" s="1033"/>
      <c r="I1703" s="952">
        <f>SUM(I1697:I1700)</f>
        <v>209727.3</v>
      </c>
    </row>
    <row r="1704" spans="2:9" ht="15.75">
      <c r="C1704" s="951"/>
      <c r="D1704" s="960"/>
      <c r="E1704" s="943"/>
      <c r="F1704" s="1070"/>
      <c r="G1704" s="960"/>
      <c r="H1704" s="1033"/>
      <c r="I1704" s="952"/>
    </row>
    <row r="1705" spans="2:9" ht="15.75">
      <c r="C1705" s="951"/>
      <c r="D1705" s="960"/>
      <c r="E1705" s="943"/>
      <c r="F1705" s="1070"/>
      <c r="G1705" s="960"/>
      <c r="H1705" s="1033"/>
      <c r="I1705" s="952"/>
    </row>
    <row r="1706" spans="2:9" ht="15.75">
      <c r="B1706" s="1024">
        <v>2.8</v>
      </c>
      <c r="C1706" s="937" t="str">
        <f>+Presupuesto!B114</f>
        <v>Módulo de juegos múltiples</v>
      </c>
      <c r="D1706" s="938"/>
      <c r="E1706" s="939" t="s">
        <v>1106</v>
      </c>
      <c r="F1706" s="1066"/>
      <c r="G1706" s="938"/>
      <c r="H1706" s="1029"/>
      <c r="I1706" s="940">
        <f>I1730</f>
        <v>209727.3</v>
      </c>
    </row>
    <row r="1707" spans="2:9" ht="15.75">
      <c r="C1707" s="941" t="s">
        <v>908</v>
      </c>
      <c r="D1707" s="942" t="s">
        <v>9</v>
      </c>
      <c r="E1707" s="943" t="s">
        <v>10</v>
      </c>
      <c r="F1707" s="1067" t="s">
        <v>909</v>
      </c>
      <c r="G1707" s="942" t="s">
        <v>910</v>
      </c>
      <c r="H1707" s="1030" t="s">
        <v>911</v>
      </c>
      <c r="I1707" s="944" t="s">
        <v>912</v>
      </c>
    </row>
    <row r="1708" spans="2:9" ht="15.75">
      <c r="C1708" s="945" t="s">
        <v>913</v>
      </c>
      <c r="D1708" s="946"/>
      <c r="E1708" s="947"/>
      <c r="F1708" s="1054"/>
      <c r="G1708" s="946"/>
      <c r="H1708" s="1031"/>
      <c r="I1708" s="948"/>
    </row>
    <row r="1709" spans="2:9" ht="15.75">
      <c r="C1709" s="949" t="s">
        <v>458</v>
      </c>
      <c r="D1709" s="946">
        <v>1</v>
      </c>
      <c r="E1709" s="950" t="str">
        <f>+VLOOKUP(C1709,'Basic (equilibrio) (2)'!B:D,2,FALSE)</f>
        <v>Ud</v>
      </c>
      <c r="F1709" s="1068">
        <f>'Basic (equilibrio) (2)'!$D$348</f>
        <v>209727.3</v>
      </c>
      <c r="G1709" s="946">
        <f>F1709-(F1709/1.18)</f>
        <v>31992.3</v>
      </c>
      <c r="H1709" s="1031"/>
      <c r="I1709" s="948">
        <f>D1709*F1709</f>
        <v>209727.3</v>
      </c>
    </row>
    <row r="1710" spans="2:9" ht="15.75">
      <c r="C1710" s="951" t="s">
        <v>918</v>
      </c>
      <c r="D1710" s="946"/>
      <c r="E1710" s="947"/>
      <c r="F1710" s="1068"/>
      <c r="G1710" s="946"/>
      <c r="H1710" s="1031"/>
      <c r="I1710" s="952">
        <f>SUM(I1709:I1709)</f>
        <v>209727.3</v>
      </c>
    </row>
    <row r="1711" spans="2:9" ht="15.75">
      <c r="C1711" s="949"/>
      <c r="D1711" s="946"/>
      <c r="E1711" s="947"/>
      <c r="F1711" s="1068"/>
      <c r="G1711" s="946"/>
      <c r="H1711" s="1031"/>
      <c r="I1711" s="948"/>
    </row>
    <row r="1712" spans="2:9" ht="15.75">
      <c r="C1712" s="945" t="s">
        <v>919</v>
      </c>
      <c r="D1712" s="946"/>
      <c r="E1712" s="947"/>
      <c r="F1712" s="1068"/>
      <c r="G1712" s="946"/>
      <c r="H1712" s="1031"/>
      <c r="I1712" s="948"/>
    </row>
    <row r="1713" spans="3:9" ht="15.75">
      <c r="C1713" s="949" t="s">
        <v>924</v>
      </c>
      <c r="D1713" s="953"/>
      <c r="E1713" s="954" t="str">
        <f>+VLOOKUP(C1713,'Basic (equilibrio) (2)'!B:D,2,FALSE)</f>
        <v>n/a</v>
      </c>
      <c r="F1713" s="1068">
        <f>+VLOOKUP(C1713,'Basic (equilibrio) (2)'!B:D,3,FALSE)</f>
        <v>0</v>
      </c>
      <c r="G1713" s="946">
        <v>0</v>
      </c>
      <c r="H1713" s="1031"/>
      <c r="I1713" s="948">
        <f>D1713*F1713</f>
        <v>0</v>
      </c>
    </row>
    <row r="1714" spans="3:9" ht="15.75">
      <c r="C1714" s="951" t="s">
        <v>918</v>
      </c>
      <c r="D1714" s="946"/>
      <c r="E1714" s="947"/>
      <c r="F1714" s="1054"/>
      <c r="G1714" s="946"/>
      <c r="H1714" s="1031"/>
      <c r="I1714" s="952">
        <f>SUM(I1713:I1713)</f>
        <v>0</v>
      </c>
    </row>
    <row r="1715" spans="3:9" ht="15.75">
      <c r="C1715" s="949"/>
      <c r="D1715" s="946"/>
      <c r="E1715" s="947"/>
      <c r="F1715" s="1054"/>
      <c r="G1715" s="946"/>
      <c r="H1715" s="1031"/>
      <c r="I1715" s="948"/>
    </row>
    <row r="1716" spans="3:9" ht="15.75">
      <c r="C1716" s="945" t="s">
        <v>923</v>
      </c>
      <c r="D1716" s="946"/>
      <c r="E1716" s="947"/>
      <c r="F1716" s="1054"/>
      <c r="G1716" s="946"/>
      <c r="H1716" s="1031"/>
      <c r="I1716" s="948"/>
    </row>
    <row r="1717" spans="3:9" ht="15.75">
      <c r="C1717" s="949" t="s">
        <v>924</v>
      </c>
      <c r="D1717" s="946"/>
      <c r="E1717" s="947" t="str">
        <f>+VLOOKUP(C1717,'Basic (equilibrio) (2)'!B:D,2,FALSE)</f>
        <v>n/a</v>
      </c>
      <c r="F1717" s="1054">
        <f>+VLOOKUP(C1717,'Basic (equilibrio) (2)'!B:D,3,FALSE)</f>
        <v>0</v>
      </c>
      <c r="G1717" s="946">
        <f>F1717-(F1717/1.18)</f>
        <v>0</v>
      </c>
      <c r="H1717" s="1039"/>
      <c r="I1717" s="955">
        <f>D1717*F1717</f>
        <v>0</v>
      </c>
    </row>
    <row r="1718" spans="3:9" ht="15.75">
      <c r="C1718" s="951" t="s">
        <v>918</v>
      </c>
      <c r="D1718" s="946"/>
      <c r="E1718" s="947"/>
      <c r="F1718" s="1054"/>
      <c r="G1718" s="946"/>
      <c r="H1718" s="1031"/>
      <c r="I1718" s="952">
        <f>SUM(I1717:I1717)</f>
        <v>0</v>
      </c>
    </row>
    <row r="1719" spans="3:9" ht="15.75">
      <c r="C1719" s="949"/>
      <c r="D1719" s="946"/>
      <c r="E1719" s="947"/>
      <c r="F1719" s="1054"/>
      <c r="G1719" s="946"/>
      <c r="H1719" s="1031"/>
      <c r="I1719" s="948"/>
    </row>
    <row r="1720" spans="3:9" ht="15.75">
      <c r="C1720" s="945" t="s">
        <v>925</v>
      </c>
      <c r="D1720" s="946"/>
      <c r="E1720" s="947"/>
      <c r="F1720" s="1054"/>
      <c r="G1720" s="946"/>
      <c r="H1720" s="1031"/>
      <c r="I1720" s="948"/>
    </row>
    <row r="1721" spans="3:9" ht="15.75">
      <c r="C1721" s="949" t="s">
        <v>924</v>
      </c>
      <c r="D1721" s="946"/>
      <c r="E1721" s="947" t="str">
        <f>+VLOOKUP(C1721,'Basic (equilibrio) (2)'!B:D,2,FALSE)</f>
        <v>n/a</v>
      </c>
      <c r="F1721" s="1054">
        <f>+VLOOKUP(C1721,'Basic (equilibrio) (2)'!B:D,3,FALSE)</f>
        <v>0</v>
      </c>
      <c r="G1721" s="946">
        <f>F1721-(F1721/1.18)</f>
        <v>0</v>
      </c>
      <c r="H1721" s="1031"/>
      <c r="I1721" s="948">
        <f>D1721*F1721</f>
        <v>0</v>
      </c>
    </row>
    <row r="1722" spans="3:9" ht="15.75">
      <c r="C1722" s="951" t="s">
        <v>918</v>
      </c>
      <c r="D1722" s="946"/>
      <c r="E1722" s="947"/>
      <c r="F1722" s="1054"/>
      <c r="G1722" s="946"/>
      <c r="H1722" s="1031"/>
      <c r="I1722" s="952">
        <f>SUM(I1721)</f>
        <v>0</v>
      </c>
    </row>
    <row r="1723" spans="3:9" ht="15.75">
      <c r="C1723" s="951"/>
      <c r="D1723" s="946"/>
      <c r="E1723" s="947"/>
      <c r="F1723" s="1054"/>
      <c r="G1723" s="946"/>
      <c r="H1723" s="1031"/>
      <c r="I1723" s="952"/>
    </row>
    <row r="1724" spans="3:9" ht="15.75">
      <c r="C1724" s="956" t="s">
        <v>926</v>
      </c>
      <c r="D1724" s="957"/>
      <c r="E1724" s="958"/>
      <c r="F1724" s="1069"/>
      <c r="G1724" s="957"/>
      <c r="H1724" s="1032"/>
      <c r="I1724" s="959">
        <f>+I1710</f>
        <v>209727.3</v>
      </c>
    </row>
    <row r="1725" spans="3:9" ht="15.75">
      <c r="C1725" s="956" t="s">
        <v>927</v>
      </c>
      <c r="D1725" s="957"/>
      <c r="E1725" s="958"/>
      <c r="F1725" s="1069"/>
      <c r="G1725" s="957"/>
      <c r="H1725" s="1032"/>
      <c r="I1725" s="959">
        <f>+I1714</f>
        <v>0</v>
      </c>
    </row>
    <row r="1726" spans="3:9" ht="15.75">
      <c r="C1726" s="956" t="s">
        <v>928</v>
      </c>
      <c r="D1726" s="957"/>
      <c r="E1726" s="958"/>
      <c r="F1726" s="1069"/>
      <c r="G1726" s="957"/>
      <c r="H1726" s="1032"/>
      <c r="I1726" s="959">
        <f>+I1718</f>
        <v>0</v>
      </c>
    </row>
    <row r="1727" spans="3:9" ht="15.75">
      <c r="C1727" s="956" t="s">
        <v>929</v>
      </c>
      <c r="D1727" s="957"/>
      <c r="E1727" s="958"/>
      <c r="F1727" s="1069"/>
      <c r="G1727" s="957"/>
      <c r="H1727" s="1032"/>
      <c r="I1727" s="959">
        <f>+I1722</f>
        <v>0</v>
      </c>
    </row>
    <row r="1728" spans="3:9" ht="15.75">
      <c r="C1728" s="949"/>
      <c r="D1728" s="946"/>
      <c r="E1728" s="947"/>
      <c r="F1728" s="1054"/>
      <c r="G1728" s="946"/>
      <c r="H1728" s="1031"/>
      <c r="I1728" s="948"/>
    </row>
    <row r="1729" spans="2:9" ht="15.75">
      <c r="C1729" s="949"/>
      <c r="D1729" s="946"/>
      <c r="E1729" s="947"/>
      <c r="F1729" s="1054"/>
      <c r="G1729" s="946"/>
      <c r="H1729" s="1031"/>
      <c r="I1729" s="948"/>
    </row>
    <row r="1730" spans="2:9" ht="15.75">
      <c r="C1730" s="951" t="s">
        <v>930</v>
      </c>
      <c r="D1730" s="960"/>
      <c r="E1730" s="943" t="str">
        <f>+E1706</f>
        <v>und</v>
      </c>
      <c r="F1730" s="1070"/>
      <c r="G1730" s="960"/>
      <c r="H1730" s="1033"/>
      <c r="I1730" s="952">
        <f>SUM(I1724:I1727)</f>
        <v>209727.3</v>
      </c>
    </row>
    <row r="1731" spans="2:9" ht="15.75">
      <c r="C1731" s="951"/>
      <c r="D1731" s="960"/>
      <c r="E1731" s="943"/>
      <c r="F1731" s="1070"/>
      <c r="G1731" s="960"/>
      <c r="H1731" s="1033"/>
      <c r="I1731" s="952"/>
    </row>
    <row r="1732" spans="2:9" ht="15.75">
      <c r="C1732" s="951"/>
      <c r="D1732" s="960"/>
      <c r="E1732" s="943"/>
      <c r="F1732" s="1070"/>
      <c r="G1732" s="960"/>
      <c r="H1732" s="1033"/>
      <c r="I1732" s="952"/>
    </row>
    <row r="1733" spans="2:9" ht="15.75">
      <c r="B1733" s="1024">
        <v>2.9</v>
      </c>
      <c r="C1733" s="937" t="str">
        <f>+Presupuesto!B115</f>
        <v>Tobogán con centro de juegos con deslizador</v>
      </c>
      <c r="D1733" s="938"/>
      <c r="E1733" s="939" t="s">
        <v>1106</v>
      </c>
      <c r="F1733" s="1066"/>
      <c r="G1733" s="938"/>
      <c r="H1733" s="1029"/>
      <c r="I1733" s="940">
        <f>I1757</f>
        <v>213819.5</v>
      </c>
    </row>
    <row r="1734" spans="2:9" ht="15.75">
      <c r="C1734" s="941" t="s">
        <v>908</v>
      </c>
      <c r="D1734" s="942" t="s">
        <v>9</v>
      </c>
      <c r="E1734" s="943" t="s">
        <v>10</v>
      </c>
      <c r="F1734" s="1067" t="s">
        <v>909</v>
      </c>
      <c r="G1734" s="942" t="s">
        <v>910</v>
      </c>
      <c r="H1734" s="1030" t="s">
        <v>911</v>
      </c>
      <c r="I1734" s="944" t="s">
        <v>912</v>
      </c>
    </row>
    <row r="1735" spans="2:9" ht="15.75">
      <c r="C1735" s="945" t="s">
        <v>913</v>
      </c>
      <c r="D1735" s="946"/>
      <c r="E1735" s="947"/>
      <c r="F1735" s="1054"/>
      <c r="G1735" s="946"/>
      <c r="H1735" s="1031"/>
      <c r="I1735" s="948"/>
    </row>
    <row r="1736" spans="2:9" ht="15.75">
      <c r="C1736" s="949" t="s">
        <v>460</v>
      </c>
      <c r="D1736" s="946">
        <v>1</v>
      </c>
      <c r="E1736" s="950" t="str">
        <f>+VLOOKUP(C1736,'Basic (equilibrio) (2)'!B:D,2,FALSE)</f>
        <v>Ud</v>
      </c>
      <c r="F1736" s="1068">
        <f>'Basic (equilibrio) (2)'!$D$350</f>
        <v>213819.5</v>
      </c>
      <c r="G1736" s="946">
        <f>F1736-(F1736/1.18)</f>
        <v>32616.53</v>
      </c>
      <c r="H1736" s="1031"/>
      <c r="I1736" s="948">
        <f>D1736*F1736</f>
        <v>213819.5</v>
      </c>
    </row>
    <row r="1737" spans="2:9" ht="15.75">
      <c r="C1737" s="951" t="s">
        <v>918</v>
      </c>
      <c r="D1737" s="946"/>
      <c r="E1737" s="947"/>
      <c r="F1737" s="1068"/>
      <c r="G1737" s="946"/>
      <c r="H1737" s="1031"/>
      <c r="I1737" s="952">
        <f>SUM(I1736:I1736)</f>
        <v>213819.5</v>
      </c>
    </row>
    <row r="1738" spans="2:9" ht="15.75">
      <c r="C1738" s="949"/>
      <c r="D1738" s="946"/>
      <c r="E1738" s="947"/>
      <c r="F1738" s="1068"/>
      <c r="G1738" s="946"/>
      <c r="H1738" s="1031"/>
      <c r="I1738" s="948"/>
    </row>
    <row r="1739" spans="2:9" ht="15.75">
      <c r="C1739" s="945" t="s">
        <v>919</v>
      </c>
      <c r="D1739" s="946"/>
      <c r="E1739" s="947"/>
      <c r="F1739" s="1068"/>
      <c r="G1739" s="946"/>
      <c r="H1739" s="1031"/>
      <c r="I1739" s="948"/>
    </row>
    <row r="1740" spans="2:9" ht="15.75">
      <c r="C1740" s="949" t="s">
        <v>924</v>
      </c>
      <c r="D1740" s="953"/>
      <c r="E1740" s="954" t="str">
        <f>+VLOOKUP(C1740,'Basic (equilibrio) (2)'!B:D,2,FALSE)</f>
        <v>n/a</v>
      </c>
      <c r="F1740" s="1068">
        <f>+VLOOKUP(C1740,'Basic (equilibrio) (2)'!B:D,3,FALSE)</f>
        <v>0</v>
      </c>
      <c r="G1740" s="946">
        <v>0</v>
      </c>
      <c r="H1740" s="1031"/>
      <c r="I1740" s="948">
        <f>D1740*F1740</f>
        <v>0</v>
      </c>
    </row>
    <row r="1741" spans="2:9" ht="15.75">
      <c r="C1741" s="951" t="s">
        <v>918</v>
      </c>
      <c r="D1741" s="946"/>
      <c r="E1741" s="947"/>
      <c r="F1741" s="1054"/>
      <c r="G1741" s="946"/>
      <c r="H1741" s="1031"/>
      <c r="I1741" s="952">
        <f>SUM(I1740:I1740)</f>
        <v>0</v>
      </c>
    </row>
    <row r="1742" spans="2:9" ht="15.75">
      <c r="C1742" s="949"/>
      <c r="D1742" s="946"/>
      <c r="E1742" s="947"/>
      <c r="F1742" s="1054"/>
      <c r="G1742" s="946"/>
      <c r="H1742" s="1031"/>
      <c r="I1742" s="948"/>
    </row>
    <row r="1743" spans="2:9" ht="15.75">
      <c r="C1743" s="945" t="s">
        <v>923</v>
      </c>
      <c r="D1743" s="946"/>
      <c r="E1743" s="947"/>
      <c r="F1743" s="1054"/>
      <c r="G1743" s="946"/>
      <c r="H1743" s="1031"/>
      <c r="I1743" s="948"/>
    </row>
    <row r="1744" spans="2:9" ht="15.75">
      <c r="C1744" s="949" t="s">
        <v>924</v>
      </c>
      <c r="D1744" s="946"/>
      <c r="E1744" s="947" t="str">
        <f>+VLOOKUP(C1744,'Basic (equilibrio) (2)'!B:D,2,FALSE)</f>
        <v>n/a</v>
      </c>
      <c r="F1744" s="1054">
        <f>+VLOOKUP(C1744,'Basic (equilibrio) (2)'!B:D,3,FALSE)</f>
        <v>0</v>
      </c>
      <c r="G1744" s="946">
        <f>F1744-(F1744/1.18)</f>
        <v>0</v>
      </c>
      <c r="H1744" s="1039"/>
      <c r="I1744" s="955">
        <f>D1744*F1744</f>
        <v>0</v>
      </c>
    </row>
    <row r="1745" spans="2:9" ht="15.75">
      <c r="C1745" s="951" t="s">
        <v>918</v>
      </c>
      <c r="D1745" s="946"/>
      <c r="E1745" s="947"/>
      <c r="F1745" s="1054"/>
      <c r="G1745" s="946"/>
      <c r="H1745" s="1031"/>
      <c r="I1745" s="952">
        <f>SUM(I1744:I1744)</f>
        <v>0</v>
      </c>
    </row>
    <row r="1746" spans="2:9" ht="15.75">
      <c r="C1746" s="949"/>
      <c r="D1746" s="946"/>
      <c r="E1746" s="947"/>
      <c r="F1746" s="1054"/>
      <c r="G1746" s="946"/>
      <c r="H1746" s="1031"/>
      <c r="I1746" s="948"/>
    </row>
    <row r="1747" spans="2:9" ht="15.75">
      <c r="C1747" s="945" t="s">
        <v>925</v>
      </c>
      <c r="D1747" s="946"/>
      <c r="E1747" s="947"/>
      <c r="F1747" s="1054"/>
      <c r="G1747" s="946"/>
      <c r="H1747" s="1031"/>
      <c r="I1747" s="948"/>
    </row>
    <row r="1748" spans="2:9" ht="15.75">
      <c r="C1748" s="949" t="s">
        <v>924</v>
      </c>
      <c r="D1748" s="946"/>
      <c r="E1748" s="947" t="str">
        <f>+VLOOKUP(C1748,'Basic (equilibrio) (2)'!B:D,2,FALSE)</f>
        <v>n/a</v>
      </c>
      <c r="F1748" s="1054">
        <f>+VLOOKUP(C1748,'Basic (equilibrio) (2)'!B:D,3,FALSE)</f>
        <v>0</v>
      </c>
      <c r="G1748" s="946">
        <f>F1748-(F1748/1.18)</f>
        <v>0</v>
      </c>
      <c r="H1748" s="1031"/>
      <c r="I1748" s="948">
        <f>D1748*F1748</f>
        <v>0</v>
      </c>
    </row>
    <row r="1749" spans="2:9" ht="15.75">
      <c r="C1749" s="951" t="s">
        <v>918</v>
      </c>
      <c r="D1749" s="946"/>
      <c r="E1749" s="947"/>
      <c r="F1749" s="1054"/>
      <c r="G1749" s="946"/>
      <c r="H1749" s="1031"/>
      <c r="I1749" s="952">
        <f>SUM(I1748)</f>
        <v>0</v>
      </c>
    </row>
    <row r="1750" spans="2:9" ht="15.75">
      <c r="C1750" s="951"/>
      <c r="D1750" s="946"/>
      <c r="E1750" s="947"/>
      <c r="F1750" s="1054"/>
      <c r="G1750" s="946"/>
      <c r="H1750" s="1031"/>
      <c r="I1750" s="952"/>
    </row>
    <row r="1751" spans="2:9" ht="15.75">
      <c r="C1751" s="956" t="s">
        <v>926</v>
      </c>
      <c r="D1751" s="957"/>
      <c r="E1751" s="958"/>
      <c r="F1751" s="1069"/>
      <c r="G1751" s="957"/>
      <c r="H1751" s="1032"/>
      <c r="I1751" s="959">
        <f>+I1737</f>
        <v>213819.5</v>
      </c>
    </row>
    <row r="1752" spans="2:9" ht="15.75">
      <c r="C1752" s="956" t="s">
        <v>927</v>
      </c>
      <c r="D1752" s="957"/>
      <c r="E1752" s="958"/>
      <c r="F1752" s="1069"/>
      <c r="G1752" s="957"/>
      <c r="H1752" s="1032"/>
      <c r="I1752" s="959">
        <f>+I1741</f>
        <v>0</v>
      </c>
    </row>
    <row r="1753" spans="2:9" ht="15.75">
      <c r="C1753" s="956" t="s">
        <v>928</v>
      </c>
      <c r="D1753" s="957"/>
      <c r="E1753" s="958"/>
      <c r="F1753" s="1069"/>
      <c r="G1753" s="957"/>
      <c r="H1753" s="1032"/>
      <c r="I1753" s="959">
        <f>+I1745</f>
        <v>0</v>
      </c>
    </row>
    <row r="1754" spans="2:9" ht="15.75">
      <c r="C1754" s="956" t="s">
        <v>929</v>
      </c>
      <c r="D1754" s="957"/>
      <c r="E1754" s="958"/>
      <c r="F1754" s="1069"/>
      <c r="G1754" s="957"/>
      <c r="H1754" s="1032"/>
      <c r="I1754" s="959">
        <f>+I1749</f>
        <v>0</v>
      </c>
    </row>
    <row r="1755" spans="2:9" ht="15.75">
      <c r="C1755" s="949"/>
      <c r="D1755" s="946"/>
      <c r="E1755" s="947"/>
      <c r="F1755" s="1054"/>
      <c r="G1755" s="946"/>
      <c r="H1755" s="1031"/>
      <c r="I1755" s="948"/>
    </row>
    <row r="1756" spans="2:9" ht="15.75">
      <c r="C1756" s="949"/>
      <c r="D1756" s="946"/>
      <c r="E1756" s="947"/>
      <c r="F1756" s="1054"/>
      <c r="G1756" s="946"/>
      <c r="H1756" s="1031"/>
      <c r="I1756" s="948"/>
    </row>
    <row r="1757" spans="2:9" ht="15.75">
      <c r="C1757" s="951" t="s">
        <v>930</v>
      </c>
      <c r="D1757" s="960"/>
      <c r="E1757" s="943" t="str">
        <f>+E1733</f>
        <v>und</v>
      </c>
      <c r="F1757" s="1070"/>
      <c r="G1757" s="960"/>
      <c r="H1757" s="1033"/>
      <c r="I1757" s="952">
        <f>SUM(I1751:I1754)</f>
        <v>213819.5</v>
      </c>
    </row>
    <row r="1758" spans="2:9" ht="15.75">
      <c r="C1758" s="951"/>
      <c r="D1758" s="960"/>
      <c r="E1758" s="943"/>
      <c r="F1758" s="1070"/>
      <c r="G1758" s="960"/>
      <c r="H1758" s="1033"/>
      <c r="I1758" s="952"/>
    </row>
    <row r="1759" spans="2:9" ht="15.75">
      <c r="C1759" s="951"/>
      <c r="D1759" s="960"/>
      <c r="E1759" s="943"/>
      <c r="F1759" s="1070"/>
      <c r="G1759" s="960"/>
      <c r="H1759" s="1033"/>
      <c r="I1759" s="952"/>
    </row>
    <row r="1760" spans="2:9" ht="15.75">
      <c r="B1760" s="1024">
        <v>3.1</v>
      </c>
      <c r="C1760" s="937" t="str">
        <f>+Presupuesto!B118</f>
        <v>Camino de hormigón para peatones, Ancho=1.20m</v>
      </c>
      <c r="D1760" s="938"/>
      <c r="E1760" s="939" t="s">
        <v>1000</v>
      </c>
      <c r="F1760" s="1066"/>
      <c r="G1760" s="938"/>
      <c r="H1760" s="1029"/>
      <c r="I1760" s="940">
        <f>I1787</f>
        <v>1327.14</v>
      </c>
    </row>
    <row r="1761" spans="3:9" ht="15.75">
      <c r="C1761" s="941" t="s">
        <v>908</v>
      </c>
      <c r="D1761" s="942" t="s">
        <v>9</v>
      </c>
      <c r="E1761" s="943" t="s">
        <v>10</v>
      </c>
      <c r="F1761" s="1067" t="s">
        <v>909</v>
      </c>
      <c r="G1761" s="942" t="s">
        <v>910</v>
      </c>
      <c r="H1761" s="1030" t="s">
        <v>911</v>
      </c>
      <c r="I1761" s="944" t="s">
        <v>912</v>
      </c>
    </row>
    <row r="1762" spans="3:9" ht="15.75">
      <c r="C1762" s="945" t="s">
        <v>913</v>
      </c>
      <c r="D1762" s="946"/>
      <c r="E1762" s="947"/>
      <c r="F1762" s="1054"/>
      <c r="G1762" s="946"/>
      <c r="H1762" s="1031"/>
      <c r="I1762" s="948"/>
    </row>
    <row r="1763" spans="3:9" ht="15.75">
      <c r="C1763" s="949" t="s">
        <v>994</v>
      </c>
      <c r="D1763" s="946">
        <f>1/10</f>
        <v>0.1</v>
      </c>
      <c r="E1763" s="950" t="str">
        <f>+VLOOKUP(C1763,'Basic (equilibrio) (2)'!B:D,2,FALSE)</f>
        <v>m3</v>
      </c>
      <c r="F1763" s="1068">
        <f>'Basic (equilibrio) (2)'!$D$179</f>
        <v>7600</v>
      </c>
      <c r="G1763" s="946">
        <f>F1763-(F1763/1.18)</f>
        <v>1159.32</v>
      </c>
      <c r="H1763" s="1031"/>
      <c r="I1763" s="948">
        <f>D1763*F1763</f>
        <v>760</v>
      </c>
    </row>
    <row r="1764" spans="3:9" ht="15.75">
      <c r="C1764" s="949" t="s">
        <v>1303</v>
      </c>
      <c r="D1764" s="946">
        <f>1/96</f>
        <v>0.01</v>
      </c>
      <c r="E1764" s="950" t="str">
        <f>+VLOOKUP(C1764,'Basic (equilibrio) (2)'!B:D,2,FALSE)</f>
        <v>rollo</v>
      </c>
      <c r="F1764" s="1068">
        <f>'Basic (equilibrio) (2)'!$D$330</f>
        <v>22294</v>
      </c>
      <c r="G1764" s="946">
        <f>F1764-(F1764/1.18)</f>
        <v>3400.78</v>
      </c>
      <c r="H1764" s="1031"/>
      <c r="I1764" s="948">
        <f>D1764*F1764</f>
        <v>222.94</v>
      </c>
    </row>
    <row r="1765" spans="3:9" ht="15.75">
      <c r="C1765" s="949" t="s">
        <v>1066</v>
      </c>
      <c r="D1765" s="946">
        <v>1</v>
      </c>
      <c r="E1765" s="950" t="str">
        <f>+VLOOKUP(C1765,'Basic (equilibrio) (2)'!B:D,2,FALSE)</f>
        <v>ml</v>
      </c>
      <c r="F1765" s="1068">
        <f>'Basic (equilibrio) (2)'!$D$20</f>
        <v>144</v>
      </c>
      <c r="G1765" s="946">
        <f>F1765-(F1765/1.18)</f>
        <v>21.97</v>
      </c>
      <c r="H1765" s="1031"/>
      <c r="I1765" s="948">
        <f>D1765*F1765</f>
        <v>144</v>
      </c>
    </row>
    <row r="1766" spans="3:9" ht="15.75">
      <c r="C1766" s="951" t="s">
        <v>918</v>
      </c>
      <c r="D1766" s="946"/>
      <c r="E1766" s="947"/>
      <c r="F1766" s="1068"/>
      <c r="G1766" s="946"/>
      <c r="H1766" s="1031"/>
      <c r="I1766" s="952">
        <f>SUM(I1763:I1765)</f>
        <v>1126.94</v>
      </c>
    </row>
    <row r="1767" spans="3:9" ht="15.75">
      <c r="C1767" s="949"/>
      <c r="D1767" s="946"/>
      <c r="E1767" s="947"/>
      <c r="F1767" s="1068"/>
      <c r="G1767" s="946"/>
      <c r="H1767" s="1031"/>
      <c r="I1767" s="948"/>
    </row>
    <row r="1768" spans="3:9" ht="15.75">
      <c r="C1768" s="945" t="s">
        <v>919</v>
      </c>
      <c r="D1768" s="946"/>
      <c r="E1768" s="947"/>
      <c r="F1768" s="1068"/>
      <c r="G1768" s="946"/>
      <c r="H1768" s="1031"/>
      <c r="I1768" s="948"/>
    </row>
    <row r="1769" spans="3:9" ht="15.75">
      <c r="C1769" s="949" t="s">
        <v>961</v>
      </c>
      <c r="D1769" s="953">
        <v>1</v>
      </c>
      <c r="E1769" s="954" t="str">
        <f>+VLOOKUP(C1769,'Basic (equilibrio) (2)'!B:D,2,FALSE)</f>
        <v>m2</v>
      </c>
      <c r="F1769" s="1054">
        <f>'Basic (equilibrio) (2)'!$D$47</f>
        <v>86.2</v>
      </c>
      <c r="G1769" s="946">
        <v>0</v>
      </c>
      <c r="H1769" s="1031"/>
      <c r="I1769" s="948">
        <f>D1769*F1769</f>
        <v>86.2</v>
      </c>
    </row>
    <row r="1770" spans="3:9" ht="15.75">
      <c r="C1770" s="949" t="s">
        <v>1064</v>
      </c>
      <c r="D1770" s="946">
        <v>1</v>
      </c>
      <c r="E1770" s="950" t="str">
        <f>+VLOOKUP(C1770,'Basic (equilibrio) (2)'!B:D,2,FALSE)</f>
        <v>m2</v>
      </c>
      <c r="F1770" s="1054">
        <f>'Basic (equilibrio) (2)'!$D$19</f>
        <v>114</v>
      </c>
      <c r="G1770" s="946">
        <f>F1770-(F1770/1.18)</f>
        <v>17.39</v>
      </c>
      <c r="H1770" s="1031"/>
      <c r="I1770" s="948">
        <f>D1770*F1770</f>
        <v>114</v>
      </c>
    </row>
    <row r="1771" spans="3:9" ht="15.75">
      <c r="C1771" s="951" t="s">
        <v>918</v>
      </c>
      <c r="D1771" s="946"/>
      <c r="E1771" s="947"/>
      <c r="F1771" s="1054"/>
      <c r="G1771" s="946"/>
      <c r="H1771" s="1031"/>
      <c r="I1771" s="952">
        <f>SUM(I1769:I1770)</f>
        <v>200.2</v>
      </c>
    </row>
    <row r="1772" spans="3:9" ht="15.75">
      <c r="C1772" s="949"/>
      <c r="D1772" s="946"/>
      <c r="E1772" s="947"/>
      <c r="F1772" s="1054"/>
      <c r="G1772" s="946"/>
      <c r="H1772" s="1031"/>
      <c r="I1772" s="948"/>
    </row>
    <row r="1773" spans="3:9" ht="15.75">
      <c r="C1773" s="945" t="s">
        <v>923</v>
      </c>
      <c r="D1773" s="946"/>
      <c r="E1773" s="947"/>
      <c r="F1773" s="1054"/>
      <c r="G1773" s="946"/>
      <c r="H1773" s="1031"/>
      <c r="I1773" s="948"/>
    </row>
    <row r="1774" spans="3:9" ht="15.75">
      <c r="C1774" s="949" t="s">
        <v>924</v>
      </c>
      <c r="D1774" s="946"/>
      <c r="E1774" s="947" t="str">
        <f>+VLOOKUP(C1774,'Basic (equilibrio) (2)'!B:D,2,FALSE)</f>
        <v>n/a</v>
      </c>
      <c r="F1774" s="1054">
        <f>+VLOOKUP(C1774,'Basic (equilibrio) (2)'!B:D,3,FALSE)</f>
        <v>0</v>
      </c>
      <c r="G1774" s="946">
        <f>F1774-(F1774/1.18)</f>
        <v>0</v>
      </c>
      <c r="H1774" s="1039"/>
      <c r="I1774" s="955">
        <f>D1774*F1774</f>
        <v>0</v>
      </c>
    </row>
    <row r="1775" spans="3:9" ht="15.75">
      <c r="C1775" s="951" t="s">
        <v>918</v>
      </c>
      <c r="D1775" s="946"/>
      <c r="E1775" s="947"/>
      <c r="F1775" s="1054"/>
      <c r="G1775" s="946"/>
      <c r="H1775" s="1031"/>
      <c r="I1775" s="952">
        <f>SUM(I1774:I1774)</f>
        <v>0</v>
      </c>
    </row>
    <row r="1776" spans="3:9" ht="15.75">
      <c r="C1776" s="949"/>
      <c r="D1776" s="946"/>
      <c r="E1776" s="947"/>
      <c r="F1776" s="1054"/>
      <c r="G1776" s="946"/>
      <c r="H1776" s="1031"/>
      <c r="I1776" s="948"/>
    </row>
    <row r="1777" spans="2:9" ht="15.75">
      <c r="C1777" s="945" t="s">
        <v>925</v>
      </c>
      <c r="D1777" s="946"/>
      <c r="E1777" s="947"/>
      <c r="F1777" s="1054"/>
      <c r="G1777" s="946"/>
      <c r="H1777" s="1031"/>
      <c r="I1777" s="948"/>
    </row>
    <row r="1778" spans="2:9" ht="15.75">
      <c r="C1778" s="949" t="s">
        <v>924</v>
      </c>
      <c r="D1778" s="946"/>
      <c r="E1778" s="947" t="str">
        <f>+VLOOKUP(C1778,'Basic (equilibrio) (2)'!B:D,2,FALSE)</f>
        <v>n/a</v>
      </c>
      <c r="F1778" s="1054">
        <f>+VLOOKUP(C1778,'Basic (equilibrio) (2)'!B:D,3,FALSE)</f>
        <v>0</v>
      </c>
      <c r="G1778" s="946">
        <f>F1778-(F1778/1.18)</f>
        <v>0</v>
      </c>
      <c r="H1778" s="1031"/>
      <c r="I1778" s="948">
        <f>D1778*F1778</f>
        <v>0</v>
      </c>
    </row>
    <row r="1779" spans="2:9" ht="15.75">
      <c r="C1779" s="951" t="s">
        <v>918</v>
      </c>
      <c r="D1779" s="946"/>
      <c r="E1779" s="947"/>
      <c r="F1779" s="1054"/>
      <c r="G1779" s="946"/>
      <c r="H1779" s="1031"/>
      <c r="I1779" s="952">
        <f>SUM(I1778)</f>
        <v>0</v>
      </c>
    </row>
    <row r="1780" spans="2:9" ht="15.75">
      <c r="C1780" s="951"/>
      <c r="D1780" s="946"/>
      <c r="E1780" s="947"/>
      <c r="F1780" s="1054"/>
      <c r="G1780" s="946"/>
      <c r="H1780" s="1031"/>
      <c r="I1780" s="952"/>
    </row>
    <row r="1781" spans="2:9" ht="15.75">
      <c r="C1781" s="956" t="s">
        <v>926</v>
      </c>
      <c r="D1781" s="957"/>
      <c r="E1781" s="958"/>
      <c r="F1781" s="1069"/>
      <c r="G1781" s="957"/>
      <c r="H1781" s="1032"/>
      <c r="I1781" s="959">
        <f>+I1766</f>
        <v>1126.94</v>
      </c>
    </row>
    <row r="1782" spans="2:9" ht="15.75">
      <c r="C1782" s="956" t="s">
        <v>927</v>
      </c>
      <c r="D1782" s="957"/>
      <c r="E1782" s="958"/>
      <c r="F1782" s="1069"/>
      <c r="G1782" s="957"/>
      <c r="H1782" s="1032"/>
      <c r="I1782" s="959">
        <f>+I1771</f>
        <v>200.2</v>
      </c>
    </row>
    <row r="1783" spans="2:9" ht="15.75">
      <c r="C1783" s="956" t="s">
        <v>928</v>
      </c>
      <c r="D1783" s="957"/>
      <c r="E1783" s="958"/>
      <c r="F1783" s="1069"/>
      <c r="G1783" s="957"/>
      <c r="H1783" s="1032"/>
      <c r="I1783" s="959">
        <f>+I1775</f>
        <v>0</v>
      </c>
    </row>
    <row r="1784" spans="2:9" ht="15.75">
      <c r="C1784" s="956" t="s">
        <v>929</v>
      </c>
      <c r="D1784" s="957"/>
      <c r="E1784" s="958"/>
      <c r="F1784" s="1069"/>
      <c r="G1784" s="957"/>
      <c r="H1784" s="1032"/>
      <c r="I1784" s="959">
        <f>+I1779</f>
        <v>0</v>
      </c>
    </row>
    <row r="1785" spans="2:9" ht="15.75">
      <c r="C1785" s="949"/>
      <c r="D1785" s="946"/>
      <c r="E1785" s="947"/>
      <c r="F1785" s="1054"/>
      <c r="G1785" s="946"/>
      <c r="H1785" s="1031"/>
      <c r="I1785" s="948"/>
    </row>
    <row r="1786" spans="2:9" ht="15.75">
      <c r="C1786" s="949"/>
      <c r="D1786" s="946"/>
      <c r="E1786" s="947"/>
      <c r="F1786" s="1054"/>
      <c r="G1786" s="946"/>
      <c r="H1786" s="1031"/>
      <c r="I1786" s="948"/>
    </row>
    <row r="1787" spans="2:9" ht="15.75">
      <c r="C1787" s="951" t="s">
        <v>930</v>
      </c>
      <c r="D1787" s="960"/>
      <c r="E1787" s="943" t="str">
        <f>+E1760</f>
        <v>m2</v>
      </c>
      <c r="F1787" s="1070"/>
      <c r="G1787" s="960"/>
      <c r="H1787" s="1033"/>
      <c r="I1787" s="952">
        <f>SUM(I1781:I1784)</f>
        <v>1327.14</v>
      </c>
    </row>
    <row r="1788" spans="2:9" ht="15.75">
      <c r="C1788" s="951"/>
      <c r="D1788" s="960"/>
      <c r="E1788" s="943"/>
      <c r="F1788" s="1070"/>
      <c r="G1788" s="960"/>
      <c r="H1788" s="1033"/>
      <c r="I1788" s="952"/>
    </row>
    <row r="1789" spans="2:9" ht="15.75">
      <c r="B1789" s="1024">
        <v>4.0999999999999996</v>
      </c>
      <c r="C1789" s="937" t="str">
        <f>+Presupuesto!B121</f>
        <v>Grama</v>
      </c>
      <c r="D1789" s="938"/>
      <c r="E1789" s="939" t="s">
        <v>1000</v>
      </c>
      <c r="F1789" s="1066"/>
      <c r="G1789" s="938"/>
      <c r="H1789" s="1029"/>
      <c r="I1789" s="940">
        <f>I1813</f>
        <v>180</v>
      </c>
    </row>
    <row r="1790" spans="2:9" ht="15.75">
      <c r="C1790" s="941" t="s">
        <v>908</v>
      </c>
      <c r="D1790" s="942" t="s">
        <v>9</v>
      </c>
      <c r="E1790" s="943" t="s">
        <v>10</v>
      </c>
      <c r="F1790" s="1067" t="s">
        <v>909</v>
      </c>
      <c r="G1790" s="942" t="s">
        <v>910</v>
      </c>
      <c r="H1790" s="1030" t="s">
        <v>911</v>
      </c>
      <c r="I1790" s="944" t="s">
        <v>912</v>
      </c>
    </row>
    <row r="1791" spans="2:9" ht="15.75">
      <c r="C1791" s="945" t="s">
        <v>913</v>
      </c>
      <c r="D1791" s="946"/>
      <c r="E1791" s="947"/>
      <c r="F1791" s="1054"/>
      <c r="G1791" s="946"/>
      <c r="H1791" s="1031"/>
      <c r="I1791" s="948"/>
    </row>
    <row r="1792" spans="2:9" ht="15.75">
      <c r="C1792" s="949" t="s">
        <v>1368</v>
      </c>
      <c r="D1792" s="946">
        <v>1</v>
      </c>
      <c r="E1792" s="950" t="str">
        <f>+VLOOKUP(C1792,'Basic (equilibrio) (2)'!B:D,2,FALSE)</f>
        <v>m2</v>
      </c>
      <c r="F1792" s="1068">
        <f>'Basic (equilibrio) (2)'!$D$393</f>
        <v>180</v>
      </c>
      <c r="G1792" s="946">
        <f>F1792-(F1792/1.18)</f>
        <v>27.46</v>
      </c>
      <c r="H1792" s="1031"/>
      <c r="I1792" s="948">
        <f>D1792*F1792</f>
        <v>180</v>
      </c>
    </row>
    <row r="1793" spans="3:9" ht="15.75">
      <c r="C1793" s="951" t="s">
        <v>918</v>
      </c>
      <c r="D1793" s="946"/>
      <c r="E1793" s="947"/>
      <c r="F1793" s="1068"/>
      <c r="G1793" s="946"/>
      <c r="H1793" s="1031"/>
      <c r="I1793" s="952">
        <f>SUM(I1792:I1792)</f>
        <v>180</v>
      </c>
    </row>
    <row r="1794" spans="3:9" ht="15.75">
      <c r="C1794" s="949"/>
      <c r="D1794" s="946"/>
      <c r="E1794" s="947"/>
      <c r="F1794" s="1068"/>
      <c r="G1794" s="946"/>
      <c r="H1794" s="1031"/>
      <c r="I1794" s="948"/>
    </row>
    <row r="1795" spans="3:9" ht="15.75">
      <c r="C1795" s="945" t="s">
        <v>919</v>
      </c>
      <c r="D1795" s="946"/>
      <c r="E1795" s="947"/>
      <c r="F1795" s="1068"/>
      <c r="G1795" s="946"/>
      <c r="H1795" s="1031"/>
      <c r="I1795" s="948"/>
    </row>
    <row r="1796" spans="3:9" ht="15.75">
      <c r="C1796" s="949" t="s">
        <v>924</v>
      </c>
      <c r="D1796" s="953"/>
      <c r="E1796" s="954" t="str">
        <f>+VLOOKUP(C1796,'Basic (equilibrio) (2)'!B:D,2,FALSE)</f>
        <v>n/a</v>
      </c>
      <c r="F1796" s="1068">
        <f>+VLOOKUP(C1796,'Basic (equilibrio) (2)'!B:D,3,FALSE)</f>
        <v>0</v>
      </c>
      <c r="G1796" s="946">
        <v>0</v>
      </c>
      <c r="H1796" s="1031"/>
      <c r="I1796" s="948">
        <f>D1796*F1796</f>
        <v>0</v>
      </c>
    </row>
    <row r="1797" spans="3:9" ht="15.75">
      <c r="C1797" s="951" t="s">
        <v>918</v>
      </c>
      <c r="D1797" s="946"/>
      <c r="E1797" s="947"/>
      <c r="F1797" s="1054"/>
      <c r="G1797" s="946"/>
      <c r="H1797" s="1031"/>
      <c r="I1797" s="952">
        <f>SUM(I1796:I1796)</f>
        <v>0</v>
      </c>
    </row>
    <row r="1798" spans="3:9" ht="15.75">
      <c r="C1798" s="949"/>
      <c r="D1798" s="946"/>
      <c r="E1798" s="947"/>
      <c r="F1798" s="1054"/>
      <c r="G1798" s="946"/>
      <c r="H1798" s="1031"/>
      <c r="I1798" s="948"/>
    </row>
    <row r="1799" spans="3:9" ht="15.75">
      <c r="C1799" s="945" t="s">
        <v>923</v>
      </c>
      <c r="D1799" s="946"/>
      <c r="E1799" s="947"/>
      <c r="F1799" s="1054"/>
      <c r="G1799" s="946"/>
      <c r="H1799" s="1031"/>
      <c r="I1799" s="948"/>
    </row>
    <row r="1800" spans="3:9" ht="15.75">
      <c r="C1800" s="949" t="s">
        <v>924</v>
      </c>
      <c r="D1800" s="946"/>
      <c r="E1800" s="947" t="str">
        <f>+VLOOKUP(C1800,'Basic (equilibrio) (2)'!B:D,2,FALSE)</f>
        <v>n/a</v>
      </c>
      <c r="F1800" s="1054">
        <f>+VLOOKUP(C1800,'Basic (equilibrio) (2)'!B:D,3,FALSE)</f>
        <v>0</v>
      </c>
      <c r="G1800" s="946">
        <f>F1800-(F1800/1.18)</f>
        <v>0</v>
      </c>
      <c r="H1800" s="1039"/>
      <c r="I1800" s="955">
        <f>D1800*F1800</f>
        <v>0</v>
      </c>
    </row>
    <row r="1801" spans="3:9" ht="15.75">
      <c r="C1801" s="951" t="s">
        <v>918</v>
      </c>
      <c r="D1801" s="946"/>
      <c r="E1801" s="947"/>
      <c r="F1801" s="1054"/>
      <c r="G1801" s="946"/>
      <c r="H1801" s="1031"/>
      <c r="I1801" s="952">
        <f>SUM(I1800:I1800)</f>
        <v>0</v>
      </c>
    </row>
    <row r="1802" spans="3:9" ht="15.75">
      <c r="C1802" s="949"/>
      <c r="D1802" s="946"/>
      <c r="E1802" s="947"/>
      <c r="F1802" s="1054"/>
      <c r="G1802" s="946"/>
      <c r="H1802" s="1031"/>
      <c r="I1802" s="948"/>
    </row>
    <row r="1803" spans="3:9" ht="15.75">
      <c r="C1803" s="945" t="s">
        <v>925</v>
      </c>
      <c r="D1803" s="946"/>
      <c r="E1803" s="947"/>
      <c r="F1803" s="1054"/>
      <c r="G1803" s="946"/>
      <c r="H1803" s="1031"/>
      <c r="I1803" s="948"/>
    </row>
    <row r="1804" spans="3:9" ht="15.75">
      <c r="C1804" s="949" t="s">
        <v>924</v>
      </c>
      <c r="D1804" s="946"/>
      <c r="E1804" s="947" t="str">
        <f>+VLOOKUP(C1804,'Basic (equilibrio) (2)'!B:D,2,FALSE)</f>
        <v>n/a</v>
      </c>
      <c r="F1804" s="1054">
        <f>+VLOOKUP(C1804,'Basic (equilibrio) (2)'!B:D,3,FALSE)</f>
        <v>0</v>
      </c>
      <c r="G1804" s="946">
        <f>F1804-(F1804/1.18)</f>
        <v>0</v>
      </c>
      <c r="H1804" s="1031"/>
      <c r="I1804" s="948">
        <f>D1804*F1804</f>
        <v>0</v>
      </c>
    </row>
    <row r="1805" spans="3:9" ht="15.75">
      <c r="C1805" s="951" t="s">
        <v>918</v>
      </c>
      <c r="D1805" s="946"/>
      <c r="E1805" s="947"/>
      <c r="F1805" s="1054"/>
      <c r="G1805" s="946"/>
      <c r="H1805" s="1031"/>
      <c r="I1805" s="952">
        <f>SUM(I1804)</f>
        <v>0</v>
      </c>
    </row>
    <row r="1806" spans="3:9" ht="15.75">
      <c r="C1806" s="951"/>
      <c r="D1806" s="946"/>
      <c r="E1806" s="947"/>
      <c r="F1806" s="1054"/>
      <c r="G1806" s="946"/>
      <c r="H1806" s="1031"/>
      <c r="I1806" s="952"/>
    </row>
    <row r="1807" spans="3:9" ht="15.75">
      <c r="C1807" s="956" t="s">
        <v>926</v>
      </c>
      <c r="D1807" s="957"/>
      <c r="E1807" s="958"/>
      <c r="F1807" s="1069"/>
      <c r="G1807" s="957"/>
      <c r="H1807" s="1032"/>
      <c r="I1807" s="959">
        <f>+I1793</f>
        <v>180</v>
      </c>
    </row>
    <row r="1808" spans="3:9" ht="15.75">
      <c r="C1808" s="956" t="s">
        <v>927</v>
      </c>
      <c r="D1808" s="957"/>
      <c r="E1808" s="958"/>
      <c r="F1808" s="1069"/>
      <c r="G1808" s="957"/>
      <c r="H1808" s="1032"/>
      <c r="I1808" s="959">
        <f>+I1797</f>
        <v>0</v>
      </c>
    </row>
    <row r="1809" spans="2:9" ht="15.75">
      <c r="C1809" s="956" t="s">
        <v>928</v>
      </c>
      <c r="D1809" s="957"/>
      <c r="E1809" s="958"/>
      <c r="F1809" s="1069"/>
      <c r="G1809" s="957"/>
      <c r="H1809" s="1032"/>
      <c r="I1809" s="959">
        <f>+I1801</f>
        <v>0</v>
      </c>
    </row>
    <row r="1810" spans="2:9" ht="15.75">
      <c r="C1810" s="956" t="s">
        <v>929</v>
      </c>
      <c r="D1810" s="957"/>
      <c r="E1810" s="958"/>
      <c r="F1810" s="1069"/>
      <c r="G1810" s="957"/>
      <c r="H1810" s="1032"/>
      <c r="I1810" s="959">
        <f>+I1805</f>
        <v>0</v>
      </c>
    </row>
    <row r="1811" spans="2:9" ht="15.75">
      <c r="C1811" s="949"/>
      <c r="D1811" s="946"/>
      <c r="E1811" s="947"/>
      <c r="F1811" s="1054"/>
      <c r="G1811" s="946"/>
      <c r="H1811" s="1031"/>
      <c r="I1811" s="948"/>
    </row>
    <row r="1812" spans="2:9" ht="15.75">
      <c r="C1812" s="949"/>
      <c r="D1812" s="946"/>
      <c r="E1812" s="947"/>
      <c r="F1812" s="1054"/>
      <c r="G1812" s="946"/>
      <c r="H1812" s="1031"/>
      <c r="I1812" s="948"/>
    </row>
    <row r="1813" spans="2:9" ht="15.75">
      <c r="C1813" s="951" t="s">
        <v>930</v>
      </c>
      <c r="D1813" s="960"/>
      <c r="E1813" s="943" t="str">
        <f>+E1789</f>
        <v>m2</v>
      </c>
      <c r="F1813" s="1070"/>
      <c r="G1813" s="960"/>
      <c r="H1813" s="1033"/>
      <c r="I1813" s="952">
        <f>SUM(I1807:I1810)</f>
        <v>180</v>
      </c>
    </row>
    <row r="1814" spans="2:9" ht="15.75">
      <c r="C1814" s="951"/>
      <c r="D1814" s="960"/>
      <c r="E1814" s="943"/>
      <c r="F1814" s="1070"/>
      <c r="G1814" s="960"/>
      <c r="H1814" s="1033"/>
      <c r="I1814" s="952"/>
    </row>
    <row r="1815" spans="2:9" ht="15.75">
      <c r="C1815" s="951"/>
      <c r="D1815" s="960"/>
      <c r="E1815" s="943"/>
      <c r="F1815" s="1070"/>
      <c r="G1815" s="960"/>
      <c r="H1815" s="1033"/>
      <c r="I1815" s="952"/>
    </row>
    <row r="1816" spans="2:9" ht="15.75">
      <c r="B1816" s="1024">
        <v>4.2</v>
      </c>
      <c r="C1816" s="937" t="str">
        <f>+Presupuesto!B122</f>
        <v>Grava</v>
      </c>
      <c r="D1816" s="938"/>
      <c r="E1816" s="939" t="s">
        <v>1000</v>
      </c>
      <c r="F1816" s="1066"/>
      <c r="G1816" s="938"/>
      <c r="H1816" s="1029"/>
      <c r="I1816" s="940">
        <f>I1840</f>
        <v>210</v>
      </c>
    </row>
    <row r="1817" spans="2:9" ht="15.75">
      <c r="C1817" s="941" t="s">
        <v>908</v>
      </c>
      <c r="D1817" s="942" t="s">
        <v>9</v>
      </c>
      <c r="E1817" s="943" t="s">
        <v>10</v>
      </c>
      <c r="F1817" s="1067" t="s">
        <v>909</v>
      </c>
      <c r="G1817" s="942" t="s">
        <v>910</v>
      </c>
      <c r="H1817" s="1030" t="s">
        <v>911</v>
      </c>
      <c r="I1817" s="944" t="s">
        <v>912</v>
      </c>
    </row>
    <row r="1818" spans="2:9" ht="15.75">
      <c r="C1818" s="945" t="s">
        <v>913</v>
      </c>
      <c r="D1818" s="946"/>
      <c r="E1818" s="947"/>
      <c r="F1818" s="1054"/>
      <c r="G1818" s="946"/>
      <c r="H1818" s="1031"/>
      <c r="I1818" s="948"/>
    </row>
    <row r="1819" spans="2:9" ht="15.75">
      <c r="C1819" s="949" t="s">
        <v>1291</v>
      </c>
      <c r="D1819" s="946">
        <f>0.2/1</f>
        <v>0.2</v>
      </c>
      <c r="E1819" s="950" t="str">
        <f>+VLOOKUP(C1819,'Basic (equilibrio) (2)'!B:D,2,FALSE)</f>
        <v>m3e</v>
      </c>
      <c r="F1819" s="1068">
        <f>'Basic (equilibrio) (2)'!$D$332</f>
        <v>500</v>
      </c>
      <c r="G1819" s="946">
        <f>F1819-(F1819/1.18)</f>
        <v>76.27</v>
      </c>
      <c r="H1819" s="1031"/>
      <c r="I1819" s="948">
        <f>D1819*F1819</f>
        <v>100</v>
      </c>
    </row>
    <row r="1820" spans="2:9" ht="15.75">
      <c r="C1820" s="951" t="s">
        <v>918</v>
      </c>
      <c r="D1820" s="946"/>
      <c r="E1820" s="947"/>
      <c r="F1820" s="1068"/>
      <c r="G1820" s="946"/>
      <c r="H1820" s="1031"/>
      <c r="I1820" s="952">
        <f>SUM(I1819:I1819)</f>
        <v>100</v>
      </c>
    </row>
    <row r="1821" spans="2:9" ht="15.75">
      <c r="C1821" s="949"/>
      <c r="D1821" s="946"/>
      <c r="E1821" s="947"/>
      <c r="F1821" s="1068"/>
      <c r="G1821" s="946"/>
      <c r="H1821" s="1031"/>
      <c r="I1821" s="948"/>
    </row>
    <row r="1822" spans="2:9" ht="15.75">
      <c r="C1822" s="945" t="s">
        <v>919</v>
      </c>
      <c r="D1822" s="946"/>
      <c r="E1822" s="947"/>
      <c r="F1822" s="1068"/>
      <c r="G1822" s="946"/>
      <c r="H1822" s="1031"/>
      <c r="I1822" s="948"/>
    </row>
    <row r="1823" spans="2:9" ht="15.75">
      <c r="C1823" s="949" t="s">
        <v>924</v>
      </c>
      <c r="D1823" s="953"/>
      <c r="E1823" s="954" t="str">
        <f>+VLOOKUP(C1823,'Basic (equilibrio) (2)'!B:D,2,FALSE)</f>
        <v>n/a</v>
      </c>
      <c r="F1823" s="1068">
        <f>+VLOOKUP(C1823,'Basic (equilibrio) (2)'!B:D,3,FALSE)</f>
        <v>0</v>
      </c>
      <c r="G1823" s="946">
        <v>0</v>
      </c>
      <c r="H1823" s="1031"/>
      <c r="I1823" s="948">
        <f>D1823*F1823</f>
        <v>0</v>
      </c>
    </row>
    <row r="1824" spans="2:9" ht="15.75">
      <c r="C1824" s="951" t="s">
        <v>918</v>
      </c>
      <c r="D1824" s="946"/>
      <c r="E1824" s="947"/>
      <c r="F1824" s="1054"/>
      <c r="G1824" s="946"/>
      <c r="H1824" s="1031"/>
      <c r="I1824" s="952">
        <f>SUM(I1823:I1823)</f>
        <v>0</v>
      </c>
    </row>
    <row r="1825" spans="3:9" ht="15.75">
      <c r="C1825" s="949"/>
      <c r="D1825" s="946"/>
      <c r="E1825" s="947"/>
      <c r="F1825" s="1054"/>
      <c r="G1825" s="946"/>
      <c r="H1825" s="1031"/>
      <c r="I1825" s="948"/>
    </row>
    <row r="1826" spans="3:9" ht="15.75">
      <c r="C1826" s="945" t="s">
        <v>923</v>
      </c>
      <c r="D1826" s="946"/>
      <c r="E1826" s="947"/>
      <c r="F1826" s="1054"/>
      <c r="G1826" s="946"/>
      <c r="H1826" s="1031"/>
      <c r="I1826" s="948"/>
    </row>
    <row r="1827" spans="3:9" ht="15.75">
      <c r="C1827" s="949" t="s">
        <v>1292</v>
      </c>
      <c r="D1827" s="946">
        <v>0.2</v>
      </c>
      <c r="E1827" s="947" t="str">
        <f>+VLOOKUP(C1827,'Basic (equilibrio) (2)'!B:D,2,FALSE)</f>
        <v>m3e</v>
      </c>
      <c r="F1827" s="1054">
        <f>'Basic (equilibrio) (2)'!$D$333</f>
        <v>550</v>
      </c>
      <c r="G1827" s="946">
        <f>F1827-(F1827/1.18)</f>
        <v>83.9</v>
      </c>
      <c r="H1827" s="1039"/>
      <c r="I1827" s="955">
        <f>D1827*F1827</f>
        <v>110</v>
      </c>
    </row>
    <row r="1828" spans="3:9" ht="15.75">
      <c r="C1828" s="951" t="s">
        <v>918</v>
      </c>
      <c r="D1828" s="946"/>
      <c r="E1828" s="947"/>
      <c r="F1828" s="1054"/>
      <c r="G1828" s="946"/>
      <c r="H1828" s="1031"/>
      <c r="I1828" s="952">
        <f>SUM(I1827:I1827)</f>
        <v>110</v>
      </c>
    </row>
    <row r="1829" spans="3:9" ht="15.75">
      <c r="C1829" s="949"/>
      <c r="D1829" s="946"/>
      <c r="E1829" s="947"/>
      <c r="F1829" s="1054"/>
      <c r="G1829" s="946"/>
      <c r="H1829" s="1031"/>
      <c r="I1829" s="948"/>
    </row>
    <row r="1830" spans="3:9" ht="15.75">
      <c r="C1830" s="945" t="s">
        <v>925</v>
      </c>
      <c r="D1830" s="946"/>
      <c r="E1830" s="947"/>
      <c r="F1830" s="1054"/>
      <c r="G1830" s="946"/>
      <c r="H1830" s="1031"/>
      <c r="I1830" s="948"/>
    </row>
    <row r="1831" spans="3:9" ht="15.75">
      <c r="C1831" s="949" t="s">
        <v>924</v>
      </c>
      <c r="D1831" s="946"/>
      <c r="E1831" s="947" t="str">
        <f>+VLOOKUP(C1831,'Basic (equilibrio) (2)'!B:D,2,FALSE)</f>
        <v>n/a</v>
      </c>
      <c r="F1831" s="1054">
        <f>+VLOOKUP(C1831,'Basic (equilibrio) (2)'!B:D,3,FALSE)</f>
        <v>0</v>
      </c>
      <c r="G1831" s="946">
        <f>F1831-(F1831/1.18)</f>
        <v>0</v>
      </c>
      <c r="H1831" s="1031"/>
      <c r="I1831" s="948">
        <f>D1831*F1831</f>
        <v>0</v>
      </c>
    </row>
    <row r="1832" spans="3:9" ht="15.75">
      <c r="C1832" s="951" t="s">
        <v>918</v>
      </c>
      <c r="D1832" s="946"/>
      <c r="E1832" s="947"/>
      <c r="F1832" s="1054"/>
      <c r="G1832" s="946"/>
      <c r="H1832" s="1031"/>
      <c r="I1832" s="952">
        <f>SUM(I1831)</f>
        <v>0</v>
      </c>
    </row>
    <row r="1833" spans="3:9" ht="15.75">
      <c r="C1833" s="951"/>
      <c r="D1833" s="946"/>
      <c r="E1833" s="947"/>
      <c r="F1833" s="1054"/>
      <c r="G1833" s="946"/>
      <c r="H1833" s="1031"/>
      <c r="I1833" s="952"/>
    </row>
    <row r="1834" spans="3:9" ht="15.75">
      <c r="C1834" s="956" t="s">
        <v>926</v>
      </c>
      <c r="D1834" s="957"/>
      <c r="E1834" s="958"/>
      <c r="F1834" s="1069"/>
      <c r="G1834" s="957"/>
      <c r="H1834" s="1032"/>
      <c r="I1834" s="959">
        <f>+I1820</f>
        <v>100</v>
      </c>
    </row>
    <row r="1835" spans="3:9" ht="15.75">
      <c r="C1835" s="956" t="s">
        <v>927</v>
      </c>
      <c r="D1835" s="957"/>
      <c r="E1835" s="958"/>
      <c r="F1835" s="1069"/>
      <c r="G1835" s="957"/>
      <c r="H1835" s="1032"/>
      <c r="I1835" s="959">
        <f>+I1824</f>
        <v>0</v>
      </c>
    </row>
    <row r="1836" spans="3:9" ht="15.75">
      <c r="C1836" s="956" t="s">
        <v>928</v>
      </c>
      <c r="D1836" s="957"/>
      <c r="E1836" s="958"/>
      <c r="F1836" s="1069"/>
      <c r="G1836" s="957"/>
      <c r="H1836" s="1032"/>
      <c r="I1836" s="959">
        <f>+I1828</f>
        <v>110</v>
      </c>
    </row>
    <row r="1837" spans="3:9" ht="15.75">
      <c r="C1837" s="956" t="s">
        <v>929</v>
      </c>
      <c r="D1837" s="957"/>
      <c r="E1837" s="958"/>
      <c r="F1837" s="1069"/>
      <c r="G1837" s="957"/>
      <c r="H1837" s="1032"/>
      <c r="I1837" s="959">
        <f>+I1832</f>
        <v>0</v>
      </c>
    </row>
    <row r="1838" spans="3:9" ht="15.75">
      <c r="C1838" s="949"/>
      <c r="D1838" s="946"/>
      <c r="E1838" s="947"/>
      <c r="F1838" s="1054"/>
      <c r="G1838" s="946"/>
      <c r="H1838" s="1031"/>
      <c r="I1838" s="948"/>
    </row>
    <row r="1839" spans="3:9" ht="15.75">
      <c r="C1839" s="949"/>
      <c r="D1839" s="946"/>
      <c r="E1839" s="947"/>
      <c r="F1839" s="1054"/>
      <c r="G1839" s="946"/>
      <c r="H1839" s="1031"/>
      <c r="I1839" s="948"/>
    </row>
    <row r="1840" spans="3:9" ht="15.75">
      <c r="C1840" s="951" t="s">
        <v>930</v>
      </c>
      <c r="D1840" s="960"/>
      <c r="E1840" s="943" t="str">
        <f>+E1816</f>
        <v>m2</v>
      </c>
      <c r="F1840" s="1070"/>
      <c r="G1840" s="960"/>
      <c r="H1840" s="1033"/>
      <c r="I1840" s="952">
        <f>SUM(I1834:I1837)</f>
        <v>210</v>
      </c>
    </row>
    <row r="1841" spans="2:9" ht="15.75">
      <c r="C1841" s="951"/>
      <c r="D1841" s="960"/>
      <c r="E1841" s="943"/>
      <c r="F1841" s="1070"/>
      <c r="G1841" s="960"/>
      <c r="H1841" s="1033"/>
      <c r="I1841" s="952"/>
    </row>
    <row r="1842" spans="2:9" ht="15.75">
      <c r="C1842" s="951"/>
      <c r="D1842" s="960"/>
      <c r="E1842" s="943"/>
      <c r="F1842" s="1070"/>
      <c r="G1842" s="960"/>
      <c r="H1842" s="1033"/>
      <c r="I1842" s="952"/>
    </row>
    <row r="1843" spans="2:9" ht="15.75">
      <c r="B1843" s="1024">
        <v>4.3</v>
      </c>
      <c r="C1843" s="937" t="str">
        <f>+Presupuesto!B123</f>
        <v>Árbol Mara</v>
      </c>
      <c r="D1843" s="938"/>
      <c r="E1843" s="939" t="s">
        <v>1106</v>
      </c>
      <c r="F1843" s="1066"/>
      <c r="G1843" s="938"/>
      <c r="H1843" s="1029"/>
      <c r="I1843" s="940">
        <f>I1867</f>
        <v>997.5</v>
      </c>
    </row>
    <row r="1844" spans="2:9" ht="15.75">
      <c r="C1844" s="941" t="s">
        <v>908</v>
      </c>
      <c r="D1844" s="942" t="s">
        <v>9</v>
      </c>
      <c r="E1844" s="943" t="s">
        <v>10</v>
      </c>
      <c r="F1844" s="1067" t="s">
        <v>909</v>
      </c>
      <c r="G1844" s="942" t="s">
        <v>910</v>
      </c>
      <c r="H1844" s="1030" t="s">
        <v>911</v>
      </c>
      <c r="I1844" s="944" t="s">
        <v>912</v>
      </c>
    </row>
    <row r="1845" spans="2:9" ht="15.75">
      <c r="C1845" s="945" t="s">
        <v>913</v>
      </c>
      <c r="D1845" s="946"/>
      <c r="E1845" s="947"/>
      <c r="F1845" s="1054"/>
      <c r="G1845" s="946"/>
      <c r="H1845" s="1031"/>
      <c r="I1845" s="948"/>
    </row>
    <row r="1846" spans="2:9" ht="15.75">
      <c r="C1846" s="949" t="s">
        <v>1369</v>
      </c>
      <c r="D1846" s="946">
        <v>1</v>
      </c>
      <c r="E1846" s="950" t="str">
        <f>+VLOOKUP(C1846,'Basic (equilibrio) (2)'!B:D,2,FALSE)</f>
        <v>ud</v>
      </c>
      <c r="F1846" s="1068">
        <f>'Basic (equilibrio) (2)'!$D$394</f>
        <v>997.5</v>
      </c>
      <c r="G1846" s="946">
        <f>F1846-(F1846/1.18)</f>
        <v>152.16</v>
      </c>
      <c r="H1846" s="1031"/>
      <c r="I1846" s="948">
        <f>D1846*F1846</f>
        <v>997.5</v>
      </c>
    </row>
    <row r="1847" spans="2:9" ht="15.75">
      <c r="C1847" s="951" t="s">
        <v>918</v>
      </c>
      <c r="D1847" s="946"/>
      <c r="E1847" s="947"/>
      <c r="F1847" s="1068"/>
      <c r="G1847" s="946"/>
      <c r="H1847" s="1031"/>
      <c r="I1847" s="952">
        <f>SUM(I1846:I1846)</f>
        <v>997.5</v>
      </c>
    </row>
    <row r="1848" spans="2:9" ht="15.75">
      <c r="C1848" s="949"/>
      <c r="D1848" s="946"/>
      <c r="E1848" s="947"/>
      <c r="F1848" s="1068"/>
      <c r="G1848" s="946"/>
      <c r="H1848" s="1031"/>
      <c r="I1848" s="948"/>
    </row>
    <row r="1849" spans="2:9" ht="15.75">
      <c r="C1849" s="945" t="s">
        <v>919</v>
      </c>
      <c r="D1849" s="946"/>
      <c r="E1849" s="947"/>
      <c r="F1849" s="1068"/>
      <c r="G1849" s="946"/>
      <c r="H1849" s="1031"/>
      <c r="I1849" s="948"/>
    </row>
    <row r="1850" spans="2:9" ht="15.75">
      <c r="C1850" s="949" t="s">
        <v>924</v>
      </c>
      <c r="D1850" s="953"/>
      <c r="E1850" s="954" t="str">
        <f>+VLOOKUP(C1850,'Basic (equilibrio) (2)'!B:D,2,FALSE)</f>
        <v>n/a</v>
      </c>
      <c r="F1850" s="1068">
        <f>+VLOOKUP(C1850,'Basic (equilibrio) (2)'!B:D,3,FALSE)</f>
        <v>0</v>
      </c>
      <c r="G1850" s="946">
        <v>0</v>
      </c>
      <c r="H1850" s="1031"/>
      <c r="I1850" s="948">
        <f>D1850*F1850</f>
        <v>0</v>
      </c>
    </row>
    <row r="1851" spans="2:9" ht="15.75">
      <c r="C1851" s="951" t="s">
        <v>918</v>
      </c>
      <c r="D1851" s="946"/>
      <c r="E1851" s="947"/>
      <c r="F1851" s="1054"/>
      <c r="G1851" s="946"/>
      <c r="H1851" s="1031"/>
      <c r="I1851" s="952">
        <f>SUM(I1850:I1850)</f>
        <v>0</v>
      </c>
    </row>
    <row r="1852" spans="2:9" ht="15.75">
      <c r="C1852" s="949"/>
      <c r="D1852" s="946"/>
      <c r="E1852" s="947"/>
      <c r="F1852" s="1054"/>
      <c r="G1852" s="946"/>
      <c r="H1852" s="1031"/>
      <c r="I1852" s="948"/>
    </row>
    <row r="1853" spans="2:9" ht="15.75">
      <c r="C1853" s="945" t="s">
        <v>923</v>
      </c>
      <c r="D1853" s="946"/>
      <c r="E1853" s="947"/>
      <c r="F1853" s="1054"/>
      <c r="G1853" s="946"/>
      <c r="H1853" s="1031"/>
      <c r="I1853" s="948"/>
    </row>
    <row r="1854" spans="2:9" ht="15.75">
      <c r="C1854" s="949" t="s">
        <v>924</v>
      </c>
      <c r="D1854" s="946"/>
      <c r="E1854" s="947" t="str">
        <f>+VLOOKUP(C1854,'Basic (equilibrio) (2)'!B:D,2,FALSE)</f>
        <v>n/a</v>
      </c>
      <c r="F1854" s="1054">
        <f>+VLOOKUP(C1854,'Basic (equilibrio) (2)'!B:D,3,FALSE)</f>
        <v>0</v>
      </c>
      <c r="G1854" s="946">
        <f>F1854-(F1854/1.18)</f>
        <v>0</v>
      </c>
      <c r="H1854" s="1039"/>
      <c r="I1854" s="955">
        <f>D1854*F1854</f>
        <v>0</v>
      </c>
    </row>
    <row r="1855" spans="2:9" ht="15.75">
      <c r="C1855" s="951" t="s">
        <v>918</v>
      </c>
      <c r="D1855" s="946"/>
      <c r="E1855" s="947"/>
      <c r="F1855" s="1054"/>
      <c r="G1855" s="946"/>
      <c r="H1855" s="1031"/>
      <c r="I1855" s="952">
        <f>SUM(I1854:I1854)</f>
        <v>0</v>
      </c>
    </row>
    <row r="1856" spans="2:9" ht="15.75">
      <c r="C1856" s="949"/>
      <c r="D1856" s="946"/>
      <c r="E1856" s="947"/>
      <c r="F1856" s="1054"/>
      <c r="G1856" s="946"/>
      <c r="H1856" s="1031"/>
      <c r="I1856" s="948"/>
    </row>
    <row r="1857" spans="2:9" ht="15.75">
      <c r="C1857" s="945" t="s">
        <v>925</v>
      </c>
      <c r="D1857" s="946"/>
      <c r="E1857" s="947"/>
      <c r="F1857" s="1054"/>
      <c r="G1857" s="946"/>
      <c r="H1857" s="1031"/>
      <c r="I1857" s="948"/>
    </row>
    <row r="1858" spans="2:9" ht="15.75">
      <c r="C1858" s="949" t="s">
        <v>924</v>
      </c>
      <c r="D1858" s="946"/>
      <c r="E1858" s="947" t="str">
        <f>+VLOOKUP(C1858,'Basic (equilibrio) (2)'!B:D,2,FALSE)</f>
        <v>n/a</v>
      </c>
      <c r="F1858" s="1054">
        <f>+VLOOKUP(C1858,'Basic (equilibrio) (2)'!B:D,3,FALSE)</f>
        <v>0</v>
      </c>
      <c r="G1858" s="946">
        <f>F1858-(F1858/1.18)</f>
        <v>0</v>
      </c>
      <c r="H1858" s="1031"/>
      <c r="I1858" s="948">
        <f>D1858*F1858</f>
        <v>0</v>
      </c>
    </row>
    <row r="1859" spans="2:9" ht="15.75">
      <c r="C1859" s="951" t="s">
        <v>918</v>
      </c>
      <c r="D1859" s="946"/>
      <c r="E1859" s="947"/>
      <c r="F1859" s="1054"/>
      <c r="G1859" s="946"/>
      <c r="H1859" s="1031"/>
      <c r="I1859" s="952">
        <f>SUM(I1858)</f>
        <v>0</v>
      </c>
    </row>
    <row r="1860" spans="2:9" ht="15.75">
      <c r="C1860" s="951"/>
      <c r="D1860" s="946"/>
      <c r="E1860" s="947"/>
      <c r="F1860" s="1054"/>
      <c r="G1860" s="946"/>
      <c r="H1860" s="1031"/>
      <c r="I1860" s="952"/>
    </row>
    <row r="1861" spans="2:9" ht="15.75">
      <c r="C1861" s="956" t="s">
        <v>926</v>
      </c>
      <c r="D1861" s="957"/>
      <c r="E1861" s="958"/>
      <c r="F1861" s="1069"/>
      <c r="G1861" s="957"/>
      <c r="H1861" s="1032"/>
      <c r="I1861" s="959">
        <f>+I1847</f>
        <v>997.5</v>
      </c>
    </row>
    <row r="1862" spans="2:9" ht="15.75">
      <c r="C1862" s="956" t="s">
        <v>927</v>
      </c>
      <c r="D1862" s="957"/>
      <c r="E1862" s="958"/>
      <c r="F1862" s="1069"/>
      <c r="G1862" s="957"/>
      <c r="H1862" s="1032"/>
      <c r="I1862" s="959">
        <f>+I1851</f>
        <v>0</v>
      </c>
    </row>
    <row r="1863" spans="2:9" ht="15.75">
      <c r="C1863" s="956" t="s">
        <v>928</v>
      </c>
      <c r="D1863" s="957"/>
      <c r="E1863" s="958"/>
      <c r="F1863" s="1069"/>
      <c r="G1863" s="957"/>
      <c r="H1863" s="1032"/>
      <c r="I1863" s="959">
        <f>+I1855</f>
        <v>0</v>
      </c>
    </row>
    <row r="1864" spans="2:9" ht="15.75">
      <c r="C1864" s="956" t="s">
        <v>929</v>
      </c>
      <c r="D1864" s="957"/>
      <c r="E1864" s="958"/>
      <c r="F1864" s="1069"/>
      <c r="G1864" s="957"/>
      <c r="H1864" s="1032"/>
      <c r="I1864" s="959">
        <f>+I1859</f>
        <v>0</v>
      </c>
    </row>
    <row r="1865" spans="2:9" ht="15.75">
      <c r="C1865" s="949"/>
      <c r="D1865" s="946"/>
      <c r="E1865" s="947"/>
      <c r="F1865" s="1054"/>
      <c r="G1865" s="946"/>
      <c r="H1865" s="1031"/>
      <c r="I1865" s="948"/>
    </row>
    <row r="1866" spans="2:9" ht="15.75">
      <c r="C1866" s="949"/>
      <c r="D1866" s="946"/>
      <c r="E1866" s="947"/>
      <c r="F1866" s="1054"/>
      <c r="G1866" s="946"/>
      <c r="H1866" s="1031"/>
      <c r="I1866" s="948"/>
    </row>
    <row r="1867" spans="2:9" ht="15.75">
      <c r="C1867" s="951" t="s">
        <v>930</v>
      </c>
      <c r="D1867" s="960"/>
      <c r="E1867" s="943" t="str">
        <f>+E1843</f>
        <v>und</v>
      </c>
      <c r="F1867" s="1070"/>
      <c r="G1867" s="960"/>
      <c r="H1867" s="1033"/>
      <c r="I1867" s="952">
        <f>SUM(I1861:I1864)</f>
        <v>997.5</v>
      </c>
    </row>
    <row r="1868" spans="2:9" ht="15.75">
      <c r="C1868" s="951"/>
      <c r="D1868" s="960"/>
      <c r="E1868" s="943"/>
      <c r="F1868" s="1070"/>
      <c r="G1868" s="960"/>
      <c r="H1868" s="1033"/>
      <c r="I1868" s="952"/>
    </row>
    <row r="1869" spans="2:9" ht="15.75">
      <c r="C1869" s="951"/>
      <c r="D1869" s="960"/>
      <c r="E1869" s="943"/>
      <c r="F1869" s="1070"/>
      <c r="G1869" s="960"/>
      <c r="H1869" s="1033"/>
      <c r="I1869" s="952"/>
    </row>
    <row r="1870" spans="2:9" ht="15.75">
      <c r="B1870" s="1024">
        <v>4.4000000000000004</v>
      </c>
      <c r="C1870" s="937" t="str">
        <f>+Presupuesto!B124</f>
        <v>Árbol Caoba</v>
      </c>
      <c r="D1870" s="938"/>
      <c r="E1870" s="939" t="s">
        <v>1106</v>
      </c>
      <c r="F1870" s="1066"/>
      <c r="G1870" s="938"/>
      <c r="H1870" s="1029"/>
      <c r="I1870" s="940">
        <f>I1894</f>
        <v>5600</v>
      </c>
    </row>
    <row r="1871" spans="2:9" ht="15.75">
      <c r="C1871" s="941" t="s">
        <v>908</v>
      </c>
      <c r="D1871" s="942" t="s">
        <v>9</v>
      </c>
      <c r="E1871" s="943" t="s">
        <v>10</v>
      </c>
      <c r="F1871" s="1067" t="s">
        <v>909</v>
      </c>
      <c r="G1871" s="942" t="s">
        <v>910</v>
      </c>
      <c r="H1871" s="1030" t="s">
        <v>911</v>
      </c>
      <c r="I1871" s="944" t="s">
        <v>912</v>
      </c>
    </row>
    <row r="1872" spans="2:9" ht="15.75">
      <c r="C1872" s="945" t="s">
        <v>913</v>
      </c>
      <c r="D1872" s="946"/>
      <c r="E1872" s="947"/>
      <c r="F1872" s="1054"/>
      <c r="G1872" s="946"/>
      <c r="H1872" s="1031"/>
      <c r="I1872" s="948"/>
    </row>
    <row r="1873" spans="3:9" ht="15.75">
      <c r="C1873" s="949" t="s">
        <v>1526</v>
      </c>
      <c r="D1873" s="946">
        <v>1</v>
      </c>
      <c r="E1873" s="950" t="str">
        <f>+VLOOKUP(C1873,'Basic (equilibrio) (2)'!B:D,2,FALSE)</f>
        <v>und</v>
      </c>
      <c r="F1873" s="1068">
        <f>'Basic (equilibrio) (2)'!$D$445</f>
        <v>5600</v>
      </c>
      <c r="G1873" s="946">
        <f>F1873-(F1873/1.18)</f>
        <v>854.24</v>
      </c>
      <c r="H1873" s="1031"/>
      <c r="I1873" s="948">
        <f>D1873*F1873</f>
        <v>5600</v>
      </c>
    </row>
    <row r="1874" spans="3:9" ht="15.75">
      <c r="C1874" s="951" t="s">
        <v>918</v>
      </c>
      <c r="D1874" s="946"/>
      <c r="E1874" s="947"/>
      <c r="F1874" s="1068"/>
      <c r="G1874" s="946"/>
      <c r="H1874" s="1031"/>
      <c r="I1874" s="952">
        <f>SUM(I1873:I1873)</f>
        <v>5600</v>
      </c>
    </row>
    <row r="1875" spans="3:9" ht="15.75">
      <c r="C1875" s="949"/>
      <c r="D1875" s="946"/>
      <c r="E1875" s="947"/>
      <c r="F1875" s="1068"/>
      <c r="G1875" s="946"/>
      <c r="H1875" s="1031"/>
      <c r="I1875" s="948"/>
    </row>
    <row r="1876" spans="3:9" ht="15.75">
      <c r="C1876" s="945" t="s">
        <v>919</v>
      </c>
      <c r="D1876" s="946"/>
      <c r="E1876" s="947"/>
      <c r="F1876" s="1068"/>
      <c r="G1876" s="946"/>
      <c r="H1876" s="1031"/>
      <c r="I1876" s="948"/>
    </row>
    <row r="1877" spans="3:9" ht="15.75">
      <c r="C1877" s="949" t="s">
        <v>924</v>
      </c>
      <c r="D1877" s="953"/>
      <c r="E1877" s="954" t="str">
        <f>+VLOOKUP(C1877,'Basic (equilibrio) (2)'!B:D,2,FALSE)</f>
        <v>n/a</v>
      </c>
      <c r="F1877" s="1068">
        <f>+VLOOKUP(C1877,'Basic (equilibrio) (2)'!B:D,3,FALSE)</f>
        <v>0</v>
      </c>
      <c r="G1877" s="946">
        <v>0</v>
      </c>
      <c r="H1877" s="1031"/>
      <c r="I1877" s="948">
        <f>D1877*F1877</f>
        <v>0</v>
      </c>
    </row>
    <row r="1878" spans="3:9" ht="15.75">
      <c r="C1878" s="951" t="s">
        <v>918</v>
      </c>
      <c r="D1878" s="946"/>
      <c r="E1878" s="947"/>
      <c r="F1878" s="1054"/>
      <c r="G1878" s="946"/>
      <c r="H1878" s="1031"/>
      <c r="I1878" s="952">
        <f>SUM(I1877:I1877)</f>
        <v>0</v>
      </c>
    </row>
    <row r="1879" spans="3:9" ht="15.75">
      <c r="C1879" s="949"/>
      <c r="D1879" s="946"/>
      <c r="E1879" s="947"/>
      <c r="F1879" s="1054"/>
      <c r="G1879" s="946"/>
      <c r="H1879" s="1031"/>
      <c r="I1879" s="948"/>
    </row>
    <row r="1880" spans="3:9" ht="15.75">
      <c r="C1880" s="945" t="s">
        <v>923</v>
      </c>
      <c r="D1880" s="946"/>
      <c r="E1880" s="947"/>
      <c r="F1880" s="1054"/>
      <c r="G1880" s="946"/>
      <c r="H1880" s="1031"/>
      <c r="I1880" s="948"/>
    </row>
    <row r="1881" spans="3:9" ht="15.75">
      <c r="C1881" s="949" t="s">
        <v>924</v>
      </c>
      <c r="D1881" s="946"/>
      <c r="E1881" s="947" t="str">
        <f>+VLOOKUP(C1881,'Basic (equilibrio) (2)'!B:D,2,FALSE)</f>
        <v>n/a</v>
      </c>
      <c r="F1881" s="1054">
        <f>+VLOOKUP(C1881,'Basic (equilibrio) (2)'!B:D,3,FALSE)</f>
        <v>0</v>
      </c>
      <c r="G1881" s="946">
        <f>F1881-(F1881/1.18)</f>
        <v>0</v>
      </c>
      <c r="H1881" s="1039"/>
      <c r="I1881" s="955">
        <f>D1881*F1881</f>
        <v>0</v>
      </c>
    </row>
    <row r="1882" spans="3:9" ht="15.75">
      <c r="C1882" s="951" t="s">
        <v>918</v>
      </c>
      <c r="D1882" s="946"/>
      <c r="E1882" s="947"/>
      <c r="F1882" s="1054"/>
      <c r="G1882" s="946"/>
      <c r="H1882" s="1031"/>
      <c r="I1882" s="952">
        <f>SUM(I1881:I1881)</f>
        <v>0</v>
      </c>
    </row>
    <row r="1883" spans="3:9" ht="15.75">
      <c r="C1883" s="949"/>
      <c r="D1883" s="946"/>
      <c r="E1883" s="947"/>
      <c r="F1883" s="1054"/>
      <c r="G1883" s="946"/>
      <c r="H1883" s="1031"/>
      <c r="I1883" s="948"/>
    </row>
    <row r="1884" spans="3:9" ht="15.75">
      <c r="C1884" s="945" t="s">
        <v>925</v>
      </c>
      <c r="D1884" s="946"/>
      <c r="E1884" s="947"/>
      <c r="F1884" s="1054"/>
      <c r="G1884" s="946"/>
      <c r="H1884" s="1031"/>
      <c r="I1884" s="948"/>
    </row>
    <row r="1885" spans="3:9" ht="15.75">
      <c r="C1885" s="949" t="s">
        <v>924</v>
      </c>
      <c r="D1885" s="946"/>
      <c r="E1885" s="947" t="str">
        <f>+VLOOKUP(C1885,'Basic (equilibrio) (2)'!B:D,2,FALSE)</f>
        <v>n/a</v>
      </c>
      <c r="F1885" s="1054">
        <f>+VLOOKUP(C1885,'Basic (equilibrio) (2)'!B:D,3,FALSE)</f>
        <v>0</v>
      </c>
      <c r="G1885" s="946">
        <f>F1885-(F1885/1.18)</f>
        <v>0</v>
      </c>
      <c r="H1885" s="1031"/>
      <c r="I1885" s="948">
        <f>D1885*F1885</f>
        <v>0</v>
      </c>
    </row>
    <row r="1886" spans="3:9" ht="15.75">
      <c r="C1886" s="951" t="s">
        <v>918</v>
      </c>
      <c r="D1886" s="946"/>
      <c r="E1886" s="947"/>
      <c r="F1886" s="1054"/>
      <c r="G1886" s="946"/>
      <c r="H1886" s="1031"/>
      <c r="I1886" s="952">
        <f>SUM(I1885)</f>
        <v>0</v>
      </c>
    </row>
    <row r="1887" spans="3:9" ht="15.75">
      <c r="C1887" s="951"/>
      <c r="D1887" s="946"/>
      <c r="E1887" s="947"/>
      <c r="F1887" s="1054"/>
      <c r="G1887" s="946"/>
      <c r="H1887" s="1031"/>
      <c r="I1887" s="952"/>
    </row>
    <row r="1888" spans="3:9" ht="15.75">
      <c r="C1888" s="956" t="s">
        <v>926</v>
      </c>
      <c r="D1888" s="957"/>
      <c r="E1888" s="958"/>
      <c r="F1888" s="1069"/>
      <c r="G1888" s="957"/>
      <c r="H1888" s="1032"/>
      <c r="I1888" s="959">
        <f>+I1874</f>
        <v>5600</v>
      </c>
    </row>
    <row r="1889" spans="2:9" ht="15.75">
      <c r="C1889" s="956" t="s">
        <v>927</v>
      </c>
      <c r="D1889" s="957"/>
      <c r="E1889" s="958"/>
      <c r="F1889" s="1069"/>
      <c r="G1889" s="957"/>
      <c r="H1889" s="1032"/>
      <c r="I1889" s="959">
        <f>+I1878</f>
        <v>0</v>
      </c>
    </row>
    <row r="1890" spans="2:9" ht="15.75">
      <c r="C1890" s="956" t="s">
        <v>928</v>
      </c>
      <c r="D1890" s="957"/>
      <c r="E1890" s="958"/>
      <c r="F1890" s="1069"/>
      <c r="G1890" s="957"/>
      <c r="H1890" s="1032"/>
      <c r="I1890" s="959">
        <f>+I1882</f>
        <v>0</v>
      </c>
    </row>
    <row r="1891" spans="2:9" ht="15.75">
      <c r="C1891" s="956" t="s">
        <v>929</v>
      </c>
      <c r="D1891" s="957"/>
      <c r="E1891" s="958"/>
      <c r="F1891" s="1069"/>
      <c r="G1891" s="957"/>
      <c r="H1891" s="1032"/>
      <c r="I1891" s="959">
        <f>+I1886</f>
        <v>0</v>
      </c>
    </row>
    <row r="1892" spans="2:9" ht="15.75">
      <c r="C1892" s="949"/>
      <c r="D1892" s="946"/>
      <c r="E1892" s="947"/>
      <c r="F1892" s="1054"/>
      <c r="G1892" s="946"/>
      <c r="H1892" s="1031"/>
      <c r="I1892" s="948"/>
    </row>
    <row r="1893" spans="2:9" ht="15.75">
      <c r="C1893" s="949"/>
      <c r="D1893" s="946"/>
      <c r="E1893" s="947"/>
      <c r="F1893" s="1054"/>
      <c r="G1893" s="946"/>
      <c r="H1893" s="1031"/>
      <c r="I1893" s="948"/>
    </row>
    <row r="1894" spans="2:9" ht="15.75">
      <c r="C1894" s="951" t="s">
        <v>930</v>
      </c>
      <c r="D1894" s="960"/>
      <c r="E1894" s="943" t="str">
        <f>+E1870</f>
        <v>und</v>
      </c>
      <c r="F1894" s="1070"/>
      <c r="G1894" s="960"/>
      <c r="H1894" s="1033"/>
      <c r="I1894" s="952">
        <f>SUM(I1888:I1891)</f>
        <v>5600</v>
      </c>
    </row>
    <row r="1895" spans="2:9" ht="15.75">
      <c r="C1895" s="951"/>
      <c r="D1895" s="960"/>
      <c r="E1895" s="943"/>
      <c r="F1895" s="1070"/>
      <c r="G1895" s="960"/>
      <c r="H1895" s="1033"/>
      <c r="I1895" s="952"/>
    </row>
    <row r="1896" spans="2:9" ht="15.75">
      <c r="C1896" s="951"/>
      <c r="D1896" s="960"/>
      <c r="E1896" s="943"/>
      <c r="F1896" s="1070"/>
      <c r="G1896" s="960"/>
      <c r="H1896" s="1033"/>
      <c r="I1896" s="952"/>
    </row>
    <row r="1897" spans="2:9" ht="15.75">
      <c r="B1897" s="1024">
        <v>4.5</v>
      </c>
      <c r="C1897" s="937" t="str">
        <f>+Presupuesto!B125</f>
        <v>Árbol Almácigo</v>
      </c>
      <c r="D1897" s="938"/>
      <c r="E1897" s="939" t="s">
        <v>1106</v>
      </c>
      <c r="F1897" s="1066"/>
      <c r="G1897" s="938"/>
      <c r="H1897" s="1029"/>
      <c r="I1897" s="940">
        <f>I1921</f>
        <v>945</v>
      </c>
    </row>
    <row r="1898" spans="2:9" ht="15.75">
      <c r="C1898" s="941" t="s">
        <v>908</v>
      </c>
      <c r="D1898" s="942" t="s">
        <v>9</v>
      </c>
      <c r="E1898" s="943" t="s">
        <v>10</v>
      </c>
      <c r="F1898" s="1067" t="s">
        <v>909</v>
      </c>
      <c r="G1898" s="942" t="s">
        <v>910</v>
      </c>
      <c r="H1898" s="1030" t="s">
        <v>911</v>
      </c>
      <c r="I1898" s="944" t="s">
        <v>912</v>
      </c>
    </row>
    <row r="1899" spans="2:9" ht="15.75">
      <c r="C1899" s="945" t="s">
        <v>913</v>
      </c>
      <c r="D1899" s="946"/>
      <c r="E1899" s="947"/>
      <c r="F1899" s="1054"/>
      <c r="G1899" s="946"/>
      <c r="H1899" s="1031"/>
      <c r="I1899" s="948"/>
    </row>
    <row r="1900" spans="2:9" ht="15.75">
      <c r="C1900" s="949" t="s">
        <v>1527</v>
      </c>
      <c r="D1900" s="946">
        <v>1</v>
      </c>
      <c r="E1900" s="950" t="str">
        <f>+VLOOKUP(C1900,'Basic (equilibrio) (2)'!B:D,2,FALSE)</f>
        <v>und</v>
      </c>
      <c r="F1900" s="1068">
        <f>'Basic (equilibrio) (2)'!$D$447</f>
        <v>945</v>
      </c>
      <c r="G1900" s="946">
        <f>F1900-(F1900/1.18)</f>
        <v>144.15</v>
      </c>
      <c r="H1900" s="1031"/>
      <c r="I1900" s="948">
        <f>D1900*F1900</f>
        <v>945</v>
      </c>
    </row>
    <row r="1901" spans="2:9" ht="15.75">
      <c r="C1901" s="951" t="s">
        <v>918</v>
      </c>
      <c r="D1901" s="946"/>
      <c r="E1901" s="947"/>
      <c r="F1901" s="1068"/>
      <c r="G1901" s="946"/>
      <c r="H1901" s="1031"/>
      <c r="I1901" s="952">
        <f>SUM(I1900:I1900)</f>
        <v>945</v>
      </c>
    </row>
    <row r="1902" spans="2:9" ht="15.75">
      <c r="C1902" s="949"/>
      <c r="D1902" s="946"/>
      <c r="E1902" s="947"/>
      <c r="F1902" s="1068"/>
      <c r="G1902" s="946"/>
      <c r="H1902" s="1031"/>
      <c r="I1902" s="948"/>
    </row>
    <row r="1903" spans="2:9" ht="15.75">
      <c r="C1903" s="945" t="s">
        <v>919</v>
      </c>
      <c r="D1903" s="946"/>
      <c r="E1903" s="947"/>
      <c r="F1903" s="1068"/>
      <c r="G1903" s="946"/>
      <c r="H1903" s="1031"/>
      <c r="I1903" s="948"/>
    </row>
    <row r="1904" spans="2:9" ht="15.75">
      <c r="C1904" s="949" t="s">
        <v>924</v>
      </c>
      <c r="D1904" s="953"/>
      <c r="E1904" s="954" t="str">
        <f>+VLOOKUP(C1904,'Basic (equilibrio) (2)'!B:D,2,FALSE)</f>
        <v>n/a</v>
      </c>
      <c r="F1904" s="1068">
        <f>+VLOOKUP(C1904,'Basic (equilibrio) (2)'!B:D,3,FALSE)</f>
        <v>0</v>
      </c>
      <c r="G1904" s="946">
        <v>0</v>
      </c>
      <c r="H1904" s="1031"/>
      <c r="I1904" s="948">
        <f>D1904*F1904</f>
        <v>0</v>
      </c>
    </row>
    <row r="1905" spans="3:9" ht="15.75">
      <c r="C1905" s="951" t="s">
        <v>918</v>
      </c>
      <c r="D1905" s="946"/>
      <c r="E1905" s="947"/>
      <c r="F1905" s="1054"/>
      <c r="G1905" s="946"/>
      <c r="H1905" s="1031"/>
      <c r="I1905" s="952">
        <f>SUM(I1904:I1904)</f>
        <v>0</v>
      </c>
    </row>
    <row r="1906" spans="3:9" ht="15.75">
      <c r="C1906" s="949"/>
      <c r="D1906" s="946"/>
      <c r="E1906" s="947"/>
      <c r="F1906" s="1054"/>
      <c r="G1906" s="946"/>
      <c r="H1906" s="1031"/>
      <c r="I1906" s="948"/>
    </row>
    <row r="1907" spans="3:9" ht="15.75">
      <c r="C1907" s="945" t="s">
        <v>923</v>
      </c>
      <c r="D1907" s="946"/>
      <c r="E1907" s="947"/>
      <c r="F1907" s="1054"/>
      <c r="G1907" s="946"/>
      <c r="H1907" s="1031"/>
      <c r="I1907" s="948"/>
    </row>
    <row r="1908" spans="3:9" ht="15.75">
      <c r="C1908" s="949" t="s">
        <v>924</v>
      </c>
      <c r="D1908" s="946"/>
      <c r="E1908" s="947" t="str">
        <f>+VLOOKUP(C1908,'Basic (equilibrio) (2)'!B:D,2,FALSE)</f>
        <v>n/a</v>
      </c>
      <c r="F1908" s="1054">
        <f>+VLOOKUP(C1908,'Basic (equilibrio) (2)'!B:D,3,FALSE)</f>
        <v>0</v>
      </c>
      <c r="G1908" s="946">
        <f>F1908-(F1908/1.18)</f>
        <v>0</v>
      </c>
      <c r="H1908" s="1039"/>
      <c r="I1908" s="955">
        <f>D1908*F1908</f>
        <v>0</v>
      </c>
    </row>
    <row r="1909" spans="3:9" ht="15.75">
      <c r="C1909" s="951" t="s">
        <v>918</v>
      </c>
      <c r="D1909" s="946"/>
      <c r="E1909" s="947"/>
      <c r="F1909" s="1054"/>
      <c r="G1909" s="946"/>
      <c r="H1909" s="1031"/>
      <c r="I1909" s="952">
        <f>SUM(I1908:I1908)</f>
        <v>0</v>
      </c>
    </row>
    <row r="1910" spans="3:9" ht="15.75">
      <c r="C1910" s="949"/>
      <c r="D1910" s="946"/>
      <c r="E1910" s="947"/>
      <c r="F1910" s="1054"/>
      <c r="G1910" s="946"/>
      <c r="H1910" s="1031"/>
      <c r="I1910" s="948"/>
    </row>
    <row r="1911" spans="3:9" ht="15.75">
      <c r="C1911" s="945" t="s">
        <v>925</v>
      </c>
      <c r="D1911" s="946"/>
      <c r="E1911" s="947"/>
      <c r="F1911" s="1054"/>
      <c r="G1911" s="946"/>
      <c r="H1911" s="1031"/>
      <c r="I1911" s="948"/>
    </row>
    <row r="1912" spans="3:9" ht="15.75">
      <c r="C1912" s="949" t="s">
        <v>924</v>
      </c>
      <c r="D1912" s="946"/>
      <c r="E1912" s="947" t="str">
        <f>+VLOOKUP(C1912,'Basic (equilibrio) (2)'!B:D,2,FALSE)</f>
        <v>n/a</v>
      </c>
      <c r="F1912" s="1054">
        <f>+VLOOKUP(C1912,'Basic (equilibrio) (2)'!B:D,3,FALSE)</f>
        <v>0</v>
      </c>
      <c r="G1912" s="946">
        <f>F1912-(F1912/1.18)</f>
        <v>0</v>
      </c>
      <c r="H1912" s="1031"/>
      <c r="I1912" s="948">
        <f>D1912*F1912</f>
        <v>0</v>
      </c>
    </row>
    <row r="1913" spans="3:9" ht="15.75">
      <c r="C1913" s="951" t="s">
        <v>918</v>
      </c>
      <c r="D1913" s="946"/>
      <c r="E1913" s="947"/>
      <c r="F1913" s="1054"/>
      <c r="G1913" s="946"/>
      <c r="H1913" s="1031"/>
      <c r="I1913" s="952">
        <f>SUM(I1912)</f>
        <v>0</v>
      </c>
    </row>
    <row r="1914" spans="3:9" ht="15.75">
      <c r="C1914" s="951"/>
      <c r="D1914" s="946"/>
      <c r="E1914" s="947"/>
      <c r="F1914" s="1054"/>
      <c r="G1914" s="946"/>
      <c r="H1914" s="1031"/>
      <c r="I1914" s="952"/>
    </row>
    <row r="1915" spans="3:9" ht="15.75">
      <c r="C1915" s="956" t="s">
        <v>926</v>
      </c>
      <c r="D1915" s="957"/>
      <c r="E1915" s="958"/>
      <c r="F1915" s="1069"/>
      <c r="G1915" s="957"/>
      <c r="H1915" s="1032"/>
      <c r="I1915" s="959">
        <f>+I1901</f>
        <v>945</v>
      </c>
    </row>
    <row r="1916" spans="3:9" ht="15.75">
      <c r="C1916" s="956" t="s">
        <v>927</v>
      </c>
      <c r="D1916" s="957"/>
      <c r="E1916" s="958"/>
      <c r="F1916" s="1069"/>
      <c r="G1916" s="957"/>
      <c r="H1916" s="1032"/>
      <c r="I1916" s="959">
        <f>+I1905</f>
        <v>0</v>
      </c>
    </row>
    <row r="1917" spans="3:9" ht="15.75">
      <c r="C1917" s="956" t="s">
        <v>928</v>
      </c>
      <c r="D1917" s="957"/>
      <c r="E1917" s="958"/>
      <c r="F1917" s="1069"/>
      <c r="G1917" s="957"/>
      <c r="H1917" s="1032"/>
      <c r="I1917" s="959">
        <f>+I1909</f>
        <v>0</v>
      </c>
    </row>
    <row r="1918" spans="3:9" ht="15.75">
      <c r="C1918" s="956" t="s">
        <v>929</v>
      </c>
      <c r="D1918" s="957"/>
      <c r="E1918" s="958"/>
      <c r="F1918" s="1069"/>
      <c r="G1918" s="957"/>
      <c r="H1918" s="1032"/>
      <c r="I1918" s="959">
        <f>+I1913</f>
        <v>0</v>
      </c>
    </row>
    <row r="1919" spans="3:9" ht="15.75">
      <c r="C1919" s="949"/>
      <c r="D1919" s="946"/>
      <c r="E1919" s="947"/>
      <c r="F1919" s="1054"/>
      <c r="G1919" s="946"/>
      <c r="H1919" s="1031"/>
      <c r="I1919" s="948"/>
    </row>
    <row r="1920" spans="3:9" ht="15.75">
      <c r="C1920" s="949"/>
      <c r="D1920" s="946"/>
      <c r="E1920" s="947"/>
      <c r="F1920" s="1054"/>
      <c r="G1920" s="946"/>
      <c r="H1920" s="1031"/>
      <c r="I1920" s="948"/>
    </row>
    <row r="1921" spans="2:9" ht="15.75">
      <c r="C1921" s="951" t="s">
        <v>930</v>
      </c>
      <c r="D1921" s="960"/>
      <c r="E1921" s="943" t="str">
        <f>+E1897</f>
        <v>und</v>
      </c>
      <c r="F1921" s="1070"/>
      <c r="G1921" s="960"/>
      <c r="H1921" s="1033"/>
      <c r="I1921" s="952">
        <f>SUM(I1915:I1918)</f>
        <v>945</v>
      </c>
    </row>
    <row r="1922" spans="2:9" ht="15.75">
      <c r="C1922" s="951"/>
      <c r="D1922" s="960"/>
      <c r="E1922" s="943"/>
      <c r="F1922" s="1070"/>
      <c r="G1922" s="960"/>
      <c r="H1922" s="1033"/>
      <c r="I1922" s="952"/>
    </row>
    <row r="1923" spans="2:9" ht="15.75">
      <c r="C1923" s="951"/>
      <c r="D1923" s="960"/>
      <c r="E1923" s="943"/>
      <c r="F1923" s="1070"/>
      <c r="G1923" s="960"/>
      <c r="H1923" s="1033"/>
      <c r="I1923" s="952"/>
    </row>
    <row r="1924" spans="2:9" ht="15.75">
      <c r="B1924" s="1024">
        <v>4.5999999999999996</v>
      </c>
      <c r="C1924" s="937" t="s">
        <v>469</v>
      </c>
      <c r="D1924" s="938"/>
      <c r="E1924" s="939" t="s">
        <v>1106</v>
      </c>
      <c r="F1924" s="1066"/>
      <c r="G1924" s="938"/>
      <c r="H1924" s="1029"/>
      <c r="I1924" s="940">
        <f>I1948</f>
        <v>1000</v>
      </c>
    </row>
    <row r="1925" spans="2:9" ht="15.75">
      <c r="C1925" s="941" t="s">
        <v>908</v>
      </c>
      <c r="D1925" s="942" t="s">
        <v>9</v>
      </c>
      <c r="E1925" s="943" t="s">
        <v>10</v>
      </c>
      <c r="F1925" s="1067" t="s">
        <v>909</v>
      </c>
      <c r="G1925" s="942" t="s">
        <v>910</v>
      </c>
      <c r="H1925" s="1030" t="s">
        <v>911</v>
      </c>
      <c r="I1925" s="944" t="s">
        <v>912</v>
      </c>
    </row>
    <row r="1926" spans="2:9" ht="15.75">
      <c r="C1926" s="945" t="s">
        <v>913</v>
      </c>
      <c r="D1926" s="946"/>
      <c r="E1926" s="947"/>
      <c r="F1926" s="1054"/>
      <c r="G1926" s="946"/>
      <c r="H1926" s="1031"/>
      <c r="I1926" s="948"/>
    </row>
    <row r="1927" spans="2:9" ht="15.75">
      <c r="C1927" s="949" t="s">
        <v>1528</v>
      </c>
      <c r="D1927" s="946">
        <v>1</v>
      </c>
      <c r="E1927" s="950" t="str">
        <f>+VLOOKUP(C1927,'Basic (equilibrio) (2)'!B:D,2,FALSE)</f>
        <v>und</v>
      </c>
      <c r="F1927" s="1068">
        <f>'Basic (equilibrio) (2)'!$D$448</f>
        <v>1000</v>
      </c>
      <c r="G1927" s="946">
        <f>F1927-(F1927/1.18)</f>
        <v>152.54</v>
      </c>
      <c r="H1927" s="1031"/>
      <c r="I1927" s="948">
        <f>D1927*F1927</f>
        <v>1000</v>
      </c>
    </row>
    <row r="1928" spans="2:9" ht="15.75">
      <c r="C1928" s="951" t="s">
        <v>918</v>
      </c>
      <c r="D1928" s="946"/>
      <c r="E1928" s="947"/>
      <c r="F1928" s="1068"/>
      <c r="G1928" s="946"/>
      <c r="H1928" s="1031"/>
      <c r="I1928" s="952">
        <f>SUM(I1927:I1927)</f>
        <v>1000</v>
      </c>
    </row>
    <row r="1929" spans="2:9" ht="15.75">
      <c r="C1929" s="949"/>
      <c r="D1929" s="946"/>
      <c r="E1929" s="947"/>
      <c r="F1929" s="1068"/>
      <c r="G1929" s="946"/>
      <c r="H1929" s="1031"/>
      <c r="I1929" s="948"/>
    </row>
    <row r="1930" spans="2:9" ht="15.75">
      <c r="C1930" s="945" t="s">
        <v>919</v>
      </c>
      <c r="D1930" s="946"/>
      <c r="E1930" s="947"/>
      <c r="F1930" s="1068"/>
      <c r="G1930" s="946"/>
      <c r="H1930" s="1031"/>
      <c r="I1930" s="948"/>
    </row>
    <row r="1931" spans="2:9" ht="15.75">
      <c r="C1931" s="949" t="s">
        <v>924</v>
      </c>
      <c r="D1931" s="953"/>
      <c r="E1931" s="954" t="str">
        <f>+VLOOKUP(C1931,'Basic (equilibrio) (2)'!B:D,2,FALSE)</f>
        <v>n/a</v>
      </c>
      <c r="F1931" s="1068">
        <f>+VLOOKUP(C1931,'Basic (equilibrio) (2)'!B:D,3,FALSE)</f>
        <v>0</v>
      </c>
      <c r="G1931" s="946">
        <v>0</v>
      </c>
      <c r="H1931" s="1031"/>
      <c r="I1931" s="948">
        <f>D1931*F1931</f>
        <v>0</v>
      </c>
    </row>
    <row r="1932" spans="2:9" ht="15.75">
      <c r="C1932" s="951" t="s">
        <v>918</v>
      </c>
      <c r="D1932" s="946"/>
      <c r="E1932" s="947"/>
      <c r="F1932" s="1054"/>
      <c r="G1932" s="946"/>
      <c r="H1932" s="1031"/>
      <c r="I1932" s="952">
        <f>SUM(I1931:I1931)</f>
        <v>0</v>
      </c>
    </row>
    <row r="1933" spans="2:9" ht="15.75">
      <c r="C1933" s="949"/>
      <c r="D1933" s="946"/>
      <c r="E1933" s="947"/>
      <c r="F1933" s="1054"/>
      <c r="G1933" s="946"/>
      <c r="H1933" s="1031"/>
      <c r="I1933" s="948"/>
    </row>
    <row r="1934" spans="2:9" ht="15.75">
      <c r="C1934" s="945" t="s">
        <v>923</v>
      </c>
      <c r="D1934" s="946"/>
      <c r="E1934" s="947"/>
      <c r="F1934" s="1054"/>
      <c r="G1934" s="946"/>
      <c r="H1934" s="1031"/>
      <c r="I1934" s="948"/>
    </row>
    <row r="1935" spans="2:9" ht="15.75">
      <c r="C1935" s="949" t="s">
        <v>924</v>
      </c>
      <c r="D1935" s="946"/>
      <c r="E1935" s="947" t="str">
        <f>+VLOOKUP(C1935,'Basic (equilibrio) (2)'!B:D,2,FALSE)</f>
        <v>n/a</v>
      </c>
      <c r="F1935" s="1054">
        <f>+VLOOKUP(C1935,'Basic (equilibrio) (2)'!B:D,3,FALSE)</f>
        <v>0</v>
      </c>
      <c r="G1935" s="946">
        <f>F1935-(F1935/1.18)</f>
        <v>0</v>
      </c>
      <c r="H1935" s="1039"/>
      <c r="I1935" s="955">
        <f>D1935*F1935</f>
        <v>0</v>
      </c>
    </row>
    <row r="1936" spans="2:9" ht="15.75">
      <c r="C1936" s="951" t="s">
        <v>918</v>
      </c>
      <c r="D1936" s="946"/>
      <c r="E1936" s="947"/>
      <c r="F1936" s="1054"/>
      <c r="G1936" s="946"/>
      <c r="H1936" s="1031"/>
      <c r="I1936" s="952">
        <f>SUM(I1935:I1935)</f>
        <v>0</v>
      </c>
    </row>
    <row r="1937" spans="2:9" ht="15.75">
      <c r="C1937" s="949"/>
      <c r="D1937" s="946"/>
      <c r="E1937" s="947"/>
      <c r="F1937" s="1054"/>
      <c r="G1937" s="946"/>
      <c r="H1937" s="1031"/>
      <c r="I1937" s="948"/>
    </row>
    <row r="1938" spans="2:9" ht="15.75">
      <c r="C1938" s="945" t="s">
        <v>925</v>
      </c>
      <c r="D1938" s="946"/>
      <c r="E1938" s="947"/>
      <c r="F1938" s="1054"/>
      <c r="G1938" s="946"/>
      <c r="H1938" s="1031"/>
      <c r="I1938" s="948"/>
    </row>
    <row r="1939" spans="2:9" ht="15.75">
      <c r="C1939" s="949" t="s">
        <v>924</v>
      </c>
      <c r="D1939" s="946"/>
      <c r="E1939" s="947" t="str">
        <f>+VLOOKUP(C1939,'Basic (equilibrio) (2)'!B:D,2,FALSE)</f>
        <v>n/a</v>
      </c>
      <c r="F1939" s="1054">
        <f>+VLOOKUP(C1939,'Basic (equilibrio) (2)'!B:D,3,FALSE)</f>
        <v>0</v>
      </c>
      <c r="G1939" s="946">
        <f>F1939-(F1939/1.18)</f>
        <v>0</v>
      </c>
      <c r="H1939" s="1031"/>
      <c r="I1939" s="948">
        <f>D1939*F1939</f>
        <v>0</v>
      </c>
    </row>
    <row r="1940" spans="2:9" ht="15.75">
      <c r="C1940" s="951" t="s">
        <v>918</v>
      </c>
      <c r="D1940" s="946"/>
      <c r="E1940" s="947"/>
      <c r="F1940" s="1054"/>
      <c r="G1940" s="946"/>
      <c r="H1940" s="1031"/>
      <c r="I1940" s="952">
        <f>SUM(I1939)</f>
        <v>0</v>
      </c>
    </row>
    <row r="1941" spans="2:9" ht="15.75">
      <c r="C1941" s="951"/>
      <c r="D1941" s="946"/>
      <c r="E1941" s="947"/>
      <c r="F1941" s="1054"/>
      <c r="G1941" s="946"/>
      <c r="H1941" s="1031"/>
      <c r="I1941" s="952"/>
    </row>
    <row r="1942" spans="2:9" ht="15.75">
      <c r="C1942" s="956" t="s">
        <v>926</v>
      </c>
      <c r="D1942" s="957"/>
      <c r="E1942" s="958"/>
      <c r="F1942" s="1069"/>
      <c r="G1942" s="957"/>
      <c r="H1942" s="1032"/>
      <c r="I1942" s="959">
        <f>+I1928</f>
        <v>1000</v>
      </c>
    </row>
    <row r="1943" spans="2:9" ht="15.75">
      <c r="C1943" s="956" t="s">
        <v>927</v>
      </c>
      <c r="D1943" s="957"/>
      <c r="E1943" s="958"/>
      <c r="F1943" s="1069"/>
      <c r="G1943" s="957"/>
      <c r="H1943" s="1032"/>
      <c r="I1943" s="959">
        <f>+I1932</f>
        <v>0</v>
      </c>
    </row>
    <row r="1944" spans="2:9" ht="15.75">
      <c r="C1944" s="956" t="s">
        <v>928</v>
      </c>
      <c r="D1944" s="957"/>
      <c r="E1944" s="958"/>
      <c r="F1944" s="1069"/>
      <c r="G1944" s="957"/>
      <c r="H1944" s="1032"/>
      <c r="I1944" s="959">
        <f>+I1936</f>
        <v>0</v>
      </c>
    </row>
    <row r="1945" spans="2:9" ht="15.75">
      <c r="C1945" s="956" t="s">
        <v>929</v>
      </c>
      <c r="D1945" s="957"/>
      <c r="E1945" s="958"/>
      <c r="F1945" s="1069"/>
      <c r="G1945" s="957"/>
      <c r="H1945" s="1032"/>
      <c r="I1945" s="959">
        <f>+I1940</f>
        <v>0</v>
      </c>
    </row>
    <row r="1946" spans="2:9" ht="15.75">
      <c r="C1946" s="949"/>
      <c r="D1946" s="946"/>
      <c r="E1946" s="947"/>
      <c r="F1946" s="1054"/>
      <c r="G1946" s="946"/>
      <c r="H1946" s="1031"/>
      <c r="I1946" s="948"/>
    </row>
    <row r="1947" spans="2:9" ht="15.75">
      <c r="C1947" s="949"/>
      <c r="D1947" s="946"/>
      <c r="E1947" s="947"/>
      <c r="F1947" s="1054"/>
      <c r="G1947" s="946"/>
      <c r="H1947" s="1031"/>
      <c r="I1947" s="948"/>
    </row>
    <row r="1948" spans="2:9" ht="15.75">
      <c r="C1948" s="951" t="s">
        <v>930</v>
      </c>
      <c r="D1948" s="960"/>
      <c r="E1948" s="943" t="str">
        <f>+E1924</f>
        <v>und</v>
      </c>
      <c r="F1948" s="1070"/>
      <c r="G1948" s="960"/>
      <c r="H1948" s="1033"/>
      <c r="I1948" s="952">
        <f>SUM(I1942:I1945)</f>
        <v>1000</v>
      </c>
    </row>
    <row r="1949" spans="2:9" ht="15.75">
      <c r="C1949" s="951"/>
      <c r="D1949" s="960"/>
      <c r="E1949" s="943"/>
      <c r="F1949" s="1070"/>
      <c r="G1949" s="960"/>
      <c r="H1949" s="1033"/>
      <c r="I1949" s="952"/>
    </row>
    <row r="1950" spans="2:9" ht="15.75">
      <c r="C1950" s="951"/>
      <c r="D1950" s="960"/>
      <c r="E1950" s="943"/>
      <c r="F1950" s="1070"/>
      <c r="G1950" s="960"/>
      <c r="H1950" s="1033"/>
      <c r="I1950" s="952"/>
    </row>
    <row r="1951" spans="2:9" ht="15.75">
      <c r="B1951" s="1024">
        <v>4.7</v>
      </c>
      <c r="C1951" s="937" t="str">
        <f>+Presupuesto!B127</f>
        <v>Árbol Caimito cimarrón</v>
      </c>
      <c r="D1951" s="938"/>
      <c r="E1951" s="939" t="s">
        <v>1106</v>
      </c>
      <c r="F1951" s="1066"/>
      <c r="G1951" s="938"/>
      <c r="H1951" s="1029"/>
      <c r="I1951" s="940">
        <f>I1975</f>
        <v>800</v>
      </c>
    </row>
    <row r="1952" spans="2:9" ht="15.75">
      <c r="C1952" s="941" t="s">
        <v>908</v>
      </c>
      <c r="D1952" s="942" t="s">
        <v>9</v>
      </c>
      <c r="E1952" s="943" t="s">
        <v>10</v>
      </c>
      <c r="F1952" s="1067" t="s">
        <v>909</v>
      </c>
      <c r="G1952" s="942" t="s">
        <v>910</v>
      </c>
      <c r="H1952" s="1030" t="s">
        <v>911</v>
      </c>
      <c r="I1952" s="944" t="s">
        <v>912</v>
      </c>
    </row>
    <row r="1953" spans="3:9" ht="15.75">
      <c r="C1953" s="945" t="s">
        <v>913</v>
      </c>
      <c r="D1953" s="946"/>
      <c r="E1953" s="947"/>
      <c r="F1953" s="1054"/>
      <c r="G1953" s="946"/>
      <c r="H1953" s="1031"/>
      <c r="I1953" s="948"/>
    </row>
    <row r="1954" spans="3:9" ht="15.75">
      <c r="C1954" s="949" t="s">
        <v>1529</v>
      </c>
      <c r="D1954" s="946">
        <v>1</v>
      </c>
      <c r="E1954" s="950" t="str">
        <f>+VLOOKUP(C1954,'Basic (equilibrio) (2)'!B:D,2,FALSE)</f>
        <v>ud</v>
      </c>
      <c r="F1954" s="1068">
        <f>'Basic (equilibrio) (2)'!$D$449</f>
        <v>800</v>
      </c>
      <c r="G1954" s="946">
        <f>F1954-(F1954/1.18)</f>
        <v>122.03</v>
      </c>
      <c r="H1954" s="1031"/>
      <c r="I1954" s="948">
        <f>D1954*F1954</f>
        <v>800</v>
      </c>
    </row>
    <row r="1955" spans="3:9" ht="15.75">
      <c r="C1955" s="951" t="s">
        <v>918</v>
      </c>
      <c r="D1955" s="946"/>
      <c r="E1955" s="947"/>
      <c r="F1955" s="1068"/>
      <c r="G1955" s="946"/>
      <c r="H1955" s="1031"/>
      <c r="I1955" s="952">
        <f>SUM(I1954:I1954)</f>
        <v>800</v>
      </c>
    </row>
    <row r="1956" spans="3:9" ht="15.75">
      <c r="C1956" s="949"/>
      <c r="D1956" s="946"/>
      <c r="E1956" s="947"/>
      <c r="F1956" s="1068"/>
      <c r="G1956" s="946"/>
      <c r="H1956" s="1031"/>
      <c r="I1956" s="948"/>
    </row>
    <row r="1957" spans="3:9" ht="15.75">
      <c r="C1957" s="945" t="s">
        <v>919</v>
      </c>
      <c r="D1957" s="946"/>
      <c r="E1957" s="947"/>
      <c r="F1957" s="1068"/>
      <c r="G1957" s="946"/>
      <c r="H1957" s="1031"/>
      <c r="I1957" s="948"/>
    </row>
    <row r="1958" spans="3:9" ht="15.75">
      <c r="C1958" s="949" t="s">
        <v>924</v>
      </c>
      <c r="D1958" s="953"/>
      <c r="E1958" s="954" t="str">
        <f>+VLOOKUP(C1958,'Basic (equilibrio) (2)'!B:D,2,FALSE)</f>
        <v>n/a</v>
      </c>
      <c r="F1958" s="1068">
        <f>+VLOOKUP(C1958,'Basic (equilibrio) (2)'!B:D,3,FALSE)</f>
        <v>0</v>
      </c>
      <c r="G1958" s="946">
        <v>0</v>
      </c>
      <c r="H1958" s="1031"/>
      <c r="I1958" s="948">
        <f>D1958*F1958</f>
        <v>0</v>
      </c>
    </row>
    <row r="1959" spans="3:9" ht="15.75">
      <c r="C1959" s="951" t="s">
        <v>918</v>
      </c>
      <c r="D1959" s="946"/>
      <c r="E1959" s="947"/>
      <c r="F1959" s="1054"/>
      <c r="G1959" s="946"/>
      <c r="H1959" s="1031"/>
      <c r="I1959" s="952">
        <f>SUM(I1958:I1958)</f>
        <v>0</v>
      </c>
    </row>
    <row r="1960" spans="3:9" ht="15.75">
      <c r="C1960" s="949"/>
      <c r="D1960" s="946"/>
      <c r="E1960" s="947"/>
      <c r="F1960" s="1054"/>
      <c r="G1960" s="946"/>
      <c r="H1960" s="1031"/>
      <c r="I1960" s="948"/>
    </row>
    <row r="1961" spans="3:9" ht="15.75">
      <c r="C1961" s="945" t="s">
        <v>923</v>
      </c>
      <c r="D1961" s="946"/>
      <c r="E1961" s="947"/>
      <c r="F1961" s="1054"/>
      <c r="G1961" s="946"/>
      <c r="H1961" s="1031"/>
      <c r="I1961" s="948"/>
    </row>
    <row r="1962" spans="3:9" ht="15.75">
      <c r="C1962" s="949" t="s">
        <v>924</v>
      </c>
      <c r="D1962" s="946"/>
      <c r="E1962" s="947" t="str">
        <f>+VLOOKUP(C1962,'Basic (equilibrio) (2)'!B:D,2,FALSE)</f>
        <v>n/a</v>
      </c>
      <c r="F1962" s="1054">
        <f>+VLOOKUP(C1962,'Basic (equilibrio) (2)'!B:D,3,FALSE)</f>
        <v>0</v>
      </c>
      <c r="G1962" s="946">
        <f>F1962-(F1962/1.18)</f>
        <v>0</v>
      </c>
      <c r="H1962" s="1039"/>
      <c r="I1962" s="955">
        <f>D1962*F1962</f>
        <v>0</v>
      </c>
    </row>
    <row r="1963" spans="3:9" ht="15.75">
      <c r="C1963" s="951" t="s">
        <v>918</v>
      </c>
      <c r="D1963" s="946"/>
      <c r="E1963" s="947"/>
      <c r="F1963" s="1054"/>
      <c r="G1963" s="946"/>
      <c r="H1963" s="1031"/>
      <c r="I1963" s="952">
        <f>SUM(I1962:I1962)</f>
        <v>0</v>
      </c>
    </row>
    <row r="1964" spans="3:9" ht="15.75">
      <c r="C1964" s="949"/>
      <c r="D1964" s="946"/>
      <c r="E1964" s="947"/>
      <c r="F1964" s="1054"/>
      <c r="G1964" s="946"/>
      <c r="H1964" s="1031"/>
      <c r="I1964" s="948"/>
    </row>
    <row r="1965" spans="3:9" ht="15.75">
      <c r="C1965" s="945" t="s">
        <v>925</v>
      </c>
      <c r="D1965" s="946"/>
      <c r="E1965" s="947"/>
      <c r="F1965" s="1054"/>
      <c r="G1965" s="946"/>
      <c r="H1965" s="1031"/>
      <c r="I1965" s="948"/>
    </row>
    <row r="1966" spans="3:9" ht="15.75">
      <c r="C1966" s="949" t="s">
        <v>924</v>
      </c>
      <c r="D1966" s="946"/>
      <c r="E1966" s="947" t="str">
        <f>+VLOOKUP(C1966,'Basic (equilibrio) (2)'!B:D,2,FALSE)</f>
        <v>n/a</v>
      </c>
      <c r="F1966" s="1054">
        <f>+VLOOKUP(C1966,'Basic (equilibrio) (2)'!B:D,3,FALSE)</f>
        <v>0</v>
      </c>
      <c r="G1966" s="946">
        <f>F1966-(F1966/1.18)</f>
        <v>0</v>
      </c>
      <c r="H1966" s="1031"/>
      <c r="I1966" s="948">
        <f>D1966*F1966</f>
        <v>0</v>
      </c>
    </row>
    <row r="1967" spans="3:9" ht="15.75">
      <c r="C1967" s="951" t="s">
        <v>918</v>
      </c>
      <c r="D1967" s="946"/>
      <c r="E1967" s="947"/>
      <c r="F1967" s="1054"/>
      <c r="G1967" s="946"/>
      <c r="H1967" s="1031"/>
      <c r="I1967" s="952">
        <f>SUM(I1966)</f>
        <v>0</v>
      </c>
    </row>
    <row r="1968" spans="3:9" ht="15.75">
      <c r="C1968" s="951"/>
      <c r="D1968" s="946"/>
      <c r="E1968" s="947"/>
      <c r="F1968" s="1054"/>
      <c r="G1968" s="946"/>
      <c r="H1968" s="1031"/>
      <c r="I1968" s="952"/>
    </row>
    <row r="1969" spans="2:9" ht="15.75">
      <c r="C1969" s="956" t="s">
        <v>926</v>
      </c>
      <c r="D1969" s="957"/>
      <c r="E1969" s="958"/>
      <c r="F1969" s="1069"/>
      <c r="G1969" s="957"/>
      <c r="H1969" s="1032"/>
      <c r="I1969" s="959">
        <f>+I1955</f>
        <v>800</v>
      </c>
    </row>
    <row r="1970" spans="2:9" ht="15.75">
      <c r="C1970" s="956" t="s">
        <v>927</v>
      </c>
      <c r="D1970" s="957"/>
      <c r="E1970" s="958"/>
      <c r="F1970" s="1069"/>
      <c r="G1970" s="957"/>
      <c r="H1970" s="1032"/>
      <c r="I1970" s="959">
        <f>+I1959</f>
        <v>0</v>
      </c>
    </row>
    <row r="1971" spans="2:9" ht="15.75">
      <c r="C1971" s="956" t="s">
        <v>928</v>
      </c>
      <c r="D1971" s="957"/>
      <c r="E1971" s="958"/>
      <c r="F1971" s="1069"/>
      <c r="G1971" s="957"/>
      <c r="H1971" s="1032"/>
      <c r="I1971" s="959">
        <f>+I1963</f>
        <v>0</v>
      </c>
    </row>
    <row r="1972" spans="2:9" ht="15.75">
      <c r="C1972" s="956" t="s">
        <v>929</v>
      </c>
      <c r="D1972" s="957"/>
      <c r="E1972" s="958"/>
      <c r="F1972" s="1069"/>
      <c r="G1972" s="957"/>
      <c r="H1972" s="1032"/>
      <c r="I1972" s="959">
        <f>+I1967</f>
        <v>0</v>
      </c>
    </row>
    <row r="1973" spans="2:9" ht="15.75">
      <c r="C1973" s="949"/>
      <c r="D1973" s="946"/>
      <c r="E1973" s="947"/>
      <c r="F1973" s="1054"/>
      <c r="G1973" s="946"/>
      <c r="H1973" s="1031"/>
      <c r="I1973" s="948"/>
    </row>
    <row r="1974" spans="2:9" ht="15.75">
      <c r="C1974" s="949"/>
      <c r="D1974" s="946"/>
      <c r="E1974" s="947"/>
      <c r="F1974" s="1054"/>
      <c r="G1974" s="946"/>
      <c r="H1974" s="1031"/>
      <c r="I1974" s="948"/>
    </row>
    <row r="1975" spans="2:9" ht="15.75">
      <c r="C1975" s="951" t="s">
        <v>930</v>
      </c>
      <c r="D1975" s="960"/>
      <c r="E1975" s="943" t="str">
        <f>+E1951</f>
        <v>und</v>
      </c>
      <c r="F1975" s="1070"/>
      <c r="G1975" s="960"/>
      <c r="H1975" s="1033"/>
      <c r="I1975" s="952">
        <f>SUM(I1969:I1972)</f>
        <v>800</v>
      </c>
    </row>
    <row r="1976" spans="2:9" ht="15.75">
      <c r="C1976" s="951"/>
      <c r="D1976" s="960"/>
      <c r="E1976" s="943"/>
      <c r="F1976" s="1070"/>
      <c r="G1976" s="960"/>
      <c r="H1976" s="1033"/>
      <c r="I1976" s="952"/>
    </row>
    <row r="1977" spans="2:9" ht="15.75">
      <c r="C1977" s="951"/>
      <c r="D1977" s="960"/>
      <c r="E1977" s="943"/>
      <c r="F1977" s="1070"/>
      <c r="G1977" s="960"/>
      <c r="H1977" s="1033"/>
      <c r="I1977" s="952"/>
    </row>
    <row r="1978" spans="2:9" ht="15.75">
      <c r="B1978" s="1024">
        <v>4.8</v>
      </c>
      <c r="C1978" s="937" t="str">
        <f>+Presupuesto!B128</f>
        <v>Árbol Roble criollo</v>
      </c>
      <c r="D1978" s="938"/>
      <c r="E1978" s="939" t="s">
        <v>1106</v>
      </c>
      <c r="F1978" s="1066"/>
      <c r="G1978" s="938"/>
      <c r="H1978" s="1029"/>
      <c r="I1978" s="940">
        <f>I2002</f>
        <v>997.5</v>
      </c>
    </row>
    <row r="1979" spans="2:9" ht="15.75">
      <c r="C1979" s="941" t="s">
        <v>908</v>
      </c>
      <c r="D1979" s="942" t="s">
        <v>9</v>
      </c>
      <c r="E1979" s="943" t="s">
        <v>10</v>
      </c>
      <c r="F1979" s="1067" t="s">
        <v>909</v>
      </c>
      <c r="G1979" s="942" t="s">
        <v>910</v>
      </c>
      <c r="H1979" s="1030" t="s">
        <v>911</v>
      </c>
      <c r="I1979" s="944" t="s">
        <v>912</v>
      </c>
    </row>
    <row r="1980" spans="2:9" ht="15.75">
      <c r="C1980" s="945" t="s">
        <v>913</v>
      </c>
      <c r="D1980" s="946"/>
      <c r="E1980" s="947"/>
      <c r="F1980" s="1054"/>
      <c r="G1980" s="946"/>
      <c r="H1980" s="1031"/>
      <c r="I1980" s="948"/>
    </row>
    <row r="1981" spans="2:9" ht="15.75">
      <c r="C1981" s="949" t="s">
        <v>1530</v>
      </c>
      <c r="D1981" s="946">
        <v>1</v>
      </c>
      <c r="E1981" s="950" t="str">
        <f>+VLOOKUP(C1981,'Basic (equilibrio) (2)'!B:D,2,FALSE)</f>
        <v>ud</v>
      </c>
      <c r="F1981" s="1068">
        <f>'Basic (equilibrio) (2)'!$D$403</f>
        <v>997.5</v>
      </c>
      <c r="G1981" s="946">
        <f>F1981-(F1981/1.18)</f>
        <v>152.16</v>
      </c>
      <c r="H1981" s="1031"/>
      <c r="I1981" s="948">
        <f>D1981*F1981</f>
        <v>997.5</v>
      </c>
    </row>
    <row r="1982" spans="2:9" ht="15.75">
      <c r="C1982" s="951" t="s">
        <v>918</v>
      </c>
      <c r="D1982" s="946"/>
      <c r="E1982" s="947"/>
      <c r="F1982" s="1068"/>
      <c r="G1982" s="946"/>
      <c r="H1982" s="1031"/>
      <c r="I1982" s="952">
        <f>SUM(I1981:I1981)</f>
        <v>997.5</v>
      </c>
    </row>
    <row r="1983" spans="2:9" ht="15.75">
      <c r="C1983" s="949"/>
      <c r="D1983" s="946"/>
      <c r="E1983" s="947"/>
      <c r="F1983" s="1068"/>
      <c r="G1983" s="946"/>
      <c r="H1983" s="1031"/>
      <c r="I1983" s="948"/>
    </row>
    <row r="1984" spans="2:9" ht="15.75">
      <c r="C1984" s="945" t="s">
        <v>919</v>
      </c>
      <c r="D1984" s="946"/>
      <c r="E1984" s="947"/>
      <c r="F1984" s="1068"/>
      <c r="G1984" s="946"/>
      <c r="H1984" s="1031"/>
      <c r="I1984" s="948"/>
    </row>
    <row r="1985" spans="3:9" ht="15.75">
      <c r="C1985" s="949" t="s">
        <v>924</v>
      </c>
      <c r="D1985" s="953"/>
      <c r="E1985" s="954" t="str">
        <f>+VLOOKUP(C1985,'Basic (equilibrio) (2)'!B:D,2,FALSE)</f>
        <v>n/a</v>
      </c>
      <c r="F1985" s="1068">
        <f>+VLOOKUP(C1985,'Basic (equilibrio) (2)'!B:D,3,FALSE)</f>
        <v>0</v>
      </c>
      <c r="G1985" s="946">
        <v>0</v>
      </c>
      <c r="H1985" s="1031"/>
      <c r="I1985" s="948">
        <f>D1985*F1985</f>
        <v>0</v>
      </c>
    </row>
    <row r="1986" spans="3:9" ht="15.75">
      <c r="C1986" s="951" t="s">
        <v>918</v>
      </c>
      <c r="D1986" s="946"/>
      <c r="E1986" s="947"/>
      <c r="F1986" s="1054"/>
      <c r="G1986" s="946"/>
      <c r="H1986" s="1031"/>
      <c r="I1986" s="952">
        <f>SUM(I1985:I1985)</f>
        <v>0</v>
      </c>
    </row>
    <row r="1987" spans="3:9" ht="15.75">
      <c r="C1987" s="949"/>
      <c r="D1987" s="946"/>
      <c r="E1987" s="947"/>
      <c r="F1987" s="1054"/>
      <c r="G1987" s="946"/>
      <c r="H1987" s="1031"/>
      <c r="I1987" s="948"/>
    </row>
    <row r="1988" spans="3:9" ht="15.75">
      <c r="C1988" s="945" t="s">
        <v>923</v>
      </c>
      <c r="D1988" s="946"/>
      <c r="E1988" s="947"/>
      <c r="F1988" s="1054"/>
      <c r="G1988" s="946"/>
      <c r="H1988" s="1031"/>
      <c r="I1988" s="948"/>
    </row>
    <row r="1989" spans="3:9" ht="15.75">
      <c r="C1989" s="949" t="s">
        <v>924</v>
      </c>
      <c r="D1989" s="946"/>
      <c r="E1989" s="947" t="str">
        <f>+VLOOKUP(C1989,'Basic (equilibrio) (2)'!B:D,2,FALSE)</f>
        <v>n/a</v>
      </c>
      <c r="F1989" s="1054">
        <f>+VLOOKUP(C1989,'Basic (equilibrio) (2)'!B:D,3,FALSE)</f>
        <v>0</v>
      </c>
      <c r="G1989" s="946">
        <f>F1989-(F1989/1.18)</f>
        <v>0</v>
      </c>
      <c r="H1989" s="1039"/>
      <c r="I1989" s="955">
        <f>D1989*F1989</f>
        <v>0</v>
      </c>
    </row>
    <row r="1990" spans="3:9" ht="15.75">
      <c r="C1990" s="951" t="s">
        <v>918</v>
      </c>
      <c r="D1990" s="946"/>
      <c r="E1990" s="947"/>
      <c r="F1990" s="1054"/>
      <c r="G1990" s="946"/>
      <c r="H1990" s="1031"/>
      <c r="I1990" s="952">
        <f>SUM(I1989:I1989)</f>
        <v>0</v>
      </c>
    </row>
    <row r="1991" spans="3:9" ht="15.75">
      <c r="C1991" s="949"/>
      <c r="D1991" s="946"/>
      <c r="E1991" s="947"/>
      <c r="F1991" s="1054"/>
      <c r="G1991" s="946"/>
      <c r="H1991" s="1031"/>
      <c r="I1991" s="948"/>
    </row>
    <row r="1992" spans="3:9" ht="15.75">
      <c r="C1992" s="945" t="s">
        <v>925</v>
      </c>
      <c r="D1992" s="946"/>
      <c r="E1992" s="947"/>
      <c r="F1992" s="1054"/>
      <c r="G1992" s="946"/>
      <c r="H1992" s="1031"/>
      <c r="I1992" s="948"/>
    </row>
    <row r="1993" spans="3:9" ht="15.75">
      <c r="C1993" s="949" t="s">
        <v>924</v>
      </c>
      <c r="D1993" s="946"/>
      <c r="E1993" s="947" t="str">
        <f>+VLOOKUP(C1993,'Basic (equilibrio) (2)'!B:D,2,FALSE)</f>
        <v>n/a</v>
      </c>
      <c r="F1993" s="1054">
        <f>+VLOOKUP(C1993,'Basic (equilibrio) (2)'!B:D,3,FALSE)</f>
        <v>0</v>
      </c>
      <c r="G1993" s="946">
        <f>F1993-(F1993/1.18)</f>
        <v>0</v>
      </c>
      <c r="H1993" s="1031"/>
      <c r="I1993" s="948">
        <f>D1993*F1993</f>
        <v>0</v>
      </c>
    </row>
    <row r="1994" spans="3:9" ht="15.75">
      <c r="C1994" s="951" t="s">
        <v>918</v>
      </c>
      <c r="D1994" s="946"/>
      <c r="E1994" s="947"/>
      <c r="F1994" s="1054"/>
      <c r="G1994" s="946"/>
      <c r="H1994" s="1031"/>
      <c r="I1994" s="952">
        <f>SUM(I1993)</f>
        <v>0</v>
      </c>
    </row>
    <row r="1995" spans="3:9" ht="15.75">
      <c r="C1995" s="951"/>
      <c r="D1995" s="946"/>
      <c r="E1995" s="947"/>
      <c r="F1995" s="1054"/>
      <c r="G1995" s="946"/>
      <c r="H1995" s="1031"/>
      <c r="I1995" s="952"/>
    </row>
    <row r="1996" spans="3:9" ht="15.75">
      <c r="C1996" s="956" t="s">
        <v>926</v>
      </c>
      <c r="D1996" s="957"/>
      <c r="E1996" s="958"/>
      <c r="F1996" s="1069"/>
      <c r="G1996" s="957"/>
      <c r="H1996" s="1032"/>
      <c r="I1996" s="959">
        <f>+I1982</f>
        <v>997.5</v>
      </c>
    </row>
    <row r="1997" spans="3:9" ht="15.75">
      <c r="C1997" s="956" t="s">
        <v>927</v>
      </c>
      <c r="D1997" s="957"/>
      <c r="E1997" s="958"/>
      <c r="F1997" s="1069"/>
      <c r="G1997" s="957"/>
      <c r="H1997" s="1032"/>
      <c r="I1997" s="959">
        <f>+I1986</f>
        <v>0</v>
      </c>
    </row>
    <row r="1998" spans="3:9" ht="15.75">
      <c r="C1998" s="956" t="s">
        <v>928</v>
      </c>
      <c r="D1998" s="957"/>
      <c r="E1998" s="958"/>
      <c r="F1998" s="1069"/>
      <c r="G1998" s="957"/>
      <c r="H1998" s="1032"/>
      <c r="I1998" s="959">
        <f>+I1990</f>
        <v>0</v>
      </c>
    </row>
    <row r="1999" spans="3:9" ht="15.75">
      <c r="C1999" s="956" t="s">
        <v>929</v>
      </c>
      <c r="D1999" s="957"/>
      <c r="E1999" s="958"/>
      <c r="F1999" s="1069"/>
      <c r="G1999" s="957"/>
      <c r="H1999" s="1032"/>
      <c r="I1999" s="959">
        <f>+I1994</f>
        <v>0</v>
      </c>
    </row>
    <row r="2000" spans="3:9" ht="15.75">
      <c r="C2000" s="949"/>
      <c r="D2000" s="946"/>
      <c r="E2000" s="947"/>
      <c r="F2000" s="1054"/>
      <c r="G2000" s="946"/>
      <c r="H2000" s="1031"/>
      <c r="I2000" s="948"/>
    </row>
    <row r="2001" spans="2:9" ht="15.75">
      <c r="C2001" s="949"/>
      <c r="D2001" s="946"/>
      <c r="E2001" s="947"/>
      <c r="F2001" s="1054"/>
      <c r="G2001" s="946"/>
      <c r="H2001" s="1031"/>
      <c r="I2001" s="948"/>
    </row>
    <row r="2002" spans="2:9" ht="15.75">
      <c r="C2002" s="951" t="s">
        <v>930</v>
      </c>
      <c r="D2002" s="960"/>
      <c r="E2002" s="943" t="str">
        <f>+E1978</f>
        <v>und</v>
      </c>
      <c r="F2002" s="1070"/>
      <c r="G2002" s="960"/>
      <c r="H2002" s="1033"/>
      <c r="I2002" s="952">
        <f>SUM(I1996:I1999)</f>
        <v>997.5</v>
      </c>
    </row>
    <row r="2003" spans="2:9" ht="15.75">
      <c r="C2003" s="951"/>
      <c r="D2003" s="960"/>
      <c r="E2003" s="943"/>
      <c r="F2003" s="1070"/>
      <c r="G2003" s="960"/>
      <c r="H2003" s="1033"/>
      <c r="I2003" s="952"/>
    </row>
    <row r="2004" spans="2:9" ht="15.75">
      <c r="C2004" s="951"/>
      <c r="D2004" s="960"/>
      <c r="E2004" s="943"/>
      <c r="F2004" s="1070"/>
      <c r="G2004" s="960"/>
      <c r="H2004" s="1033"/>
      <c r="I2004" s="952"/>
    </row>
    <row r="2005" spans="2:9" ht="15.75">
      <c r="B2005" s="1024">
        <v>4.9000000000000004</v>
      </c>
      <c r="C2005" s="937" t="s">
        <v>472</v>
      </c>
      <c r="D2005" s="938"/>
      <c r="E2005" s="939" t="s">
        <v>1106</v>
      </c>
      <c r="F2005" s="1066"/>
      <c r="G2005" s="938"/>
      <c r="H2005" s="1029"/>
      <c r="I2005" s="940">
        <f>I2029</f>
        <v>997.5</v>
      </c>
    </row>
    <row r="2006" spans="2:9" ht="15.75">
      <c r="C2006" s="941" t="s">
        <v>908</v>
      </c>
      <c r="D2006" s="942" t="s">
        <v>9</v>
      </c>
      <c r="E2006" s="943" t="s">
        <v>10</v>
      </c>
      <c r="F2006" s="1067" t="s">
        <v>909</v>
      </c>
      <c r="G2006" s="942" t="s">
        <v>910</v>
      </c>
      <c r="H2006" s="1030" t="s">
        <v>911</v>
      </c>
      <c r="I2006" s="944" t="s">
        <v>912</v>
      </c>
    </row>
    <row r="2007" spans="2:9" ht="15.75">
      <c r="C2007" s="945" t="s">
        <v>913</v>
      </c>
      <c r="D2007" s="946"/>
      <c r="E2007" s="947"/>
      <c r="F2007" s="1054"/>
      <c r="G2007" s="946"/>
      <c r="H2007" s="1031"/>
      <c r="I2007" s="948"/>
    </row>
    <row r="2008" spans="2:9" ht="15.75">
      <c r="C2008" s="949" t="s">
        <v>1531</v>
      </c>
      <c r="D2008" s="946">
        <v>1</v>
      </c>
      <c r="E2008" s="950" t="str">
        <f>+VLOOKUP(C2008,'Basic (equilibrio) (2)'!B:D,2,FALSE)</f>
        <v>ud</v>
      </c>
      <c r="F2008" s="1068">
        <f>'Basic (equilibrio) (2)'!$D$404</f>
        <v>997.5</v>
      </c>
      <c r="G2008" s="946">
        <f>F2008-(F2008/1.18)</f>
        <v>152.16</v>
      </c>
      <c r="H2008" s="1031"/>
      <c r="I2008" s="948">
        <f>D2008*F2008</f>
        <v>997.5</v>
      </c>
    </row>
    <row r="2009" spans="2:9" ht="15.75">
      <c r="C2009" s="951" t="s">
        <v>918</v>
      </c>
      <c r="D2009" s="946"/>
      <c r="E2009" s="947"/>
      <c r="F2009" s="1068"/>
      <c r="G2009" s="946"/>
      <c r="H2009" s="1031"/>
      <c r="I2009" s="952">
        <f>SUM(I2008:I2008)</f>
        <v>997.5</v>
      </c>
    </row>
    <row r="2010" spans="2:9" ht="15.75">
      <c r="C2010" s="949"/>
      <c r="D2010" s="946"/>
      <c r="E2010" s="947"/>
      <c r="F2010" s="1068"/>
      <c r="G2010" s="946"/>
      <c r="H2010" s="1031"/>
      <c r="I2010" s="948"/>
    </row>
    <row r="2011" spans="2:9" ht="15.75">
      <c r="C2011" s="945" t="s">
        <v>919</v>
      </c>
      <c r="D2011" s="946"/>
      <c r="E2011" s="947"/>
      <c r="F2011" s="1068"/>
      <c r="G2011" s="946"/>
      <c r="H2011" s="1031"/>
      <c r="I2011" s="948"/>
    </row>
    <row r="2012" spans="2:9" ht="15.75">
      <c r="C2012" s="949" t="s">
        <v>924</v>
      </c>
      <c r="D2012" s="953"/>
      <c r="E2012" s="954" t="str">
        <f>+VLOOKUP(C2012,'Basic (equilibrio) (2)'!B:D,2,FALSE)</f>
        <v>n/a</v>
      </c>
      <c r="F2012" s="1068">
        <f>+VLOOKUP(C2012,'Basic (equilibrio) (2)'!B:D,3,FALSE)</f>
        <v>0</v>
      </c>
      <c r="G2012" s="946">
        <v>0</v>
      </c>
      <c r="H2012" s="1031"/>
      <c r="I2012" s="948">
        <f>D2012*F2012</f>
        <v>0</v>
      </c>
    </row>
    <row r="2013" spans="2:9" ht="15.75">
      <c r="C2013" s="951" t="s">
        <v>918</v>
      </c>
      <c r="D2013" s="946"/>
      <c r="E2013" s="947"/>
      <c r="F2013" s="1054"/>
      <c r="G2013" s="946"/>
      <c r="H2013" s="1031"/>
      <c r="I2013" s="952">
        <f>SUM(I2012:I2012)</f>
        <v>0</v>
      </c>
    </row>
    <row r="2014" spans="2:9" ht="15.75">
      <c r="C2014" s="949"/>
      <c r="D2014" s="946"/>
      <c r="E2014" s="947"/>
      <c r="F2014" s="1054"/>
      <c r="G2014" s="946"/>
      <c r="H2014" s="1031"/>
      <c r="I2014" s="948"/>
    </row>
    <row r="2015" spans="2:9" ht="15.75">
      <c r="C2015" s="945" t="s">
        <v>923</v>
      </c>
      <c r="D2015" s="946"/>
      <c r="E2015" s="947"/>
      <c r="F2015" s="1054"/>
      <c r="G2015" s="946"/>
      <c r="H2015" s="1031"/>
      <c r="I2015" s="948"/>
    </row>
    <row r="2016" spans="2:9" ht="15.75">
      <c r="C2016" s="949" t="s">
        <v>924</v>
      </c>
      <c r="D2016" s="946"/>
      <c r="E2016" s="947" t="str">
        <f>+VLOOKUP(C2016,'Basic (equilibrio) (2)'!B:D,2,FALSE)</f>
        <v>n/a</v>
      </c>
      <c r="F2016" s="1054">
        <f>+VLOOKUP(C2016,'Basic (equilibrio) (2)'!B:D,3,FALSE)</f>
        <v>0</v>
      </c>
      <c r="G2016" s="946">
        <f>F2016-(F2016/1.18)</f>
        <v>0</v>
      </c>
      <c r="H2016" s="1039"/>
      <c r="I2016" s="955">
        <f>D2016*F2016</f>
        <v>0</v>
      </c>
    </row>
    <row r="2017" spans="2:9" ht="15.75">
      <c r="C2017" s="951" t="s">
        <v>918</v>
      </c>
      <c r="D2017" s="946"/>
      <c r="E2017" s="947"/>
      <c r="F2017" s="1054"/>
      <c r="G2017" s="946"/>
      <c r="H2017" s="1031"/>
      <c r="I2017" s="952">
        <f>SUM(I2016:I2016)</f>
        <v>0</v>
      </c>
    </row>
    <row r="2018" spans="2:9" ht="15.75">
      <c r="C2018" s="949"/>
      <c r="D2018" s="946"/>
      <c r="E2018" s="947"/>
      <c r="F2018" s="1054"/>
      <c r="G2018" s="946"/>
      <c r="H2018" s="1031"/>
      <c r="I2018" s="948"/>
    </row>
    <row r="2019" spans="2:9" ht="15.75">
      <c r="C2019" s="945" t="s">
        <v>925</v>
      </c>
      <c r="D2019" s="946"/>
      <c r="E2019" s="947"/>
      <c r="F2019" s="1054"/>
      <c r="G2019" s="946"/>
      <c r="H2019" s="1031"/>
      <c r="I2019" s="948"/>
    </row>
    <row r="2020" spans="2:9" ht="15.75">
      <c r="C2020" s="949" t="s">
        <v>924</v>
      </c>
      <c r="D2020" s="946"/>
      <c r="E2020" s="947" t="str">
        <f>+VLOOKUP(C2020,'Basic (equilibrio) (2)'!B:D,2,FALSE)</f>
        <v>n/a</v>
      </c>
      <c r="F2020" s="1054">
        <f>+VLOOKUP(C2020,'Basic (equilibrio) (2)'!B:D,3,FALSE)</f>
        <v>0</v>
      </c>
      <c r="G2020" s="946">
        <f>F2020-(F2020/1.18)</f>
        <v>0</v>
      </c>
      <c r="H2020" s="1031"/>
      <c r="I2020" s="948">
        <f>D2020*F2020</f>
        <v>0</v>
      </c>
    </row>
    <row r="2021" spans="2:9" ht="15.75">
      <c r="C2021" s="951" t="s">
        <v>918</v>
      </c>
      <c r="D2021" s="946"/>
      <c r="E2021" s="947"/>
      <c r="F2021" s="1054"/>
      <c r="G2021" s="946"/>
      <c r="H2021" s="1031"/>
      <c r="I2021" s="952">
        <f>SUM(I2020)</f>
        <v>0</v>
      </c>
    </row>
    <row r="2022" spans="2:9" ht="15.75">
      <c r="C2022" s="951"/>
      <c r="D2022" s="946"/>
      <c r="E2022" s="947"/>
      <c r="F2022" s="1054"/>
      <c r="G2022" s="946"/>
      <c r="H2022" s="1031"/>
      <c r="I2022" s="952"/>
    </row>
    <row r="2023" spans="2:9" ht="15.75">
      <c r="C2023" s="956" t="s">
        <v>926</v>
      </c>
      <c r="D2023" s="957"/>
      <c r="E2023" s="958"/>
      <c r="F2023" s="1069"/>
      <c r="G2023" s="957"/>
      <c r="H2023" s="1032"/>
      <c r="I2023" s="959">
        <f>+I2009</f>
        <v>997.5</v>
      </c>
    </row>
    <row r="2024" spans="2:9" ht="15.75">
      <c r="C2024" s="956" t="s">
        <v>927</v>
      </c>
      <c r="D2024" s="957"/>
      <c r="E2024" s="958"/>
      <c r="F2024" s="1069"/>
      <c r="G2024" s="957"/>
      <c r="H2024" s="1032"/>
      <c r="I2024" s="959">
        <f>+I2013</f>
        <v>0</v>
      </c>
    </row>
    <row r="2025" spans="2:9" ht="15.75">
      <c r="C2025" s="956" t="s">
        <v>928</v>
      </c>
      <c r="D2025" s="957"/>
      <c r="E2025" s="958"/>
      <c r="F2025" s="1069"/>
      <c r="G2025" s="957"/>
      <c r="H2025" s="1032"/>
      <c r="I2025" s="959">
        <f>+I2017</f>
        <v>0</v>
      </c>
    </row>
    <row r="2026" spans="2:9" ht="15.75">
      <c r="C2026" s="956" t="s">
        <v>929</v>
      </c>
      <c r="D2026" s="957"/>
      <c r="E2026" s="958"/>
      <c r="F2026" s="1069"/>
      <c r="G2026" s="957"/>
      <c r="H2026" s="1032"/>
      <c r="I2026" s="959">
        <f>+I2021</f>
        <v>0</v>
      </c>
    </row>
    <row r="2027" spans="2:9" ht="15.75">
      <c r="C2027" s="949"/>
      <c r="D2027" s="946"/>
      <c r="E2027" s="947"/>
      <c r="F2027" s="1054"/>
      <c r="G2027" s="946"/>
      <c r="H2027" s="1031"/>
      <c r="I2027" s="948"/>
    </row>
    <row r="2028" spans="2:9" ht="15.75">
      <c r="C2028" s="949"/>
      <c r="D2028" s="946"/>
      <c r="E2028" s="947"/>
      <c r="F2028" s="1054"/>
      <c r="G2028" s="946"/>
      <c r="H2028" s="1031"/>
      <c r="I2028" s="948"/>
    </row>
    <row r="2029" spans="2:9" ht="15.75">
      <c r="C2029" s="951" t="s">
        <v>930</v>
      </c>
      <c r="D2029" s="960"/>
      <c r="E2029" s="943" t="str">
        <f>+E2005</f>
        <v>und</v>
      </c>
      <c r="F2029" s="1070"/>
      <c r="G2029" s="960"/>
      <c r="H2029" s="1033"/>
      <c r="I2029" s="952">
        <f>SUM(I2023:I2026)</f>
        <v>997.5</v>
      </c>
    </row>
    <row r="2030" spans="2:9" ht="15.75">
      <c r="C2030" s="951"/>
      <c r="D2030" s="960"/>
      <c r="E2030" s="943"/>
      <c r="F2030" s="1070"/>
      <c r="G2030" s="960"/>
      <c r="H2030" s="1033"/>
      <c r="I2030" s="952"/>
    </row>
    <row r="2031" spans="2:9" ht="15.75">
      <c r="C2031" s="951"/>
      <c r="D2031" s="960"/>
      <c r="E2031" s="943"/>
      <c r="F2031" s="1070"/>
      <c r="G2031" s="960"/>
      <c r="H2031" s="1033"/>
      <c r="I2031" s="952"/>
    </row>
    <row r="2032" spans="2:9" ht="15.75">
      <c r="B2032" s="1057">
        <v>6.1</v>
      </c>
      <c r="C2032" s="937" t="str">
        <f>+Presupuesto!B130</f>
        <v>Árbol Samán</v>
      </c>
      <c r="D2032" s="938"/>
      <c r="E2032" s="939" t="s">
        <v>1106</v>
      </c>
      <c r="F2032" s="1066"/>
      <c r="G2032" s="938"/>
      <c r="H2032" s="1029"/>
      <c r="I2032" s="940">
        <f>I2056</f>
        <v>997.5</v>
      </c>
    </row>
    <row r="2033" spans="3:9" ht="15.75">
      <c r="C2033" s="941" t="s">
        <v>908</v>
      </c>
      <c r="D2033" s="942" t="s">
        <v>9</v>
      </c>
      <c r="E2033" s="943" t="s">
        <v>10</v>
      </c>
      <c r="F2033" s="1067" t="s">
        <v>909</v>
      </c>
      <c r="G2033" s="942" t="s">
        <v>910</v>
      </c>
      <c r="H2033" s="1030" t="s">
        <v>911</v>
      </c>
      <c r="I2033" s="944" t="s">
        <v>912</v>
      </c>
    </row>
    <row r="2034" spans="3:9" ht="15.75">
      <c r="C2034" s="945" t="s">
        <v>913</v>
      </c>
      <c r="D2034" s="946"/>
      <c r="E2034" s="947"/>
      <c r="F2034" s="1054"/>
      <c r="G2034" s="946"/>
      <c r="H2034" s="1031"/>
      <c r="I2034" s="948"/>
    </row>
    <row r="2035" spans="3:9" ht="15.75">
      <c r="C2035" s="949" t="s">
        <v>1379</v>
      </c>
      <c r="D2035" s="946">
        <v>1</v>
      </c>
      <c r="E2035" s="950" t="str">
        <f>+VLOOKUP(C2035,'Basic (equilibrio) (2)'!B:D,2,FALSE)</f>
        <v>ud</v>
      </c>
      <c r="F2035" s="1068">
        <f>'Basic (equilibrio) (2)'!$D$409</f>
        <v>997.5</v>
      </c>
      <c r="G2035" s="946">
        <f>F2035-(F2035/1.18)</f>
        <v>152.16</v>
      </c>
      <c r="H2035" s="1031"/>
      <c r="I2035" s="948">
        <f>D2035*F2035</f>
        <v>997.5</v>
      </c>
    </row>
    <row r="2036" spans="3:9" ht="15.75">
      <c r="C2036" s="951" t="s">
        <v>918</v>
      </c>
      <c r="D2036" s="946"/>
      <c r="E2036" s="947"/>
      <c r="F2036" s="1068"/>
      <c r="G2036" s="946"/>
      <c r="H2036" s="1031"/>
      <c r="I2036" s="952">
        <f>SUM(I2035:I2035)</f>
        <v>997.5</v>
      </c>
    </row>
    <row r="2037" spans="3:9" ht="15.75">
      <c r="C2037" s="949"/>
      <c r="D2037" s="946"/>
      <c r="E2037" s="947"/>
      <c r="F2037" s="1068"/>
      <c r="G2037" s="946"/>
      <c r="H2037" s="1031"/>
      <c r="I2037" s="948"/>
    </row>
    <row r="2038" spans="3:9" ht="15.75">
      <c r="C2038" s="945" t="s">
        <v>919</v>
      </c>
      <c r="D2038" s="946"/>
      <c r="E2038" s="947"/>
      <c r="F2038" s="1068"/>
      <c r="G2038" s="946"/>
      <c r="H2038" s="1031"/>
      <c r="I2038" s="948"/>
    </row>
    <row r="2039" spans="3:9" ht="15.75">
      <c r="C2039" s="949" t="s">
        <v>924</v>
      </c>
      <c r="D2039" s="953"/>
      <c r="E2039" s="954" t="str">
        <f>+VLOOKUP(C2039,'Basic (equilibrio) (2)'!B:D,2,FALSE)</f>
        <v>n/a</v>
      </c>
      <c r="F2039" s="1068">
        <f>+VLOOKUP(C2039,'Basic (equilibrio) (2)'!B:D,3,FALSE)</f>
        <v>0</v>
      </c>
      <c r="G2039" s="946">
        <v>0</v>
      </c>
      <c r="H2039" s="1031"/>
      <c r="I2039" s="948">
        <f>D2039*F2039</f>
        <v>0</v>
      </c>
    </row>
    <row r="2040" spans="3:9" ht="15.75">
      <c r="C2040" s="951" t="s">
        <v>918</v>
      </c>
      <c r="D2040" s="946"/>
      <c r="E2040" s="947"/>
      <c r="F2040" s="1054"/>
      <c r="G2040" s="946"/>
      <c r="H2040" s="1031"/>
      <c r="I2040" s="952">
        <f>SUM(I2039:I2039)</f>
        <v>0</v>
      </c>
    </row>
    <row r="2041" spans="3:9" ht="15.75">
      <c r="C2041" s="949"/>
      <c r="D2041" s="946"/>
      <c r="E2041" s="947"/>
      <c r="F2041" s="1054"/>
      <c r="G2041" s="946"/>
      <c r="H2041" s="1031"/>
      <c r="I2041" s="948"/>
    </row>
    <row r="2042" spans="3:9" ht="15.75">
      <c r="C2042" s="945" t="s">
        <v>923</v>
      </c>
      <c r="D2042" s="946"/>
      <c r="E2042" s="947"/>
      <c r="F2042" s="1054"/>
      <c r="G2042" s="946"/>
      <c r="H2042" s="1031"/>
      <c r="I2042" s="948"/>
    </row>
    <row r="2043" spans="3:9" ht="15.75">
      <c r="C2043" s="949" t="s">
        <v>924</v>
      </c>
      <c r="D2043" s="946"/>
      <c r="E2043" s="947" t="str">
        <f>+VLOOKUP(C2043,'Basic (equilibrio) (2)'!B:D,2,FALSE)</f>
        <v>n/a</v>
      </c>
      <c r="F2043" s="1054">
        <f>+VLOOKUP(C2043,'Basic (equilibrio) (2)'!B:D,3,FALSE)</f>
        <v>0</v>
      </c>
      <c r="G2043" s="946">
        <f>F2043-(F2043/1.18)</f>
        <v>0</v>
      </c>
      <c r="H2043" s="1039"/>
      <c r="I2043" s="955">
        <f>D2043*F2043</f>
        <v>0</v>
      </c>
    </row>
    <row r="2044" spans="3:9" ht="15.75">
      <c r="C2044" s="951" t="s">
        <v>918</v>
      </c>
      <c r="D2044" s="946"/>
      <c r="E2044" s="947"/>
      <c r="F2044" s="1054"/>
      <c r="G2044" s="946"/>
      <c r="H2044" s="1031"/>
      <c r="I2044" s="952">
        <f>SUM(I2043:I2043)</f>
        <v>0</v>
      </c>
    </row>
    <row r="2045" spans="3:9" ht="15.75">
      <c r="C2045" s="949"/>
      <c r="D2045" s="946"/>
      <c r="E2045" s="947"/>
      <c r="F2045" s="1054"/>
      <c r="G2045" s="946"/>
      <c r="H2045" s="1031"/>
      <c r="I2045" s="948"/>
    </row>
    <row r="2046" spans="3:9" ht="15.75">
      <c r="C2046" s="945" t="s">
        <v>925</v>
      </c>
      <c r="D2046" s="946"/>
      <c r="E2046" s="947"/>
      <c r="F2046" s="1054"/>
      <c r="G2046" s="946"/>
      <c r="H2046" s="1031"/>
      <c r="I2046" s="948"/>
    </row>
    <row r="2047" spans="3:9" ht="15.75">
      <c r="C2047" s="949" t="s">
        <v>924</v>
      </c>
      <c r="D2047" s="946"/>
      <c r="E2047" s="947" t="str">
        <f>+VLOOKUP(C2047,'Basic (equilibrio) (2)'!B:D,2,FALSE)</f>
        <v>n/a</v>
      </c>
      <c r="F2047" s="1054">
        <f>+VLOOKUP(C2047,'Basic (equilibrio) (2)'!B:D,3,FALSE)</f>
        <v>0</v>
      </c>
      <c r="G2047" s="946">
        <f>F2047-(F2047/1.18)</f>
        <v>0</v>
      </c>
      <c r="H2047" s="1031"/>
      <c r="I2047" s="948">
        <f>D2047*F2047</f>
        <v>0</v>
      </c>
    </row>
    <row r="2048" spans="3:9" ht="15.75">
      <c r="C2048" s="951" t="s">
        <v>918</v>
      </c>
      <c r="D2048" s="946"/>
      <c r="E2048" s="947"/>
      <c r="F2048" s="1054"/>
      <c r="G2048" s="946"/>
      <c r="H2048" s="1031"/>
      <c r="I2048" s="952">
        <f>SUM(I2047)</f>
        <v>0</v>
      </c>
    </row>
    <row r="2049" spans="2:9" ht="15.75">
      <c r="C2049" s="951"/>
      <c r="D2049" s="946"/>
      <c r="E2049" s="947"/>
      <c r="F2049" s="1054"/>
      <c r="G2049" s="946"/>
      <c r="H2049" s="1031"/>
      <c r="I2049" s="952"/>
    </row>
    <row r="2050" spans="2:9" ht="15.75">
      <c r="C2050" s="956" t="s">
        <v>926</v>
      </c>
      <c r="D2050" s="957"/>
      <c r="E2050" s="958"/>
      <c r="F2050" s="1069"/>
      <c r="G2050" s="957"/>
      <c r="H2050" s="1032"/>
      <c r="I2050" s="959">
        <f>+I2036</f>
        <v>997.5</v>
      </c>
    </row>
    <row r="2051" spans="2:9" ht="15.75">
      <c r="C2051" s="956" t="s">
        <v>927</v>
      </c>
      <c r="D2051" s="957"/>
      <c r="E2051" s="958"/>
      <c r="F2051" s="1069"/>
      <c r="G2051" s="957"/>
      <c r="H2051" s="1032"/>
      <c r="I2051" s="959">
        <f>+I2040</f>
        <v>0</v>
      </c>
    </row>
    <row r="2052" spans="2:9" ht="15.75">
      <c r="C2052" s="956" t="s">
        <v>928</v>
      </c>
      <c r="D2052" s="957"/>
      <c r="E2052" s="958"/>
      <c r="F2052" s="1069"/>
      <c r="G2052" s="957"/>
      <c r="H2052" s="1032"/>
      <c r="I2052" s="959">
        <f>+I2044</f>
        <v>0</v>
      </c>
    </row>
    <row r="2053" spans="2:9" ht="15.75">
      <c r="C2053" s="956" t="s">
        <v>929</v>
      </c>
      <c r="D2053" s="957"/>
      <c r="E2053" s="958"/>
      <c r="F2053" s="1069"/>
      <c r="G2053" s="957"/>
      <c r="H2053" s="1032"/>
      <c r="I2053" s="959">
        <f>+I2048</f>
        <v>0</v>
      </c>
    </row>
    <row r="2054" spans="2:9" ht="15.75">
      <c r="C2054" s="949"/>
      <c r="D2054" s="946"/>
      <c r="E2054" s="947"/>
      <c r="F2054" s="1054"/>
      <c r="G2054" s="946"/>
      <c r="H2054" s="1031"/>
      <c r="I2054" s="948"/>
    </row>
    <row r="2055" spans="2:9" ht="15.75">
      <c r="C2055" s="949"/>
      <c r="D2055" s="946"/>
      <c r="E2055" s="947"/>
      <c r="F2055" s="1054"/>
      <c r="G2055" s="946"/>
      <c r="H2055" s="1031"/>
      <c r="I2055" s="948"/>
    </row>
    <row r="2056" spans="2:9" ht="15.75">
      <c r="C2056" s="951" t="s">
        <v>930</v>
      </c>
      <c r="D2056" s="960"/>
      <c r="E2056" s="943" t="str">
        <f>+E2032</f>
        <v>und</v>
      </c>
      <c r="F2056" s="1070"/>
      <c r="G2056" s="960"/>
      <c r="H2056" s="1033"/>
      <c r="I2056" s="952">
        <f>SUM(I2050:I2053)</f>
        <v>997.5</v>
      </c>
    </row>
    <row r="2057" spans="2:9" ht="15.75">
      <c r="C2057" s="951"/>
      <c r="D2057" s="960"/>
      <c r="E2057" s="943"/>
      <c r="F2057" s="1070"/>
      <c r="G2057" s="960"/>
      <c r="H2057" s="1033"/>
      <c r="I2057" s="952"/>
    </row>
    <row r="2058" spans="2:9" ht="15.75">
      <c r="C2058" s="951"/>
      <c r="D2058" s="960"/>
      <c r="E2058" s="943"/>
      <c r="F2058" s="1070"/>
      <c r="G2058" s="960"/>
      <c r="H2058" s="1033"/>
      <c r="I2058" s="952"/>
    </row>
    <row r="2059" spans="2:9" ht="15.75">
      <c r="B2059" s="1024">
        <v>6.11</v>
      </c>
      <c r="C2059" s="937" t="str">
        <f>+Presupuesto!B131</f>
        <v>Árbol Frijolito</v>
      </c>
      <c r="D2059" s="938"/>
      <c r="E2059" s="939" t="s">
        <v>1106</v>
      </c>
      <c r="F2059" s="1066"/>
      <c r="G2059" s="938"/>
      <c r="H2059" s="1029"/>
      <c r="I2059" s="940">
        <f>I2083</f>
        <v>997.5</v>
      </c>
    </row>
    <row r="2060" spans="2:9" ht="15.75">
      <c r="C2060" s="941" t="s">
        <v>908</v>
      </c>
      <c r="D2060" s="942" t="s">
        <v>9</v>
      </c>
      <c r="E2060" s="943" t="s">
        <v>10</v>
      </c>
      <c r="F2060" s="1067" t="s">
        <v>909</v>
      </c>
      <c r="G2060" s="942" t="s">
        <v>910</v>
      </c>
      <c r="H2060" s="1030" t="s">
        <v>911</v>
      </c>
      <c r="I2060" s="944" t="s">
        <v>912</v>
      </c>
    </row>
    <row r="2061" spans="2:9" ht="15.75">
      <c r="C2061" s="945" t="s">
        <v>913</v>
      </c>
      <c r="D2061" s="946"/>
      <c r="E2061" s="947"/>
      <c r="F2061" s="1054"/>
      <c r="G2061" s="946"/>
      <c r="H2061" s="1031"/>
      <c r="I2061" s="948"/>
    </row>
    <row r="2062" spans="2:9" ht="15.75">
      <c r="C2062" s="949" t="s">
        <v>1532</v>
      </c>
      <c r="D2062" s="946">
        <v>1</v>
      </c>
      <c r="E2062" s="950" t="str">
        <f>+VLOOKUP(C2062,'Basic (equilibrio) (2)'!B:D,2,FALSE)</f>
        <v>ud</v>
      </c>
      <c r="F2062" s="1068">
        <f>'Basic (equilibrio) (2)'!$D$410</f>
        <v>997.5</v>
      </c>
      <c r="G2062" s="946">
        <f>F2062-(F2062/1.18)</f>
        <v>152.16</v>
      </c>
      <c r="H2062" s="1031"/>
      <c r="I2062" s="948">
        <f>D2062*F2062</f>
        <v>997.5</v>
      </c>
    </row>
    <row r="2063" spans="2:9" ht="15.75">
      <c r="C2063" s="951" t="s">
        <v>918</v>
      </c>
      <c r="D2063" s="946"/>
      <c r="E2063" s="947"/>
      <c r="F2063" s="1068"/>
      <c r="G2063" s="946"/>
      <c r="H2063" s="1031"/>
      <c r="I2063" s="952">
        <f>SUM(I2062:I2062)</f>
        <v>997.5</v>
      </c>
    </row>
    <row r="2064" spans="2:9" ht="15.75">
      <c r="C2064" s="949"/>
      <c r="D2064" s="946"/>
      <c r="E2064" s="947"/>
      <c r="F2064" s="1068"/>
      <c r="G2064" s="946"/>
      <c r="H2064" s="1031"/>
      <c r="I2064" s="948"/>
    </row>
    <row r="2065" spans="3:9" ht="15.75">
      <c r="C2065" s="945" t="s">
        <v>919</v>
      </c>
      <c r="D2065" s="946"/>
      <c r="E2065" s="947"/>
      <c r="F2065" s="1068"/>
      <c r="G2065" s="946"/>
      <c r="H2065" s="1031"/>
      <c r="I2065" s="948"/>
    </row>
    <row r="2066" spans="3:9" ht="15.75">
      <c r="C2066" s="949" t="s">
        <v>924</v>
      </c>
      <c r="D2066" s="953"/>
      <c r="E2066" s="954" t="str">
        <f>+VLOOKUP(C2066,'Basic (equilibrio) (2)'!B:D,2,FALSE)</f>
        <v>n/a</v>
      </c>
      <c r="F2066" s="1068">
        <f>+VLOOKUP(C2066,'Basic (equilibrio) (2)'!B:D,3,FALSE)</f>
        <v>0</v>
      </c>
      <c r="G2066" s="946">
        <v>0</v>
      </c>
      <c r="H2066" s="1031"/>
      <c r="I2066" s="948">
        <f>D2066*F2066</f>
        <v>0</v>
      </c>
    </row>
    <row r="2067" spans="3:9" ht="15.75">
      <c r="C2067" s="951" t="s">
        <v>918</v>
      </c>
      <c r="D2067" s="946"/>
      <c r="E2067" s="947"/>
      <c r="F2067" s="1054"/>
      <c r="G2067" s="946"/>
      <c r="H2067" s="1031"/>
      <c r="I2067" s="952">
        <f>SUM(I2066:I2066)</f>
        <v>0</v>
      </c>
    </row>
    <row r="2068" spans="3:9" ht="15.75">
      <c r="C2068" s="949"/>
      <c r="D2068" s="946"/>
      <c r="E2068" s="947"/>
      <c r="F2068" s="1054"/>
      <c r="G2068" s="946"/>
      <c r="H2068" s="1031"/>
      <c r="I2068" s="948"/>
    </row>
    <row r="2069" spans="3:9" ht="15.75">
      <c r="C2069" s="945" t="s">
        <v>923</v>
      </c>
      <c r="D2069" s="946"/>
      <c r="E2069" s="947"/>
      <c r="F2069" s="1054"/>
      <c r="G2069" s="946"/>
      <c r="H2069" s="1031"/>
      <c r="I2069" s="948"/>
    </row>
    <row r="2070" spans="3:9" ht="15.75">
      <c r="C2070" s="949" t="s">
        <v>924</v>
      </c>
      <c r="D2070" s="946"/>
      <c r="E2070" s="947" t="str">
        <f>+VLOOKUP(C2070,'Basic (equilibrio) (2)'!B:D,2,FALSE)</f>
        <v>n/a</v>
      </c>
      <c r="F2070" s="1054">
        <f>+VLOOKUP(C2070,'Basic (equilibrio) (2)'!B:D,3,FALSE)</f>
        <v>0</v>
      </c>
      <c r="G2070" s="946">
        <f>F2070-(F2070/1.18)</f>
        <v>0</v>
      </c>
      <c r="H2070" s="1039"/>
      <c r="I2070" s="955">
        <f>D2070*F2070</f>
        <v>0</v>
      </c>
    </row>
    <row r="2071" spans="3:9" ht="15.75">
      <c r="C2071" s="951" t="s">
        <v>918</v>
      </c>
      <c r="D2071" s="946"/>
      <c r="E2071" s="947"/>
      <c r="F2071" s="1054"/>
      <c r="G2071" s="946"/>
      <c r="H2071" s="1031"/>
      <c r="I2071" s="952">
        <f>SUM(I2070:I2070)</f>
        <v>0</v>
      </c>
    </row>
    <row r="2072" spans="3:9" ht="15.75">
      <c r="C2072" s="949"/>
      <c r="D2072" s="946"/>
      <c r="E2072" s="947"/>
      <c r="F2072" s="1054"/>
      <c r="G2072" s="946"/>
      <c r="H2072" s="1031"/>
      <c r="I2072" s="948"/>
    </row>
    <row r="2073" spans="3:9" ht="15.75">
      <c r="C2073" s="945" t="s">
        <v>925</v>
      </c>
      <c r="D2073" s="946"/>
      <c r="E2073" s="947"/>
      <c r="F2073" s="1054"/>
      <c r="G2073" s="946"/>
      <c r="H2073" s="1031"/>
      <c r="I2073" s="948"/>
    </row>
    <row r="2074" spans="3:9" ht="15.75">
      <c r="C2074" s="949" t="s">
        <v>924</v>
      </c>
      <c r="D2074" s="946"/>
      <c r="E2074" s="947" t="str">
        <f>+VLOOKUP(C2074,'Basic (equilibrio) (2)'!B:D,2,FALSE)</f>
        <v>n/a</v>
      </c>
      <c r="F2074" s="1054">
        <f>+VLOOKUP(C2074,'Basic (equilibrio) (2)'!B:D,3,FALSE)</f>
        <v>0</v>
      </c>
      <c r="G2074" s="946">
        <f>F2074-(F2074/1.18)</f>
        <v>0</v>
      </c>
      <c r="H2074" s="1031"/>
      <c r="I2074" s="948">
        <f>D2074*F2074</f>
        <v>0</v>
      </c>
    </row>
    <row r="2075" spans="3:9" ht="15.75">
      <c r="C2075" s="951" t="s">
        <v>918</v>
      </c>
      <c r="D2075" s="946"/>
      <c r="E2075" s="947"/>
      <c r="F2075" s="1054"/>
      <c r="G2075" s="946"/>
      <c r="H2075" s="1031"/>
      <c r="I2075" s="952">
        <f>SUM(I2074)</f>
        <v>0</v>
      </c>
    </row>
    <row r="2076" spans="3:9" ht="15.75">
      <c r="C2076" s="951"/>
      <c r="D2076" s="946"/>
      <c r="E2076" s="947"/>
      <c r="F2076" s="1054"/>
      <c r="G2076" s="946"/>
      <c r="H2076" s="1031"/>
      <c r="I2076" s="952"/>
    </row>
    <row r="2077" spans="3:9" ht="15.75">
      <c r="C2077" s="956" t="s">
        <v>926</v>
      </c>
      <c r="D2077" s="957"/>
      <c r="E2077" s="958"/>
      <c r="F2077" s="1069"/>
      <c r="G2077" s="957"/>
      <c r="H2077" s="1032"/>
      <c r="I2077" s="959">
        <f>+I2063</f>
        <v>997.5</v>
      </c>
    </row>
    <row r="2078" spans="3:9" ht="15.75">
      <c r="C2078" s="956" t="s">
        <v>927</v>
      </c>
      <c r="D2078" s="957"/>
      <c r="E2078" s="958"/>
      <c r="F2078" s="1069"/>
      <c r="G2078" s="957"/>
      <c r="H2078" s="1032"/>
      <c r="I2078" s="959">
        <f>+I2067</f>
        <v>0</v>
      </c>
    </row>
    <row r="2079" spans="3:9" ht="15.75">
      <c r="C2079" s="956" t="s">
        <v>928</v>
      </c>
      <c r="D2079" s="957"/>
      <c r="E2079" s="958"/>
      <c r="F2079" s="1069"/>
      <c r="G2079" s="957"/>
      <c r="H2079" s="1032"/>
      <c r="I2079" s="959">
        <f>+I2071</f>
        <v>0</v>
      </c>
    </row>
    <row r="2080" spans="3:9" ht="15.75">
      <c r="C2080" s="956" t="s">
        <v>929</v>
      </c>
      <c r="D2080" s="957"/>
      <c r="E2080" s="958"/>
      <c r="F2080" s="1069"/>
      <c r="G2080" s="957"/>
      <c r="H2080" s="1032"/>
      <c r="I2080" s="959">
        <f>+I2075</f>
        <v>0</v>
      </c>
    </row>
    <row r="2081" spans="2:9" ht="15.75">
      <c r="C2081" s="949"/>
      <c r="D2081" s="946"/>
      <c r="E2081" s="947"/>
      <c r="F2081" s="1054"/>
      <c r="G2081" s="946"/>
      <c r="H2081" s="1031"/>
      <c r="I2081" s="948"/>
    </row>
    <row r="2082" spans="2:9" ht="15.75">
      <c r="C2082" s="949"/>
      <c r="D2082" s="946"/>
      <c r="E2082" s="947"/>
      <c r="F2082" s="1054"/>
      <c r="G2082" s="946"/>
      <c r="H2082" s="1031"/>
      <c r="I2082" s="948"/>
    </row>
    <row r="2083" spans="2:9" ht="15.75">
      <c r="C2083" s="951" t="s">
        <v>930</v>
      </c>
      <c r="D2083" s="960"/>
      <c r="E2083" s="943" t="str">
        <f>+E2059</f>
        <v>und</v>
      </c>
      <c r="F2083" s="1070"/>
      <c r="G2083" s="960"/>
      <c r="H2083" s="1033"/>
      <c r="I2083" s="952">
        <f>SUM(I2077:I2080)</f>
        <v>997.5</v>
      </c>
    </row>
    <row r="2084" spans="2:9" ht="15.75">
      <c r="C2084" s="951"/>
      <c r="D2084" s="960"/>
      <c r="E2084" s="943"/>
      <c r="F2084" s="1070"/>
      <c r="G2084" s="960"/>
      <c r="H2084" s="1033"/>
      <c r="I2084" s="952"/>
    </row>
    <row r="2085" spans="2:9" ht="15.75">
      <c r="C2085" s="951"/>
      <c r="D2085" s="960"/>
      <c r="E2085" s="943"/>
      <c r="F2085" s="1070"/>
      <c r="G2085" s="960"/>
      <c r="H2085" s="1033"/>
      <c r="I2085" s="952"/>
    </row>
    <row r="2086" spans="2:9" ht="15.75">
      <c r="B2086" s="1024">
        <v>6.12</v>
      </c>
      <c r="C2086" s="937" t="str">
        <f>+Presupuesto!B132</f>
        <v>Árbol Penda</v>
      </c>
      <c r="D2086" s="938"/>
      <c r="E2086" s="939" t="s">
        <v>1106</v>
      </c>
      <c r="F2086" s="1066"/>
      <c r="G2086" s="938"/>
      <c r="H2086" s="1029"/>
      <c r="I2086" s="940">
        <f>I2110</f>
        <v>997.5</v>
      </c>
    </row>
    <row r="2087" spans="2:9" ht="15.75">
      <c r="C2087" s="941" t="s">
        <v>908</v>
      </c>
      <c r="D2087" s="942" t="s">
        <v>9</v>
      </c>
      <c r="E2087" s="943" t="s">
        <v>10</v>
      </c>
      <c r="F2087" s="1067" t="s">
        <v>909</v>
      </c>
      <c r="G2087" s="942" t="s">
        <v>910</v>
      </c>
      <c r="H2087" s="1030" t="s">
        <v>911</v>
      </c>
      <c r="I2087" s="944" t="s">
        <v>912</v>
      </c>
    </row>
    <row r="2088" spans="2:9" ht="15.75">
      <c r="C2088" s="945" t="s">
        <v>913</v>
      </c>
      <c r="D2088" s="946"/>
      <c r="E2088" s="947"/>
      <c r="F2088" s="1054"/>
      <c r="G2088" s="946"/>
      <c r="H2088" s="1031"/>
      <c r="I2088" s="948"/>
    </row>
    <row r="2089" spans="2:9" ht="15.75">
      <c r="C2089" s="949" t="s">
        <v>1371</v>
      </c>
      <c r="D2089" s="946">
        <v>1</v>
      </c>
      <c r="E2089" s="950" t="str">
        <f>+VLOOKUP(C2089,'Basic (equilibrio) (2)'!B:D,2,FALSE)</f>
        <v>ud</v>
      </c>
      <c r="F2089" s="1068">
        <f>'Basic (equilibrio) (2)'!$D$396</f>
        <v>997.5</v>
      </c>
      <c r="G2089" s="946">
        <f>F2089-(F2089/1.18)</f>
        <v>152.16</v>
      </c>
      <c r="H2089" s="1031"/>
      <c r="I2089" s="948">
        <f>D2089*F2089</f>
        <v>997.5</v>
      </c>
    </row>
    <row r="2090" spans="2:9" ht="15.75">
      <c r="C2090" s="951" t="s">
        <v>918</v>
      </c>
      <c r="D2090" s="946"/>
      <c r="E2090" s="947"/>
      <c r="F2090" s="1068"/>
      <c r="G2090" s="946"/>
      <c r="H2090" s="1031"/>
      <c r="I2090" s="952">
        <f>SUM(I2089:I2089)</f>
        <v>997.5</v>
      </c>
    </row>
    <row r="2091" spans="2:9" ht="15.75">
      <c r="C2091" s="949"/>
      <c r="D2091" s="946"/>
      <c r="E2091" s="947"/>
      <c r="F2091" s="1068"/>
      <c r="G2091" s="946"/>
      <c r="H2091" s="1031"/>
      <c r="I2091" s="948"/>
    </row>
    <row r="2092" spans="2:9" ht="15.75">
      <c r="C2092" s="945" t="s">
        <v>919</v>
      </c>
      <c r="D2092" s="946"/>
      <c r="E2092" s="947"/>
      <c r="F2092" s="1068"/>
      <c r="G2092" s="946"/>
      <c r="H2092" s="1031"/>
      <c r="I2092" s="948"/>
    </row>
    <row r="2093" spans="2:9" ht="15.75">
      <c r="C2093" s="949" t="s">
        <v>924</v>
      </c>
      <c r="D2093" s="953"/>
      <c r="E2093" s="954" t="str">
        <f>+VLOOKUP(C2093,'Basic (equilibrio) (2)'!B:D,2,FALSE)</f>
        <v>n/a</v>
      </c>
      <c r="F2093" s="1068">
        <f>+VLOOKUP(C2093,'Basic (equilibrio) (2)'!B:D,3,FALSE)</f>
        <v>0</v>
      </c>
      <c r="G2093" s="946">
        <v>0</v>
      </c>
      <c r="H2093" s="1031"/>
      <c r="I2093" s="948">
        <f>D2093*F2093</f>
        <v>0</v>
      </c>
    </row>
    <row r="2094" spans="2:9" ht="15.75">
      <c r="C2094" s="951" t="s">
        <v>918</v>
      </c>
      <c r="D2094" s="946"/>
      <c r="E2094" s="947"/>
      <c r="F2094" s="1054"/>
      <c r="G2094" s="946"/>
      <c r="H2094" s="1031"/>
      <c r="I2094" s="952">
        <f>SUM(I2093:I2093)</f>
        <v>0</v>
      </c>
    </row>
    <row r="2095" spans="2:9" ht="15.75">
      <c r="C2095" s="949"/>
      <c r="D2095" s="946"/>
      <c r="E2095" s="947"/>
      <c r="F2095" s="1054"/>
      <c r="G2095" s="946"/>
      <c r="H2095" s="1031"/>
      <c r="I2095" s="948"/>
    </row>
    <row r="2096" spans="2:9" ht="15.75">
      <c r="C2096" s="945" t="s">
        <v>923</v>
      </c>
      <c r="D2096" s="946"/>
      <c r="E2096" s="947"/>
      <c r="F2096" s="1054"/>
      <c r="G2096" s="946"/>
      <c r="H2096" s="1031"/>
      <c r="I2096" s="948"/>
    </row>
    <row r="2097" spans="3:9" ht="15.75">
      <c r="C2097" s="949" t="s">
        <v>924</v>
      </c>
      <c r="D2097" s="946"/>
      <c r="E2097" s="947" t="str">
        <f>+VLOOKUP(C2097,'Basic (equilibrio) (2)'!B:D,2,FALSE)</f>
        <v>n/a</v>
      </c>
      <c r="F2097" s="1054">
        <f>+VLOOKUP(C2097,'Basic (equilibrio) (2)'!B:D,3,FALSE)</f>
        <v>0</v>
      </c>
      <c r="G2097" s="946">
        <f>F2097-(F2097/1.18)</f>
        <v>0</v>
      </c>
      <c r="H2097" s="1039"/>
      <c r="I2097" s="955">
        <f>D2097*F2097</f>
        <v>0</v>
      </c>
    </row>
    <row r="2098" spans="3:9" ht="15.75">
      <c r="C2098" s="951" t="s">
        <v>918</v>
      </c>
      <c r="D2098" s="946"/>
      <c r="E2098" s="947"/>
      <c r="F2098" s="1054"/>
      <c r="G2098" s="946"/>
      <c r="H2098" s="1031"/>
      <c r="I2098" s="952">
        <f>SUM(I2097:I2097)</f>
        <v>0</v>
      </c>
    </row>
    <row r="2099" spans="3:9" ht="15.75">
      <c r="C2099" s="949"/>
      <c r="D2099" s="946"/>
      <c r="E2099" s="947"/>
      <c r="F2099" s="1054"/>
      <c r="G2099" s="946"/>
      <c r="H2099" s="1031"/>
      <c r="I2099" s="948"/>
    </row>
    <row r="2100" spans="3:9" ht="15.75">
      <c r="C2100" s="945" t="s">
        <v>925</v>
      </c>
      <c r="D2100" s="946"/>
      <c r="E2100" s="947"/>
      <c r="F2100" s="1054"/>
      <c r="G2100" s="946"/>
      <c r="H2100" s="1031"/>
      <c r="I2100" s="948"/>
    </row>
    <row r="2101" spans="3:9" ht="15.75">
      <c r="C2101" s="949" t="s">
        <v>924</v>
      </c>
      <c r="D2101" s="946"/>
      <c r="E2101" s="947" t="str">
        <f>+VLOOKUP(C2101,'Basic (equilibrio) (2)'!B:D,2,FALSE)</f>
        <v>n/a</v>
      </c>
      <c r="F2101" s="1054">
        <f>+VLOOKUP(C2101,'Basic (equilibrio) (2)'!B:D,3,FALSE)</f>
        <v>0</v>
      </c>
      <c r="G2101" s="946">
        <f>F2101-(F2101/1.18)</f>
        <v>0</v>
      </c>
      <c r="H2101" s="1031"/>
      <c r="I2101" s="948">
        <f>D2101*F2101</f>
        <v>0</v>
      </c>
    </row>
    <row r="2102" spans="3:9" ht="15.75">
      <c r="C2102" s="951" t="s">
        <v>918</v>
      </c>
      <c r="D2102" s="946"/>
      <c r="E2102" s="947"/>
      <c r="F2102" s="1054"/>
      <c r="G2102" s="946"/>
      <c r="H2102" s="1031"/>
      <c r="I2102" s="952">
        <f>SUM(I2101)</f>
        <v>0</v>
      </c>
    </row>
    <row r="2103" spans="3:9" ht="15.75">
      <c r="C2103" s="951"/>
      <c r="D2103" s="946"/>
      <c r="E2103" s="947"/>
      <c r="F2103" s="1054"/>
      <c r="G2103" s="946"/>
      <c r="H2103" s="1031"/>
      <c r="I2103" s="952"/>
    </row>
    <row r="2104" spans="3:9" ht="15.75">
      <c r="C2104" s="956" t="s">
        <v>926</v>
      </c>
      <c r="D2104" s="957"/>
      <c r="E2104" s="958"/>
      <c r="F2104" s="1069"/>
      <c r="G2104" s="957"/>
      <c r="H2104" s="1032"/>
      <c r="I2104" s="959">
        <f>+I2090</f>
        <v>997.5</v>
      </c>
    </row>
    <row r="2105" spans="3:9" ht="15.75">
      <c r="C2105" s="956" t="s">
        <v>927</v>
      </c>
      <c r="D2105" s="957"/>
      <c r="E2105" s="958"/>
      <c r="F2105" s="1069"/>
      <c r="G2105" s="957"/>
      <c r="H2105" s="1032"/>
      <c r="I2105" s="959">
        <f>+I2094</f>
        <v>0</v>
      </c>
    </row>
    <row r="2106" spans="3:9" ht="15.75">
      <c r="C2106" s="956" t="s">
        <v>928</v>
      </c>
      <c r="D2106" s="957"/>
      <c r="E2106" s="958"/>
      <c r="F2106" s="1069"/>
      <c r="G2106" s="957"/>
      <c r="H2106" s="1032"/>
      <c r="I2106" s="959">
        <f>+I2098</f>
        <v>0</v>
      </c>
    </row>
    <row r="2107" spans="3:9" ht="15.75">
      <c r="C2107" s="956" t="s">
        <v>929</v>
      </c>
      <c r="D2107" s="957"/>
      <c r="E2107" s="958"/>
      <c r="F2107" s="1069"/>
      <c r="G2107" s="957"/>
      <c r="H2107" s="1032"/>
      <c r="I2107" s="959">
        <f>+I2102</f>
        <v>0</v>
      </c>
    </row>
    <row r="2108" spans="3:9" ht="15.75">
      <c r="C2108" s="949"/>
      <c r="D2108" s="946"/>
      <c r="E2108" s="947"/>
      <c r="F2108" s="1054"/>
      <c r="G2108" s="946"/>
      <c r="H2108" s="1031"/>
      <c r="I2108" s="948"/>
    </row>
    <row r="2109" spans="3:9" ht="15.75">
      <c r="C2109" s="949"/>
      <c r="D2109" s="946"/>
      <c r="E2109" s="947"/>
      <c r="F2109" s="1054"/>
      <c r="G2109" s="946"/>
      <c r="H2109" s="1031"/>
      <c r="I2109" s="948"/>
    </row>
    <row r="2110" spans="3:9" ht="15.75">
      <c r="C2110" s="951" t="s">
        <v>930</v>
      </c>
      <c r="D2110" s="960"/>
      <c r="E2110" s="943" t="str">
        <f>+E2086</f>
        <v>und</v>
      </c>
      <c r="F2110" s="1070"/>
      <c r="G2110" s="960"/>
      <c r="H2110" s="1033"/>
      <c r="I2110" s="952">
        <f>SUM(I2104:I2107)</f>
        <v>997.5</v>
      </c>
    </row>
    <row r="2111" spans="3:9" ht="15.75">
      <c r="C2111" s="951"/>
      <c r="D2111" s="960"/>
      <c r="E2111" s="943"/>
      <c r="F2111" s="1070"/>
      <c r="G2111" s="960"/>
      <c r="H2111" s="1033"/>
      <c r="I2111" s="952"/>
    </row>
    <row r="2112" spans="3:9" ht="15.75">
      <c r="C2112" s="951"/>
      <c r="D2112" s="960"/>
      <c r="E2112" s="943"/>
      <c r="F2112" s="1070"/>
      <c r="G2112" s="960"/>
      <c r="H2112" s="1033"/>
      <c r="I2112" s="952"/>
    </row>
    <row r="2113" spans="2:9" ht="15.75">
      <c r="B2113" s="1024">
        <v>6.13</v>
      </c>
      <c r="C2113" s="937" t="str">
        <f>+Presupuesto!B133</f>
        <v>Árbol Grigrí</v>
      </c>
      <c r="D2113" s="938"/>
      <c r="E2113" s="939" t="s">
        <v>1106</v>
      </c>
      <c r="F2113" s="1066"/>
      <c r="G2113" s="938"/>
      <c r="H2113" s="1029"/>
      <c r="I2113" s="940">
        <f>I2137</f>
        <v>997.5</v>
      </c>
    </row>
    <row r="2114" spans="2:9" ht="15.75">
      <c r="C2114" s="941" t="s">
        <v>908</v>
      </c>
      <c r="D2114" s="942" t="s">
        <v>9</v>
      </c>
      <c r="E2114" s="943" t="s">
        <v>10</v>
      </c>
      <c r="F2114" s="1067" t="s">
        <v>909</v>
      </c>
      <c r="G2114" s="942" t="s">
        <v>910</v>
      </c>
      <c r="H2114" s="1030" t="s">
        <v>911</v>
      </c>
      <c r="I2114" s="944" t="s">
        <v>912</v>
      </c>
    </row>
    <row r="2115" spans="2:9" ht="15.75">
      <c r="C2115" s="945" t="s">
        <v>913</v>
      </c>
      <c r="D2115" s="946"/>
      <c r="E2115" s="947"/>
      <c r="F2115" s="1054"/>
      <c r="G2115" s="946"/>
      <c r="H2115" s="1031"/>
      <c r="I2115" s="948"/>
    </row>
    <row r="2116" spans="2:9" ht="15.75">
      <c r="C2116" s="949" t="s">
        <v>1372</v>
      </c>
      <c r="D2116" s="946">
        <v>1</v>
      </c>
      <c r="E2116" s="950" t="str">
        <f>+VLOOKUP(C2116,'Basic (equilibrio) (2)'!B:D,2,FALSE)</f>
        <v>ud</v>
      </c>
      <c r="F2116" s="1068">
        <f>'Basic (equilibrio) (2)'!$D$399</f>
        <v>997.5</v>
      </c>
      <c r="G2116" s="946">
        <f>F2116-(F2116/1.18)</f>
        <v>152.16</v>
      </c>
      <c r="H2116" s="1031"/>
      <c r="I2116" s="948">
        <f>D2116*F2116</f>
        <v>997.5</v>
      </c>
    </row>
    <row r="2117" spans="2:9" ht="15.75">
      <c r="C2117" s="951" t="s">
        <v>918</v>
      </c>
      <c r="D2117" s="946"/>
      <c r="E2117" s="947"/>
      <c r="F2117" s="1068"/>
      <c r="G2117" s="946"/>
      <c r="H2117" s="1031"/>
      <c r="I2117" s="952">
        <f>SUM(I2116:I2116)</f>
        <v>997.5</v>
      </c>
    </row>
    <row r="2118" spans="2:9" ht="15.75">
      <c r="C2118" s="949"/>
      <c r="D2118" s="946"/>
      <c r="E2118" s="947"/>
      <c r="F2118" s="1068"/>
      <c r="G2118" s="946"/>
      <c r="H2118" s="1031"/>
      <c r="I2118" s="948"/>
    </row>
    <row r="2119" spans="2:9" ht="15.75">
      <c r="C2119" s="945" t="s">
        <v>919</v>
      </c>
      <c r="D2119" s="946"/>
      <c r="E2119" s="947"/>
      <c r="F2119" s="1068"/>
      <c r="G2119" s="946"/>
      <c r="H2119" s="1031"/>
      <c r="I2119" s="948"/>
    </row>
    <row r="2120" spans="2:9" ht="15.75">
      <c r="C2120" s="949" t="s">
        <v>924</v>
      </c>
      <c r="D2120" s="953"/>
      <c r="E2120" s="954" t="str">
        <f>+VLOOKUP(C2120,'Basic (equilibrio) (2)'!B:D,2,FALSE)</f>
        <v>n/a</v>
      </c>
      <c r="F2120" s="1068">
        <f>+VLOOKUP(C2120,'Basic (equilibrio) (2)'!B:D,3,FALSE)</f>
        <v>0</v>
      </c>
      <c r="G2120" s="946">
        <v>0</v>
      </c>
      <c r="H2120" s="1031"/>
      <c r="I2120" s="948">
        <f>D2120*F2120</f>
        <v>0</v>
      </c>
    </row>
    <row r="2121" spans="2:9" ht="15.75">
      <c r="C2121" s="951" t="s">
        <v>918</v>
      </c>
      <c r="D2121" s="946"/>
      <c r="E2121" s="947"/>
      <c r="F2121" s="1054"/>
      <c r="G2121" s="946"/>
      <c r="H2121" s="1031"/>
      <c r="I2121" s="952">
        <f>SUM(I2120:I2120)</f>
        <v>0</v>
      </c>
    </row>
    <row r="2122" spans="2:9" ht="15.75">
      <c r="C2122" s="949"/>
      <c r="D2122" s="946"/>
      <c r="E2122" s="947"/>
      <c r="F2122" s="1054"/>
      <c r="G2122" s="946"/>
      <c r="H2122" s="1031"/>
      <c r="I2122" s="948"/>
    </row>
    <row r="2123" spans="2:9" ht="15.75">
      <c r="C2123" s="945" t="s">
        <v>923</v>
      </c>
      <c r="D2123" s="946"/>
      <c r="E2123" s="947"/>
      <c r="F2123" s="1054"/>
      <c r="G2123" s="946"/>
      <c r="H2123" s="1031"/>
      <c r="I2123" s="948"/>
    </row>
    <row r="2124" spans="2:9" ht="15.75">
      <c r="C2124" s="949" t="s">
        <v>924</v>
      </c>
      <c r="D2124" s="946"/>
      <c r="E2124" s="947" t="str">
        <f>+VLOOKUP(C2124,'Basic (equilibrio) (2)'!B:D,2,FALSE)</f>
        <v>n/a</v>
      </c>
      <c r="F2124" s="1054">
        <f>+VLOOKUP(C2124,'Basic (equilibrio) (2)'!B:D,3,FALSE)</f>
        <v>0</v>
      </c>
      <c r="G2124" s="946">
        <f>F2124-(F2124/1.18)</f>
        <v>0</v>
      </c>
      <c r="H2124" s="1039"/>
      <c r="I2124" s="955">
        <f>D2124*F2124</f>
        <v>0</v>
      </c>
    </row>
    <row r="2125" spans="2:9" ht="15.75">
      <c r="C2125" s="951" t="s">
        <v>918</v>
      </c>
      <c r="D2125" s="946"/>
      <c r="E2125" s="947"/>
      <c r="F2125" s="1054"/>
      <c r="G2125" s="946"/>
      <c r="H2125" s="1031"/>
      <c r="I2125" s="952">
        <f>SUM(I2124:I2124)</f>
        <v>0</v>
      </c>
    </row>
    <row r="2126" spans="2:9" ht="15.75">
      <c r="C2126" s="949"/>
      <c r="D2126" s="946"/>
      <c r="E2126" s="947"/>
      <c r="F2126" s="1054"/>
      <c r="G2126" s="946"/>
      <c r="H2126" s="1031"/>
      <c r="I2126" s="948"/>
    </row>
    <row r="2127" spans="2:9" ht="15.75">
      <c r="C2127" s="945" t="s">
        <v>925</v>
      </c>
      <c r="D2127" s="946"/>
      <c r="E2127" s="947"/>
      <c r="F2127" s="1054"/>
      <c r="G2127" s="946"/>
      <c r="H2127" s="1031"/>
      <c r="I2127" s="948"/>
    </row>
    <row r="2128" spans="2:9" ht="15.75">
      <c r="C2128" s="949" t="s">
        <v>924</v>
      </c>
      <c r="D2128" s="946"/>
      <c r="E2128" s="947" t="str">
        <f>+VLOOKUP(C2128,'Basic (equilibrio) (2)'!B:D,2,FALSE)</f>
        <v>n/a</v>
      </c>
      <c r="F2128" s="1054">
        <f>+VLOOKUP(C2128,'Basic (equilibrio) (2)'!B:D,3,FALSE)</f>
        <v>0</v>
      </c>
      <c r="G2128" s="946">
        <f>F2128-(F2128/1.18)</f>
        <v>0</v>
      </c>
      <c r="H2128" s="1031"/>
      <c r="I2128" s="948">
        <f>D2128*F2128</f>
        <v>0</v>
      </c>
    </row>
    <row r="2129" spans="2:9" ht="15.75">
      <c r="C2129" s="951" t="s">
        <v>918</v>
      </c>
      <c r="D2129" s="946"/>
      <c r="E2129" s="947"/>
      <c r="F2129" s="1054"/>
      <c r="G2129" s="946"/>
      <c r="H2129" s="1031"/>
      <c r="I2129" s="952">
        <f>SUM(I2128)</f>
        <v>0</v>
      </c>
    </row>
    <row r="2130" spans="2:9" ht="15.75">
      <c r="C2130" s="951"/>
      <c r="D2130" s="946"/>
      <c r="E2130" s="947"/>
      <c r="F2130" s="1054"/>
      <c r="G2130" s="946"/>
      <c r="H2130" s="1031"/>
      <c r="I2130" s="952"/>
    </row>
    <row r="2131" spans="2:9" ht="15.75">
      <c r="C2131" s="956" t="s">
        <v>926</v>
      </c>
      <c r="D2131" s="957"/>
      <c r="E2131" s="958"/>
      <c r="F2131" s="1069"/>
      <c r="G2131" s="957"/>
      <c r="H2131" s="1032"/>
      <c r="I2131" s="959">
        <f>+I2117</f>
        <v>997.5</v>
      </c>
    </row>
    <row r="2132" spans="2:9" ht="15.75">
      <c r="C2132" s="956" t="s">
        <v>927</v>
      </c>
      <c r="D2132" s="957"/>
      <c r="E2132" s="958"/>
      <c r="F2132" s="1069"/>
      <c r="G2132" s="957"/>
      <c r="H2132" s="1032"/>
      <c r="I2132" s="959">
        <f>+I2121</f>
        <v>0</v>
      </c>
    </row>
    <row r="2133" spans="2:9" ht="15.75">
      <c r="C2133" s="956" t="s">
        <v>928</v>
      </c>
      <c r="D2133" s="957"/>
      <c r="E2133" s="958"/>
      <c r="F2133" s="1069"/>
      <c r="G2133" s="957"/>
      <c r="H2133" s="1032"/>
      <c r="I2133" s="959">
        <f>+I2125</f>
        <v>0</v>
      </c>
    </row>
    <row r="2134" spans="2:9" ht="15.75">
      <c r="C2134" s="956" t="s">
        <v>929</v>
      </c>
      <c r="D2134" s="957"/>
      <c r="E2134" s="958"/>
      <c r="F2134" s="1069"/>
      <c r="G2134" s="957"/>
      <c r="H2134" s="1032"/>
      <c r="I2134" s="959">
        <f>+I2129</f>
        <v>0</v>
      </c>
    </row>
    <row r="2135" spans="2:9" ht="15.75">
      <c r="C2135" s="949"/>
      <c r="D2135" s="946"/>
      <c r="E2135" s="947"/>
      <c r="F2135" s="1054"/>
      <c r="G2135" s="946"/>
      <c r="H2135" s="1031"/>
      <c r="I2135" s="948"/>
    </row>
    <row r="2136" spans="2:9" ht="15.75">
      <c r="C2136" s="949"/>
      <c r="D2136" s="946"/>
      <c r="E2136" s="947"/>
      <c r="F2136" s="1054"/>
      <c r="G2136" s="946"/>
      <c r="H2136" s="1031"/>
      <c r="I2136" s="948"/>
    </row>
    <row r="2137" spans="2:9" ht="15.75">
      <c r="C2137" s="951" t="s">
        <v>930</v>
      </c>
      <c r="D2137" s="960"/>
      <c r="E2137" s="943" t="str">
        <f>+E2113</f>
        <v>und</v>
      </c>
      <c r="F2137" s="1070"/>
      <c r="G2137" s="960"/>
      <c r="H2137" s="1033"/>
      <c r="I2137" s="952">
        <f>SUM(I2131:I2134)</f>
        <v>997.5</v>
      </c>
    </row>
    <row r="2138" spans="2:9" ht="15.75">
      <c r="C2138" s="951"/>
      <c r="D2138" s="960"/>
      <c r="E2138" s="943"/>
      <c r="F2138" s="1070"/>
      <c r="G2138" s="960"/>
      <c r="H2138" s="1033"/>
      <c r="I2138" s="952"/>
    </row>
    <row r="2139" spans="2:9" ht="15.75">
      <c r="C2139" s="951"/>
      <c r="D2139" s="960"/>
      <c r="E2139" s="943"/>
      <c r="F2139" s="1070"/>
      <c r="G2139" s="960"/>
      <c r="H2139" s="1033"/>
      <c r="I2139" s="952"/>
    </row>
    <row r="2140" spans="2:9" ht="15.75">
      <c r="B2140" s="1024">
        <v>6.14</v>
      </c>
      <c r="C2140" s="937" t="str">
        <f>+Presupuesto!B134</f>
        <v>Árbol Guayacán</v>
      </c>
      <c r="D2140" s="938"/>
      <c r="E2140" s="939" t="s">
        <v>1106</v>
      </c>
      <c r="F2140" s="1066"/>
      <c r="G2140" s="938"/>
      <c r="H2140" s="1029"/>
      <c r="I2140" s="940">
        <f>I2164</f>
        <v>472.5</v>
      </c>
    </row>
    <row r="2141" spans="2:9" ht="15.75">
      <c r="C2141" s="941" t="s">
        <v>908</v>
      </c>
      <c r="D2141" s="942" t="s">
        <v>9</v>
      </c>
      <c r="E2141" s="943" t="s">
        <v>10</v>
      </c>
      <c r="F2141" s="1067" t="s">
        <v>909</v>
      </c>
      <c r="G2141" s="942" t="s">
        <v>910</v>
      </c>
      <c r="H2141" s="1030" t="s">
        <v>911</v>
      </c>
      <c r="I2141" s="944" t="s">
        <v>912</v>
      </c>
    </row>
    <row r="2142" spans="2:9" ht="15.75">
      <c r="C2142" s="945" t="s">
        <v>913</v>
      </c>
      <c r="D2142" s="946"/>
      <c r="E2142" s="947"/>
      <c r="F2142" s="1054"/>
      <c r="G2142" s="946"/>
      <c r="H2142" s="1031"/>
      <c r="I2142" s="948"/>
    </row>
    <row r="2143" spans="2:9" ht="15.75">
      <c r="C2143" s="949" t="s">
        <v>1406</v>
      </c>
      <c r="D2143" s="946">
        <v>1</v>
      </c>
      <c r="E2143" s="950" t="str">
        <f>+VLOOKUP(C2143,'Basic (equilibrio) (2)'!B:D,2,FALSE)</f>
        <v>ud</v>
      </c>
      <c r="F2143" s="1068">
        <f>'Basic (equilibrio) (2)'!$D$442</f>
        <v>472.5</v>
      </c>
      <c r="G2143" s="946">
        <f>F2143-(F2143/1.18)</f>
        <v>72.08</v>
      </c>
      <c r="H2143" s="1031"/>
      <c r="I2143" s="948">
        <f>D2143*F2143</f>
        <v>472.5</v>
      </c>
    </row>
    <row r="2144" spans="2:9" ht="15.75">
      <c r="C2144" s="951" t="s">
        <v>918</v>
      </c>
      <c r="D2144" s="946"/>
      <c r="E2144" s="947"/>
      <c r="F2144" s="1068"/>
      <c r="G2144" s="946"/>
      <c r="H2144" s="1031"/>
      <c r="I2144" s="952">
        <f>SUM(I2143:I2143)</f>
        <v>472.5</v>
      </c>
    </row>
    <row r="2145" spans="3:9" ht="15.75">
      <c r="C2145" s="949"/>
      <c r="D2145" s="946"/>
      <c r="E2145" s="947"/>
      <c r="F2145" s="1068"/>
      <c r="G2145" s="946"/>
      <c r="H2145" s="1031"/>
      <c r="I2145" s="948"/>
    </row>
    <row r="2146" spans="3:9" ht="15.75">
      <c r="C2146" s="945" t="s">
        <v>919</v>
      </c>
      <c r="D2146" s="946"/>
      <c r="E2146" s="947"/>
      <c r="F2146" s="1068"/>
      <c r="G2146" s="946"/>
      <c r="H2146" s="1031"/>
      <c r="I2146" s="948"/>
    </row>
    <row r="2147" spans="3:9" ht="15.75">
      <c r="C2147" s="949" t="s">
        <v>924</v>
      </c>
      <c r="D2147" s="953"/>
      <c r="E2147" s="954" t="str">
        <f>+VLOOKUP(C2147,'Basic (equilibrio) (2)'!B:D,2,FALSE)</f>
        <v>n/a</v>
      </c>
      <c r="F2147" s="1068">
        <f>+VLOOKUP(C2147,'Basic (equilibrio) (2)'!B:D,3,FALSE)</f>
        <v>0</v>
      </c>
      <c r="G2147" s="946">
        <v>0</v>
      </c>
      <c r="H2147" s="1031"/>
      <c r="I2147" s="948">
        <f>D2147*F2147</f>
        <v>0</v>
      </c>
    </row>
    <row r="2148" spans="3:9" ht="15.75">
      <c r="C2148" s="951" t="s">
        <v>918</v>
      </c>
      <c r="D2148" s="946"/>
      <c r="E2148" s="947"/>
      <c r="F2148" s="1054"/>
      <c r="G2148" s="946"/>
      <c r="H2148" s="1031"/>
      <c r="I2148" s="952">
        <f>SUM(I2147:I2147)</f>
        <v>0</v>
      </c>
    </row>
    <row r="2149" spans="3:9" ht="15.75">
      <c r="C2149" s="949"/>
      <c r="D2149" s="946"/>
      <c r="E2149" s="947"/>
      <c r="F2149" s="1054"/>
      <c r="G2149" s="946"/>
      <c r="H2149" s="1031"/>
      <c r="I2149" s="948"/>
    </row>
    <row r="2150" spans="3:9" ht="15.75">
      <c r="C2150" s="945" t="s">
        <v>923</v>
      </c>
      <c r="D2150" s="946"/>
      <c r="E2150" s="947"/>
      <c r="F2150" s="1054"/>
      <c r="G2150" s="946"/>
      <c r="H2150" s="1031"/>
      <c r="I2150" s="948"/>
    </row>
    <row r="2151" spans="3:9" ht="15.75">
      <c r="C2151" s="949" t="s">
        <v>924</v>
      </c>
      <c r="D2151" s="946"/>
      <c r="E2151" s="947" t="str">
        <f>+VLOOKUP(C2151,'Basic (equilibrio) (2)'!B:D,2,FALSE)</f>
        <v>n/a</v>
      </c>
      <c r="F2151" s="1054">
        <f>+VLOOKUP(C2151,'Basic (equilibrio) (2)'!B:D,3,FALSE)</f>
        <v>0</v>
      </c>
      <c r="G2151" s="946">
        <f>F2151-(F2151/1.18)</f>
        <v>0</v>
      </c>
      <c r="H2151" s="1039"/>
      <c r="I2151" s="955">
        <f>D2151*F2151</f>
        <v>0</v>
      </c>
    </row>
    <row r="2152" spans="3:9" ht="15.75">
      <c r="C2152" s="951" t="s">
        <v>918</v>
      </c>
      <c r="D2152" s="946"/>
      <c r="E2152" s="947"/>
      <c r="F2152" s="1054"/>
      <c r="G2152" s="946"/>
      <c r="H2152" s="1031"/>
      <c r="I2152" s="952">
        <f>SUM(I2151:I2151)</f>
        <v>0</v>
      </c>
    </row>
    <row r="2153" spans="3:9" ht="15.75">
      <c r="C2153" s="949"/>
      <c r="D2153" s="946"/>
      <c r="E2153" s="947"/>
      <c r="F2153" s="1054"/>
      <c r="G2153" s="946"/>
      <c r="H2153" s="1031"/>
      <c r="I2153" s="948"/>
    </row>
    <row r="2154" spans="3:9" ht="15.75">
      <c r="C2154" s="945" t="s">
        <v>925</v>
      </c>
      <c r="D2154" s="946"/>
      <c r="E2154" s="947"/>
      <c r="F2154" s="1054"/>
      <c r="G2154" s="946"/>
      <c r="H2154" s="1031"/>
      <c r="I2154" s="948"/>
    </row>
    <row r="2155" spans="3:9" ht="15.75">
      <c r="C2155" s="949" t="s">
        <v>924</v>
      </c>
      <c r="D2155" s="946"/>
      <c r="E2155" s="947" t="str">
        <f>+VLOOKUP(C2155,'Basic (equilibrio) (2)'!B:D,2,FALSE)</f>
        <v>n/a</v>
      </c>
      <c r="F2155" s="1054">
        <f>+VLOOKUP(C2155,'Basic (equilibrio) (2)'!B:D,3,FALSE)</f>
        <v>0</v>
      </c>
      <c r="G2155" s="946">
        <f>F2155-(F2155/1.18)</f>
        <v>0</v>
      </c>
      <c r="H2155" s="1031"/>
      <c r="I2155" s="948">
        <f>D2155*F2155</f>
        <v>0</v>
      </c>
    </row>
    <row r="2156" spans="3:9" ht="15.75">
      <c r="C2156" s="951" t="s">
        <v>918</v>
      </c>
      <c r="D2156" s="946"/>
      <c r="E2156" s="947"/>
      <c r="F2156" s="1054"/>
      <c r="G2156" s="946"/>
      <c r="H2156" s="1031"/>
      <c r="I2156" s="952">
        <f>SUM(I2155)</f>
        <v>0</v>
      </c>
    </row>
    <row r="2157" spans="3:9" ht="15.75">
      <c r="C2157" s="951"/>
      <c r="D2157" s="946"/>
      <c r="E2157" s="947"/>
      <c r="F2157" s="1054"/>
      <c r="G2157" s="946"/>
      <c r="H2157" s="1031"/>
      <c r="I2157" s="952"/>
    </row>
    <row r="2158" spans="3:9" ht="15.75">
      <c r="C2158" s="956" t="s">
        <v>926</v>
      </c>
      <c r="D2158" s="957"/>
      <c r="E2158" s="958"/>
      <c r="F2158" s="1069"/>
      <c r="G2158" s="957"/>
      <c r="H2158" s="1032"/>
      <c r="I2158" s="959">
        <f>+I2144</f>
        <v>472.5</v>
      </c>
    </row>
    <row r="2159" spans="3:9" ht="15.75">
      <c r="C2159" s="956" t="s">
        <v>927</v>
      </c>
      <c r="D2159" s="957"/>
      <c r="E2159" s="958"/>
      <c r="F2159" s="1069"/>
      <c r="G2159" s="957"/>
      <c r="H2159" s="1032"/>
      <c r="I2159" s="959">
        <f>+I2148</f>
        <v>0</v>
      </c>
    </row>
    <row r="2160" spans="3:9" ht="15.75">
      <c r="C2160" s="956" t="s">
        <v>928</v>
      </c>
      <c r="D2160" s="957"/>
      <c r="E2160" s="958"/>
      <c r="F2160" s="1069"/>
      <c r="G2160" s="957"/>
      <c r="H2160" s="1032"/>
      <c r="I2160" s="959">
        <f>+I2152</f>
        <v>0</v>
      </c>
    </row>
    <row r="2161" spans="2:9" ht="15.75">
      <c r="C2161" s="956" t="s">
        <v>929</v>
      </c>
      <c r="D2161" s="957"/>
      <c r="E2161" s="958"/>
      <c r="F2161" s="1069"/>
      <c r="G2161" s="957"/>
      <c r="H2161" s="1032"/>
      <c r="I2161" s="959">
        <f>+I2156</f>
        <v>0</v>
      </c>
    </row>
    <row r="2162" spans="2:9" ht="15.75">
      <c r="C2162" s="949"/>
      <c r="D2162" s="946"/>
      <c r="E2162" s="947"/>
      <c r="F2162" s="1054"/>
      <c r="G2162" s="946"/>
      <c r="H2162" s="1031"/>
      <c r="I2162" s="948"/>
    </row>
    <row r="2163" spans="2:9" ht="15.75">
      <c r="C2163" s="949"/>
      <c r="D2163" s="946"/>
      <c r="E2163" s="947"/>
      <c r="F2163" s="1054"/>
      <c r="G2163" s="946"/>
      <c r="H2163" s="1031"/>
      <c r="I2163" s="948"/>
    </row>
    <row r="2164" spans="2:9" ht="15.75">
      <c r="C2164" s="951" t="s">
        <v>930</v>
      </c>
      <c r="D2164" s="960"/>
      <c r="E2164" s="943" t="str">
        <f>+E2140</f>
        <v>und</v>
      </c>
      <c r="F2164" s="1070"/>
      <c r="G2164" s="960"/>
      <c r="H2164" s="1033"/>
      <c r="I2164" s="952">
        <f>SUM(I2158:I2161)</f>
        <v>472.5</v>
      </c>
    </row>
    <row r="2165" spans="2:9" ht="15.75">
      <c r="C2165" s="951"/>
      <c r="D2165" s="960"/>
      <c r="E2165" s="943"/>
      <c r="F2165" s="1070"/>
      <c r="G2165" s="960"/>
      <c r="H2165" s="1033"/>
      <c r="I2165" s="952"/>
    </row>
    <row r="2166" spans="2:9" ht="15.75">
      <c r="C2166" s="951"/>
      <c r="D2166" s="960"/>
      <c r="E2166" s="943"/>
      <c r="F2166" s="1070"/>
      <c r="G2166" s="960"/>
      <c r="H2166" s="1033"/>
      <c r="I2166" s="952"/>
    </row>
    <row r="2167" spans="2:9" ht="15.75">
      <c r="B2167" s="1024">
        <v>6.15</v>
      </c>
      <c r="C2167" s="937" t="str">
        <f>+Presupuesto!B135</f>
        <v>Árbol Ceiba</v>
      </c>
      <c r="D2167" s="938"/>
      <c r="E2167" s="939" t="s">
        <v>1106</v>
      </c>
      <c r="F2167" s="1066"/>
      <c r="G2167" s="938"/>
      <c r="H2167" s="1029"/>
      <c r="I2167" s="940">
        <f>I2191</f>
        <v>1500</v>
      </c>
    </row>
    <row r="2168" spans="2:9" ht="15.75">
      <c r="C2168" s="941" t="s">
        <v>908</v>
      </c>
      <c r="D2168" s="942" t="s">
        <v>9</v>
      </c>
      <c r="E2168" s="943" t="s">
        <v>10</v>
      </c>
      <c r="F2168" s="1067" t="s">
        <v>909</v>
      </c>
      <c r="G2168" s="942" t="s">
        <v>910</v>
      </c>
      <c r="H2168" s="1030" t="s">
        <v>911</v>
      </c>
      <c r="I2168" s="944" t="s">
        <v>912</v>
      </c>
    </row>
    <row r="2169" spans="2:9" ht="15.75">
      <c r="C2169" s="945" t="s">
        <v>913</v>
      </c>
      <c r="D2169" s="946"/>
      <c r="E2169" s="947"/>
      <c r="F2169" s="1054"/>
      <c r="G2169" s="946"/>
      <c r="H2169" s="1031"/>
      <c r="I2169" s="948"/>
    </row>
    <row r="2170" spans="2:9" ht="15.75">
      <c r="C2170" s="949" t="s">
        <v>1374</v>
      </c>
      <c r="D2170" s="946">
        <v>1</v>
      </c>
      <c r="E2170" s="950" t="str">
        <f>+VLOOKUP(C2170,'Basic (equilibrio) (2)'!B:D,2,FALSE)</f>
        <v>ud</v>
      </c>
      <c r="F2170" s="1068">
        <f>'Basic (equilibrio) (2)'!$D$402</f>
        <v>1500</v>
      </c>
      <c r="G2170" s="946">
        <f>F2170-(F2170/1.18)</f>
        <v>228.81</v>
      </c>
      <c r="H2170" s="1031"/>
      <c r="I2170" s="948">
        <f>D2170*F2170</f>
        <v>1500</v>
      </c>
    </row>
    <row r="2171" spans="2:9" ht="15.75">
      <c r="C2171" s="951" t="s">
        <v>918</v>
      </c>
      <c r="D2171" s="946"/>
      <c r="E2171" s="947"/>
      <c r="F2171" s="1068"/>
      <c r="G2171" s="946"/>
      <c r="H2171" s="1031"/>
      <c r="I2171" s="952">
        <f>SUM(I2170:I2170)</f>
        <v>1500</v>
      </c>
    </row>
    <row r="2172" spans="2:9" ht="15.75">
      <c r="C2172" s="949"/>
      <c r="D2172" s="946"/>
      <c r="E2172" s="947"/>
      <c r="F2172" s="1068"/>
      <c r="G2172" s="946"/>
      <c r="H2172" s="1031"/>
      <c r="I2172" s="948"/>
    </row>
    <row r="2173" spans="2:9" ht="15.75">
      <c r="C2173" s="945" t="s">
        <v>919</v>
      </c>
      <c r="D2173" s="946"/>
      <c r="E2173" s="947"/>
      <c r="F2173" s="1068"/>
      <c r="G2173" s="946"/>
      <c r="H2173" s="1031"/>
      <c r="I2173" s="948"/>
    </row>
    <row r="2174" spans="2:9" ht="15.75">
      <c r="C2174" s="949" t="s">
        <v>924</v>
      </c>
      <c r="D2174" s="953"/>
      <c r="E2174" s="954" t="str">
        <f>+VLOOKUP(C2174,'Basic (equilibrio) (2)'!B:D,2,FALSE)</f>
        <v>n/a</v>
      </c>
      <c r="F2174" s="1068">
        <f>+VLOOKUP(C2174,'Basic (equilibrio) (2)'!B:D,3,FALSE)</f>
        <v>0</v>
      </c>
      <c r="G2174" s="946">
        <v>0</v>
      </c>
      <c r="H2174" s="1031"/>
      <c r="I2174" s="948">
        <f>D2174*F2174</f>
        <v>0</v>
      </c>
    </row>
    <row r="2175" spans="2:9" ht="15.75">
      <c r="C2175" s="951" t="s">
        <v>918</v>
      </c>
      <c r="D2175" s="946"/>
      <c r="E2175" s="947"/>
      <c r="F2175" s="1054"/>
      <c r="G2175" s="946"/>
      <c r="H2175" s="1031"/>
      <c r="I2175" s="952">
        <f>SUM(I2174:I2174)</f>
        <v>0</v>
      </c>
    </row>
    <row r="2176" spans="2:9" ht="15.75">
      <c r="C2176" s="949"/>
      <c r="D2176" s="946"/>
      <c r="E2176" s="947"/>
      <c r="F2176" s="1054"/>
      <c r="G2176" s="946"/>
      <c r="H2176" s="1031"/>
      <c r="I2176" s="948"/>
    </row>
    <row r="2177" spans="3:9" ht="15.75">
      <c r="C2177" s="945" t="s">
        <v>923</v>
      </c>
      <c r="D2177" s="946"/>
      <c r="E2177" s="947"/>
      <c r="F2177" s="1054"/>
      <c r="G2177" s="946"/>
      <c r="H2177" s="1031"/>
      <c r="I2177" s="948"/>
    </row>
    <row r="2178" spans="3:9" ht="15.75">
      <c r="C2178" s="949" t="s">
        <v>924</v>
      </c>
      <c r="D2178" s="946"/>
      <c r="E2178" s="947" t="str">
        <f>+VLOOKUP(C2178,'Basic (equilibrio) (2)'!B:D,2,FALSE)</f>
        <v>n/a</v>
      </c>
      <c r="F2178" s="1054">
        <f>+VLOOKUP(C2178,'Basic (equilibrio) (2)'!B:D,3,FALSE)</f>
        <v>0</v>
      </c>
      <c r="G2178" s="946">
        <f>F2178-(F2178/1.18)</f>
        <v>0</v>
      </c>
      <c r="H2178" s="1039"/>
      <c r="I2178" s="955">
        <f>D2178*F2178</f>
        <v>0</v>
      </c>
    </row>
    <row r="2179" spans="3:9" ht="15.75">
      <c r="C2179" s="951" t="s">
        <v>918</v>
      </c>
      <c r="D2179" s="946"/>
      <c r="E2179" s="947"/>
      <c r="F2179" s="1054"/>
      <c r="G2179" s="946"/>
      <c r="H2179" s="1031"/>
      <c r="I2179" s="952">
        <f>SUM(I2178:I2178)</f>
        <v>0</v>
      </c>
    </row>
    <row r="2180" spans="3:9" ht="15.75">
      <c r="C2180" s="949"/>
      <c r="D2180" s="946"/>
      <c r="E2180" s="947"/>
      <c r="F2180" s="1054"/>
      <c r="G2180" s="946"/>
      <c r="H2180" s="1031"/>
      <c r="I2180" s="948"/>
    </row>
    <row r="2181" spans="3:9" ht="15.75">
      <c r="C2181" s="945" t="s">
        <v>925</v>
      </c>
      <c r="D2181" s="946"/>
      <c r="E2181" s="947"/>
      <c r="F2181" s="1054"/>
      <c r="G2181" s="946"/>
      <c r="H2181" s="1031"/>
      <c r="I2181" s="948"/>
    </row>
    <row r="2182" spans="3:9" ht="15.75">
      <c r="C2182" s="949" t="s">
        <v>924</v>
      </c>
      <c r="D2182" s="946"/>
      <c r="E2182" s="947" t="str">
        <f>+VLOOKUP(C2182,'Basic (equilibrio) (2)'!B:D,2,FALSE)</f>
        <v>n/a</v>
      </c>
      <c r="F2182" s="1054">
        <f>+VLOOKUP(C2182,'Basic (equilibrio) (2)'!B:D,3,FALSE)</f>
        <v>0</v>
      </c>
      <c r="G2182" s="946">
        <f>F2182-(F2182/1.18)</f>
        <v>0</v>
      </c>
      <c r="H2182" s="1031"/>
      <c r="I2182" s="948">
        <f>D2182*F2182</f>
        <v>0</v>
      </c>
    </row>
    <row r="2183" spans="3:9" ht="15.75">
      <c r="C2183" s="951" t="s">
        <v>918</v>
      </c>
      <c r="D2183" s="946"/>
      <c r="E2183" s="947"/>
      <c r="F2183" s="1054"/>
      <c r="G2183" s="946"/>
      <c r="H2183" s="1031"/>
      <c r="I2183" s="952">
        <f>SUM(I2182)</f>
        <v>0</v>
      </c>
    </row>
    <row r="2184" spans="3:9" ht="15.75">
      <c r="C2184" s="951"/>
      <c r="D2184" s="946"/>
      <c r="E2184" s="947"/>
      <c r="F2184" s="1054"/>
      <c r="G2184" s="946"/>
      <c r="H2184" s="1031"/>
      <c r="I2184" s="952"/>
    </row>
    <row r="2185" spans="3:9" ht="15.75">
      <c r="C2185" s="956" t="s">
        <v>926</v>
      </c>
      <c r="D2185" s="957"/>
      <c r="E2185" s="958"/>
      <c r="F2185" s="1069"/>
      <c r="G2185" s="957"/>
      <c r="H2185" s="1032"/>
      <c r="I2185" s="959">
        <f>+I2171</f>
        <v>1500</v>
      </c>
    </row>
    <row r="2186" spans="3:9" ht="15.75">
      <c r="C2186" s="956" t="s">
        <v>927</v>
      </c>
      <c r="D2186" s="957"/>
      <c r="E2186" s="958"/>
      <c r="F2186" s="1069"/>
      <c r="G2186" s="957"/>
      <c r="H2186" s="1032"/>
      <c r="I2186" s="959">
        <f>+I2175</f>
        <v>0</v>
      </c>
    </row>
    <row r="2187" spans="3:9" ht="15.75">
      <c r="C2187" s="956" t="s">
        <v>928</v>
      </c>
      <c r="D2187" s="957"/>
      <c r="E2187" s="958"/>
      <c r="F2187" s="1069"/>
      <c r="G2187" s="957"/>
      <c r="H2187" s="1032"/>
      <c r="I2187" s="959">
        <f>+I2179</f>
        <v>0</v>
      </c>
    </row>
    <row r="2188" spans="3:9" ht="15.75">
      <c r="C2188" s="956" t="s">
        <v>929</v>
      </c>
      <c r="D2188" s="957"/>
      <c r="E2188" s="958"/>
      <c r="F2188" s="1069"/>
      <c r="G2188" s="957"/>
      <c r="H2188" s="1032"/>
      <c r="I2188" s="959">
        <f>+I2183</f>
        <v>0</v>
      </c>
    </row>
    <row r="2189" spans="3:9" ht="15.75">
      <c r="C2189" s="949"/>
      <c r="D2189" s="946"/>
      <c r="E2189" s="947"/>
      <c r="F2189" s="1054"/>
      <c r="G2189" s="946"/>
      <c r="H2189" s="1031"/>
      <c r="I2189" s="948"/>
    </row>
    <row r="2190" spans="3:9" ht="15.75">
      <c r="C2190" s="949"/>
      <c r="D2190" s="946"/>
      <c r="E2190" s="947"/>
      <c r="F2190" s="1054"/>
      <c r="G2190" s="946"/>
      <c r="H2190" s="1031"/>
      <c r="I2190" s="948"/>
    </row>
    <row r="2191" spans="3:9" ht="15.75">
      <c r="C2191" s="951" t="s">
        <v>930</v>
      </c>
      <c r="D2191" s="960"/>
      <c r="E2191" s="943" t="str">
        <f>+E2167</f>
        <v>und</v>
      </c>
      <c r="F2191" s="1070"/>
      <c r="G2191" s="960"/>
      <c r="H2191" s="1033"/>
      <c r="I2191" s="952">
        <f>SUM(I2185:I2188)</f>
        <v>1500</v>
      </c>
    </row>
    <row r="2192" spans="3:9" ht="15.75">
      <c r="C2192" s="951"/>
      <c r="D2192" s="960"/>
      <c r="E2192" s="943"/>
      <c r="F2192" s="1070"/>
      <c r="G2192" s="960"/>
      <c r="H2192" s="1033"/>
      <c r="I2192" s="952"/>
    </row>
    <row r="2193" spans="2:9" ht="15.75">
      <c r="C2193" s="951"/>
      <c r="D2193" s="960"/>
      <c r="E2193" s="943"/>
      <c r="F2193" s="1070"/>
      <c r="G2193" s="960"/>
      <c r="H2193" s="1033"/>
      <c r="I2193" s="952"/>
    </row>
    <row r="2194" spans="2:9" ht="15.75">
      <c r="B2194" s="1024">
        <v>6.16</v>
      </c>
      <c r="C2194" s="937" t="str">
        <f>+Presupuesto!B136</f>
        <v>Árbol Caracolí</v>
      </c>
      <c r="D2194" s="938"/>
      <c r="E2194" s="939" t="s">
        <v>1106</v>
      </c>
      <c r="F2194" s="1066"/>
      <c r="G2194" s="938"/>
      <c r="H2194" s="1029"/>
      <c r="I2194" s="940">
        <f>I2218</f>
        <v>2500</v>
      </c>
    </row>
    <row r="2195" spans="2:9" ht="15.75">
      <c r="C2195" s="941" t="s">
        <v>908</v>
      </c>
      <c r="D2195" s="942" t="s">
        <v>9</v>
      </c>
      <c r="E2195" s="943" t="s">
        <v>10</v>
      </c>
      <c r="F2195" s="1067" t="s">
        <v>909</v>
      </c>
      <c r="G2195" s="942" t="s">
        <v>910</v>
      </c>
      <c r="H2195" s="1030" t="s">
        <v>911</v>
      </c>
      <c r="I2195" s="944" t="s">
        <v>912</v>
      </c>
    </row>
    <row r="2196" spans="2:9" ht="15.75">
      <c r="C2196" s="945" t="s">
        <v>913</v>
      </c>
      <c r="D2196" s="946"/>
      <c r="E2196" s="947"/>
      <c r="F2196" s="1054"/>
      <c r="G2196" s="946"/>
      <c r="H2196" s="1031"/>
      <c r="I2196" s="948"/>
    </row>
    <row r="2197" spans="2:9" ht="15.75">
      <c r="C2197" s="949" t="s">
        <v>1533</v>
      </c>
      <c r="D2197" s="946">
        <v>1</v>
      </c>
      <c r="E2197" s="950" t="str">
        <f>+VLOOKUP(C2197,'Basic (equilibrio) (2)'!B:D,2,FALSE)</f>
        <v>ud</v>
      </c>
      <c r="F2197" s="1068">
        <f>'Basic (equilibrio) (2)'!$D$400</f>
        <v>2500</v>
      </c>
      <c r="G2197" s="946">
        <f>F2197-(F2197/1.18)</f>
        <v>381.36</v>
      </c>
      <c r="H2197" s="1031"/>
      <c r="I2197" s="948">
        <f>D2197*F2197</f>
        <v>2500</v>
      </c>
    </row>
    <row r="2198" spans="2:9" ht="15.75">
      <c r="C2198" s="951" t="s">
        <v>918</v>
      </c>
      <c r="D2198" s="946"/>
      <c r="E2198" s="947"/>
      <c r="F2198" s="1068"/>
      <c r="G2198" s="946"/>
      <c r="H2198" s="1031"/>
      <c r="I2198" s="952">
        <f>SUM(I2197:I2197)</f>
        <v>2500</v>
      </c>
    </row>
    <row r="2199" spans="2:9" ht="15.75">
      <c r="C2199" s="949"/>
      <c r="D2199" s="946"/>
      <c r="E2199" s="947"/>
      <c r="F2199" s="1068"/>
      <c r="G2199" s="946"/>
      <c r="H2199" s="1031"/>
      <c r="I2199" s="948"/>
    </row>
    <row r="2200" spans="2:9" ht="15.75">
      <c r="C2200" s="945" t="s">
        <v>919</v>
      </c>
      <c r="D2200" s="946"/>
      <c r="E2200" s="947"/>
      <c r="F2200" s="1068"/>
      <c r="G2200" s="946"/>
      <c r="H2200" s="1031"/>
      <c r="I2200" s="948"/>
    </row>
    <row r="2201" spans="2:9" ht="15.75">
      <c r="C2201" s="949" t="s">
        <v>924</v>
      </c>
      <c r="D2201" s="953"/>
      <c r="E2201" s="954" t="str">
        <f>+VLOOKUP(C2201,'Basic (equilibrio) (2)'!B:D,2,FALSE)</f>
        <v>n/a</v>
      </c>
      <c r="F2201" s="1068">
        <f>+VLOOKUP(C2201,'Basic (equilibrio) (2)'!B:D,3,FALSE)</f>
        <v>0</v>
      </c>
      <c r="G2201" s="946">
        <v>0</v>
      </c>
      <c r="H2201" s="1031"/>
      <c r="I2201" s="948">
        <f>D2201*F2201</f>
        <v>0</v>
      </c>
    </row>
    <row r="2202" spans="2:9" ht="15.75">
      <c r="C2202" s="951" t="s">
        <v>918</v>
      </c>
      <c r="D2202" s="946"/>
      <c r="E2202" s="947"/>
      <c r="F2202" s="1054"/>
      <c r="G2202" s="946"/>
      <c r="H2202" s="1031"/>
      <c r="I2202" s="952">
        <f>SUM(I2201:I2201)</f>
        <v>0</v>
      </c>
    </row>
    <row r="2203" spans="2:9" ht="15.75">
      <c r="C2203" s="949"/>
      <c r="D2203" s="946"/>
      <c r="E2203" s="947"/>
      <c r="F2203" s="1054"/>
      <c r="G2203" s="946"/>
      <c r="H2203" s="1031"/>
      <c r="I2203" s="948"/>
    </row>
    <row r="2204" spans="2:9" ht="15.75">
      <c r="C2204" s="945" t="s">
        <v>923</v>
      </c>
      <c r="D2204" s="946"/>
      <c r="E2204" s="947"/>
      <c r="F2204" s="1054"/>
      <c r="G2204" s="946"/>
      <c r="H2204" s="1031"/>
      <c r="I2204" s="948"/>
    </row>
    <row r="2205" spans="2:9" ht="15.75">
      <c r="C2205" s="949" t="s">
        <v>924</v>
      </c>
      <c r="D2205" s="946"/>
      <c r="E2205" s="947" t="str">
        <f>+VLOOKUP(C2205,'Basic (equilibrio) (2)'!B:D,2,FALSE)</f>
        <v>n/a</v>
      </c>
      <c r="F2205" s="1054">
        <f>+VLOOKUP(C2205,'Basic (equilibrio) (2)'!B:D,3,FALSE)</f>
        <v>0</v>
      </c>
      <c r="G2205" s="946">
        <f>F2205-(F2205/1.18)</f>
        <v>0</v>
      </c>
      <c r="H2205" s="1039"/>
      <c r="I2205" s="955">
        <f>D2205*F2205</f>
        <v>0</v>
      </c>
    </row>
    <row r="2206" spans="2:9" ht="15.75">
      <c r="C2206" s="951" t="s">
        <v>918</v>
      </c>
      <c r="D2206" s="946"/>
      <c r="E2206" s="947"/>
      <c r="F2206" s="1054"/>
      <c r="G2206" s="946"/>
      <c r="H2206" s="1031"/>
      <c r="I2206" s="952">
        <f>SUM(I2205:I2205)</f>
        <v>0</v>
      </c>
    </row>
    <row r="2207" spans="2:9" ht="15.75">
      <c r="C2207" s="949"/>
      <c r="D2207" s="946"/>
      <c r="E2207" s="947"/>
      <c r="F2207" s="1054"/>
      <c r="G2207" s="946"/>
      <c r="H2207" s="1031"/>
      <c r="I2207" s="948"/>
    </row>
    <row r="2208" spans="2:9" ht="15.75">
      <c r="C2208" s="945" t="s">
        <v>925</v>
      </c>
      <c r="D2208" s="946"/>
      <c r="E2208" s="947"/>
      <c r="F2208" s="1054"/>
      <c r="G2208" s="946"/>
      <c r="H2208" s="1031"/>
      <c r="I2208" s="948"/>
    </row>
    <row r="2209" spans="2:9" ht="15.75">
      <c r="C2209" s="949" t="s">
        <v>924</v>
      </c>
      <c r="D2209" s="946"/>
      <c r="E2209" s="947" t="str">
        <f>+VLOOKUP(C2209,'Basic (equilibrio) (2)'!B:D,2,FALSE)</f>
        <v>n/a</v>
      </c>
      <c r="F2209" s="1054">
        <f>+VLOOKUP(C2209,'Basic (equilibrio) (2)'!B:D,3,FALSE)</f>
        <v>0</v>
      </c>
      <c r="G2209" s="946">
        <f>F2209-(F2209/1.18)</f>
        <v>0</v>
      </c>
      <c r="H2209" s="1031"/>
      <c r="I2209" s="948">
        <f>D2209*F2209</f>
        <v>0</v>
      </c>
    </row>
    <row r="2210" spans="2:9" ht="15.75">
      <c r="C2210" s="951" t="s">
        <v>918</v>
      </c>
      <c r="D2210" s="946"/>
      <c r="E2210" s="947"/>
      <c r="F2210" s="1054"/>
      <c r="G2210" s="946"/>
      <c r="H2210" s="1031"/>
      <c r="I2210" s="952">
        <f>SUM(I2209)</f>
        <v>0</v>
      </c>
    </row>
    <row r="2211" spans="2:9" ht="15.75">
      <c r="C2211" s="951"/>
      <c r="D2211" s="946"/>
      <c r="E2211" s="947"/>
      <c r="F2211" s="1054"/>
      <c r="G2211" s="946"/>
      <c r="H2211" s="1031"/>
      <c r="I2211" s="952"/>
    </row>
    <row r="2212" spans="2:9" ht="15.75">
      <c r="C2212" s="956" t="s">
        <v>926</v>
      </c>
      <c r="D2212" s="957"/>
      <c r="E2212" s="958"/>
      <c r="F2212" s="1069"/>
      <c r="G2212" s="957"/>
      <c r="H2212" s="1032"/>
      <c r="I2212" s="959">
        <f>+I2198</f>
        <v>2500</v>
      </c>
    </row>
    <row r="2213" spans="2:9" ht="15.75">
      <c r="C2213" s="956" t="s">
        <v>927</v>
      </c>
      <c r="D2213" s="957"/>
      <c r="E2213" s="958"/>
      <c r="F2213" s="1069"/>
      <c r="G2213" s="957"/>
      <c r="H2213" s="1032"/>
      <c r="I2213" s="959">
        <f>+I2202</f>
        <v>0</v>
      </c>
    </row>
    <row r="2214" spans="2:9" ht="15.75">
      <c r="C2214" s="956" t="s">
        <v>928</v>
      </c>
      <c r="D2214" s="957"/>
      <c r="E2214" s="958"/>
      <c r="F2214" s="1069"/>
      <c r="G2214" s="957"/>
      <c r="H2214" s="1032"/>
      <c r="I2214" s="959">
        <f>+I2206</f>
        <v>0</v>
      </c>
    </row>
    <row r="2215" spans="2:9" ht="15.75">
      <c r="C2215" s="956" t="s">
        <v>929</v>
      </c>
      <c r="D2215" s="957"/>
      <c r="E2215" s="958"/>
      <c r="F2215" s="1069"/>
      <c r="G2215" s="957"/>
      <c r="H2215" s="1032"/>
      <c r="I2215" s="959">
        <f>+I2210</f>
        <v>0</v>
      </c>
    </row>
    <row r="2216" spans="2:9" ht="15.75">
      <c r="C2216" s="949"/>
      <c r="D2216" s="946"/>
      <c r="E2216" s="947"/>
      <c r="F2216" s="1054"/>
      <c r="G2216" s="946"/>
      <c r="H2216" s="1031"/>
      <c r="I2216" s="948"/>
    </row>
    <row r="2217" spans="2:9" ht="15.75">
      <c r="C2217" s="949"/>
      <c r="D2217" s="946"/>
      <c r="E2217" s="947"/>
      <c r="F2217" s="1054"/>
      <c r="G2217" s="946"/>
      <c r="H2217" s="1031"/>
      <c r="I2217" s="948"/>
    </row>
    <row r="2218" spans="2:9" ht="15.75">
      <c r="C2218" s="951" t="s">
        <v>930</v>
      </c>
      <c r="D2218" s="960"/>
      <c r="E2218" s="943" t="str">
        <f>+E2194</f>
        <v>und</v>
      </c>
      <c r="F2218" s="1070"/>
      <c r="G2218" s="960"/>
      <c r="H2218" s="1033"/>
      <c r="I2218" s="952">
        <f>SUM(I2212:I2215)</f>
        <v>2500</v>
      </c>
    </row>
    <row r="2219" spans="2:9" ht="15.75">
      <c r="C2219" s="951"/>
      <c r="D2219" s="960"/>
      <c r="E2219" s="943"/>
      <c r="F2219" s="1070"/>
      <c r="G2219" s="960"/>
      <c r="H2219" s="1033"/>
      <c r="I2219" s="952"/>
    </row>
    <row r="2220" spans="2:9" ht="15.75">
      <c r="C2220" s="951"/>
      <c r="D2220" s="960"/>
      <c r="E2220" s="943"/>
      <c r="F2220" s="1070"/>
      <c r="G2220" s="960"/>
      <c r="H2220" s="1033"/>
      <c r="I2220" s="952"/>
    </row>
    <row r="2221" spans="2:9" ht="15.75">
      <c r="B2221" s="1024">
        <v>6.17</v>
      </c>
      <c r="C2221" s="937" t="str">
        <f>+Presupuesto!B137</f>
        <v>Árbol Campeche</v>
      </c>
      <c r="D2221" s="938"/>
      <c r="E2221" s="939" t="s">
        <v>1106</v>
      </c>
      <c r="F2221" s="1066"/>
      <c r="G2221" s="938"/>
      <c r="H2221" s="1029"/>
      <c r="I2221" s="940">
        <f>I2245</f>
        <v>1000</v>
      </c>
    </row>
    <row r="2222" spans="2:9" ht="15.75">
      <c r="C2222" s="941" t="s">
        <v>908</v>
      </c>
      <c r="D2222" s="942" t="s">
        <v>9</v>
      </c>
      <c r="E2222" s="943" t="s">
        <v>10</v>
      </c>
      <c r="F2222" s="1067" t="s">
        <v>909</v>
      </c>
      <c r="G2222" s="942" t="s">
        <v>910</v>
      </c>
      <c r="H2222" s="1030" t="s">
        <v>911</v>
      </c>
      <c r="I2222" s="944" t="s">
        <v>912</v>
      </c>
    </row>
    <row r="2223" spans="2:9" ht="15.75">
      <c r="C2223" s="945" t="s">
        <v>913</v>
      </c>
      <c r="D2223" s="946"/>
      <c r="E2223" s="947"/>
      <c r="F2223" s="1054"/>
      <c r="G2223" s="946"/>
      <c r="H2223" s="1031"/>
      <c r="I2223" s="948"/>
    </row>
    <row r="2224" spans="2:9" ht="15.75">
      <c r="C2224" s="949" t="s">
        <v>1534</v>
      </c>
      <c r="D2224" s="946">
        <v>1</v>
      </c>
      <c r="E2224" s="950" t="str">
        <f>+VLOOKUP(C2224,'Basic (equilibrio) (2)'!B:D,2,FALSE)</f>
        <v>ud</v>
      </c>
      <c r="F2224" s="1068">
        <f>'Basic (equilibrio) (2)'!$D$450</f>
        <v>1000</v>
      </c>
      <c r="G2224" s="946">
        <f>F2224-(F2224/1.18)</f>
        <v>152.54</v>
      </c>
      <c r="H2224" s="1031"/>
      <c r="I2224" s="948">
        <f>D2224*F2224</f>
        <v>1000</v>
      </c>
    </row>
    <row r="2225" spans="3:9" ht="15.75">
      <c r="C2225" s="951" t="s">
        <v>918</v>
      </c>
      <c r="D2225" s="946"/>
      <c r="E2225" s="947"/>
      <c r="F2225" s="1068"/>
      <c r="G2225" s="946"/>
      <c r="H2225" s="1031"/>
      <c r="I2225" s="952">
        <f>SUM(I2224:I2224)</f>
        <v>1000</v>
      </c>
    </row>
    <row r="2226" spans="3:9" ht="15.75">
      <c r="C2226" s="949"/>
      <c r="D2226" s="946"/>
      <c r="E2226" s="947"/>
      <c r="F2226" s="1068"/>
      <c r="G2226" s="946"/>
      <c r="H2226" s="1031"/>
      <c r="I2226" s="948"/>
    </row>
    <row r="2227" spans="3:9" ht="15.75">
      <c r="C2227" s="945" t="s">
        <v>919</v>
      </c>
      <c r="D2227" s="946"/>
      <c r="E2227" s="947"/>
      <c r="F2227" s="1068"/>
      <c r="G2227" s="946"/>
      <c r="H2227" s="1031"/>
      <c r="I2227" s="948"/>
    </row>
    <row r="2228" spans="3:9" ht="15.75">
      <c r="C2228" s="949" t="s">
        <v>924</v>
      </c>
      <c r="D2228" s="953"/>
      <c r="E2228" s="954" t="str">
        <f>+VLOOKUP(C2228,'Basic (equilibrio) (2)'!B:D,2,FALSE)</f>
        <v>n/a</v>
      </c>
      <c r="F2228" s="1068">
        <f>+VLOOKUP(C2228,'Basic (equilibrio) (2)'!B:D,3,FALSE)</f>
        <v>0</v>
      </c>
      <c r="G2228" s="946">
        <v>0</v>
      </c>
      <c r="H2228" s="1031"/>
      <c r="I2228" s="948">
        <f>D2228*F2228</f>
        <v>0</v>
      </c>
    </row>
    <row r="2229" spans="3:9" ht="15.75">
      <c r="C2229" s="951" t="s">
        <v>918</v>
      </c>
      <c r="D2229" s="946"/>
      <c r="E2229" s="947"/>
      <c r="F2229" s="1054"/>
      <c r="G2229" s="946"/>
      <c r="H2229" s="1031"/>
      <c r="I2229" s="952">
        <f>SUM(I2228:I2228)</f>
        <v>0</v>
      </c>
    </row>
    <row r="2230" spans="3:9" ht="15.75">
      <c r="C2230" s="949"/>
      <c r="D2230" s="946"/>
      <c r="E2230" s="947"/>
      <c r="F2230" s="1054"/>
      <c r="G2230" s="946"/>
      <c r="H2230" s="1031"/>
      <c r="I2230" s="948"/>
    </row>
    <row r="2231" spans="3:9" ht="15.75">
      <c r="C2231" s="945" t="s">
        <v>923</v>
      </c>
      <c r="D2231" s="946"/>
      <c r="E2231" s="947"/>
      <c r="F2231" s="1054"/>
      <c r="G2231" s="946"/>
      <c r="H2231" s="1031"/>
      <c r="I2231" s="948"/>
    </row>
    <row r="2232" spans="3:9" ht="15.75">
      <c r="C2232" s="949" t="s">
        <v>924</v>
      </c>
      <c r="D2232" s="946"/>
      <c r="E2232" s="947" t="str">
        <f>+VLOOKUP(C2232,'Basic (equilibrio) (2)'!B:D,2,FALSE)</f>
        <v>n/a</v>
      </c>
      <c r="F2232" s="1054">
        <f>+VLOOKUP(C2232,'Basic (equilibrio) (2)'!B:D,3,FALSE)</f>
        <v>0</v>
      </c>
      <c r="G2232" s="946">
        <f>F2232-(F2232/1.18)</f>
        <v>0</v>
      </c>
      <c r="H2232" s="1039"/>
      <c r="I2232" s="955">
        <f>D2232*F2232</f>
        <v>0</v>
      </c>
    </row>
    <row r="2233" spans="3:9" ht="15.75">
      <c r="C2233" s="951" t="s">
        <v>918</v>
      </c>
      <c r="D2233" s="946"/>
      <c r="E2233" s="947"/>
      <c r="F2233" s="1054"/>
      <c r="G2233" s="946"/>
      <c r="H2233" s="1031"/>
      <c r="I2233" s="952">
        <f>SUM(I2232:I2232)</f>
        <v>0</v>
      </c>
    </row>
    <row r="2234" spans="3:9" ht="15.75">
      <c r="C2234" s="949"/>
      <c r="D2234" s="946"/>
      <c r="E2234" s="947"/>
      <c r="F2234" s="1054"/>
      <c r="G2234" s="946"/>
      <c r="H2234" s="1031"/>
      <c r="I2234" s="948"/>
    </row>
    <row r="2235" spans="3:9" ht="15.75">
      <c r="C2235" s="945" t="s">
        <v>925</v>
      </c>
      <c r="D2235" s="946"/>
      <c r="E2235" s="947"/>
      <c r="F2235" s="1054"/>
      <c r="G2235" s="946"/>
      <c r="H2235" s="1031"/>
      <c r="I2235" s="948"/>
    </row>
    <row r="2236" spans="3:9" ht="15.75">
      <c r="C2236" s="949" t="s">
        <v>924</v>
      </c>
      <c r="D2236" s="946"/>
      <c r="E2236" s="947" t="str">
        <f>+VLOOKUP(C2236,'Basic (equilibrio) (2)'!B:D,2,FALSE)</f>
        <v>n/a</v>
      </c>
      <c r="F2236" s="1054">
        <f>+VLOOKUP(C2236,'Basic (equilibrio) (2)'!B:D,3,FALSE)</f>
        <v>0</v>
      </c>
      <c r="G2236" s="946">
        <f>F2236-(F2236/1.18)</f>
        <v>0</v>
      </c>
      <c r="H2236" s="1031"/>
      <c r="I2236" s="948">
        <f>D2236*F2236</f>
        <v>0</v>
      </c>
    </row>
    <row r="2237" spans="3:9" ht="15.75">
      <c r="C2237" s="951" t="s">
        <v>918</v>
      </c>
      <c r="D2237" s="946"/>
      <c r="E2237" s="947"/>
      <c r="F2237" s="1054"/>
      <c r="G2237" s="946"/>
      <c r="H2237" s="1031"/>
      <c r="I2237" s="952">
        <f>SUM(I2236)</f>
        <v>0</v>
      </c>
    </row>
    <row r="2238" spans="3:9" ht="15.75">
      <c r="C2238" s="951"/>
      <c r="D2238" s="946"/>
      <c r="E2238" s="947"/>
      <c r="F2238" s="1054"/>
      <c r="G2238" s="946"/>
      <c r="H2238" s="1031"/>
      <c r="I2238" s="952"/>
    </row>
    <row r="2239" spans="3:9" ht="15.75">
      <c r="C2239" s="956" t="s">
        <v>926</v>
      </c>
      <c r="D2239" s="957"/>
      <c r="E2239" s="958"/>
      <c r="F2239" s="1069"/>
      <c r="G2239" s="957"/>
      <c r="H2239" s="1032"/>
      <c r="I2239" s="959">
        <f>+I2225</f>
        <v>1000</v>
      </c>
    </row>
    <row r="2240" spans="3:9" ht="15.75">
      <c r="C2240" s="956" t="s">
        <v>927</v>
      </c>
      <c r="D2240" s="957"/>
      <c r="E2240" s="958"/>
      <c r="F2240" s="1069"/>
      <c r="G2240" s="957"/>
      <c r="H2240" s="1032"/>
      <c r="I2240" s="959">
        <f>+I2229</f>
        <v>0</v>
      </c>
    </row>
    <row r="2241" spans="2:9" ht="15.75">
      <c r="C2241" s="956" t="s">
        <v>928</v>
      </c>
      <c r="D2241" s="957"/>
      <c r="E2241" s="958"/>
      <c r="F2241" s="1069"/>
      <c r="G2241" s="957"/>
      <c r="H2241" s="1032"/>
      <c r="I2241" s="959">
        <f>+I2233</f>
        <v>0</v>
      </c>
    </row>
    <row r="2242" spans="2:9" ht="15.75">
      <c r="C2242" s="956" t="s">
        <v>929</v>
      </c>
      <c r="D2242" s="957"/>
      <c r="E2242" s="958"/>
      <c r="F2242" s="1069"/>
      <c r="G2242" s="957"/>
      <c r="H2242" s="1032"/>
      <c r="I2242" s="959">
        <f>+I2237</f>
        <v>0</v>
      </c>
    </row>
    <row r="2243" spans="2:9" ht="15.75">
      <c r="C2243" s="949"/>
      <c r="D2243" s="946"/>
      <c r="E2243" s="947"/>
      <c r="F2243" s="1054"/>
      <c r="G2243" s="946"/>
      <c r="H2243" s="1031"/>
      <c r="I2243" s="948"/>
    </row>
    <row r="2244" spans="2:9" ht="15.75">
      <c r="C2244" s="949"/>
      <c r="D2244" s="946"/>
      <c r="E2244" s="947"/>
      <c r="F2244" s="1054"/>
      <c r="G2244" s="946"/>
      <c r="H2244" s="1031"/>
      <c r="I2244" s="948"/>
    </row>
    <row r="2245" spans="2:9" ht="15.75">
      <c r="C2245" s="951" t="s">
        <v>930</v>
      </c>
      <c r="D2245" s="960"/>
      <c r="E2245" s="943" t="str">
        <f>+E2221</f>
        <v>und</v>
      </c>
      <c r="F2245" s="1070"/>
      <c r="G2245" s="960"/>
      <c r="H2245" s="1033"/>
      <c r="I2245" s="952">
        <f>SUM(I2239:I2242)</f>
        <v>1000</v>
      </c>
    </row>
    <row r="2246" spans="2:9" ht="15.75">
      <c r="C2246" s="951"/>
      <c r="D2246" s="960"/>
      <c r="E2246" s="943"/>
      <c r="F2246" s="1070"/>
      <c r="G2246" s="960"/>
      <c r="H2246" s="1033"/>
      <c r="I2246" s="952"/>
    </row>
    <row r="2247" spans="2:9" ht="15.75">
      <c r="C2247" s="951"/>
      <c r="D2247" s="960"/>
      <c r="E2247" s="943"/>
      <c r="F2247" s="1070"/>
      <c r="G2247" s="960"/>
      <c r="H2247" s="1033"/>
      <c r="I2247" s="952"/>
    </row>
    <row r="2248" spans="2:9" ht="15.75">
      <c r="B2248" s="1024">
        <v>6.18</v>
      </c>
      <c r="C2248" s="937" t="str">
        <f>+Presupuesto!B138</f>
        <v>Árbol Copey</v>
      </c>
      <c r="D2248" s="938"/>
      <c r="E2248" s="939" t="s">
        <v>1106</v>
      </c>
      <c r="F2248" s="1066"/>
      <c r="G2248" s="938"/>
      <c r="H2248" s="1029"/>
      <c r="I2248" s="940">
        <f>I2272</f>
        <v>2000</v>
      </c>
    </row>
    <row r="2249" spans="2:9" ht="15.75">
      <c r="C2249" s="941" t="s">
        <v>908</v>
      </c>
      <c r="D2249" s="942" t="s">
        <v>9</v>
      </c>
      <c r="E2249" s="943" t="s">
        <v>10</v>
      </c>
      <c r="F2249" s="1067" t="s">
        <v>909</v>
      </c>
      <c r="G2249" s="942" t="s">
        <v>910</v>
      </c>
      <c r="H2249" s="1030" t="s">
        <v>911</v>
      </c>
      <c r="I2249" s="944" t="s">
        <v>912</v>
      </c>
    </row>
    <row r="2250" spans="2:9" ht="15.75">
      <c r="C2250" s="945" t="s">
        <v>913</v>
      </c>
      <c r="D2250" s="946"/>
      <c r="E2250" s="947"/>
      <c r="F2250" s="1054"/>
      <c r="G2250" s="946"/>
      <c r="H2250" s="1031"/>
      <c r="I2250" s="948"/>
    </row>
    <row r="2251" spans="2:9" ht="15.75">
      <c r="C2251" s="949" t="s">
        <v>1535</v>
      </c>
      <c r="D2251" s="946">
        <v>1</v>
      </c>
      <c r="E2251" s="950" t="str">
        <f>+VLOOKUP(C2251,'Basic (equilibrio) (2)'!B:D,2,FALSE)</f>
        <v>ud</v>
      </c>
      <c r="F2251" s="1068">
        <f>'Basic (equilibrio) (2)'!$D$398</f>
        <v>2000</v>
      </c>
      <c r="G2251" s="946">
        <f>F2251-(F2251/1.18)</f>
        <v>305.08</v>
      </c>
      <c r="H2251" s="1031"/>
      <c r="I2251" s="948">
        <f>D2251*F2251</f>
        <v>2000</v>
      </c>
    </row>
    <row r="2252" spans="2:9" ht="15.75">
      <c r="C2252" s="951" t="s">
        <v>918</v>
      </c>
      <c r="D2252" s="946"/>
      <c r="E2252" s="947"/>
      <c r="F2252" s="1068"/>
      <c r="G2252" s="946"/>
      <c r="H2252" s="1031"/>
      <c r="I2252" s="952">
        <f>SUM(I2251:I2251)</f>
        <v>2000</v>
      </c>
    </row>
    <row r="2253" spans="2:9" ht="15.75">
      <c r="C2253" s="949"/>
      <c r="D2253" s="946"/>
      <c r="E2253" s="947"/>
      <c r="F2253" s="1068"/>
      <c r="G2253" s="946"/>
      <c r="H2253" s="1031"/>
      <c r="I2253" s="948"/>
    </row>
    <row r="2254" spans="2:9" ht="15.75">
      <c r="C2254" s="945" t="s">
        <v>919</v>
      </c>
      <c r="D2254" s="946"/>
      <c r="E2254" s="947"/>
      <c r="F2254" s="1068"/>
      <c r="G2254" s="946"/>
      <c r="H2254" s="1031"/>
      <c r="I2254" s="948"/>
    </row>
    <row r="2255" spans="2:9" ht="15.75">
      <c r="C2255" s="949" t="s">
        <v>924</v>
      </c>
      <c r="D2255" s="953"/>
      <c r="E2255" s="954" t="str">
        <f>+VLOOKUP(C2255,'Basic (equilibrio) (2)'!B:D,2,FALSE)</f>
        <v>n/a</v>
      </c>
      <c r="F2255" s="1068">
        <f>+VLOOKUP(C2255,'Basic (equilibrio) (2)'!B:D,3,FALSE)</f>
        <v>0</v>
      </c>
      <c r="G2255" s="946">
        <v>0</v>
      </c>
      <c r="H2255" s="1031"/>
      <c r="I2255" s="948">
        <f>D2255*F2255</f>
        <v>0</v>
      </c>
    </row>
    <row r="2256" spans="2:9" ht="15.75">
      <c r="C2256" s="951" t="s">
        <v>918</v>
      </c>
      <c r="D2256" s="946"/>
      <c r="E2256" s="947"/>
      <c r="F2256" s="1054"/>
      <c r="G2256" s="946"/>
      <c r="H2256" s="1031"/>
      <c r="I2256" s="952">
        <f>SUM(I2255:I2255)</f>
        <v>0</v>
      </c>
    </row>
    <row r="2257" spans="3:9" ht="15.75">
      <c r="C2257" s="949"/>
      <c r="D2257" s="946"/>
      <c r="E2257" s="947"/>
      <c r="F2257" s="1054"/>
      <c r="G2257" s="946"/>
      <c r="H2257" s="1031"/>
      <c r="I2257" s="948"/>
    </row>
    <row r="2258" spans="3:9" ht="15.75">
      <c r="C2258" s="945" t="s">
        <v>923</v>
      </c>
      <c r="D2258" s="946"/>
      <c r="E2258" s="947"/>
      <c r="F2258" s="1054"/>
      <c r="G2258" s="946"/>
      <c r="H2258" s="1031"/>
      <c r="I2258" s="948"/>
    </row>
    <row r="2259" spans="3:9" ht="15.75">
      <c r="C2259" s="949" t="s">
        <v>924</v>
      </c>
      <c r="D2259" s="946"/>
      <c r="E2259" s="947" t="str">
        <f>+VLOOKUP(C2259,'Basic (equilibrio) (2)'!B:D,2,FALSE)</f>
        <v>n/a</v>
      </c>
      <c r="F2259" s="1054">
        <f>+VLOOKUP(C2259,'Basic (equilibrio) (2)'!B:D,3,FALSE)</f>
        <v>0</v>
      </c>
      <c r="G2259" s="946">
        <f>F2259-(F2259/1.18)</f>
        <v>0</v>
      </c>
      <c r="H2259" s="1039"/>
      <c r="I2259" s="955">
        <f>D2259*F2259</f>
        <v>0</v>
      </c>
    </row>
    <row r="2260" spans="3:9" ht="15.75">
      <c r="C2260" s="951" t="s">
        <v>918</v>
      </c>
      <c r="D2260" s="946"/>
      <c r="E2260" s="947"/>
      <c r="F2260" s="1054"/>
      <c r="G2260" s="946"/>
      <c r="H2260" s="1031"/>
      <c r="I2260" s="952">
        <f>SUM(I2259:I2259)</f>
        <v>0</v>
      </c>
    </row>
    <row r="2261" spans="3:9" ht="15.75">
      <c r="C2261" s="949"/>
      <c r="D2261" s="946"/>
      <c r="E2261" s="947"/>
      <c r="F2261" s="1054"/>
      <c r="G2261" s="946"/>
      <c r="H2261" s="1031"/>
      <c r="I2261" s="948"/>
    </row>
    <row r="2262" spans="3:9" ht="15.75">
      <c r="C2262" s="945" t="s">
        <v>925</v>
      </c>
      <c r="D2262" s="946"/>
      <c r="E2262" s="947"/>
      <c r="F2262" s="1054"/>
      <c r="G2262" s="946"/>
      <c r="H2262" s="1031"/>
      <c r="I2262" s="948"/>
    </row>
    <row r="2263" spans="3:9" ht="15.75">
      <c r="C2263" s="949" t="s">
        <v>924</v>
      </c>
      <c r="D2263" s="946"/>
      <c r="E2263" s="947" t="str">
        <f>+VLOOKUP(C2263,'Basic (equilibrio) (2)'!B:D,2,FALSE)</f>
        <v>n/a</v>
      </c>
      <c r="F2263" s="1054">
        <f>+VLOOKUP(C2263,'Basic (equilibrio) (2)'!B:D,3,FALSE)</f>
        <v>0</v>
      </c>
      <c r="G2263" s="946">
        <f>F2263-(F2263/1.18)</f>
        <v>0</v>
      </c>
      <c r="H2263" s="1031"/>
      <c r="I2263" s="948">
        <f>D2263*F2263</f>
        <v>0</v>
      </c>
    </row>
    <row r="2264" spans="3:9" ht="15.75">
      <c r="C2264" s="951" t="s">
        <v>918</v>
      </c>
      <c r="D2264" s="946"/>
      <c r="E2264" s="947"/>
      <c r="F2264" s="1054"/>
      <c r="G2264" s="946"/>
      <c r="H2264" s="1031"/>
      <c r="I2264" s="952">
        <f>SUM(I2263)</f>
        <v>0</v>
      </c>
    </row>
    <row r="2265" spans="3:9" ht="15.75">
      <c r="C2265" s="951"/>
      <c r="D2265" s="946"/>
      <c r="E2265" s="947"/>
      <c r="F2265" s="1054"/>
      <c r="G2265" s="946"/>
      <c r="H2265" s="1031"/>
      <c r="I2265" s="952"/>
    </row>
    <row r="2266" spans="3:9" ht="15.75">
      <c r="C2266" s="956" t="s">
        <v>926</v>
      </c>
      <c r="D2266" s="957"/>
      <c r="E2266" s="958"/>
      <c r="F2266" s="1069"/>
      <c r="G2266" s="957"/>
      <c r="H2266" s="1032"/>
      <c r="I2266" s="959">
        <f>+I2252</f>
        <v>2000</v>
      </c>
    </row>
    <row r="2267" spans="3:9" ht="15.75">
      <c r="C2267" s="956" t="s">
        <v>927</v>
      </c>
      <c r="D2267" s="957"/>
      <c r="E2267" s="958"/>
      <c r="F2267" s="1069"/>
      <c r="G2267" s="957"/>
      <c r="H2267" s="1032"/>
      <c r="I2267" s="959">
        <f>+I2256</f>
        <v>0</v>
      </c>
    </row>
    <row r="2268" spans="3:9" ht="15.75">
      <c r="C2268" s="956" t="s">
        <v>928</v>
      </c>
      <c r="D2268" s="957"/>
      <c r="E2268" s="958"/>
      <c r="F2268" s="1069"/>
      <c r="G2268" s="957"/>
      <c r="H2268" s="1032"/>
      <c r="I2268" s="959">
        <f>+I2260</f>
        <v>0</v>
      </c>
    </row>
    <row r="2269" spans="3:9" ht="15.75">
      <c r="C2269" s="956" t="s">
        <v>929</v>
      </c>
      <c r="D2269" s="957"/>
      <c r="E2269" s="958"/>
      <c r="F2269" s="1069"/>
      <c r="G2269" s="957"/>
      <c r="H2269" s="1032"/>
      <c r="I2269" s="959">
        <f>+I2264</f>
        <v>0</v>
      </c>
    </row>
    <row r="2270" spans="3:9" ht="15.75">
      <c r="C2270" s="949"/>
      <c r="D2270" s="946"/>
      <c r="E2270" s="947"/>
      <c r="F2270" s="1054"/>
      <c r="G2270" s="946"/>
      <c r="H2270" s="1031"/>
      <c r="I2270" s="948"/>
    </row>
    <row r="2271" spans="3:9" ht="15.75">
      <c r="C2271" s="949"/>
      <c r="D2271" s="946"/>
      <c r="E2271" s="947"/>
      <c r="F2271" s="1054"/>
      <c r="G2271" s="946"/>
      <c r="H2271" s="1031"/>
      <c r="I2271" s="948"/>
    </row>
    <row r="2272" spans="3:9" ht="15.75">
      <c r="C2272" s="951" t="s">
        <v>930</v>
      </c>
      <c r="D2272" s="960"/>
      <c r="E2272" s="943" t="str">
        <f>+E2248</f>
        <v>und</v>
      </c>
      <c r="F2272" s="1070"/>
      <c r="G2272" s="960"/>
      <c r="H2272" s="1033"/>
      <c r="I2272" s="952">
        <f>SUM(I2266:I2269)</f>
        <v>2000</v>
      </c>
    </row>
    <row r="2273" spans="2:9" ht="15.75">
      <c r="C2273" s="951"/>
      <c r="D2273" s="960"/>
      <c r="E2273" s="943"/>
      <c r="F2273" s="1070"/>
      <c r="G2273" s="960"/>
      <c r="H2273" s="1033"/>
      <c r="I2273" s="952"/>
    </row>
    <row r="2274" spans="2:9" ht="15.75">
      <c r="C2274" s="951"/>
      <c r="D2274" s="960"/>
      <c r="E2274" s="943"/>
      <c r="F2274" s="1070"/>
      <c r="G2274" s="960"/>
      <c r="H2274" s="1033"/>
      <c r="I2274" s="952"/>
    </row>
    <row r="2275" spans="2:9" ht="15.75">
      <c r="B2275" s="1024">
        <v>6.19</v>
      </c>
      <c r="C2275" s="937" t="str">
        <f>+Presupuesto!B139</f>
        <v>Árbol Juan Primero</v>
      </c>
      <c r="D2275" s="938"/>
      <c r="E2275" s="939" t="s">
        <v>1106</v>
      </c>
      <c r="F2275" s="1066"/>
      <c r="G2275" s="938"/>
      <c r="H2275" s="1029"/>
      <c r="I2275" s="940">
        <f>I2299</f>
        <v>998.5</v>
      </c>
    </row>
    <row r="2276" spans="2:9" ht="15.75">
      <c r="C2276" s="941" t="s">
        <v>908</v>
      </c>
      <c r="D2276" s="942" t="s">
        <v>9</v>
      </c>
      <c r="E2276" s="943" t="s">
        <v>10</v>
      </c>
      <c r="F2276" s="1067" t="s">
        <v>909</v>
      </c>
      <c r="G2276" s="942" t="s">
        <v>910</v>
      </c>
      <c r="H2276" s="1030" t="s">
        <v>911</v>
      </c>
      <c r="I2276" s="944" t="s">
        <v>912</v>
      </c>
    </row>
    <row r="2277" spans="2:9" ht="15.75">
      <c r="C2277" s="945" t="s">
        <v>913</v>
      </c>
      <c r="D2277" s="946"/>
      <c r="E2277" s="947"/>
      <c r="F2277" s="1054"/>
      <c r="G2277" s="946"/>
      <c r="H2277" s="1031"/>
      <c r="I2277" s="948"/>
    </row>
    <row r="2278" spans="2:9" ht="15.75">
      <c r="C2278" s="949" t="s">
        <v>482</v>
      </c>
      <c r="D2278" s="946">
        <v>1</v>
      </c>
      <c r="E2278" s="950" t="str">
        <f>+VLOOKUP(C2278,'Basic (equilibrio) (2)'!B:D,2,FALSE)</f>
        <v>ud</v>
      </c>
      <c r="F2278" s="1068">
        <f>'Basic (equilibrio) (2)'!$D$397</f>
        <v>998.5</v>
      </c>
      <c r="G2278" s="946">
        <f>F2278-(F2278/1.18)</f>
        <v>152.31</v>
      </c>
      <c r="H2278" s="1031"/>
      <c r="I2278" s="948">
        <f>D2278*F2278</f>
        <v>998.5</v>
      </c>
    </row>
    <row r="2279" spans="2:9" ht="15.75">
      <c r="C2279" s="951" t="s">
        <v>918</v>
      </c>
      <c r="D2279" s="946"/>
      <c r="E2279" s="947"/>
      <c r="F2279" s="1068"/>
      <c r="G2279" s="946"/>
      <c r="H2279" s="1031"/>
      <c r="I2279" s="952">
        <f>SUM(I2278:I2278)</f>
        <v>998.5</v>
      </c>
    </row>
    <row r="2280" spans="2:9" ht="15.75">
      <c r="C2280" s="949"/>
      <c r="D2280" s="946"/>
      <c r="E2280" s="947"/>
      <c r="F2280" s="1068"/>
      <c r="G2280" s="946"/>
      <c r="H2280" s="1031"/>
      <c r="I2280" s="948"/>
    </row>
    <row r="2281" spans="2:9" ht="15.75">
      <c r="C2281" s="945" t="s">
        <v>919</v>
      </c>
      <c r="D2281" s="946"/>
      <c r="E2281" s="947"/>
      <c r="F2281" s="1068"/>
      <c r="G2281" s="946"/>
      <c r="H2281" s="1031"/>
      <c r="I2281" s="948"/>
    </row>
    <row r="2282" spans="2:9" ht="15.75">
      <c r="C2282" s="949" t="s">
        <v>924</v>
      </c>
      <c r="D2282" s="953"/>
      <c r="E2282" s="954" t="str">
        <f>+VLOOKUP(C2282,'Basic (equilibrio) (2)'!B:D,2,FALSE)</f>
        <v>n/a</v>
      </c>
      <c r="F2282" s="1068">
        <f>+VLOOKUP(C2282,'Basic (equilibrio) (2)'!B:D,3,FALSE)</f>
        <v>0</v>
      </c>
      <c r="G2282" s="946">
        <v>0</v>
      </c>
      <c r="H2282" s="1031"/>
      <c r="I2282" s="948">
        <f>D2282*F2282</f>
        <v>0</v>
      </c>
    </row>
    <row r="2283" spans="2:9" ht="15.75">
      <c r="C2283" s="951" t="s">
        <v>918</v>
      </c>
      <c r="D2283" s="946"/>
      <c r="E2283" s="947"/>
      <c r="F2283" s="1054"/>
      <c r="G2283" s="946"/>
      <c r="H2283" s="1031"/>
      <c r="I2283" s="952">
        <f>SUM(I2282:I2282)</f>
        <v>0</v>
      </c>
    </row>
    <row r="2284" spans="2:9" ht="15.75">
      <c r="C2284" s="949"/>
      <c r="D2284" s="946"/>
      <c r="E2284" s="947"/>
      <c r="F2284" s="1054"/>
      <c r="G2284" s="946"/>
      <c r="H2284" s="1031"/>
      <c r="I2284" s="948"/>
    </row>
    <row r="2285" spans="2:9" ht="15.75">
      <c r="C2285" s="945" t="s">
        <v>923</v>
      </c>
      <c r="D2285" s="946"/>
      <c r="E2285" s="947"/>
      <c r="F2285" s="1054"/>
      <c r="G2285" s="946"/>
      <c r="H2285" s="1031"/>
      <c r="I2285" s="948"/>
    </row>
    <row r="2286" spans="2:9" ht="15.75">
      <c r="C2286" s="949" t="s">
        <v>924</v>
      </c>
      <c r="D2286" s="946"/>
      <c r="E2286" s="947" t="str">
        <f>+VLOOKUP(C2286,'Basic (equilibrio) (2)'!B:D,2,FALSE)</f>
        <v>n/a</v>
      </c>
      <c r="F2286" s="1054">
        <f>+VLOOKUP(C2286,'Basic (equilibrio) (2)'!B:D,3,FALSE)</f>
        <v>0</v>
      </c>
      <c r="G2286" s="946">
        <f>F2286-(F2286/1.18)</f>
        <v>0</v>
      </c>
      <c r="H2286" s="1039"/>
      <c r="I2286" s="955">
        <f>D2286*F2286</f>
        <v>0</v>
      </c>
    </row>
    <row r="2287" spans="2:9" ht="15.75">
      <c r="C2287" s="951" t="s">
        <v>918</v>
      </c>
      <c r="D2287" s="946"/>
      <c r="E2287" s="947"/>
      <c r="F2287" s="1054"/>
      <c r="G2287" s="946"/>
      <c r="H2287" s="1031"/>
      <c r="I2287" s="952">
        <f>SUM(I2286:I2286)</f>
        <v>0</v>
      </c>
    </row>
    <row r="2288" spans="2:9" ht="15.75">
      <c r="C2288" s="949"/>
      <c r="D2288" s="946"/>
      <c r="E2288" s="947"/>
      <c r="F2288" s="1054"/>
      <c r="G2288" s="946"/>
      <c r="H2288" s="1031"/>
      <c r="I2288" s="948"/>
    </row>
    <row r="2289" spans="2:9" ht="15.75">
      <c r="C2289" s="945" t="s">
        <v>925</v>
      </c>
      <c r="D2289" s="946"/>
      <c r="E2289" s="947"/>
      <c r="F2289" s="1054"/>
      <c r="G2289" s="946"/>
      <c r="H2289" s="1031"/>
      <c r="I2289" s="948"/>
    </row>
    <row r="2290" spans="2:9" ht="15.75">
      <c r="C2290" s="949" t="s">
        <v>924</v>
      </c>
      <c r="D2290" s="946"/>
      <c r="E2290" s="947" t="str">
        <f>+VLOOKUP(C2290,'Basic (equilibrio) (2)'!B:D,2,FALSE)</f>
        <v>n/a</v>
      </c>
      <c r="F2290" s="1054">
        <f>+VLOOKUP(C2290,'Basic (equilibrio) (2)'!B:D,3,FALSE)</f>
        <v>0</v>
      </c>
      <c r="G2290" s="946">
        <f>F2290-(F2290/1.18)</f>
        <v>0</v>
      </c>
      <c r="H2290" s="1031"/>
      <c r="I2290" s="948">
        <f>D2290*F2290</f>
        <v>0</v>
      </c>
    </row>
    <row r="2291" spans="2:9" ht="15.75">
      <c r="C2291" s="951" t="s">
        <v>918</v>
      </c>
      <c r="D2291" s="946"/>
      <c r="E2291" s="947"/>
      <c r="F2291" s="1054"/>
      <c r="G2291" s="946"/>
      <c r="H2291" s="1031"/>
      <c r="I2291" s="952">
        <f>SUM(I2290)</f>
        <v>0</v>
      </c>
    </row>
    <row r="2292" spans="2:9" ht="15.75">
      <c r="C2292" s="951"/>
      <c r="D2292" s="946"/>
      <c r="E2292" s="947"/>
      <c r="F2292" s="1054"/>
      <c r="G2292" s="946"/>
      <c r="H2292" s="1031"/>
      <c r="I2292" s="952"/>
    </row>
    <row r="2293" spans="2:9" ht="15.75">
      <c r="C2293" s="956" t="s">
        <v>926</v>
      </c>
      <c r="D2293" s="957"/>
      <c r="E2293" s="958"/>
      <c r="F2293" s="1069"/>
      <c r="G2293" s="957"/>
      <c r="H2293" s="1032"/>
      <c r="I2293" s="959">
        <f>+I2279</f>
        <v>998.5</v>
      </c>
    </row>
    <row r="2294" spans="2:9" ht="15.75">
      <c r="C2294" s="956" t="s">
        <v>927</v>
      </c>
      <c r="D2294" s="957"/>
      <c r="E2294" s="958"/>
      <c r="F2294" s="1069"/>
      <c r="G2294" s="957"/>
      <c r="H2294" s="1032"/>
      <c r="I2294" s="959">
        <f>+I2283</f>
        <v>0</v>
      </c>
    </row>
    <row r="2295" spans="2:9" ht="15.75">
      <c r="C2295" s="956" t="s">
        <v>928</v>
      </c>
      <c r="D2295" s="957"/>
      <c r="E2295" s="958"/>
      <c r="F2295" s="1069"/>
      <c r="G2295" s="957"/>
      <c r="H2295" s="1032"/>
      <c r="I2295" s="959">
        <f>+I2287</f>
        <v>0</v>
      </c>
    </row>
    <row r="2296" spans="2:9" ht="15.75">
      <c r="C2296" s="956" t="s">
        <v>929</v>
      </c>
      <c r="D2296" s="957"/>
      <c r="E2296" s="958"/>
      <c r="F2296" s="1069"/>
      <c r="G2296" s="957"/>
      <c r="H2296" s="1032"/>
      <c r="I2296" s="959">
        <f>+I2291</f>
        <v>0</v>
      </c>
    </row>
    <row r="2297" spans="2:9" ht="15.75">
      <c r="C2297" s="949"/>
      <c r="D2297" s="946"/>
      <c r="E2297" s="947"/>
      <c r="F2297" s="1054"/>
      <c r="G2297" s="946"/>
      <c r="H2297" s="1031"/>
      <c r="I2297" s="948"/>
    </row>
    <row r="2298" spans="2:9" ht="15.75">
      <c r="C2298" s="949"/>
      <c r="D2298" s="946"/>
      <c r="E2298" s="947"/>
      <c r="F2298" s="1054"/>
      <c r="G2298" s="946"/>
      <c r="H2298" s="1031"/>
      <c r="I2298" s="948"/>
    </row>
    <row r="2299" spans="2:9" ht="15.75">
      <c r="C2299" s="951" t="s">
        <v>930</v>
      </c>
      <c r="D2299" s="960"/>
      <c r="E2299" s="943" t="str">
        <f>+E2275</f>
        <v>und</v>
      </c>
      <c r="F2299" s="1070"/>
      <c r="G2299" s="960"/>
      <c r="H2299" s="1033"/>
      <c r="I2299" s="952">
        <f>SUM(I2293:I2296)</f>
        <v>998.5</v>
      </c>
    </row>
    <row r="2300" spans="2:9" ht="15.75">
      <c r="C2300" s="951"/>
      <c r="D2300" s="960"/>
      <c r="E2300" s="943"/>
      <c r="F2300" s="1070"/>
      <c r="G2300" s="960"/>
      <c r="H2300" s="1033"/>
      <c r="I2300" s="952"/>
    </row>
    <row r="2301" spans="2:9" ht="15.75">
      <c r="B2301" s="1057">
        <v>6.2</v>
      </c>
      <c r="C2301" s="937" t="str">
        <f>+Presupuesto!B140</f>
        <v>Árbol Caya amarilla</v>
      </c>
      <c r="D2301" s="938"/>
      <c r="E2301" s="939" t="s">
        <v>1106</v>
      </c>
      <c r="F2301" s="1066"/>
      <c r="G2301" s="938"/>
      <c r="H2301" s="1029"/>
      <c r="I2301" s="940">
        <f>I2325</f>
        <v>131.30000000000001</v>
      </c>
    </row>
    <row r="2302" spans="2:9" ht="15.75">
      <c r="C2302" s="941" t="s">
        <v>908</v>
      </c>
      <c r="D2302" s="942" t="s">
        <v>9</v>
      </c>
      <c r="E2302" s="943" t="s">
        <v>10</v>
      </c>
      <c r="F2302" s="1067" t="s">
        <v>909</v>
      </c>
      <c r="G2302" s="942" t="s">
        <v>910</v>
      </c>
      <c r="H2302" s="1030" t="s">
        <v>911</v>
      </c>
      <c r="I2302" s="944" t="s">
        <v>912</v>
      </c>
    </row>
    <row r="2303" spans="2:9" ht="15.75">
      <c r="C2303" s="945" t="s">
        <v>913</v>
      </c>
      <c r="D2303" s="946"/>
      <c r="E2303" s="947"/>
      <c r="F2303" s="1054"/>
      <c r="G2303" s="946"/>
      <c r="H2303" s="1031"/>
      <c r="I2303" s="948"/>
    </row>
    <row r="2304" spans="2:9" ht="15.75">
      <c r="C2304" s="949" t="s">
        <v>1405</v>
      </c>
      <c r="D2304" s="946">
        <v>1</v>
      </c>
      <c r="E2304" s="950" t="str">
        <f>+VLOOKUP(C2304,'Basic (equilibrio) (2)'!B:D,2,FALSE)</f>
        <v>ud</v>
      </c>
      <c r="F2304" s="1068">
        <f>'Basic (equilibrio) (2)'!$D$441</f>
        <v>131.30000000000001</v>
      </c>
      <c r="G2304" s="946">
        <f>F2304-(F2304/1.18)</f>
        <v>20.03</v>
      </c>
      <c r="H2304" s="1031"/>
      <c r="I2304" s="948">
        <f>D2304*F2304</f>
        <v>131.30000000000001</v>
      </c>
    </row>
    <row r="2305" spans="3:9" ht="15.75">
      <c r="C2305" s="951" t="s">
        <v>918</v>
      </c>
      <c r="D2305" s="946"/>
      <c r="E2305" s="947"/>
      <c r="F2305" s="1068"/>
      <c r="G2305" s="946"/>
      <c r="H2305" s="1031"/>
      <c r="I2305" s="952">
        <f>SUM(I2304:I2304)</f>
        <v>131.30000000000001</v>
      </c>
    </row>
    <row r="2306" spans="3:9" ht="15.75">
      <c r="C2306" s="949"/>
      <c r="D2306" s="946"/>
      <c r="E2306" s="947"/>
      <c r="F2306" s="1068"/>
      <c r="G2306" s="946"/>
      <c r="H2306" s="1031"/>
      <c r="I2306" s="948"/>
    </row>
    <row r="2307" spans="3:9" ht="15.75">
      <c r="C2307" s="945" t="s">
        <v>919</v>
      </c>
      <c r="D2307" s="946"/>
      <c r="E2307" s="947"/>
      <c r="F2307" s="1068"/>
      <c r="G2307" s="946"/>
      <c r="H2307" s="1031"/>
      <c r="I2307" s="948"/>
    </row>
    <row r="2308" spans="3:9" ht="15.75">
      <c r="C2308" s="949" t="s">
        <v>924</v>
      </c>
      <c r="D2308" s="953"/>
      <c r="E2308" s="954" t="str">
        <f>+VLOOKUP(C2308,'Basic (equilibrio) (2)'!B:D,2,FALSE)</f>
        <v>n/a</v>
      </c>
      <c r="F2308" s="1068">
        <f>+VLOOKUP(C2308,'Basic (equilibrio) (2)'!B:D,3,FALSE)</f>
        <v>0</v>
      </c>
      <c r="G2308" s="946">
        <v>0</v>
      </c>
      <c r="H2308" s="1031"/>
      <c r="I2308" s="948">
        <f>D2308*F2308</f>
        <v>0</v>
      </c>
    </row>
    <row r="2309" spans="3:9" ht="15.75">
      <c r="C2309" s="951" t="s">
        <v>918</v>
      </c>
      <c r="D2309" s="946"/>
      <c r="E2309" s="947"/>
      <c r="F2309" s="1054"/>
      <c r="G2309" s="946"/>
      <c r="H2309" s="1031"/>
      <c r="I2309" s="952">
        <f>SUM(I2308:I2308)</f>
        <v>0</v>
      </c>
    </row>
    <row r="2310" spans="3:9" ht="15.75">
      <c r="C2310" s="949"/>
      <c r="D2310" s="946"/>
      <c r="E2310" s="947"/>
      <c r="F2310" s="1054"/>
      <c r="G2310" s="946"/>
      <c r="H2310" s="1031"/>
      <c r="I2310" s="948"/>
    </row>
    <row r="2311" spans="3:9" ht="15.75">
      <c r="C2311" s="945" t="s">
        <v>923</v>
      </c>
      <c r="D2311" s="946"/>
      <c r="E2311" s="947"/>
      <c r="F2311" s="1054"/>
      <c r="G2311" s="946"/>
      <c r="H2311" s="1031"/>
      <c r="I2311" s="948"/>
    </row>
    <row r="2312" spans="3:9" ht="15.75">
      <c r="C2312" s="949" t="s">
        <v>924</v>
      </c>
      <c r="D2312" s="946"/>
      <c r="E2312" s="947" t="str">
        <f>+VLOOKUP(C2312,'Basic (equilibrio) (2)'!B:D,2,FALSE)</f>
        <v>n/a</v>
      </c>
      <c r="F2312" s="1054">
        <f>+VLOOKUP(C2312,'Basic (equilibrio) (2)'!B:D,3,FALSE)</f>
        <v>0</v>
      </c>
      <c r="G2312" s="946">
        <f>F2312-(F2312/1.18)</f>
        <v>0</v>
      </c>
      <c r="H2312" s="1039"/>
      <c r="I2312" s="955">
        <f>D2312*F2312</f>
        <v>0</v>
      </c>
    </row>
    <row r="2313" spans="3:9" ht="15.75">
      <c r="C2313" s="951" t="s">
        <v>918</v>
      </c>
      <c r="D2313" s="946"/>
      <c r="E2313" s="947"/>
      <c r="F2313" s="1054"/>
      <c r="G2313" s="946"/>
      <c r="H2313" s="1031"/>
      <c r="I2313" s="952">
        <f>SUM(I2312:I2312)</f>
        <v>0</v>
      </c>
    </row>
    <row r="2314" spans="3:9" ht="15.75">
      <c r="C2314" s="949"/>
      <c r="D2314" s="946"/>
      <c r="E2314" s="947"/>
      <c r="F2314" s="1054"/>
      <c r="G2314" s="946"/>
      <c r="H2314" s="1031"/>
      <c r="I2314" s="948"/>
    </row>
    <row r="2315" spans="3:9" ht="15.75">
      <c r="C2315" s="945" t="s">
        <v>925</v>
      </c>
      <c r="D2315" s="946"/>
      <c r="E2315" s="947"/>
      <c r="F2315" s="1054"/>
      <c r="G2315" s="946"/>
      <c r="H2315" s="1031"/>
      <c r="I2315" s="948"/>
    </row>
    <row r="2316" spans="3:9" ht="15.75">
      <c r="C2316" s="949" t="s">
        <v>924</v>
      </c>
      <c r="D2316" s="946"/>
      <c r="E2316" s="947" t="str">
        <f>+VLOOKUP(C2316,'Basic (equilibrio) (2)'!B:D,2,FALSE)</f>
        <v>n/a</v>
      </c>
      <c r="F2316" s="1054">
        <f>+VLOOKUP(C2316,'Basic (equilibrio) (2)'!B:D,3,FALSE)</f>
        <v>0</v>
      </c>
      <c r="G2316" s="946">
        <f>F2316-(F2316/1.18)</f>
        <v>0</v>
      </c>
      <c r="H2316" s="1031"/>
      <c r="I2316" s="948">
        <f>D2316*F2316</f>
        <v>0</v>
      </c>
    </row>
    <row r="2317" spans="3:9" ht="15.75">
      <c r="C2317" s="951" t="s">
        <v>918</v>
      </c>
      <c r="D2317" s="946"/>
      <c r="E2317" s="947"/>
      <c r="F2317" s="1054"/>
      <c r="G2317" s="946"/>
      <c r="H2317" s="1031"/>
      <c r="I2317" s="952">
        <f>SUM(I2316)</f>
        <v>0</v>
      </c>
    </row>
    <row r="2318" spans="3:9" ht="15.75">
      <c r="C2318" s="951"/>
      <c r="D2318" s="946"/>
      <c r="E2318" s="947"/>
      <c r="F2318" s="1054"/>
      <c r="G2318" s="946"/>
      <c r="H2318" s="1031"/>
      <c r="I2318" s="952"/>
    </row>
    <row r="2319" spans="3:9" ht="15.75">
      <c r="C2319" s="956" t="s">
        <v>926</v>
      </c>
      <c r="D2319" s="957"/>
      <c r="E2319" s="958"/>
      <c r="F2319" s="1069"/>
      <c r="G2319" s="957"/>
      <c r="H2319" s="1032"/>
      <c r="I2319" s="959">
        <f>+I2305</f>
        <v>131.30000000000001</v>
      </c>
    </row>
    <row r="2320" spans="3:9" ht="15.75">
      <c r="C2320" s="956" t="s">
        <v>927</v>
      </c>
      <c r="D2320" s="957"/>
      <c r="E2320" s="958"/>
      <c r="F2320" s="1069"/>
      <c r="G2320" s="957"/>
      <c r="H2320" s="1032"/>
      <c r="I2320" s="959">
        <f>+I2309</f>
        <v>0</v>
      </c>
    </row>
    <row r="2321" spans="2:9" ht="15.75">
      <c r="C2321" s="956" t="s">
        <v>928</v>
      </c>
      <c r="D2321" s="957"/>
      <c r="E2321" s="958"/>
      <c r="F2321" s="1069"/>
      <c r="G2321" s="957"/>
      <c r="H2321" s="1032"/>
      <c r="I2321" s="959">
        <f>+I2313</f>
        <v>0</v>
      </c>
    </row>
    <row r="2322" spans="2:9" ht="15.75">
      <c r="C2322" s="956" t="s">
        <v>929</v>
      </c>
      <c r="D2322" s="957"/>
      <c r="E2322" s="958"/>
      <c r="F2322" s="1069"/>
      <c r="G2322" s="957"/>
      <c r="H2322" s="1032"/>
      <c r="I2322" s="959">
        <f>+I2317</f>
        <v>0</v>
      </c>
    </row>
    <row r="2323" spans="2:9" ht="15.75">
      <c r="C2323" s="949"/>
      <c r="D2323" s="946"/>
      <c r="E2323" s="947"/>
      <c r="F2323" s="1054"/>
      <c r="G2323" s="946"/>
      <c r="H2323" s="1031"/>
      <c r="I2323" s="948"/>
    </row>
    <row r="2324" spans="2:9" ht="15.75">
      <c r="C2324" s="949"/>
      <c r="D2324" s="946"/>
      <c r="E2324" s="947"/>
      <c r="F2324" s="1054"/>
      <c r="G2324" s="946"/>
      <c r="H2324" s="1031"/>
      <c r="I2324" s="948"/>
    </row>
    <row r="2325" spans="2:9" ht="15.75">
      <c r="C2325" s="951" t="s">
        <v>930</v>
      </c>
      <c r="D2325" s="960"/>
      <c r="E2325" s="943" t="str">
        <f>+E2301</f>
        <v>und</v>
      </c>
      <c r="F2325" s="1070"/>
      <c r="G2325" s="960"/>
      <c r="H2325" s="1033"/>
      <c r="I2325" s="952">
        <f>SUM(I2319:I2322)</f>
        <v>131.30000000000001</v>
      </c>
    </row>
    <row r="2326" spans="2:9" ht="15.75">
      <c r="C2326" s="951"/>
      <c r="D2326" s="960"/>
      <c r="E2326" s="943"/>
      <c r="F2326" s="1070"/>
      <c r="G2326" s="960"/>
      <c r="H2326" s="1033"/>
      <c r="I2326" s="952"/>
    </row>
    <row r="2327" spans="2:9" ht="15.75">
      <c r="B2327" s="1057">
        <v>6.21</v>
      </c>
      <c r="C2327" s="937" t="str">
        <f>+Presupuesto!B141</f>
        <v>Árbol Higuero</v>
      </c>
      <c r="D2327" s="938"/>
      <c r="E2327" s="939" t="s">
        <v>1106</v>
      </c>
      <c r="F2327" s="1066"/>
      <c r="G2327" s="938"/>
      <c r="H2327" s="1029"/>
      <c r="I2327" s="940">
        <f>I2351</f>
        <v>1050</v>
      </c>
    </row>
    <row r="2328" spans="2:9" ht="15.75">
      <c r="C2328" s="941" t="s">
        <v>908</v>
      </c>
      <c r="D2328" s="942" t="s">
        <v>9</v>
      </c>
      <c r="E2328" s="943" t="s">
        <v>10</v>
      </c>
      <c r="F2328" s="1067" t="s">
        <v>909</v>
      </c>
      <c r="G2328" s="942" t="s">
        <v>910</v>
      </c>
      <c r="H2328" s="1030" t="s">
        <v>911</v>
      </c>
      <c r="I2328" s="944" t="s">
        <v>912</v>
      </c>
    </row>
    <row r="2329" spans="2:9" ht="15.75">
      <c r="C2329" s="945" t="s">
        <v>913</v>
      </c>
      <c r="D2329" s="946"/>
      <c r="E2329" s="947"/>
      <c r="F2329" s="1054"/>
      <c r="G2329" s="946"/>
      <c r="H2329" s="1031"/>
      <c r="I2329" s="948"/>
    </row>
    <row r="2330" spans="2:9" ht="15.75">
      <c r="C2330" s="949" t="s">
        <v>1373</v>
      </c>
      <c r="D2330" s="946">
        <v>1</v>
      </c>
      <c r="E2330" s="950" t="str">
        <f>+VLOOKUP(C2330,'Basic (equilibrio) (2)'!B:D,2,FALSE)</f>
        <v>ud</v>
      </c>
      <c r="F2330" s="1068">
        <f>'Basic (equilibrio) (2)'!$D$401</f>
        <v>1050</v>
      </c>
      <c r="G2330" s="946">
        <f>F2330-(F2330/1.18)</f>
        <v>160.16999999999999</v>
      </c>
      <c r="H2330" s="1031"/>
      <c r="I2330" s="948">
        <f>D2330*F2330</f>
        <v>1050</v>
      </c>
    </row>
    <row r="2331" spans="2:9" ht="15.75">
      <c r="C2331" s="951" t="s">
        <v>918</v>
      </c>
      <c r="D2331" s="946"/>
      <c r="E2331" s="947"/>
      <c r="F2331" s="1068"/>
      <c r="G2331" s="946"/>
      <c r="H2331" s="1031"/>
      <c r="I2331" s="952">
        <f>SUM(I2330:I2330)</f>
        <v>1050</v>
      </c>
    </row>
    <row r="2332" spans="2:9" ht="15.75">
      <c r="C2332" s="949"/>
      <c r="D2332" s="946"/>
      <c r="E2332" s="947"/>
      <c r="F2332" s="1068"/>
      <c r="G2332" s="946"/>
      <c r="H2332" s="1031"/>
      <c r="I2332" s="948"/>
    </row>
    <row r="2333" spans="2:9" ht="15.75">
      <c r="C2333" s="945" t="s">
        <v>919</v>
      </c>
      <c r="D2333" s="946"/>
      <c r="E2333" s="947"/>
      <c r="F2333" s="1068"/>
      <c r="G2333" s="946"/>
      <c r="H2333" s="1031"/>
      <c r="I2333" s="948"/>
    </row>
    <row r="2334" spans="2:9" ht="15.75">
      <c r="C2334" s="949" t="s">
        <v>924</v>
      </c>
      <c r="D2334" s="953"/>
      <c r="E2334" s="954" t="str">
        <f>+VLOOKUP(C2334,'Basic (equilibrio) (2)'!B:D,2,FALSE)</f>
        <v>n/a</v>
      </c>
      <c r="F2334" s="1068">
        <f>+VLOOKUP(C2334,'Basic (equilibrio) (2)'!B:D,3,FALSE)</f>
        <v>0</v>
      </c>
      <c r="G2334" s="946">
        <v>0</v>
      </c>
      <c r="H2334" s="1031"/>
      <c r="I2334" s="948">
        <f>D2334*F2334</f>
        <v>0</v>
      </c>
    </row>
    <row r="2335" spans="2:9" ht="15.75">
      <c r="C2335" s="951" t="s">
        <v>918</v>
      </c>
      <c r="D2335" s="946"/>
      <c r="E2335" s="947"/>
      <c r="F2335" s="1054"/>
      <c r="G2335" s="946"/>
      <c r="H2335" s="1031"/>
      <c r="I2335" s="952">
        <f>SUM(I2334:I2334)</f>
        <v>0</v>
      </c>
    </row>
    <row r="2336" spans="2:9" ht="15.75">
      <c r="C2336" s="949"/>
      <c r="D2336" s="946"/>
      <c r="E2336" s="947"/>
      <c r="F2336" s="1054"/>
      <c r="G2336" s="946"/>
      <c r="H2336" s="1031"/>
      <c r="I2336" s="948"/>
    </row>
    <row r="2337" spans="3:9" ht="15.75">
      <c r="C2337" s="945" t="s">
        <v>923</v>
      </c>
      <c r="D2337" s="946"/>
      <c r="E2337" s="947"/>
      <c r="F2337" s="1054"/>
      <c r="G2337" s="946"/>
      <c r="H2337" s="1031"/>
      <c r="I2337" s="948"/>
    </row>
    <row r="2338" spans="3:9" ht="15.75">
      <c r="C2338" s="949" t="s">
        <v>924</v>
      </c>
      <c r="D2338" s="946"/>
      <c r="E2338" s="947" t="str">
        <f>+VLOOKUP(C2338,'Basic (equilibrio) (2)'!B:D,2,FALSE)</f>
        <v>n/a</v>
      </c>
      <c r="F2338" s="1054">
        <f>+VLOOKUP(C2338,'Basic (equilibrio) (2)'!B:D,3,FALSE)</f>
        <v>0</v>
      </c>
      <c r="G2338" s="946">
        <f>F2338-(F2338/1.18)</f>
        <v>0</v>
      </c>
      <c r="H2338" s="1039"/>
      <c r="I2338" s="955">
        <f>D2338*F2338</f>
        <v>0</v>
      </c>
    </row>
    <row r="2339" spans="3:9" ht="15.75">
      <c r="C2339" s="951" t="s">
        <v>918</v>
      </c>
      <c r="D2339" s="946"/>
      <c r="E2339" s="947"/>
      <c r="F2339" s="1054"/>
      <c r="G2339" s="946"/>
      <c r="H2339" s="1031"/>
      <c r="I2339" s="952">
        <f>SUM(I2338:I2338)</f>
        <v>0</v>
      </c>
    </row>
    <row r="2340" spans="3:9" ht="15.75">
      <c r="C2340" s="949"/>
      <c r="D2340" s="946"/>
      <c r="E2340" s="947"/>
      <c r="F2340" s="1054"/>
      <c r="G2340" s="946"/>
      <c r="H2340" s="1031"/>
      <c r="I2340" s="948"/>
    </row>
    <row r="2341" spans="3:9" ht="15.75">
      <c r="C2341" s="945" t="s">
        <v>925</v>
      </c>
      <c r="D2341" s="946"/>
      <c r="E2341" s="947"/>
      <c r="F2341" s="1054"/>
      <c r="G2341" s="946"/>
      <c r="H2341" s="1031"/>
      <c r="I2341" s="948"/>
    </row>
    <row r="2342" spans="3:9" ht="15.75">
      <c r="C2342" s="949" t="s">
        <v>924</v>
      </c>
      <c r="D2342" s="946"/>
      <c r="E2342" s="947" t="str">
        <f>+VLOOKUP(C2342,'Basic (equilibrio) (2)'!B:D,2,FALSE)</f>
        <v>n/a</v>
      </c>
      <c r="F2342" s="1054">
        <f>+VLOOKUP(C2342,'Basic (equilibrio) (2)'!B:D,3,FALSE)</f>
        <v>0</v>
      </c>
      <c r="G2342" s="946">
        <f>F2342-(F2342/1.18)</f>
        <v>0</v>
      </c>
      <c r="H2342" s="1031"/>
      <c r="I2342" s="948">
        <f>D2342*F2342</f>
        <v>0</v>
      </c>
    </row>
    <row r="2343" spans="3:9" ht="15.75">
      <c r="C2343" s="951" t="s">
        <v>918</v>
      </c>
      <c r="D2343" s="946"/>
      <c r="E2343" s="947"/>
      <c r="F2343" s="1054"/>
      <c r="G2343" s="946"/>
      <c r="H2343" s="1031"/>
      <c r="I2343" s="952">
        <f>SUM(I2342)</f>
        <v>0</v>
      </c>
    </row>
    <row r="2344" spans="3:9" ht="15.75">
      <c r="C2344" s="951"/>
      <c r="D2344" s="946"/>
      <c r="E2344" s="947"/>
      <c r="F2344" s="1054"/>
      <c r="G2344" s="946"/>
      <c r="H2344" s="1031"/>
      <c r="I2344" s="952"/>
    </row>
    <row r="2345" spans="3:9" ht="15.75">
      <c r="C2345" s="956" t="s">
        <v>926</v>
      </c>
      <c r="D2345" s="957"/>
      <c r="E2345" s="958"/>
      <c r="F2345" s="1069"/>
      <c r="G2345" s="957"/>
      <c r="H2345" s="1032"/>
      <c r="I2345" s="959">
        <f>+I2331</f>
        <v>1050</v>
      </c>
    </row>
    <row r="2346" spans="3:9" ht="15.75">
      <c r="C2346" s="956" t="s">
        <v>927</v>
      </c>
      <c r="D2346" s="957"/>
      <c r="E2346" s="958"/>
      <c r="F2346" s="1069"/>
      <c r="G2346" s="957"/>
      <c r="H2346" s="1032"/>
      <c r="I2346" s="959">
        <f>+I2335</f>
        <v>0</v>
      </c>
    </row>
    <row r="2347" spans="3:9" ht="15.75">
      <c r="C2347" s="956" t="s">
        <v>928</v>
      </c>
      <c r="D2347" s="957"/>
      <c r="E2347" s="958"/>
      <c r="F2347" s="1069"/>
      <c r="G2347" s="957"/>
      <c r="H2347" s="1032"/>
      <c r="I2347" s="959">
        <f>+I2339</f>
        <v>0</v>
      </c>
    </row>
    <row r="2348" spans="3:9" ht="15.75">
      <c r="C2348" s="956" t="s">
        <v>929</v>
      </c>
      <c r="D2348" s="957"/>
      <c r="E2348" s="958"/>
      <c r="F2348" s="1069"/>
      <c r="G2348" s="957"/>
      <c r="H2348" s="1032"/>
      <c r="I2348" s="959">
        <f>+I2343</f>
        <v>0</v>
      </c>
    </row>
    <row r="2349" spans="3:9" ht="15.75">
      <c r="C2349" s="949"/>
      <c r="D2349" s="946"/>
      <c r="E2349" s="947"/>
      <c r="F2349" s="1054"/>
      <c r="G2349" s="946"/>
      <c r="H2349" s="1031"/>
      <c r="I2349" s="948"/>
    </row>
    <row r="2350" spans="3:9" ht="15.75">
      <c r="C2350" s="949"/>
      <c r="D2350" s="946"/>
      <c r="E2350" s="947"/>
      <c r="F2350" s="1054"/>
      <c r="G2350" s="946"/>
      <c r="H2350" s="1031"/>
      <c r="I2350" s="948"/>
    </row>
    <row r="2351" spans="3:9" ht="15.75">
      <c r="C2351" s="951" t="s">
        <v>930</v>
      </c>
      <c r="D2351" s="960"/>
      <c r="E2351" s="943" t="str">
        <f>+E2327</f>
        <v>und</v>
      </c>
      <c r="F2351" s="1070"/>
      <c r="G2351" s="960"/>
      <c r="H2351" s="1033"/>
      <c r="I2351" s="952">
        <f>SUM(I2345:I2348)</f>
        <v>1050</v>
      </c>
    </row>
    <row r="2352" spans="3:9" ht="15.75">
      <c r="C2352" s="951"/>
      <c r="D2352" s="960"/>
      <c r="E2352" s="943"/>
      <c r="F2352" s="1070"/>
      <c r="G2352" s="960"/>
      <c r="H2352" s="1033"/>
      <c r="I2352" s="952"/>
    </row>
    <row r="2353" spans="2:9" ht="15.75">
      <c r="B2353" s="1024">
        <v>6.22</v>
      </c>
      <c r="C2353" s="937" t="str">
        <f>+Presupuesto!B142</f>
        <v>Palma Real</v>
      </c>
      <c r="D2353" s="938"/>
      <c r="E2353" s="939" t="s">
        <v>1106</v>
      </c>
      <c r="F2353" s="1066"/>
      <c r="G2353" s="938"/>
      <c r="H2353" s="1029"/>
      <c r="I2353" s="940">
        <f>I2377</f>
        <v>6000</v>
      </c>
    </row>
    <row r="2354" spans="2:9" ht="15.75">
      <c r="C2354" s="941" t="s">
        <v>908</v>
      </c>
      <c r="D2354" s="942" t="s">
        <v>9</v>
      </c>
      <c r="E2354" s="943" t="s">
        <v>10</v>
      </c>
      <c r="F2354" s="1067" t="s">
        <v>909</v>
      </c>
      <c r="G2354" s="942" t="s">
        <v>910</v>
      </c>
      <c r="H2354" s="1030" t="s">
        <v>911</v>
      </c>
      <c r="I2354" s="944" t="s">
        <v>912</v>
      </c>
    </row>
    <row r="2355" spans="2:9" ht="15.75">
      <c r="C2355" s="945" t="s">
        <v>913</v>
      </c>
      <c r="D2355" s="946"/>
      <c r="E2355" s="947"/>
      <c r="F2355" s="1054"/>
      <c r="G2355" s="946"/>
      <c r="H2355" s="1031"/>
      <c r="I2355" s="948"/>
    </row>
    <row r="2356" spans="2:9" ht="15.75">
      <c r="C2356" s="949" t="s">
        <v>1389</v>
      </c>
      <c r="D2356" s="946">
        <v>1</v>
      </c>
      <c r="E2356" s="950" t="str">
        <f>+VLOOKUP(C2356,'Basic (equilibrio) (2)'!B:D,2,FALSE)</f>
        <v>ud</v>
      </c>
      <c r="F2356" s="1068">
        <f>'Basic (equilibrio) (2)'!$D$420</f>
        <v>6000</v>
      </c>
      <c r="G2356" s="946">
        <f>F2356-(F2356/1.18)</f>
        <v>915.25</v>
      </c>
      <c r="H2356" s="1031"/>
      <c r="I2356" s="948">
        <f>D2356*F2356</f>
        <v>6000</v>
      </c>
    </row>
    <row r="2357" spans="2:9" ht="15.75">
      <c r="C2357" s="951" t="s">
        <v>918</v>
      </c>
      <c r="D2357" s="946"/>
      <c r="E2357" s="947"/>
      <c r="F2357" s="1068"/>
      <c r="G2357" s="946"/>
      <c r="H2357" s="1031"/>
      <c r="I2357" s="952">
        <f>SUM(I2356:I2356)</f>
        <v>6000</v>
      </c>
    </row>
    <row r="2358" spans="2:9" ht="15.75">
      <c r="C2358" s="949"/>
      <c r="D2358" s="946"/>
      <c r="E2358" s="947"/>
      <c r="F2358" s="1068"/>
      <c r="G2358" s="946"/>
      <c r="H2358" s="1031"/>
      <c r="I2358" s="948"/>
    </row>
    <row r="2359" spans="2:9" ht="15.75">
      <c r="C2359" s="945" t="s">
        <v>919</v>
      </c>
      <c r="D2359" s="946"/>
      <c r="E2359" s="947"/>
      <c r="F2359" s="1068"/>
      <c r="G2359" s="946"/>
      <c r="H2359" s="1031"/>
      <c r="I2359" s="948"/>
    </row>
    <row r="2360" spans="2:9" ht="15.75">
      <c r="C2360" s="949" t="s">
        <v>924</v>
      </c>
      <c r="D2360" s="953"/>
      <c r="E2360" s="954" t="str">
        <f>+VLOOKUP(C2360,'Basic (equilibrio) (2)'!B:D,2,FALSE)</f>
        <v>n/a</v>
      </c>
      <c r="F2360" s="1068">
        <f>+VLOOKUP(C2360,'Basic (equilibrio) (2)'!B:D,3,FALSE)</f>
        <v>0</v>
      </c>
      <c r="G2360" s="946">
        <v>0</v>
      </c>
      <c r="H2360" s="1031"/>
      <c r="I2360" s="948">
        <f>D2360*F2360</f>
        <v>0</v>
      </c>
    </row>
    <row r="2361" spans="2:9" ht="15.75">
      <c r="C2361" s="951" t="s">
        <v>918</v>
      </c>
      <c r="D2361" s="946"/>
      <c r="E2361" s="947"/>
      <c r="F2361" s="1054"/>
      <c r="G2361" s="946"/>
      <c r="H2361" s="1031"/>
      <c r="I2361" s="952">
        <f>SUM(I2360:I2360)</f>
        <v>0</v>
      </c>
    </row>
    <row r="2362" spans="2:9" ht="15.75">
      <c r="C2362" s="949"/>
      <c r="D2362" s="946"/>
      <c r="E2362" s="947"/>
      <c r="F2362" s="1054"/>
      <c r="G2362" s="946"/>
      <c r="H2362" s="1031"/>
      <c r="I2362" s="948"/>
    </row>
    <row r="2363" spans="2:9" ht="15.75">
      <c r="C2363" s="945" t="s">
        <v>923</v>
      </c>
      <c r="D2363" s="946"/>
      <c r="E2363" s="947"/>
      <c r="F2363" s="1054"/>
      <c r="G2363" s="946"/>
      <c r="H2363" s="1031"/>
      <c r="I2363" s="948"/>
    </row>
    <row r="2364" spans="2:9" ht="15.75">
      <c r="C2364" s="949" t="s">
        <v>924</v>
      </c>
      <c r="D2364" s="946"/>
      <c r="E2364" s="947" t="str">
        <f>+VLOOKUP(C2364,'Basic (equilibrio) (2)'!B:D,2,FALSE)</f>
        <v>n/a</v>
      </c>
      <c r="F2364" s="1054">
        <f>+VLOOKUP(C2364,'Basic (equilibrio) (2)'!B:D,3,FALSE)</f>
        <v>0</v>
      </c>
      <c r="G2364" s="946">
        <f>F2364-(F2364/1.18)</f>
        <v>0</v>
      </c>
      <c r="H2364" s="1039"/>
      <c r="I2364" s="955">
        <f>D2364*F2364</f>
        <v>0</v>
      </c>
    </row>
    <row r="2365" spans="2:9" ht="15.75">
      <c r="C2365" s="951" t="s">
        <v>918</v>
      </c>
      <c r="D2365" s="946"/>
      <c r="E2365" s="947"/>
      <c r="F2365" s="1054"/>
      <c r="G2365" s="946"/>
      <c r="H2365" s="1031"/>
      <c r="I2365" s="952">
        <f>SUM(I2364:I2364)</f>
        <v>0</v>
      </c>
    </row>
    <row r="2366" spans="2:9" ht="15.75">
      <c r="C2366" s="949"/>
      <c r="D2366" s="946"/>
      <c r="E2366" s="947"/>
      <c r="F2366" s="1054"/>
      <c r="G2366" s="946"/>
      <c r="H2366" s="1031"/>
      <c r="I2366" s="948"/>
    </row>
    <row r="2367" spans="2:9" ht="15.75">
      <c r="C2367" s="945" t="s">
        <v>925</v>
      </c>
      <c r="D2367" s="946"/>
      <c r="E2367" s="947"/>
      <c r="F2367" s="1054"/>
      <c r="G2367" s="946"/>
      <c r="H2367" s="1031"/>
      <c r="I2367" s="948"/>
    </row>
    <row r="2368" spans="2:9" ht="15.75">
      <c r="C2368" s="949" t="s">
        <v>924</v>
      </c>
      <c r="D2368" s="946"/>
      <c r="E2368" s="947" t="str">
        <f>+VLOOKUP(C2368,'Basic (equilibrio) (2)'!B:D,2,FALSE)</f>
        <v>n/a</v>
      </c>
      <c r="F2368" s="1054">
        <f>+VLOOKUP(C2368,'Basic (equilibrio) (2)'!B:D,3,FALSE)</f>
        <v>0</v>
      </c>
      <c r="G2368" s="946">
        <f>F2368-(F2368/1.18)</f>
        <v>0</v>
      </c>
      <c r="H2368" s="1031"/>
      <c r="I2368" s="948">
        <f>D2368*F2368</f>
        <v>0</v>
      </c>
    </row>
    <row r="2369" spans="2:9" ht="15.75">
      <c r="C2369" s="951" t="s">
        <v>918</v>
      </c>
      <c r="D2369" s="946"/>
      <c r="E2369" s="947"/>
      <c r="F2369" s="1054"/>
      <c r="G2369" s="946"/>
      <c r="H2369" s="1031"/>
      <c r="I2369" s="952">
        <f>SUM(I2368)</f>
        <v>0</v>
      </c>
    </row>
    <row r="2370" spans="2:9" ht="15.75">
      <c r="C2370" s="951"/>
      <c r="D2370" s="946"/>
      <c r="E2370" s="947"/>
      <c r="F2370" s="1054"/>
      <c r="G2370" s="946"/>
      <c r="H2370" s="1031"/>
      <c r="I2370" s="952"/>
    </row>
    <row r="2371" spans="2:9" ht="15.75">
      <c r="C2371" s="956" t="s">
        <v>926</v>
      </c>
      <c r="D2371" s="957"/>
      <c r="E2371" s="958"/>
      <c r="F2371" s="1069"/>
      <c r="G2371" s="957"/>
      <c r="H2371" s="1032"/>
      <c r="I2371" s="959">
        <f>+I2357</f>
        <v>6000</v>
      </c>
    </row>
    <row r="2372" spans="2:9" ht="15.75">
      <c r="C2372" s="956" t="s">
        <v>927</v>
      </c>
      <c r="D2372" s="957"/>
      <c r="E2372" s="958"/>
      <c r="F2372" s="1069"/>
      <c r="G2372" s="957"/>
      <c r="H2372" s="1032"/>
      <c r="I2372" s="959">
        <f>+I2361</f>
        <v>0</v>
      </c>
    </row>
    <row r="2373" spans="2:9" ht="15.75">
      <c r="C2373" s="956" t="s">
        <v>928</v>
      </c>
      <c r="D2373" s="957"/>
      <c r="E2373" s="958"/>
      <c r="F2373" s="1069"/>
      <c r="G2373" s="957"/>
      <c r="H2373" s="1032"/>
      <c r="I2373" s="959">
        <f>+I2365</f>
        <v>0</v>
      </c>
    </row>
    <row r="2374" spans="2:9" ht="15.75">
      <c r="C2374" s="956" t="s">
        <v>929</v>
      </c>
      <c r="D2374" s="957"/>
      <c r="E2374" s="958"/>
      <c r="F2374" s="1069"/>
      <c r="G2374" s="957"/>
      <c r="H2374" s="1032"/>
      <c r="I2374" s="959">
        <f>+I2369</f>
        <v>0</v>
      </c>
    </row>
    <row r="2375" spans="2:9" ht="15.75">
      <c r="C2375" s="949"/>
      <c r="D2375" s="946"/>
      <c r="E2375" s="947"/>
      <c r="F2375" s="1054"/>
      <c r="G2375" s="946"/>
      <c r="H2375" s="1031"/>
      <c r="I2375" s="948"/>
    </row>
    <row r="2376" spans="2:9" ht="15.75">
      <c r="C2376" s="949"/>
      <c r="D2376" s="946"/>
      <c r="E2376" s="947"/>
      <c r="F2376" s="1054"/>
      <c r="G2376" s="946"/>
      <c r="H2376" s="1031"/>
      <c r="I2376" s="948"/>
    </row>
    <row r="2377" spans="2:9" ht="15.75">
      <c r="C2377" s="951" t="s">
        <v>930</v>
      </c>
      <c r="D2377" s="960"/>
      <c r="E2377" s="943" t="str">
        <f>+E2353</f>
        <v>und</v>
      </c>
      <c r="F2377" s="1070"/>
      <c r="G2377" s="960"/>
      <c r="H2377" s="1033"/>
      <c r="I2377" s="952">
        <f>SUM(I2371:I2374)</f>
        <v>6000</v>
      </c>
    </row>
    <row r="2378" spans="2:9" ht="15.75">
      <c r="C2378" s="951"/>
      <c r="D2378" s="960"/>
      <c r="E2378" s="943"/>
      <c r="F2378" s="1070"/>
      <c r="G2378" s="960"/>
      <c r="H2378" s="1033"/>
      <c r="I2378" s="952"/>
    </row>
    <row r="2379" spans="2:9" ht="15.75">
      <c r="C2379" s="951"/>
      <c r="D2379" s="960"/>
      <c r="E2379" s="943"/>
      <c r="F2379" s="1070"/>
      <c r="G2379" s="960"/>
      <c r="H2379" s="1033"/>
      <c r="I2379" s="952"/>
    </row>
    <row r="2380" spans="2:9" ht="15.75">
      <c r="B2380" s="1024">
        <v>6.23</v>
      </c>
      <c r="C2380" s="937" t="str">
        <f>+Presupuesto!B143</f>
        <v>Palma Cana</v>
      </c>
      <c r="D2380" s="938"/>
      <c r="E2380" s="939" t="s">
        <v>1106</v>
      </c>
      <c r="F2380" s="1066"/>
      <c r="G2380" s="938"/>
      <c r="H2380" s="1029"/>
      <c r="I2380" s="940">
        <f>I2404</f>
        <v>6000</v>
      </c>
    </row>
    <row r="2381" spans="2:9" ht="15.75">
      <c r="C2381" s="941" t="s">
        <v>908</v>
      </c>
      <c r="D2381" s="942" t="s">
        <v>9</v>
      </c>
      <c r="E2381" s="943" t="s">
        <v>10</v>
      </c>
      <c r="F2381" s="1067" t="s">
        <v>909</v>
      </c>
      <c r="G2381" s="942" t="s">
        <v>910</v>
      </c>
      <c r="H2381" s="1030" t="s">
        <v>911</v>
      </c>
      <c r="I2381" s="944" t="s">
        <v>912</v>
      </c>
    </row>
    <row r="2382" spans="2:9" ht="15.75">
      <c r="C2382" s="945" t="s">
        <v>913</v>
      </c>
      <c r="D2382" s="946"/>
      <c r="E2382" s="947"/>
      <c r="F2382" s="1054"/>
      <c r="G2382" s="946"/>
      <c r="H2382" s="1031"/>
      <c r="I2382" s="948"/>
    </row>
    <row r="2383" spans="2:9" ht="15.75">
      <c r="C2383" s="949" t="s">
        <v>1388</v>
      </c>
      <c r="D2383" s="946">
        <v>1</v>
      </c>
      <c r="E2383" s="950" t="str">
        <f>+VLOOKUP(C2383,'Basic (equilibrio) (2)'!B:D,2,FALSE)</f>
        <v>ud</v>
      </c>
      <c r="F2383" s="1068">
        <f>'Basic (equilibrio) (2)'!$D$419</f>
        <v>6000</v>
      </c>
      <c r="G2383" s="946">
        <f>F2383-(F2383/1.18)</f>
        <v>915.25</v>
      </c>
      <c r="H2383" s="1031"/>
      <c r="I2383" s="948">
        <f>D2383*F2383</f>
        <v>6000</v>
      </c>
    </row>
    <row r="2384" spans="2:9" ht="15.75">
      <c r="C2384" s="951" t="s">
        <v>918</v>
      </c>
      <c r="D2384" s="946"/>
      <c r="E2384" s="947"/>
      <c r="F2384" s="1068"/>
      <c r="G2384" s="946"/>
      <c r="H2384" s="1031"/>
      <c r="I2384" s="952">
        <f>SUM(I2383:I2383)</f>
        <v>6000</v>
      </c>
    </row>
    <row r="2385" spans="3:9" ht="15.75">
      <c r="C2385" s="949"/>
      <c r="D2385" s="946"/>
      <c r="E2385" s="947"/>
      <c r="F2385" s="1068"/>
      <c r="G2385" s="946"/>
      <c r="H2385" s="1031"/>
      <c r="I2385" s="948"/>
    </row>
    <row r="2386" spans="3:9" ht="15.75">
      <c r="C2386" s="945" t="s">
        <v>919</v>
      </c>
      <c r="D2386" s="946"/>
      <c r="E2386" s="947"/>
      <c r="F2386" s="1068"/>
      <c r="G2386" s="946"/>
      <c r="H2386" s="1031"/>
      <c r="I2386" s="948"/>
    </row>
    <row r="2387" spans="3:9" ht="15.75">
      <c r="C2387" s="949" t="s">
        <v>924</v>
      </c>
      <c r="D2387" s="953"/>
      <c r="E2387" s="954" t="str">
        <f>+VLOOKUP(C2387,'Basic (equilibrio) (2)'!B:D,2,FALSE)</f>
        <v>n/a</v>
      </c>
      <c r="F2387" s="1068">
        <f>+VLOOKUP(C2387,'Basic (equilibrio) (2)'!B:D,3,FALSE)</f>
        <v>0</v>
      </c>
      <c r="G2387" s="946">
        <v>0</v>
      </c>
      <c r="H2387" s="1031"/>
      <c r="I2387" s="948">
        <f>D2387*F2387</f>
        <v>0</v>
      </c>
    </row>
    <row r="2388" spans="3:9" ht="15.75">
      <c r="C2388" s="951" t="s">
        <v>918</v>
      </c>
      <c r="D2388" s="946"/>
      <c r="E2388" s="947"/>
      <c r="F2388" s="1054"/>
      <c r="G2388" s="946"/>
      <c r="H2388" s="1031"/>
      <c r="I2388" s="952">
        <f>SUM(I2387:I2387)</f>
        <v>0</v>
      </c>
    </row>
    <row r="2389" spans="3:9" ht="15.75">
      <c r="C2389" s="949"/>
      <c r="D2389" s="946"/>
      <c r="E2389" s="947"/>
      <c r="F2389" s="1054"/>
      <c r="G2389" s="946"/>
      <c r="H2389" s="1031"/>
      <c r="I2389" s="948"/>
    </row>
    <row r="2390" spans="3:9" ht="15.75">
      <c r="C2390" s="945" t="s">
        <v>923</v>
      </c>
      <c r="D2390" s="946"/>
      <c r="E2390" s="947"/>
      <c r="F2390" s="1054"/>
      <c r="G2390" s="946"/>
      <c r="H2390" s="1031"/>
      <c r="I2390" s="948"/>
    </row>
    <row r="2391" spans="3:9" ht="15.75">
      <c r="C2391" s="949" t="s">
        <v>924</v>
      </c>
      <c r="D2391" s="946"/>
      <c r="E2391" s="947" t="str">
        <f>+VLOOKUP(C2391,'Basic (equilibrio) (2)'!B:D,2,FALSE)</f>
        <v>n/a</v>
      </c>
      <c r="F2391" s="1054">
        <f>+VLOOKUP(C2391,'Basic (equilibrio) (2)'!B:D,3,FALSE)</f>
        <v>0</v>
      </c>
      <c r="G2391" s="946">
        <f>F2391-(F2391/1.18)</f>
        <v>0</v>
      </c>
      <c r="H2391" s="1039"/>
      <c r="I2391" s="955">
        <f>D2391*F2391</f>
        <v>0</v>
      </c>
    </row>
    <row r="2392" spans="3:9" ht="15.75">
      <c r="C2392" s="951" t="s">
        <v>918</v>
      </c>
      <c r="D2392" s="946"/>
      <c r="E2392" s="947"/>
      <c r="F2392" s="1054"/>
      <c r="G2392" s="946"/>
      <c r="H2392" s="1031"/>
      <c r="I2392" s="952">
        <f>SUM(I2391:I2391)</f>
        <v>0</v>
      </c>
    </row>
    <row r="2393" spans="3:9" ht="15.75">
      <c r="C2393" s="949"/>
      <c r="D2393" s="946"/>
      <c r="E2393" s="947"/>
      <c r="F2393" s="1054"/>
      <c r="G2393" s="946"/>
      <c r="H2393" s="1031"/>
      <c r="I2393" s="948"/>
    </row>
    <row r="2394" spans="3:9" ht="15.75">
      <c r="C2394" s="945" t="s">
        <v>925</v>
      </c>
      <c r="D2394" s="946"/>
      <c r="E2394" s="947"/>
      <c r="F2394" s="1054"/>
      <c r="G2394" s="946"/>
      <c r="H2394" s="1031"/>
      <c r="I2394" s="948"/>
    </row>
    <row r="2395" spans="3:9" ht="15.75">
      <c r="C2395" s="949" t="s">
        <v>924</v>
      </c>
      <c r="D2395" s="946"/>
      <c r="E2395" s="947" t="str">
        <f>+VLOOKUP(C2395,'Basic (equilibrio) (2)'!B:D,2,FALSE)</f>
        <v>n/a</v>
      </c>
      <c r="F2395" s="1054">
        <f>+VLOOKUP(C2395,'Basic (equilibrio) (2)'!B:D,3,FALSE)</f>
        <v>0</v>
      </c>
      <c r="G2395" s="946">
        <f>F2395-(F2395/1.18)</f>
        <v>0</v>
      </c>
      <c r="H2395" s="1031"/>
      <c r="I2395" s="948">
        <f>D2395*F2395</f>
        <v>0</v>
      </c>
    </row>
    <row r="2396" spans="3:9" ht="15.75">
      <c r="C2396" s="951" t="s">
        <v>918</v>
      </c>
      <c r="D2396" s="946"/>
      <c r="E2396" s="947"/>
      <c r="F2396" s="1054"/>
      <c r="G2396" s="946"/>
      <c r="H2396" s="1031"/>
      <c r="I2396" s="952">
        <f>SUM(I2395)</f>
        <v>0</v>
      </c>
    </row>
    <row r="2397" spans="3:9" ht="15.75">
      <c r="C2397" s="951"/>
      <c r="D2397" s="946"/>
      <c r="E2397" s="947"/>
      <c r="F2397" s="1054"/>
      <c r="G2397" s="946"/>
      <c r="H2397" s="1031"/>
      <c r="I2397" s="952"/>
    </row>
    <row r="2398" spans="3:9" ht="15.75">
      <c r="C2398" s="956" t="s">
        <v>926</v>
      </c>
      <c r="D2398" s="957"/>
      <c r="E2398" s="958"/>
      <c r="F2398" s="1069"/>
      <c r="G2398" s="957"/>
      <c r="H2398" s="1032"/>
      <c r="I2398" s="959">
        <f>+I2384</f>
        <v>6000</v>
      </c>
    </row>
    <row r="2399" spans="3:9" ht="15.75">
      <c r="C2399" s="956" t="s">
        <v>927</v>
      </c>
      <c r="D2399" s="957"/>
      <c r="E2399" s="958"/>
      <c r="F2399" s="1069"/>
      <c r="G2399" s="957"/>
      <c r="H2399" s="1032"/>
      <c r="I2399" s="959">
        <f>+I2388</f>
        <v>0</v>
      </c>
    </row>
    <row r="2400" spans="3:9" ht="15.75">
      <c r="C2400" s="956" t="s">
        <v>928</v>
      </c>
      <c r="D2400" s="957"/>
      <c r="E2400" s="958"/>
      <c r="F2400" s="1069"/>
      <c r="G2400" s="957"/>
      <c r="H2400" s="1032"/>
      <c r="I2400" s="959">
        <f>+I2392</f>
        <v>0</v>
      </c>
    </row>
    <row r="2401" spans="2:9" ht="15.75">
      <c r="C2401" s="956" t="s">
        <v>929</v>
      </c>
      <c r="D2401" s="957"/>
      <c r="E2401" s="958"/>
      <c r="F2401" s="1069"/>
      <c r="G2401" s="957"/>
      <c r="H2401" s="1032"/>
      <c r="I2401" s="959">
        <f>+I2396</f>
        <v>0</v>
      </c>
    </row>
    <row r="2402" spans="2:9" ht="15.75">
      <c r="C2402" s="949"/>
      <c r="D2402" s="946"/>
      <c r="E2402" s="947"/>
      <c r="F2402" s="1054"/>
      <c r="G2402" s="946"/>
      <c r="H2402" s="1031"/>
      <c r="I2402" s="948"/>
    </row>
    <row r="2403" spans="2:9" ht="15.75">
      <c r="C2403" s="949"/>
      <c r="D2403" s="946"/>
      <c r="E2403" s="947"/>
      <c r="F2403" s="1054"/>
      <c r="G2403" s="946"/>
      <c r="H2403" s="1031"/>
      <c r="I2403" s="948"/>
    </row>
    <row r="2404" spans="2:9" ht="15.75">
      <c r="C2404" s="951" t="s">
        <v>930</v>
      </c>
      <c r="D2404" s="960"/>
      <c r="E2404" s="943" t="str">
        <f>+E2380</f>
        <v>und</v>
      </c>
      <c r="F2404" s="1070"/>
      <c r="G2404" s="960"/>
      <c r="H2404" s="1033"/>
      <c r="I2404" s="952">
        <f>SUM(I2398:I2401)</f>
        <v>6000</v>
      </c>
    </row>
    <row r="2405" spans="2:9" ht="15.75">
      <c r="C2405" s="951"/>
      <c r="D2405" s="960"/>
      <c r="E2405" s="943"/>
      <c r="F2405" s="1070"/>
      <c r="G2405" s="960"/>
      <c r="H2405" s="1033"/>
      <c r="I2405" s="952"/>
    </row>
    <row r="2406" spans="2:9" ht="15.75">
      <c r="C2406" s="951"/>
      <c r="D2406" s="960"/>
      <c r="E2406" s="943"/>
      <c r="F2406" s="1070"/>
      <c r="G2406" s="960"/>
      <c r="H2406" s="1033"/>
      <c r="I2406" s="952"/>
    </row>
    <row r="2407" spans="2:9" ht="15.75">
      <c r="B2407" s="1024">
        <v>6.24</v>
      </c>
      <c r="C2407" s="937" t="str">
        <f>+Presupuesto!B144</f>
        <v>Palma Guano</v>
      </c>
      <c r="D2407" s="938"/>
      <c r="E2407" s="939" t="s">
        <v>1106</v>
      </c>
      <c r="F2407" s="1066"/>
      <c r="G2407" s="938"/>
      <c r="H2407" s="1029"/>
      <c r="I2407" s="940">
        <f>I2431</f>
        <v>6000</v>
      </c>
    </row>
    <row r="2408" spans="2:9" ht="15.75">
      <c r="C2408" s="941" t="s">
        <v>908</v>
      </c>
      <c r="D2408" s="942" t="s">
        <v>9</v>
      </c>
      <c r="E2408" s="943" t="s">
        <v>10</v>
      </c>
      <c r="F2408" s="1067" t="s">
        <v>909</v>
      </c>
      <c r="G2408" s="942" t="s">
        <v>910</v>
      </c>
      <c r="H2408" s="1030" t="s">
        <v>911</v>
      </c>
      <c r="I2408" s="944" t="s">
        <v>912</v>
      </c>
    </row>
    <row r="2409" spans="2:9" ht="15.75">
      <c r="C2409" s="945" t="s">
        <v>913</v>
      </c>
      <c r="D2409" s="946"/>
      <c r="E2409" s="947"/>
      <c r="F2409" s="1054"/>
      <c r="G2409" s="946"/>
      <c r="H2409" s="1031"/>
      <c r="I2409" s="948"/>
    </row>
    <row r="2410" spans="2:9" ht="15.75">
      <c r="C2410" s="949" t="s">
        <v>1388</v>
      </c>
      <c r="D2410" s="946">
        <v>1</v>
      </c>
      <c r="E2410" s="950" t="str">
        <f>+VLOOKUP(C2410,'Basic (equilibrio) (2)'!B:D,2,FALSE)</f>
        <v>ud</v>
      </c>
      <c r="F2410" s="1068">
        <f>'Basic (equilibrio) (2)'!$D$419</f>
        <v>6000</v>
      </c>
      <c r="G2410" s="946">
        <f>F2410-(F2410/1.18)</f>
        <v>915.25</v>
      </c>
      <c r="H2410" s="1031"/>
      <c r="I2410" s="948">
        <f>D2410*F2410</f>
        <v>6000</v>
      </c>
    </row>
    <row r="2411" spans="2:9" ht="15.75">
      <c r="C2411" s="951" t="s">
        <v>918</v>
      </c>
      <c r="D2411" s="946"/>
      <c r="E2411" s="947"/>
      <c r="F2411" s="1068"/>
      <c r="G2411" s="946"/>
      <c r="H2411" s="1031"/>
      <c r="I2411" s="952">
        <f>SUM(I2410:I2410)</f>
        <v>6000</v>
      </c>
    </row>
    <row r="2412" spans="2:9" ht="15.75">
      <c r="C2412" s="949"/>
      <c r="D2412" s="946"/>
      <c r="E2412" s="947"/>
      <c r="F2412" s="1068"/>
      <c r="G2412" s="946"/>
      <c r="H2412" s="1031"/>
      <c r="I2412" s="948"/>
    </row>
    <row r="2413" spans="2:9" ht="15.75">
      <c r="C2413" s="945" t="s">
        <v>919</v>
      </c>
      <c r="D2413" s="946"/>
      <c r="E2413" s="947"/>
      <c r="F2413" s="1068"/>
      <c r="G2413" s="946"/>
      <c r="H2413" s="1031"/>
      <c r="I2413" s="948"/>
    </row>
    <row r="2414" spans="2:9" ht="15.75">
      <c r="C2414" s="949" t="s">
        <v>924</v>
      </c>
      <c r="D2414" s="953"/>
      <c r="E2414" s="954" t="str">
        <f>+VLOOKUP(C2414,'Basic (equilibrio) (2)'!B:D,2,FALSE)</f>
        <v>n/a</v>
      </c>
      <c r="F2414" s="1068">
        <f>+VLOOKUP(C2414,'Basic (equilibrio) (2)'!B:D,3,FALSE)</f>
        <v>0</v>
      </c>
      <c r="G2414" s="946">
        <v>0</v>
      </c>
      <c r="H2414" s="1031"/>
      <c r="I2414" s="948">
        <f>D2414*F2414</f>
        <v>0</v>
      </c>
    </row>
    <row r="2415" spans="2:9" ht="15.75">
      <c r="C2415" s="951" t="s">
        <v>918</v>
      </c>
      <c r="D2415" s="946"/>
      <c r="E2415" s="947"/>
      <c r="F2415" s="1054"/>
      <c r="G2415" s="946"/>
      <c r="H2415" s="1031"/>
      <c r="I2415" s="952">
        <f>SUM(I2414:I2414)</f>
        <v>0</v>
      </c>
    </row>
    <row r="2416" spans="2:9" ht="15.75">
      <c r="C2416" s="949"/>
      <c r="D2416" s="946"/>
      <c r="E2416" s="947"/>
      <c r="F2416" s="1054"/>
      <c r="G2416" s="946"/>
      <c r="H2416" s="1031"/>
      <c r="I2416" s="948"/>
    </row>
    <row r="2417" spans="3:9" ht="15.75">
      <c r="C2417" s="945" t="s">
        <v>923</v>
      </c>
      <c r="D2417" s="946"/>
      <c r="E2417" s="947"/>
      <c r="F2417" s="1054"/>
      <c r="G2417" s="946"/>
      <c r="H2417" s="1031"/>
      <c r="I2417" s="948"/>
    </row>
    <row r="2418" spans="3:9" ht="15.75">
      <c r="C2418" s="949" t="s">
        <v>924</v>
      </c>
      <c r="D2418" s="946"/>
      <c r="E2418" s="947" t="str">
        <f>+VLOOKUP(C2418,'Basic (equilibrio) (2)'!B:D,2,FALSE)</f>
        <v>n/a</v>
      </c>
      <c r="F2418" s="1054">
        <f>+VLOOKUP(C2418,'Basic (equilibrio) (2)'!B:D,3,FALSE)</f>
        <v>0</v>
      </c>
      <c r="G2418" s="946">
        <f>F2418-(F2418/1.18)</f>
        <v>0</v>
      </c>
      <c r="H2418" s="1039"/>
      <c r="I2418" s="955">
        <f>D2418*F2418</f>
        <v>0</v>
      </c>
    </row>
    <row r="2419" spans="3:9" ht="15.75">
      <c r="C2419" s="951" t="s">
        <v>918</v>
      </c>
      <c r="D2419" s="946"/>
      <c r="E2419" s="947"/>
      <c r="F2419" s="1054"/>
      <c r="G2419" s="946"/>
      <c r="H2419" s="1031"/>
      <c r="I2419" s="952">
        <f>SUM(I2418:I2418)</f>
        <v>0</v>
      </c>
    </row>
    <row r="2420" spans="3:9" ht="15.75">
      <c r="C2420" s="949"/>
      <c r="D2420" s="946"/>
      <c r="E2420" s="947"/>
      <c r="F2420" s="1054"/>
      <c r="G2420" s="946"/>
      <c r="H2420" s="1031"/>
      <c r="I2420" s="948"/>
    </row>
    <row r="2421" spans="3:9" ht="15.75">
      <c r="C2421" s="945" t="s">
        <v>925</v>
      </c>
      <c r="D2421" s="946"/>
      <c r="E2421" s="947"/>
      <c r="F2421" s="1054"/>
      <c r="G2421" s="946"/>
      <c r="H2421" s="1031"/>
      <c r="I2421" s="948"/>
    </row>
    <row r="2422" spans="3:9" ht="15.75">
      <c r="C2422" s="949" t="s">
        <v>924</v>
      </c>
      <c r="D2422" s="946"/>
      <c r="E2422" s="947" t="str">
        <f>+VLOOKUP(C2422,'Basic (equilibrio) (2)'!B:D,2,FALSE)</f>
        <v>n/a</v>
      </c>
      <c r="F2422" s="1054">
        <f>+VLOOKUP(C2422,'Basic (equilibrio) (2)'!B:D,3,FALSE)</f>
        <v>0</v>
      </c>
      <c r="G2422" s="946">
        <f>F2422-(F2422/1.18)</f>
        <v>0</v>
      </c>
      <c r="H2422" s="1031"/>
      <c r="I2422" s="948">
        <f>D2422*F2422</f>
        <v>0</v>
      </c>
    </row>
    <row r="2423" spans="3:9" ht="15.75">
      <c r="C2423" s="951" t="s">
        <v>918</v>
      </c>
      <c r="D2423" s="946"/>
      <c r="E2423" s="947"/>
      <c r="F2423" s="1054"/>
      <c r="G2423" s="946"/>
      <c r="H2423" s="1031"/>
      <c r="I2423" s="952">
        <f>SUM(I2422)</f>
        <v>0</v>
      </c>
    </row>
    <row r="2424" spans="3:9" ht="15.75">
      <c r="C2424" s="951"/>
      <c r="D2424" s="946"/>
      <c r="E2424" s="947"/>
      <c r="F2424" s="1054"/>
      <c r="G2424" s="946"/>
      <c r="H2424" s="1031"/>
      <c r="I2424" s="952"/>
    </row>
    <row r="2425" spans="3:9" ht="15.75">
      <c r="C2425" s="956" t="s">
        <v>926</v>
      </c>
      <c r="D2425" s="957"/>
      <c r="E2425" s="958"/>
      <c r="F2425" s="1069"/>
      <c r="G2425" s="957"/>
      <c r="H2425" s="1032"/>
      <c r="I2425" s="959">
        <f>+I2411</f>
        <v>6000</v>
      </c>
    </row>
    <row r="2426" spans="3:9" ht="15.75">
      <c r="C2426" s="956" t="s">
        <v>927</v>
      </c>
      <c r="D2426" s="957"/>
      <c r="E2426" s="958"/>
      <c r="F2426" s="1069"/>
      <c r="G2426" s="957"/>
      <c r="H2426" s="1032"/>
      <c r="I2426" s="959">
        <f>+I2415</f>
        <v>0</v>
      </c>
    </row>
    <row r="2427" spans="3:9" ht="15.75">
      <c r="C2427" s="956" t="s">
        <v>928</v>
      </c>
      <c r="D2427" s="957"/>
      <c r="E2427" s="958"/>
      <c r="F2427" s="1069"/>
      <c r="G2427" s="957"/>
      <c r="H2427" s="1032"/>
      <c r="I2427" s="959">
        <f>+I2419</f>
        <v>0</v>
      </c>
    </row>
    <row r="2428" spans="3:9" ht="15.75">
      <c r="C2428" s="956" t="s">
        <v>929</v>
      </c>
      <c r="D2428" s="957"/>
      <c r="E2428" s="958"/>
      <c r="F2428" s="1069"/>
      <c r="G2428" s="957"/>
      <c r="H2428" s="1032"/>
      <c r="I2428" s="959">
        <f>+I2423</f>
        <v>0</v>
      </c>
    </row>
    <row r="2429" spans="3:9" ht="15.75">
      <c r="C2429" s="949"/>
      <c r="D2429" s="946"/>
      <c r="E2429" s="947"/>
      <c r="F2429" s="1054"/>
      <c r="G2429" s="946"/>
      <c r="H2429" s="1031"/>
      <c r="I2429" s="948"/>
    </row>
    <row r="2430" spans="3:9" ht="15.75">
      <c r="C2430" s="949"/>
      <c r="D2430" s="946"/>
      <c r="E2430" s="947"/>
      <c r="F2430" s="1054"/>
      <c r="G2430" s="946"/>
      <c r="H2430" s="1031"/>
      <c r="I2430" s="948"/>
    </row>
    <row r="2431" spans="3:9" ht="15.75">
      <c r="C2431" s="951" t="s">
        <v>930</v>
      </c>
      <c r="D2431" s="960"/>
      <c r="E2431" s="943" t="str">
        <f>+E2407</f>
        <v>und</v>
      </c>
      <c r="F2431" s="1070"/>
      <c r="G2431" s="960"/>
      <c r="H2431" s="1033"/>
      <c r="I2431" s="952">
        <f>SUM(I2425:I2428)</f>
        <v>6000</v>
      </c>
    </row>
    <row r="2432" spans="3:9" ht="15.75">
      <c r="C2432" s="951"/>
      <c r="D2432" s="960"/>
      <c r="E2432" s="943"/>
      <c r="F2432" s="1070"/>
      <c r="G2432" s="960"/>
      <c r="H2432" s="1033"/>
      <c r="I2432" s="952"/>
    </row>
    <row r="2433" spans="2:9" ht="15.75">
      <c r="C2433" s="951"/>
      <c r="D2433" s="960"/>
      <c r="E2433" s="943"/>
      <c r="F2433" s="1070"/>
      <c r="G2433" s="960"/>
      <c r="H2433" s="1033"/>
      <c r="I2433" s="952"/>
    </row>
    <row r="2434" spans="2:9" ht="15.75">
      <c r="B2434" s="1024">
        <v>6.25</v>
      </c>
      <c r="C2434" s="937" t="str">
        <f>+Presupuesto!B145</f>
        <v>Guáyiga</v>
      </c>
      <c r="D2434" s="938"/>
      <c r="E2434" s="939" t="s">
        <v>1106</v>
      </c>
      <c r="F2434" s="1066"/>
      <c r="G2434" s="938"/>
      <c r="H2434" s="1029"/>
      <c r="I2434" s="940">
        <f>I2458</f>
        <v>150</v>
      </c>
    </row>
    <row r="2435" spans="2:9" ht="15.75">
      <c r="C2435" s="941" t="s">
        <v>908</v>
      </c>
      <c r="D2435" s="942" t="s">
        <v>9</v>
      </c>
      <c r="E2435" s="943" t="s">
        <v>10</v>
      </c>
      <c r="F2435" s="1067" t="s">
        <v>909</v>
      </c>
      <c r="G2435" s="942" t="s">
        <v>910</v>
      </c>
      <c r="H2435" s="1030" t="s">
        <v>911</v>
      </c>
      <c r="I2435" s="944" t="s">
        <v>912</v>
      </c>
    </row>
    <row r="2436" spans="2:9" ht="15.75">
      <c r="C2436" s="945" t="s">
        <v>913</v>
      </c>
      <c r="D2436" s="946"/>
      <c r="E2436" s="947"/>
      <c r="F2436" s="1054"/>
      <c r="G2436" s="946"/>
      <c r="H2436" s="1031"/>
      <c r="I2436" s="948"/>
    </row>
    <row r="2437" spans="2:9" ht="15.75">
      <c r="C2437" s="949" t="s">
        <v>1401</v>
      </c>
      <c r="D2437" s="946">
        <v>1</v>
      </c>
      <c r="E2437" s="950" t="str">
        <f>+VLOOKUP(C2437,'Basic (equilibrio) (2)'!B:D,2,FALSE)</f>
        <v>ud</v>
      </c>
      <c r="F2437" s="1068">
        <f>'Basic (equilibrio) (2)'!$D$433</f>
        <v>150</v>
      </c>
      <c r="G2437" s="946">
        <f>F2437-(F2437/1.18)</f>
        <v>22.88</v>
      </c>
      <c r="H2437" s="1031"/>
      <c r="I2437" s="948">
        <f>D2437*F2437</f>
        <v>150</v>
      </c>
    </row>
    <row r="2438" spans="2:9" ht="15.75">
      <c r="C2438" s="951" t="s">
        <v>918</v>
      </c>
      <c r="D2438" s="946"/>
      <c r="E2438" s="947"/>
      <c r="F2438" s="1068"/>
      <c r="G2438" s="946"/>
      <c r="H2438" s="1031"/>
      <c r="I2438" s="952">
        <f>SUM(I2437:I2437)</f>
        <v>150</v>
      </c>
    </row>
    <row r="2439" spans="2:9" ht="15.75">
      <c r="C2439" s="949"/>
      <c r="D2439" s="946"/>
      <c r="E2439" s="947"/>
      <c r="F2439" s="1068"/>
      <c r="G2439" s="946"/>
      <c r="H2439" s="1031"/>
      <c r="I2439" s="948"/>
    </row>
    <row r="2440" spans="2:9" ht="15.75">
      <c r="C2440" s="945" t="s">
        <v>919</v>
      </c>
      <c r="D2440" s="946"/>
      <c r="E2440" s="947"/>
      <c r="F2440" s="1068"/>
      <c r="G2440" s="946"/>
      <c r="H2440" s="1031"/>
      <c r="I2440" s="948"/>
    </row>
    <row r="2441" spans="2:9" ht="15.75">
      <c r="C2441" s="949" t="s">
        <v>924</v>
      </c>
      <c r="D2441" s="953"/>
      <c r="E2441" s="954" t="str">
        <f>+VLOOKUP(C2441,'Basic (equilibrio) (2)'!B:D,2,FALSE)</f>
        <v>n/a</v>
      </c>
      <c r="F2441" s="1068">
        <f>+VLOOKUP(C2441,'Basic (equilibrio) (2)'!B:D,3,FALSE)</f>
        <v>0</v>
      </c>
      <c r="G2441" s="946">
        <v>0</v>
      </c>
      <c r="H2441" s="1031"/>
      <c r="I2441" s="948">
        <f>D2441*F2441</f>
        <v>0</v>
      </c>
    </row>
    <row r="2442" spans="2:9" ht="15.75">
      <c r="C2442" s="951" t="s">
        <v>918</v>
      </c>
      <c r="D2442" s="946"/>
      <c r="E2442" s="947"/>
      <c r="F2442" s="1054"/>
      <c r="G2442" s="946"/>
      <c r="H2442" s="1031"/>
      <c r="I2442" s="952">
        <f>SUM(I2441:I2441)</f>
        <v>0</v>
      </c>
    </row>
    <row r="2443" spans="2:9" ht="15.75">
      <c r="C2443" s="949"/>
      <c r="D2443" s="946"/>
      <c r="E2443" s="947"/>
      <c r="F2443" s="1054"/>
      <c r="G2443" s="946"/>
      <c r="H2443" s="1031"/>
      <c r="I2443" s="948"/>
    </row>
    <row r="2444" spans="2:9" ht="15.75">
      <c r="C2444" s="945" t="s">
        <v>923</v>
      </c>
      <c r="D2444" s="946"/>
      <c r="E2444" s="947"/>
      <c r="F2444" s="1054"/>
      <c r="G2444" s="946"/>
      <c r="H2444" s="1031"/>
      <c r="I2444" s="948"/>
    </row>
    <row r="2445" spans="2:9" ht="15.75">
      <c r="C2445" s="949" t="s">
        <v>924</v>
      </c>
      <c r="D2445" s="946"/>
      <c r="E2445" s="947" t="str">
        <f>+VLOOKUP(C2445,'Basic (equilibrio) (2)'!B:D,2,FALSE)</f>
        <v>n/a</v>
      </c>
      <c r="F2445" s="1054">
        <f>+VLOOKUP(C2445,'Basic (equilibrio) (2)'!B:D,3,FALSE)</f>
        <v>0</v>
      </c>
      <c r="G2445" s="946">
        <f>F2445-(F2445/1.18)</f>
        <v>0</v>
      </c>
      <c r="H2445" s="1039"/>
      <c r="I2445" s="955">
        <f>D2445*F2445</f>
        <v>0</v>
      </c>
    </row>
    <row r="2446" spans="2:9" ht="15.75">
      <c r="C2446" s="951" t="s">
        <v>918</v>
      </c>
      <c r="D2446" s="946"/>
      <c r="E2446" s="947"/>
      <c r="F2446" s="1054"/>
      <c r="G2446" s="946"/>
      <c r="H2446" s="1031"/>
      <c r="I2446" s="952">
        <f>SUM(I2445:I2445)</f>
        <v>0</v>
      </c>
    </row>
    <row r="2447" spans="2:9" ht="15.75">
      <c r="C2447" s="949"/>
      <c r="D2447" s="946"/>
      <c r="E2447" s="947"/>
      <c r="F2447" s="1054"/>
      <c r="G2447" s="946"/>
      <c r="H2447" s="1031"/>
      <c r="I2447" s="948"/>
    </row>
    <row r="2448" spans="2:9" ht="15.75">
      <c r="C2448" s="945" t="s">
        <v>925</v>
      </c>
      <c r="D2448" s="946"/>
      <c r="E2448" s="947"/>
      <c r="F2448" s="1054"/>
      <c r="G2448" s="946"/>
      <c r="H2448" s="1031"/>
      <c r="I2448" s="948"/>
    </row>
    <row r="2449" spans="2:9" ht="15.75">
      <c r="C2449" s="949" t="s">
        <v>924</v>
      </c>
      <c r="D2449" s="946"/>
      <c r="E2449" s="947" t="str">
        <f>+VLOOKUP(C2449,'Basic (equilibrio) (2)'!B:D,2,FALSE)</f>
        <v>n/a</v>
      </c>
      <c r="F2449" s="1054">
        <f>+VLOOKUP(C2449,'Basic (equilibrio) (2)'!B:D,3,FALSE)</f>
        <v>0</v>
      </c>
      <c r="G2449" s="946">
        <f>F2449-(F2449/1.18)</f>
        <v>0</v>
      </c>
      <c r="H2449" s="1031"/>
      <c r="I2449" s="948">
        <f>D2449*F2449</f>
        <v>0</v>
      </c>
    </row>
    <row r="2450" spans="2:9" ht="15.75">
      <c r="C2450" s="951" t="s">
        <v>918</v>
      </c>
      <c r="D2450" s="946"/>
      <c r="E2450" s="947"/>
      <c r="F2450" s="1054"/>
      <c r="G2450" s="946"/>
      <c r="H2450" s="1031"/>
      <c r="I2450" s="952">
        <f>SUM(I2449)</f>
        <v>0</v>
      </c>
    </row>
    <row r="2451" spans="2:9" ht="15.75">
      <c r="C2451" s="951"/>
      <c r="D2451" s="946"/>
      <c r="E2451" s="947"/>
      <c r="F2451" s="1054"/>
      <c r="G2451" s="946"/>
      <c r="H2451" s="1031"/>
      <c r="I2451" s="952"/>
    </row>
    <row r="2452" spans="2:9" ht="15.75">
      <c r="C2452" s="956" t="s">
        <v>926</v>
      </c>
      <c r="D2452" s="957"/>
      <c r="E2452" s="958"/>
      <c r="F2452" s="1069"/>
      <c r="G2452" s="957"/>
      <c r="H2452" s="1032"/>
      <c r="I2452" s="959">
        <f>+I2438</f>
        <v>150</v>
      </c>
    </row>
    <row r="2453" spans="2:9" ht="15.75">
      <c r="C2453" s="956" t="s">
        <v>927</v>
      </c>
      <c r="D2453" s="957"/>
      <c r="E2453" s="958"/>
      <c r="F2453" s="1069"/>
      <c r="G2453" s="957"/>
      <c r="H2453" s="1032"/>
      <c r="I2453" s="959">
        <f>+I2442</f>
        <v>0</v>
      </c>
    </row>
    <row r="2454" spans="2:9" ht="15.75">
      <c r="C2454" s="956" t="s">
        <v>928</v>
      </c>
      <c r="D2454" s="957"/>
      <c r="E2454" s="958"/>
      <c r="F2454" s="1069"/>
      <c r="G2454" s="957"/>
      <c r="H2454" s="1032"/>
      <c r="I2454" s="959">
        <f>+I2446</f>
        <v>0</v>
      </c>
    </row>
    <row r="2455" spans="2:9" ht="15.75">
      <c r="C2455" s="956" t="s">
        <v>929</v>
      </c>
      <c r="D2455" s="957"/>
      <c r="E2455" s="958"/>
      <c r="F2455" s="1069"/>
      <c r="G2455" s="957"/>
      <c r="H2455" s="1032"/>
      <c r="I2455" s="959">
        <f>+I2450</f>
        <v>0</v>
      </c>
    </row>
    <row r="2456" spans="2:9" ht="15.75">
      <c r="C2456" s="949"/>
      <c r="D2456" s="946"/>
      <c r="E2456" s="947"/>
      <c r="F2456" s="1054"/>
      <c r="G2456" s="946"/>
      <c r="H2456" s="1031"/>
      <c r="I2456" s="948"/>
    </row>
    <row r="2457" spans="2:9" ht="15.75">
      <c r="C2457" s="949"/>
      <c r="D2457" s="946"/>
      <c r="E2457" s="947"/>
      <c r="F2457" s="1054"/>
      <c r="G2457" s="946"/>
      <c r="H2457" s="1031"/>
      <c r="I2457" s="948"/>
    </row>
    <row r="2458" spans="2:9" ht="15.75">
      <c r="C2458" s="951" t="s">
        <v>930</v>
      </c>
      <c r="D2458" s="960"/>
      <c r="E2458" s="943" t="str">
        <f>+E2434</f>
        <v>und</v>
      </c>
      <c r="F2458" s="1070"/>
      <c r="G2458" s="960"/>
      <c r="H2458" s="1033"/>
      <c r="I2458" s="952">
        <f>SUM(I2452:I2455)</f>
        <v>150</v>
      </c>
    </row>
    <row r="2459" spans="2:9" ht="15.75">
      <c r="C2459" s="951"/>
      <c r="D2459" s="960"/>
      <c r="E2459" s="943"/>
      <c r="F2459" s="1070"/>
      <c r="G2459" s="960"/>
      <c r="H2459" s="1033"/>
      <c r="I2459" s="952"/>
    </row>
    <row r="2460" spans="2:9" ht="15.75">
      <c r="C2460" s="951"/>
      <c r="D2460" s="960"/>
      <c r="E2460" s="943"/>
      <c r="F2460" s="1070"/>
      <c r="G2460" s="960"/>
      <c r="H2460" s="1033"/>
      <c r="I2460" s="952"/>
    </row>
    <row r="2461" spans="2:9" ht="15.75">
      <c r="B2461" s="1024">
        <v>6.26</v>
      </c>
      <c r="C2461" s="937" t="str">
        <f>+Presupuesto!B146</f>
        <v>Arrayán</v>
      </c>
      <c r="D2461" s="938"/>
      <c r="E2461" s="939" t="s">
        <v>1106</v>
      </c>
      <c r="F2461" s="1066"/>
      <c r="G2461" s="938"/>
      <c r="H2461" s="1029"/>
      <c r="I2461" s="940">
        <f>I2485</f>
        <v>800</v>
      </c>
    </row>
    <row r="2462" spans="2:9" ht="15.75">
      <c r="C2462" s="941" t="s">
        <v>908</v>
      </c>
      <c r="D2462" s="942" t="s">
        <v>9</v>
      </c>
      <c r="E2462" s="943" t="s">
        <v>10</v>
      </c>
      <c r="F2462" s="1067" t="s">
        <v>909</v>
      </c>
      <c r="G2462" s="942" t="s">
        <v>910</v>
      </c>
      <c r="H2462" s="1030" t="s">
        <v>911</v>
      </c>
      <c r="I2462" s="944" t="s">
        <v>912</v>
      </c>
    </row>
    <row r="2463" spans="2:9" ht="15.75">
      <c r="C2463" s="945" t="s">
        <v>913</v>
      </c>
      <c r="D2463" s="946"/>
      <c r="E2463" s="947"/>
      <c r="F2463" s="1054"/>
      <c r="G2463" s="946"/>
      <c r="H2463" s="1031"/>
      <c r="I2463" s="948"/>
    </row>
    <row r="2464" spans="2:9" ht="15.75">
      <c r="C2464" s="949" t="s">
        <v>1536</v>
      </c>
      <c r="D2464" s="946">
        <v>1</v>
      </c>
      <c r="E2464" s="950" t="str">
        <f>+VLOOKUP(C2464,'Basic (equilibrio) (2)'!B:D,2,FALSE)</f>
        <v>ud</v>
      </c>
      <c r="F2464" s="1068">
        <f>'Basic (equilibrio) (2)'!$D$434</f>
        <v>800</v>
      </c>
      <c r="G2464" s="946">
        <f>F2464-(F2464/1.18)</f>
        <v>122.03</v>
      </c>
      <c r="H2464" s="1031"/>
      <c r="I2464" s="948">
        <f>D2464*F2464</f>
        <v>800</v>
      </c>
    </row>
    <row r="2465" spans="3:9" ht="15.75">
      <c r="C2465" s="951" t="s">
        <v>918</v>
      </c>
      <c r="D2465" s="946"/>
      <c r="E2465" s="947"/>
      <c r="F2465" s="1068"/>
      <c r="G2465" s="946"/>
      <c r="H2465" s="1031"/>
      <c r="I2465" s="952">
        <f>SUM(I2464:I2464)</f>
        <v>800</v>
      </c>
    </row>
    <row r="2466" spans="3:9" ht="15.75">
      <c r="C2466" s="949"/>
      <c r="D2466" s="946"/>
      <c r="E2466" s="947"/>
      <c r="F2466" s="1068"/>
      <c r="G2466" s="946"/>
      <c r="H2466" s="1031"/>
      <c r="I2466" s="948"/>
    </row>
    <row r="2467" spans="3:9" ht="15.75">
      <c r="C2467" s="945" t="s">
        <v>919</v>
      </c>
      <c r="D2467" s="946"/>
      <c r="E2467" s="947"/>
      <c r="F2467" s="1068"/>
      <c r="G2467" s="946"/>
      <c r="H2467" s="1031"/>
      <c r="I2467" s="948"/>
    </row>
    <row r="2468" spans="3:9" ht="15.75">
      <c r="C2468" s="949" t="s">
        <v>924</v>
      </c>
      <c r="D2468" s="953"/>
      <c r="E2468" s="954" t="str">
        <f>+VLOOKUP(C2468,'Basic (equilibrio) (2)'!B:D,2,FALSE)</f>
        <v>n/a</v>
      </c>
      <c r="F2468" s="1068">
        <f>+VLOOKUP(C2468,'Basic (equilibrio) (2)'!B:D,3,FALSE)</f>
        <v>0</v>
      </c>
      <c r="G2468" s="946">
        <v>0</v>
      </c>
      <c r="H2468" s="1031"/>
      <c r="I2468" s="948">
        <f>D2468*F2468</f>
        <v>0</v>
      </c>
    </row>
    <row r="2469" spans="3:9" ht="15.75">
      <c r="C2469" s="951" t="s">
        <v>918</v>
      </c>
      <c r="D2469" s="946"/>
      <c r="E2469" s="947"/>
      <c r="F2469" s="1054"/>
      <c r="G2469" s="946"/>
      <c r="H2469" s="1031"/>
      <c r="I2469" s="952">
        <f>SUM(I2468:I2468)</f>
        <v>0</v>
      </c>
    </row>
    <row r="2470" spans="3:9" ht="15.75">
      <c r="C2470" s="949"/>
      <c r="D2470" s="946"/>
      <c r="E2470" s="947"/>
      <c r="F2470" s="1054"/>
      <c r="G2470" s="946"/>
      <c r="H2470" s="1031"/>
      <c r="I2470" s="948"/>
    </row>
    <row r="2471" spans="3:9" ht="15.75">
      <c r="C2471" s="945" t="s">
        <v>923</v>
      </c>
      <c r="D2471" s="946"/>
      <c r="E2471" s="947"/>
      <c r="F2471" s="1054"/>
      <c r="G2471" s="946"/>
      <c r="H2471" s="1031"/>
      <c r="I2471" s="948"/>
    </row>
    <row r="2472" spans="3:9" ht="15.75">
      <c r="C2472" s="949" t="s">
        <v>924</v>
      </c>
      <c r="D2472" s="946"/>
      <c r="E2472" s="947" t="str">
        <f>+VLOOKUP(C2472,'Basic (equilibrio) (2)'!B:D,2,FALSE)</f>
        <v>n/a</v>
      </c>
      <c r="F2472" s="1054">
        <f>+VLOOKUP(C2472,'Basic (equilibrio) (2)'!B:D,3,FALSE)</f>
        <v>0</v>
      </c>
      <c r="G2472" s="946">
        <f>F2472-(F2472/1.18)</f>
        <v>0</v>
      </c>
      <c r="H2472" s="1039"/>
      <c r="I2472" s="955">
        <f>D2472*F2472</f>
        <v>0</v>
      </c>
    </row>
    <row r="2473" spans="3:9" ht="15.75">
      <c r="C2473" s="951" t="s">
        <v>918</v>
      </c>
      <c r="D2473" s="946"/>
      <c r="E2473" s="947"/>
      <c r="F2473" s="1054"/>
      <c r="G2473" s="946"/>
      <c r="H2473" s="1031"/>
      <c r="I2473" s="952">
        <f>SUM(I2472:I2472)</f>
        <v>0</v>
      </c>
    </row>
    <row r="2474" spans="3:9" ht="15.75">
      <c r="C2474" s="949"/>
      <c r="D2474" s="946"/>
      <c r="E2474" s="947"/>
      <c r="F2474" s="1054"/>
      <c r="G2474" s="946"/>
      <c r="H2474" s="1031"/>
      <c r="I2474" s="948"/>
    </row>
    <row r="2475" spans="3:9" ht="15.75">
      <c r="C2475" s="945" t="s">
        <v>925</v>
      </c>
      <c r="D2475" s="946"/>
      <c r="E2475" s="947"/>
      <c r="F2475" s="1054"/>
      <c r="G2475" s="946"/>
      <c r="H2475" s="1031"/>
      <c r="I2475" s="948"/>
    </row>
    <row r="2476" spans="3:9" ht="15.75">
      <c r="C2476" s="949" t="s">
        <v>924</v>
      </c>
      <c r="D2476" s="946"/>
      <c r="E2476" s="947" t="str">
        <f>+VLOOKUP(C2476,'Basic (equilibrio) (2)'!B:D,2,FALSE)</f>
        <v>n/a</v>
      </c>
      <c r="F2476" s="1054">
        <f>+VLOOKUP(C2476,'Basic (equilibrio) (2)'!B:D,3,FALSE)</f>
        <v>0</v>
      </c>
      <c r="G2476" s="946">
        <f>F2476-(F2476/1.18)</f>
        <v>0</v>
      </c>
      <c r="H2476" s="1031"/>
      <c r="I2476" s="948">
        <f>D2476*F2476</f>
        <v>0</v>
      </c>
    </row>
    <row r="2477" spans="3:9" ht="15.75">
      <c r="C2477" s="951" t="s">
        <v>918</v>
      </c>
      <c r="D2477" s="946"/>
      <c r="E2477" s="947"/>
      <c r="F2477" s="1054"/>
      <c r="G2477" s="946"/>
      <c r="H2477" s="1031"/>
      <c r="I2477" s="952">
        <f>SUM(I2476)</f>
        <v>0</v>
      </c>
    </row>
    <row r="2478" spans="3:9" ht="15.75">
      <c r="C2478" s="951"/>
      <c r="D2478" s="946"/>
      <c r="E2478" s="947"/>
      <c r="F2478" s="1054"/>
      <c r="G2478" s="946"/>
      <c r="H2478" s="1031"/>
      <c r="I2478" s="952"/>
    </row>
    <row r="2479" spans="3:9" ht="15.75">
      <c r="C2479" s="956" t="s">
        <v>926</v>
      </c>
      <c r="D2479" s="957"/>
      <c r="E2479" s="958"/>
      <c r="F2479" s="1069"/>
      <c r="G2479" s="957"/>
      <c r="H2479" s="1032"/>
      <c r="I2479" s="959">
        <f>+I2465</f>
        <v>800</v>
      </c>
    </row>
    <row r="2480" spans="3:9" ht="15.75">
      <c r="C2480" s="956" t="s">
        <v>927</v>
      </c>
      <c r="D2480" s="957"/>
      <c r="E2480" s="958"/>
      <c r="F2480" s="1069"/>
      <c r="G2480" s="957"/>
      <c r="H2480" s="1032"/>
      <c r="I2480" s="959">
        <f>+I2469</f>
        <v>0</v>
      </c>
    </row>
    <row r="2481" spans="2:9" ht="15.75">
      <c r="C2481" s="956" t="s">
        <v>928</v>
      </c>
      <c r="D2481" s="957"/>
      <c r="E2481" s="958"/>
      <c r="F2481" s="1069"/>
      <c r="G2481" s="957"/>
      <c r="H2481" s="1032"/>
      <c r="I2481" s="959">
        <f>+I2473</f>
        <v>0</v>
      </c>
    </row>
    <row r="2482" spans="2:9" ht="15.75">
      <c r="C2482" s="956" t="s">
        <v>929</v>
      </c>
      <c r="D2482" s="957"/>
      <c r="E2482" s="958"/>
      <c r="F2482" s="1069"/>
      <c r="G2482" s="957"/>
      <c r="H2482" s="1032"/>
      <c r="I2482" s="959">
        <f>+I2477</f>
        <v>0</v>
      </c>
    </row>
    <row r="2483" spans="2:9" ht="15.75">
      <c r="C2483" s="949"/>
      <c r="D2483" s="946"/>
      <c r="E2483" s="947"/>
      <c r="F2483" s="1054"/>
      <c r="G2483" s="946"/>
      <c r="H2483" s="1031"/>
      <c r="I2483" s="948"/>
    </row>
    <row r="2484" spans="2:9" ht="15.75">
      <c r="C2484" s="949"/>
      <c r="D2484" s="946"/>
      <c r="E2484" s="947"/>
      <c r="F2484" s="1054"/>
      <c r="G2484" s="946"/>
      <c r="H2484" s="1031"/>
      <c r="I2484" s="948"/>
    </row>
    <row r="2485" spans="2:9" ht="15.75">
      <c r="C2485" s="951" t="s">
        <v>930</v>
      </c>
      <c r="D2485" s="960"/>
      <c r="E2485" s="943" t="str">
        <f>+E2461</f>
        <v>und</v>
      </c>
      <c r="F2485" s="1070"/>
      <c r="G2485" s="960"/>
      <c r="H2485" s="1033"/>
      <c r="I2485" s="952">
        <f>SUM(I2479:I2482)</f>
        <v>800</v>
      </c>
    </row>
    <row r="2486" spans="2:9" ht="15.75">
      <c r="C2486" s="951"/>
      <c r="D2486" s="960"/>
      <c r="E2486" s="943"/>
      <c r="F2486" s="1070"/>
      <c r="G2486" s="960"/>
      <c r="H2486" s="1033"/>
      <c r="I2486" s="952"/>
    </row>
    <row r="2487" spans="2:9" ht="15.75">
      <c r="B2487" s="1024">
        <v>6.27</v>
      </c>
      <c r="C2487" s="937" t="str">
        <f>+Presupuesto!B147</f>
        <v>Busunuco</v>
      </c>
      <c r="D2487" s="938"/>
      <c r="E2487" s="939" t="s">
        <v>1106</v>
      </c>
      <c r="F2487" s="1066"/>
      <c r="G2487" s="938"/>
      <c r="H2487" s="1029"/>
      <c r="I2487" s="940">
        <f>I2511</f>
        <v>500</v>
      </c>
    </row>
    <row r="2488" spans="2:9" ht="15.75">
      <c r="C2488" s="941" t="s">
        <v>908</v>
      </c>
      <c r="D2488" s="942" t="s">
        <v>9</v>
      </c>
      <c r="E2488" s="943" t="s">
        <v>10</v>
      </c>
      <c r="F2488" s="1067" t="s">
        <v>909</v>
      </c>
      <c r="G2488" s="942" t="s">
        <v>910</v>
      </c>
      <c r="H2488" s="1030" t="s">
        <v>911</v>
      </c>
      <c r="I2488" s="944" t="s">
        <v>912</v>
      </c>
    </row>
    <row r="2489" spans="2:9" ht="15.75">
      <c r="C2489" s="945" t="s">
        <v>913</v>
      </c>
      <c r="D2489" s="946"/>
      <c r="E2489" s="947"/>
      <c r="F2489" s="1054"/>
      <c r="G2489" s="946"/>
      <c r="H2489" s="1031"/>
      <c r="I2489" s="948"/>
    </row>
    <row r="2490" spans="2:9" ht="15.75">
      <c r="C2490" s="949" t="s">
        <v>1537</v>
      </c>
      <c r="D2490" s="946">
        <v>1</v>
      </c>
      <c r="E2490" s="950" t="str">
        <f>+VLOOKUP(C2490,'Basic (equilibrio) (2)'!B:D,2,FALSE)</f>
        <v>ud</v>
      </c>
      <c r="F2490" s="1068">
        <f>'Basic (equilibrio) (2)'!$D$435</f>
        <v>500</v>
      </c>
      <c r="G2490" s="946">
        <f>F2490-(F2490/1.18)</f>
        <v>76.27</v>
      </c>
      <c r="H2490" s="1031"/>
      <c r="I2490" s="948">
        <f>D2490*F2490</f>
        <v>500</v>
      </c>
    </row>
    <row r="2491" spans="2:9" ht="15.75">
      <c r="C2491" s="951" t="s">
        <v>918</v>
      </c>
      <c r="D2491" s="946"/>
      <c r="E2491" s="947"/>
      <c r="F2491" s="1068"/>
      <c r="G2491" s="946"/>
      <c r="H2491" s="1031"/>
      <c r="I2491" s="952">
        <f>SUM(I2490:I2490)</f>
        <v>500</v>
      </c>
    </row>
    <row r="2492" spans="2:9" ht="15.75">
      <c r="C2492" s="949"/>
      <c r="D2492" s="946"/>
      <c r="E2492" s="947"/>
      <c r="F2492" s="1068"/>
      <c r="G2492" s="946"/>
      <c r="H2492" s="1031"/>
      <c r="I2492" s="948"/>
    </row>
    <row r="2493" spans="2:9" ht="15.75">
      <c r="C2493" s="945" t="s">
        <v>919</v>
      </c>
      <c r="D2493" s="946"/>
      <c r="E2493" s="947"/>
      <c r="F2493" s="1068"/>
      <c r="G2493" s="946"/>
      <c r="H2493" s="1031"/>
      <c r="I2493" s="948"/>
    </row>
    <row r="2494" spans="2:9" ht="15.75">
      <c r="C2494" s="949" t="s">
        <v>924</v>
      </c>
      <c r="D2494" s="953"/>
      <c r="E2494" s="954" t="str">
        <f>+VLOOKUP(C2494,'Basic (equilibrio) (2)'!B:D,2,FALSE)</f>
        <v>n/a</v>
      </c>
      <c r="F2494" s="1068">
        <f>+VLOOKUP(C2494,'Basic (equilibrio) (2)'!B:D,3,FALSE)</f>
        <v>0</v>
      </c>
      <c r="G2494" s="946">
        <v>0</v>
      </c>
      <c r="H2494" s="1031"/>
      <c r="I2494" s="948">
        <f>D2494*F2494</f>
        <v>0</v>
      </c>
    </row>
    <row r="2495" spans="2:9" ht="15.75">
      <c r="C2495" s="951" t="s">
        <v>918</v>
      </c>
      <c r="D2495" s="946"/>
      <c r="E2495" s="947"/>
      <c r="F2495" s="1054"/>
      <c r="G2495" s="946"/>
      <c r="H2495" s="1031"/>
      <c r="I2495" s="952">
        <f>SUM(I2494:I2494)</f>
        <v>0</v>
      </c>
    </row>
    <row r="2496" spans="2:9" ht="15.75">
      <c r="C2496" s="949"/>
      <c r="D2496" s="946"/>
      <c r="E2496" s="947"/>
      <c r="F2496" s="1054"/>
      <c r="G2496" s="946"/>
      <c r="H2496" s="1031"/>
      <c r="I2496" s="948"/>
    </row>
    <row r="2497" spans="3:9" ht="15.75">
      <c r="C2497" s="945" t="s">
        <v>923</v>
      </c>
      <c r="D2497" s="946"/>
      <c r="E2497" s="947"/>
      <c r="F2497" s="1054"/>
      <c r="G2497" s="946"/>
      <c r="H2497" s="1031"/>
      <c r="I2497" s="948"/>
    </row>
    <row r="2498" spans="3:9" ht="15.75">
      <c r="C2498" s="949" t="s">
        <v>924</v>
      </c>
      <c r="D2498" s="946"/>
      <c r="E2498" s="947" t="str">
        <f>+VLOOKUP(C2498,'Basic (equilibrio) (2)'!B:D,2,FALSE)</f>
        <v>n/a</v>
      </c>
      <c r="F2498" s="1054">
        <f>+VLOOKUP(C2498,'Basic (equilibrio) (2)'!B:D,3,FALSE)</f>
        <v>0</v>
      </c>
      <c r="G2498" s="946">
        <f>F2498-(F2498/1.18)</f>
        <v>0</v>
      </c>
      <c r="H2498" s="1039"/>
      <c r="I2498" s="955">
        <f>D2498*F2498</f>
        <v>0</v>
      </c>
    </row>
    <row r="2499" spans="3:9" ht="15.75">
      <c r="C2499" s="951" t="s">
        <v>918</v>
      </c>
      <c r="D2499" s="946"/>
      <c r="E2499" s="947"/>
      <c r="F2499" s="1054"/>
      <c r="G2499" s="946"/>
      <c r="H2499" s="1031"/>
      <c r="I2499" s="952">
        <f>SUM(I2498:I2498)</f>
        <v>0</v>
      </c>
    </row>
    <row r="2500" spans="3:9" ht="15.75">
      <c r="C2500" s="949"/>
      <c r="D2500" s="946"/>
      <c r="E2500" s="947"/>
      <c r="F2500" s="1054"/>
      <c r="G2500" s="946"/>
      <c r="H2500" s="1031"/>
      <c r="I2500" s="948"/>
    </row>
    <row r="2501" spans="3:9" ht="15.75">
      <c r="C2501" s="945" t="s">
        <v>925</v>
      </c>
      <c r="D2501" s="946"/>
      <c r="E2501" s="947"/>
      <c r="F2501" s="1054"/>
      <c r="G2501" s="946"/>
      <c r="H2501" s="1031"/>
      <c r="I2501" s="948"/>
    </row>
    <row r="2502" spans="3:9" ht="15.75">
      <c r="C2502" s="949" t="s">
        <v>924</v>
      </c>
      <c r="D2502" s="946"/>
      <c r="E2502" s="947" t="str">
        <f>+VLOOKUP(C2502,'Basic (equilibrio) (2)'!B:D,2,FALSE)</f>
        <v>n/a</v>
      </c>
      <c r="F2502" s="1054">
        <f>+VLOOKUP(C2502,'Basic (equilibrio) (2)'!B:D,3,FALSE)</f>
        <v>0</v>
      </c>
      <c r="G2502" s="946">
        <f>F2502-(F2502/1.18)</f>
        <v>0</v>
      </c>
      <c r="H2502" s="1031"/>
      <c r="I2502" s="948">
        <f>D2502*F2502</f>
        <v>0</v>
      </c>
    </row>
    <row r="2503" spans="3:9" ht="15.75">
      <c r="C2503" s="951" t="s">
        <v>918</v>
      </c>
      <c r="D2503" s="946"/>
      <c r="E2503" s="947"/>
      <c r="F2503" s="1054"/>
      <c r="G2503" s="946"/>
      <c r="H2503" s="1031"/>
      <c r="I2503" s="952">
        <f>SUM(I2502)</f>
        <v>0</v>
      </c>
    </row>
    <row r="2504" spans="3:9" ht="15.75">
      <c r="C2504" s="951"/>
      <c r="D2504" s="946"/>
      <c r="E2504" s="947"/>
      <c r="F2504" s="1054"/>
      <c r="G2504" s="946"/>
      <c r="H2504" s="1031"/>
      <c r="I2504" s="952"/>
    </row>
    <row r="2505" spans="3:9" ht="15.75">
      <c r="C2505" s="956" t="s">
        <v>926</v>
      </c>
      <c r="D2505" s="957"/>
      <c r="E2505" s="958"/>
      <c r="F2505" s="1069"/>
      <c r="G2505" s="957"/>
      <c r="H2505" s="1032"/>
      <c r="I2505" s="959">
        <f>+I2491</f>
        <v>500</v>
      </c>
    </row>
    <row r="2506" spans="3:9" ht="15.75">
      <c r="C2506" s="956" t="s">
        <v>927</v>
      </c>
      <c r="D2506" s="957"/>
      <c r="E2506" s="958"/>
      <c r="F2506" s="1069"/>
      <c r="G2506" s="957"/>
      <c r="H2506" s="1032"/>
      <c r="I2506" s="959">
        <f>+I2495</f>
        <v>0</v>
      </c>
    </row>
    <row r="2507" spans="3:9" ht="15.75">
      <c r="C2507" s="956" t="s">
        <v>928</v>
      </c>
      <c r="D2507" s="957"/>
      <c r="E2507" s="958"/>
      <c r="F2507" s="1069"/>
      <c r="G2507" s="957"/>
      <c r="H2507" s="1032"/>
      <c r="I2507" s="959">
        <f>+I2499</f>
        <v>0</v>
      </c>
    </row>
    <row r="2508" spans="3:9" ht="15.75">
      <c r="C2508" s="956" t="s">
        <v>929</v>
      </c>
      <c r="D2508" s="957"/>
      <c r="E2508" s="958"/>
      <c r="F2508" s="1069"/>
      <c r="G2508" s="957"/>
      <c r="H2508" s="1032"/>
      <c r="I2508" s="959">
        <f>+I2503</f>
        <v>0</v>
      </c>
    </row>
    <row r="2509" spans="3:9" ht="15.75">
      <c r="C2509" s="949"/>
      <c r="D2509" s="946"/>
      <c r="E2509" s="947"/>
      <c r="F2509" s="1054"/>
      <c r="G2509" s="946"/>
      <c r="H2509" s="1031"/>
      <c r="I2509" s="948"/>
    </row>
    <row r="2510" spans="3:9" ht="15.75">
      <c r="C2510" s="949"/>
      <c r="D2510" s="946"/>
      <c r="E2510" s="947"/>
      <c r="F2510" s="1054"/>
      <c r="G2510" s="946"/>
      <c r="H2510" s="1031"/>
      <c r="I2510" s="948"/>
    </row>
    <row r="2511" spans="3:9" ht="15.75">
      <c r="C2511" s="951" t="s">
        <v>930</v>
      </c>
      <c r="D2511" s="960"/>
      <c r="E2511" s="943" t="str">
        <f>+E2487</f>
        <v>und</v>
      </c>
      <c r="F2511" s="1070"/>
      <c r="G2511" s="960"/>
      <c r="H2511" s="1033"/>
      <c r="I2511" s="952">
        <f>SUM(I2505:I2508)</f>
        <v>500</v>
      </c>
    </row>
    <row r="2512" spans="3:9" ht="15.75">
      <c r="C2512" s="951"/>
      <c r="D2512" s="960"/>
      <c r="E2512" s="943"/>
      <c r="F2512" s="1070"/>
      <c r="G2512" s="960"/>
      <c r="H2512" s="1033"/>
      <c r="I2512" s="952"/>
    </row>
    <row r="2513" spans="2:9" ht="13.5" customHeight="1">
      <c r="C2513" s="951"/>
      <c r="D2513" s="960"/>
      <c r="E2513" s="943"/>
      <c r="F2513" s="1070"/>
      <c r="G2513" s="960"/>
      <c r="H2513" s="1033"/>
      <c r="I2513" s="952"/>
    </row>
    <row r="2514" spans="2:9" ht="15.75">
      <c r="B2514" s="1024">
        <v>6.28</v>
      </c>
      <c r="C2514" s="937" t="str">
        <f>+Presupuesto!B148</f>
        <v>Alelí</v>
      </c>
      <c r="D2514" s="938"/>
      <c r="E2514" s="939" t="s">
        <v>1106</v>
      </c>
      <c r="F2514" s="1066"/>
      <c r="G2514" s="938"/>
      <c r="H2514" s="1029"/>
      <c r="I2514" s="940">
        <f>I2538</f>
        <v>1575</v>
      </c>
    </row>
    <row r="2515" spans="2:9" ht="15.75">
      <c r="C2515" s="941" t="s">
        <v>908</v>
      </c>
      <c r="D2515" s="942" t="s">
        <v>9</v>
      </c>
      <c r="E2515" s="943" t="s">
        <v>10</v>
      </c>
      <c r="F2515" s="1067" t="s">
        <v>909</v>
      </c>
      <c r="G2515" s="942" t="s">
        <v>910</v>
      </c>
      <c r="H2515" s="1030" t="s">
        <v>911</v>
      </c>
      <c r="I2515" s="944" t="s">
        <v>912</v>
      </c>
    </row>
    <row r="2516" spans="2:9" ht="15.75">
      <c r="C2516" s="945" t="s">
        <v>913</v>
      </c>
      <c r="D2516" s="946"/>
      <c r="E2516" s="947"/>
      <c r="F2516" s="1054"/>
      <c r="G2516" s="946"/>
      <c r="H2516" s="1031"/>
      <c r="I2516" s="948"/>
    </row>
    <row r="2517" spans="2:9" ht="15.75">
      <c r="C2517" s="949" t="s">
        <v>1403</v>
      </c>
      <c r="D2517" s="946">
        <v>1</v>
      </c>
      <c r="E2517" s="950" t="str">
        <f>+VLOOKUP(C2517,'Basic (equilibrio) (2)'!B:D,2,FALSE)</f>
        <v>ud</v>
      </c>
      <c r="F2517" s="1068">
        <f>'Basic (equilibrio) (2)'!$D$438</f>
        <v>1575</v>
      </c>
      <c r="G2517" s="946">
        <f>F2517-(F2517/1.18)</f>
        <v>240.25</v>
      </c>
      <c r="H2517" s="1031"/>
      <c r="I2517" s="948">
        <f>D2517*F2517</f>
        <v>1575</v>
      </c>
    </row>
    <row r="2518" spans="2:9" ht="15.75">
      <c r="C2518" s="951" t="s">
        <v>918</v>
      </c>
      <c r="D2518" s="946"/>
      <c r="E2518" s="947"/>
      <c r="F2518" s="1068"/>
      <c r="G2518" s="946"/>
      <c r="H2518" s="1031"/>
      <c r="I2518" s="952">
        <f>SUM(I2517:I2517)</f>
        <v>1575</v>
      </c>
    </row>
    <row r="2519" spans="2:9" ht="15.75">
      <c r="C2519" s="949"/>
      <c r="D2519" s="946"/>
      <c r="E2519" s="947"/>
      <c r="F2519" s="1068"/>
      <c r="G2519" s="946"/>
      <c r="H2519" s="1031"/>
      <c r="I2519" s="948"/>
    </row>
    <row r="2520" spans="2:9" ht="15.75">
      <c r="C2520" s="945" t="s">
        <v>919</v>
      </c>
      <c r="D2520" s="946"/>
      <c r="E2520" s="947"/>
      <c r="F2520" s="1068"/>
      <c r="G2520" s="946"/>
      <c r="H2520" s="1031"/>
      <c r="I2520" s="948"/>
    </row>
    <row r="2521" spans="2:9" ht="15.75">
      <c r="C2521" s="949" t="s">
        <v>924</v>
      </c>
      <c r="D2521" s="953"/>
      <c r="E2521" s="954" t="str">
        <f>+VLOOKUP(C2521,'Basic (equilibrio) (2)'!B:D,2,FALSE)</f>
        <v>n/a</v>
      </c>
      <c r="F2521" s="1068">
        <f>+VLOOKUP(C2521,'Basic (equilibrio) (2)'!B:D,3,FALSE)</f>
        <v>0</v>
      </c>
      <c r="G2521" s="946">
        <v>0</v>
      </c>
      <c r="H2521" s="1031"/>
      <c r="I2521" s="948">
        <f>D2521*F2521</f>
        <v>0</v>
      </c>
    </row>
    <row r="2522" spans="2:9" ht="15.75">
      <c r="C2522" s="951" t="s">
        <v>918</v>
      </c>
      <c r="D2522" s="946"/>
      <c r="E2522" s="947"/>
      <c r="F2522" s="1054"/>
      <c r="G2522" s="946"/>
      <c r="H2522" s="1031"/>
      <c r="I2522" s="952">
        <f>SUM(I2521:I2521)</f>
        <v>0</v>
      </c>
    </row>
    <row r="2523" spans="2:9" ht="15.75">
      <c r="C2523" s="949"/>
      <c r="D2523" s="946"/>
      <c r="E2523" s="947"/>
      <c r="F2523" s="1054"/>
      <c r="G2523" s="946"/>
      <c r="H2523" s="1031"/>
      <c r="I2523" s="948"/>
    </row>
    <row r="2524" spans="2:9" ht="15.75">
      <c r="C2524" s="945" t="s">
        <v>923</v>
      </c>
      <c r="D2524" s="946"/>
      <c r="E2524" s="947"/>
      <c r="F2524" s="1054"/>
      <c r="G2524" s="946"/>
      <c r="H2524" s="1031"/>
      <c r="I2524" s="948"/>
    </row>
    <row r="2525" spans="2:9" ht="15.75">
      <c r="C2525" s="949" t="s">
        <v>924</v>
      </c>
      <c r="D2525" s="946"/>
      <c r="E2525" s="947" t="str">
        <f>+VLOOKUP(C2525,'Basic (equilibrio) (2)'!B:D,2,FALSE)</f>
        <v>n/a</v>
      </c>
      <c r="F2525" s="1054">
        <f>+VLOOKUP(C2525,'Basic (equilibrio) (2)'!B:D,3,FALSE)</f>
        <v>0</v>
      </c>
      <c r="G2525" s="946">
        <f>F2525-(F2525/1.18)</f>
        <v>0</v>
      </c>
      <c r="H2525" s="1039"/>
      <c r="I2525" s="955">
        <f>D2525*F2525</f>
        <v>0</v>
      </c>
    </row>
    <row r="2526" spans="2:9" ht="15.75">
      <c r="C2526" s="951" t="s">
        <v>918</v>
      </c>
      <c r="D2526" s="946"/>
      <c r="E2526" s="947"/>
      <c r="F2526" s="1054"/>
      <c r="G2526" s="946"/>
      <c r="H2526" s="1031"/>
      <c r="I2526" s="952">
        <f>SUM(I2525:I2525)</f>
        <v>0</v>
      </c>
    </row>
    <row r="2527" spans="2:9" ht="15.75">
      <c r="C2527" s="949"/>
      <c r="D2527" s="946"/>
      <c r="E2527" s="947"/>
      <c r="F2527" s="1054"/>
      <c r="G2527" s="946"/>
      <c r="H2527" s="1031"/>
      <c r="I2527" s="948"/>
    </row>
    <row r="2528" spans="2:9" ht="15.75">
      <c r="C2528" s="945" t="s">
        <v>925</v>
      </c>
      <c r="D2528" s="946"/>
      <c r="E2528" s="947"/>
      <c r="F2528" s="1054"/>
      <c r="G2528" s="946"/>
      <c r="H2528" s="1031"/>
      <c r="I2528" s="948"/>
    </row>
    <row r="2529" spans="2:9" ht="15.75">
      <c r="C2529" s="949" t="s">
        <v>924</v>
      </c>
      <c r="D2529" s="946"/>
      <c r="E2529" s="947" t="str">
        <f>+VLOOKUP(C2529,'Basic (equilibrio) (2)'!B:D,2,FALSE)</f>
        <v>n/a</v>
      </c>
      <c r="F2529" s="1054">
        <f>+VLOOKUP(C2529,'Basic (equilibrio) (2)'!B:D,3,FALSE)</f>
        <v>0</v>
      </c>
      <c r="G2529" s="946">
        <f>F2529-(F2529/1.18)</f>
        <v>0</v>
      </c>
      <c r="H2529" s="1031"/>
      <c r="I2529" s="948">
        <f>D2529*F2529</f>
        <v>0</v>
      </c>
    </row>
    <row r="2530" spans="2:9" ht="15.75">
      <c r="C2530" s="951" t="s">
        <v>918</v>
      </c>
      <c r="D2530" s="946"/>
      <c r="E2530" s="947"/>
      <c r="F2530" s="1054"/>
      <c r="G2530" s="946"/>
      <c r="H2530" s="1031"/>
      <c r="I2530" s="952">
        <f>SUM(I2529)</f>
        <v>0</v>
      </c>
    </row>
    <row r="2531" spans="2:9" ht="15.75">
      <c r="C2531" s="951"/>
      <c r="D2531" s="946"/>
      <c r="E2531" s="947"/>
      <c r="F2531" s="1054"/>
      <c r="G2531" s="946"/>
      <c r="H2531" s="1031"/>
      <c r="I2531" s="952"/>
    </row>
    <row r="2532" spans="2:9" ht="15.75">
      <c r="C2532" s="956" t="s">
        <v>926</v>
      </c>
      <c r="D2532" s="957"/>
      <c r="E2532" s="958"/>
      <c r="F2532" s="1069"/>
      <c r="G2532" s="957"/>
      <c r="H2532" s="1032"/>
      <c r="I2532" s="959">
        <f>+I2518</f>
        <v>1575</v>
      </c>
    </row>
    <row r="2533" spans="2:9" ht="15.75">
      <c r="C2533" s="956" t="s">
        <v>927</v>
      </c>
      <c r="D2533" s="957"/>
      <c r="E2533" s="958"/>
      <c r="F2533" s="1069"/>
      <c r="G2533" s="957"/>
      <c r="H2533" s="1032"/>
      <c r="I2533" s="959">
        <f>+I2522</f>
        <v>0</v>
      </c>
    </row>
    <row r="2534" spans="2:9" ht="15.75">
      <c r="C2534" s="956" t="s">
        <v>928</v>
      </c>
      <c r="D2534" s="957"/>
      <c r="E2534" s="958"/>
      <c r="F2534" s="1069"/>
      <c r="G2534" s="957"/>
      <c r="H2534" s="1032"/>
      <c r="I2534" s="959">
        <f>+I2526</f>
        <v>0</v>
      </c>
    </row>
    <row r="2535" spans="2:9" ht="15.75">
      <c r="C2535" s="956" t="s">
        <v>929</v>
      </c>
      <c r="D2535" s="957"/>
      <c r="E2535" s="958"/>
      <c r="F2535" s="1069"/>
      <c r="G2535" s="957"/>
      <c r="H2535" s="1032"/>
      <c r="I2535" s="959">
        <f>+I2530</f>
        <v>0</v>
      </c>
    </row>
    <row r="2536" spans="2:9" ht="15.75">
      <c r="C2536" s="949"/>
      <c r="D2536" s="946"/>
      <c r="E2536" s="947"/>
      <c r="F2536" s="1054"/>
      <c r="G2536" s="946"/>
      <c r="H2536" s="1031"/>
      <c r="I2536" s="948"/>
    </row>
    <row r="2537" spans="2:9" ht="15.75">
      <c r="C2537" s="949"/>
      <c r="D2537" s="946"/>
      <c r="E2537" s="947"/>
      <c r="F2537" s="1054"/>
      <c r="G2537" s="946"/>
      <c r="H2537" s="1031"/>
      <c r="I2537" s="948"/>
    </row>
    <row r="2538" spans="2:9" ht="15.75">
      <c r="C2538" s="951" t="s">
        <v>930</v>
      </c>
      <c r="D2538" s="960"/>
      <c r="E2538" s="943" t="str">
        <f>+E2514</f>
        <v>und</v>
      </c>
      <c r="F2538" s="1070"/>
      <c r="G2538" s="960"/>
      <c r="H2538" s="1033"/>
      <c r="I2538" s="952">
        <f>SUM(I2532:I2535)</f>
        <v>1575</v>
      </c>
    </row>
    <row r="2539" spans="2:9" ht="15.75">
      <c r="C2539" s="951"/>
      <c r="D2539" s="960"/>
      <c r="E2539" s="943"/>
      <c r="F2539" s="1070"/>
      <c r="G2539" s="960"/>
      <c r="H2539" s="1033"/>
      <c r="I2539" s="952"/>
    </row>
    <row r="2540" spans="2:9" ht="15.75">
      <c r="C2540" s="951"/>
      <c r="D2540" s="960"/>
      <c r="E2540" s="943"/>
      <c r="F2540" s="1070"/>
      <c r="G2540" s="960"/>
      <c r="H2540" s="1033"/>
      <c r="I2540" s="952"/>
    </row>
    <row r="2541" spans="2:9" ht="15.75">
      <c r="B2541" s="1024">
        <v>6.29</v>
      </c>
      <c r="C2541" s="937" t="str">
        <f>+Presupuesto!B149</f>
        <v>Saúco amarillo</v>
      </c>
      <c r="D2541" s="938"/>
      <c r="E2541" s="939" t="s">
        <v>1106</v>
      </c>
      <c r="F2541" s="1066"/>
      <c r="G2541" s="938"/>
      <c r="H2541" s="1029"/>
      <c r="I2541" s="940">
        <f>I2565</f>
        <v>400</v>
      </c>
    </row>
    <row r="2542" spans="2:9" ht="15.75">
      <c r="C2542" s="941" t="s">
        <v>908</v>
      </c>
      <c r="D2542" s="942" t="s">
        <v>9</v>
      </c>
      <c r="E2542" s="943" t="s">
        <v>10</v>
      </c>
      <c r="F2542" s="1067" t="s">
        <v>909</v>
      </c>
      <c r="G2542" s="942" t="s">
        <v>910</v>
      </c>
      <c r="H2542" s="1030" t="s">
        <v>911</v>
      </c>
      <c r="I2542" s="944" t="s">
        <v>912</v>
      </c>
    </row>
    <row r="2543" spans="2:9" ht="15.75">
      <c r="C2543" s="945" t="s">
        <v>913</v>
      </c>
      <c r="D2543" s="946"/>
      <c r="E2543" s="947"/>
      <c r="F2543" s="1054"/>
      <c r="G2543" s="946"/>
      <c r="H2543" s="1031"/>
      <c r="I2543" s="948"/>
    </row>
    <row r="2544" spans="2:9" ht="15.75">
      <c r="C2544" s="949" t="s">
        <v>1538</v>
      </c>
      <c r="D2544" s="946">
        <v>1</v>
      </c>
      <c r="E2544" s="950" t="str">
        <f>+VLOOKUP(C2544,'Basic (equilibrio) (2)'!B:D,2,FALSE)</f>
        <v>ud</v>
      </c>
      <c r="F2544" s="1068">
        <f>'Basic (equilibrio) (2)'!$D$430</f>
        <v>400</v>
      </c>
      <c r="G2544" s="946">
        <f>F2544-(F2544/1.18)</f>
        <v>61.02</v>
      </c>
      <c r="H2544" s="1031"/>
      <c r="I2544" s="948">
        <f>D2544*F2544</f>
        <v>400</v>
      </c>
    </row>
    <row r="2545" spans="3:9" ht="15.75">
      <c r="C2545" s="951" t="s">
        <v>918</v>
      </c>
      <c r="D2545" s="946"/>
      <c r="E2545" s="947"/>
      <c r="F2545" s="1068"/>
      <c r="G2545" s="946"/>
      <c r="H2545" s="1031"/>
      <c r="I2545" s="952">
        <f>SUM(I2544:I2544)</f>
        <v>400</v>
      </c>
    </row>
    <row r="2546" spans="3:9" ht="15.75">
      <c r="C2546" s="949"/>
      <c r="D2546" s="946"/>
      <c r="E2546" s="947"/>
      <c r="F2546" s="1068"/>
      <c r="G2546" s="946"/>
      <c r="H2546" s="1031"/>
      <c r="I2546" s="948"/>
    </row>
    <row r="2547" spans="3:9" ht="15.75">
      <c r="C2547" s="945" t="s">
        <v>919</v>
      </c>
      <c r="D2547" s="946"/>
      <c r="E2547" s="947"/>
      <c r="F2547" s="1068"/>
      <c r="G2547" s="946"/>
      <c r="H2547" s="1031"/>
      <c r="I2547" s="948"/>
    </row>
    <row r="2548" spans="3:9" ht="15.75">
      <c r="C2548" s="949" t="s">
        <v>924</v>
      </c>
      <c r="D2548" s="953"/>
      <c r="E2548" s="954" t="str">
        <f>+VLOOKUP(C2548,'Basic (equilibrio) (2)'!B:D,2,FALSE)</f>
        <v>n/a</v>
      </c>
      <c r="F2548" s="1068">
        <f>+VLOOKUP(C2548,'Basic (equilibrio) (2)'!B:D,3,FALSE)</f>
        <v>0</v>
      </c>
      <c r="G2548" s="946">
        <v>0</v>
      </c>
      <c r="H2548" s="1031"/>
      <c r="I2548" s="948">
        <f>D2548*F2548</f>
        <v>0</v>
      </c>
    </row>
    <row r="2549" spans="3:9" ht="15.75">
      <c r="C2549" s="951" t="s">
        <v>918</v>
      </c>
      <c r="D2549" s="946"/>
      <c r="E2549" s="947"/>
      <c r="F2549" s="1054"/>
      <c r="G2549" s="946"/>
      <c r="H2549" s="1031"/>
      <c r="I2549" s="952">
        <f>SUM(I2548:I2548)</f>
        <v>0</v>
      </c>
    </row>
    <row r="2550" spans="3:9" ht="15.75">
      <c r="C2550" s="949"/>
      <c r="D2550" s="946"/>
      <c r="E2550" s="947"/>
      <c r="F2550" s="1054"/>
      <c r="G2550" s="946"/>
      <c r="H2550" s="1031"/>
      <c r="I2550" s="948"/>
    </row>
    <row r="2551" spans="3:9" ht="15.75">
      <c r="C2551" s="945" t="s">
        <v>923</v>
      </c>
      <c r="D2551" s="946"/>
      <c r="E2551" s="947"/>
      <c r="F2551" s="1054"/>
      <c r="G2551" s="946"/>
      <c r="H2551" s="1031"/>
      <c r="I2551" s="948"/>
    </row>
    <row r="2552" spans="3:9" ht="15.75">
      <c r="C2552" s="949" t="s">
        <v>924</v>
      </c>
      <c r="D2552" s="946"/>
      <c r="E2552" s="947" t="str">
        <f>+VLOOKUP(C2552,'Basic (equilibrio) (2)'!B:D,2,FALSE)</f>
        <v>n/a</v>
      </c>
      <c r="F2552" s="1054">
        <f>+VLOOKUP(C2552,'Basic (equilibrio) (2)'!B:D,3,FALSE)</f>
        <v>0</v>
      </c>
      <c r="G2552" s="946">
        <f>F2552-(F2552/1.18)</f>
        <v>0</v>
      </c>
      <c r="H2552" s="1039"/>
      <c r="I2552" s="955">
        <f>D2552*F2552</f>
        <v>0</v>
      </c>
    </row>
    <row r="2553" spans="3:9" ht="15.75">
      <c r="C2553" s="951" t="s">
        <v>918</v>
      </c>
      <c r="D2553" s="946"/>
      <c r="E2553" s="947"/>
      <c r="F2553" s="1054"/>
      <c r="G2553" s="946"/>
      <c r="H2553" s="1031"/>
      <c r="I2553" s="952">
        <f>SUM(I2552:I2552)</f>
        <v>0</v>
      </c>
    </row>
    <row r="2554" spans="3:9" ht="15.75">
      <c r="C2554" s="949"/>
      <c r="D2554" s="946"/>
      <c r="E2554" s="947"/>
      <c r="F2554" s="1054"/>
      <c r="G2554" s="946"/>
      <c r="H2554" s="1031"/>
      <c r="I2554" s="948"/>
    </row>
    <row r="2555" spans="3:9" ht="15.75">
      <c r="C2555" s="945" t="s">
        <v>925</v>
      </c>
      <c r="D2555" s="946"/>
      <c r="E2555" s="947"/>
      <c r="F2555" s="1054"/>
      <c r="G2555" s="946"/>
      <c r="H2555" s="1031"/>
      <c r="I2555" s="948"/>
    </row>
    <row r="2556" spans="3:9" ht="15.75">
      <c r="C2556" s="949" t="s">
        <v>924</v>
      </c>
      <c r="D2556" s="946"/>
      <c r="E2556" s="947" t="str">
        <f>+VLOOKUP(C2556,'Basic (equilibrio) (2)'!B:D,2,FALSE)</f>
        <v>n/a</v>
      </c>
      <c r="F2556" s="1054">
        <f>+VLOOKUP(C2556,'Basic (equilibrio) (2)'!B:D,3,FALSE)</f>
        <v>0</v>
      </c>
      <c r="G2556" s="946">
        <f>F2556-(F2556/1.18)</f>
        <v>0</v>
      </c>
      <c r="H2556" s="1031"/>
      <c r="I2556" s="948">
        <f>D2556*F2556</f>
        <v>0</v>
      </c>
    </row>
    <row r="2557" spans="3:9" ht="15.75">
      <c r="C2557" s="951" t="s">
        <v>918</v>
      </c>
      <c r="D2557" s="946"/>
      <c r="E2557" s="947"/>
      <c r="F2557" s="1054"/>
      <c r="G2557" s="946"/>
      <c r="H2557" s="1031"/>
      <c r="I2557" s="952">
        <f>SUM(I2556)</f>
        <v>0</v>
      </c>
    </row>
    <row r="2558" spans="3:9" ht="15.75">
      <c r="C2558" s="951"/>
      <c r="D2558" s="946"/>
      <c r="E2558" s="947"/>
      <c r="F2558" s="1054"/>
      <c r="G2558" s="946"/>
      <c r="H2558" s="1031"/>
      <c r="I2558" s="952"/>
    </row>
    <row r="2559" spans="3:9" ht="15.75">
      <c r="C2559" s="956" t="s">
        <v>926</v>
      </c>
      <c r="D2559" s="957"/>
      <c r="E2559" s="958"/>
      <c r="F2559" s="1069"/>
      <c r="G2559" s="957"/>
      <c r="H2559" s="1032"/>
      <c r="I2559" s="959">
        <f>+I2545</f>
        <v>400</v>
      </c>
    </row>
    <row r="2560" spans="3:9" ht="15.75">
      <c r="C2560" s="956" t="s">
        <v>927</v>
      </c>
      <c r="D2560" s="957"/>
      <c r="E2560" s="958"/>
      <c r="F2560" s="1069"/>
      <c r="G2560" s="957"/>
      <c r="H2560" s="1032"/>
      <c r="I2560" s="959">
        <f>+I2549</f>
        <v>0</v>
      </c>
    </row>
    <row r="2561" spans="2:9" ht="15.75">
      <c r="C2561" s="956" t="s">
        <v>928</v>
      </c>
      <c r="D2561" s="957"/>
      <c r="E2561" s="958"/>
      <c r="F2561" s="1069"/>
      <c r="G2561" s="957"/>
      <c r="H2561" s="1032"/>
      <c r="I2561" s="959">
        <f>+I2553</f>
        <v>0</v>
      </c>
    </row>
    <row r="2562" spans="2:9" ht="15.75">
      <c r="C2562" s="956" t="s">
        <v>929</v>
      </c>
      <c r="D2562" s="957"/>
      <c r="E2562" s="958"/>
      <c r="F2562" s="1069"/>
      <c r="G2562" s="957"/>
      <c r="H2562" s="1032"/>
      <c r="I2562" s="959">
        <f>+I2557</f>
        <v>0</v>
      </c>
    </row>
    <row r="2563" spans="2:9" ht="15.75">
      <c r="C2563" s="949"/>
      <c r="D2563" s="946"/>
      <c r="E2563" s="947"/>
      <c r="F2563" s="1054"/>
      <c r="G2563" s="946"/>
      <c r="H2563" s="1031"/>
      <c r="I2563" s="948"/>
    </row>
    <row r="2564" spans="2:9" ht="15.75">
      <c r="C2564" s="949"/>
      <c r="D2564" s="946"/>
      <c r="E2564" s="947"/>
      <c r="F2564" s="1054"/>
      <c r="G2564" s="946"/>
      <c r="H2564" s="1031"/>
      <c r="I2564" s="948"/>
    </row>
    <row r="2565" spans="2:9" ht="15.75">
      <c r="C2565" s="951" t="s">
        <v>930</v>
      </c>
      <c r="D2565" s="960"/>
      <c r="E2565" s="943" t="str">
        <f>+E2541</f>
        <v>und</v>
      </c>
      <c r="F2565" s="1070"/>
      <c r="G2565" s="960"/>
      <c r="H2565" s="1033"/>
      <c r="I2565" s="952">
        <f>SUM(I2559:I2562)</f>
        <v>400</v>
      </c>
    </row>
    <row r="2566" spans="2:9" ht="15.75">
      <c r="C2566" s="951"/>
      <c r="D2566" s="960"/>
      <c r="E2566" s="943"/>
      <c r="F2566" s="1070"/>
      <c r="G2566" s="960"/>
      <c r="H2566" s="1033"/>
      <c r="I2566" s="952"/>
    </row>
    <row r="2567" spans="2:9" ht="15.75">
      <c r="C2567" s="951"/>
      <c r="D2567" s="960"/>
      <c r="E2567" s="943"/>
      <c r="F2567" s="1070"/>
      <c r="G2567" s="960"/>
      <c r="H2567" s="1033"/>
      <c r="I2567" s="952"/>
    </row>
    <row r="2568" spans="2:9" ht="15.75">
      <c r="B2568" s="1057">
        <v>6.3</v>
      </c>
      <c r="C2568" s="937" t="str">
        <f>+Presupuesto!B150</f>
        <v>Doña Sanica</v>
      </c>
      <c r="D2568" s="938"/>
      <c r="E2568" s="939" t="s">
        <v>1106</v>
      </c>
      <c r="F2568" s="1066"/>
      <c r="G2568" s="938"/>
      <c r="H2568" s="1029"/>
      <c r="I2568" s="940">
        <f>I2592</f>
        <v>42</v>
      </c>
    </row>
    <row r="2569" spans="2:9" ht="15.75">
      <c r="C2569" s="941" t="s">
        <v>908</v>
      </c>
      <c r="D2569" s="942" t="s">
        <v>9</v>
      </c>
      <c r="E2569" s="943" t="s">
        <v>10</v>
      </c>
      <c r="F2569" s="1067" t="s">
        <v>909</v>
      </c>
      <c r="G2569" s="942" t="s">
        <v>910</v>
      </c>
      <c r="H2569" s="1030" t="s">
        <v>911</v>
      </c>
      <c r="I2569" s="944" t="s">
        <v>912</v>
      </c>
    </row>
    <row r="2570" spans="2:9" ht="15.75">
      <c r="C2570" s="945" t="s">
        <v>913</v>
      </c>
      <c r="D2570" s="946"/>
      <c r="E2570" s="947"/>
      <c r="F2570" s="1054"/>
      <c r="G2570" s="946"/>
      <c r="H2570" s="1031"/>
      <c r="I2570" s="948"/>
    </row>
    <row r="2571" spans="2:9" ht="15.75">
      <c r="C2571" s="949" t="s">
        <v>1398</v>
      </c>
      <c r="D2571" s="946">
        <v>1</v>
      </c>
      <c r="E2571" s="950" t="str">
        <f>+VLOOKUP(C2571,'Basic (equilibrio) (2)'!B:D,2,FALSE)</f>
        <v>ud</v>
      </c>
      <c r="F2571" s="1068">
        <f>'Basic (equilibrio) (2)'!$D$429</f>
        <v>42</v>
      </c>
      <c r="G2571" s="946">
        <f>F2571-(F2571/1.18)</f>
        <v>6.41</v>
      </c>
      <c r="H2571" s="1031"/>
      <c r="I2571" s="948">
        <f>D2571*F2571</f>
        <v>42</v>
      </c>
    </row>
    <row r="2572" spans="2:9" ht="15.75">
      <c r="C2572" s="951" t="s">
        <v>918</v>
      </c>
      <c r="D2572" s="946"/>
      <c r="E2572" s="947"/>
      <c r="F2572" s="1068"/>
      <c r="G2572" s="946"/>
      <c r="H2572" s="1031"/>
      <c r="I2572" s="952">
        <f>SUM(I2571:I2571)</f>
        <v>42</v>
      </c>
    </row>
    <row r="2573" spans="2:9" ht="15.75">
      <c r="C2573" s="949"/>
      <c r="D2573" s="946"/>
      <c r="E2573" s="947"/>
      <c r="F2573" s="1068"/>
      <c r="G2573" s="946"/>
      <c r="H2573" s="1031"/>
      <c r="I2573" s="948"/>
    </row>
    <row r="2574" spans="2:9" ht="15.75">
      <c r="C2574" s="945" t="s">
        <v>919</v>
      </c>
      <c r="D2574" s="946"/>
      <c r="E2574" s="947"/>
      <c r="F2574" s="1068"/>
      <c r="G2574" s="946"/>
      <c r="H2574" s="1031"/>
      <c r="I2574" s="948"/>
    </row>
    <row r="2575" spans="2:9" ht="15.75">
      <c r="C2575" s="949" t="s">
        <v>924</v>
      </c>
      <c r="D2575" s="953"/>
      <c r="E2575" s="954" t="str">
        <f>+VLOOKUP(C2575,'Basic (equilibrio) (2)'!B:D,2,FALSE)</f>
        <v>n/a</v>
      </c>
      <c r="F2575" s="1068">
        <f>+VLOOKUP(C2575,'Basic (equilibrio) (2)'!B:D,3,FALSE)</f>
        <v>0</v>
      </c>
      <c r="G2575" s="946">
        <v>0</v>
      </c>
      <c r="H2575" s="1031"/>
      <c r="I2575" s="948">
        <f>D2575*F2575</f>
        <v>0</v>
      </c>
    </row>
    <row r="2576" spans="2:9" ht="15.75">
      <c r="C2576" s="951" t="s">
        <v>918</v>
      </c>
      <c r="D2576" s="946"/>
      <c r="E2576" s="947"/>
      <c r="F2576" s="1054"/>
      <c r="G2576" s="946"/>
      <c r="H2576" s="1031"/>
      <c r="I2576" s="952">
        <f>SUM(I2575:I2575)</f>
        <v>0</v>
      </c>
    </row>
    <row r="2577" spans="3:9" ht="15.75">
      <c r="C2577" s="949"/>
      <c r="D2577" s="946"/>
      <c r="E2577" s="947"/>
      <c r="F2577" s="1054"/>
      <c r="G2577" s="946"/>
      <c r="H2577" s="1031"/>
      <c r="I2577" s="948"/>
    </row>
    <row r="2578" spans="3:9" ht="15.75">
      <c r="C2578" s="945" t="s">
        <v>923</v>
      </c>
      <c r="D2578" s="946"/>
      <c r="E2578" s="947"/>
      <c r="F2578" s="1054"/>
      <c r="G2578" s="946"/>
      <c r="H2578" s="1031"/>
      <c r="I2578" s="948"/>
    </row>
    <row r="2579" spans="3:9" ht="15.75">
      <c r="C2579" s="949" t="s">
        <v>924</v>
      </c>
      <c r="D2579" s="946"/>
      <c r="E2579" s="947" t="str">
        <f>+VLOOKUP(C2579,'Basic (equilibrio) (2)'!B:D,2,FALSE)</f>
        <v>n/a</v>
      </c>
      <c r="F2579" s="1054">
        <f>+VLOOKUP(C2579,'Basic (equilibrio) (2)'!B:D,3,FALSE)</f>
        <v>0</v>
      </c>
      <c r="G2579" s="946">
        <f>F2579-(F2579/1.18)</f>
        <v>0</v>
      </c>
      <c r="H2579" s="1039"/>
      <c r="I2579" s="955">
        <f>D2579*F2579</f>
        <v>0</v>
      </c>
    </row>
    <row r="2580" spans="3:9" ht="15.75">
      <c r="C2580" s="951" t="s">
        <v>918</v>
      </c>
      <c r="D2580" s="946"/>
      <c r="E2580" s="947"/>
      <c r="F2580" s="1054"/>
      <c r="G2580" s="946"/>
      <c r="H2580" s="1031"/>
      <c r="I2580" s="952">
        <f>SUM(I2579:I2579)</f>
        <v>0</v>
      </c>
    </row>
    <row r="2581" spans="3:9" ht="15.75">
      <c r="C2581" s="949"/>
      <c r="D2581" s="946"/>
      <c r="E2581" s="947"/>
      <c r="F2581" s="1054"/>
      <c r="G2581" s="946"/>
      <c r="H2581" s="1031"/>
      <c r="I2581" s="948"/>
    </row>
    <row r="2582" spans="3:9" ht="15.75">
      <c r="C2582" s="945" t="s">
        <v>925</v>
      </c>
      <c r="D2582" s="946"/>
      <c r="E2582" s="947"/>
      <c r="F2582" s="1054"/>
      <c r="G2582" s="946"/>
      <c r="H2582" s="1031"/>
      <c r="I2582" s="948"/>
    </row>
    <row r="2583" spans="3:9" ht="15.75">
      <c r="C2583" s="949" t="s">
        <v>924</v>
      </c>
      <c r="D2583" s="946"/>
      <c r="E2583" s="947" t="str">
        <f>+VLOOKUP(C2583,'Basic (equilibrio) (2)'!B:D,2,FALSE)</f>
        <v>n/a</v>
      </c>
      <c r="F2583" s="1054">
        <f>+VLOOKUP(C2583,'Basic (equilibrio) (2)'!B:D,3,FALSE)</f>
        <v>0</v>
      </c>
      <c r="G2583" s="946">
        <f>F2583-(F2583/1.18)</f>
        <v>0</v>
      </c>
      <c r="H2583" s="1031"/>
      <c r="I2583" s="948">
        <f>D2583*F2583</f>
        <v>0</v>
      </c>
    </row>
    <row r="2584" spans="3:9" ht="15.75">
      <c r="C2584" s="951" t="s">
        <v>918</v>
      </c>
      <c r="D2584" s="946"/>
      <c r="E2584" s="947"/>
      <c r="F2584" s="1054"/>
      <c r="G2584" s="946"/>
      <c r="H2584" s="1031"/>
      <c r="I2584" s="952">
        <f>SUM(I2583)</f>
        <v>0</v>
      </c>
    </row>
    <row r="2585" spans="3:9" ht="15.75">
      <c r="C2585" s="951"/>
      <c r="D2585" s="946"/>
      <c r="E2585" s="947"/>
      <c r="F2585" s="1054"/>
      <c r="G2585" s="946"/>
      <c r="H2585" s="1031"/>
      <c r="I2585" s="952"/>
    </row>
    <row r="2586" spans="3:9" ht="15.75">
      <c r="C2586" s="956" t="s">
        <v>926</v>
      </c>
      <c r="D2586" s="957"/>
      <c r="E2586" s="958"/>
      <c r="F2586" s="1069"/>
      <c r="G2586" s="957"/>
      <c r="H2586" s="1032"/>
      <c r="I2586" s="959">
        <f>+I2572</f>
        <v>42</v>
      </c>
    </row>
    <row r="2587" spans="3:9" ht="15.75">
      <c r="C2587" s="956" t="s">
        <v>927</v>
      </c>
      <c r="D2587" s="957"/>
      <c r="E2587" s="958"/>
      <c r="F2587" s="1069"/>
      <c r="G2587" s="957"/>
      <c r="H2587" s="1032"/>
      <c r="I2587" s="959">
        <f>+I2576</f>
        <v>0</v>
      </c>
    </row>
    <row r="2588" spans="3:9" ht="15.75">
      <c r="C2588" s="956" t="s">
        <v>928</v>
      </c>
      <c r="D2588" s="957"/>
      <c r="E2588" s="958"/>
      <c r="F2588" s="1069"/>
      <c r="G2588" s="957"/>
      <c r="H2588" s="1032"/>
      <c r="I2588" s="959">
        <f>+I2580</f>
        <v>0</v>
      </c>
    </row>
    <row r="2589" spans="3:9" ht="15.75">
      <c r="C2589" s="956" t="s">
        <v>929</v>
      </c>
      <c r="D2589" s="957"/>
      <c r="E2589" s="958"/>
      <c r="F2589" s="1069"/>
      <c r="G2589" s="957"/>
      <c r="H2589" s="1032"/>
      <c r="I2589" s="959">
        <f>+I2584</f>
        <v>0</v>
      </c>
    </row>
    <row r="2590" spans="3:9" ht="15.75">
      <c r="C2590" s="949"/>
      <c r="D2590" s="946"/>
      <c r="E2590" s="947"/>
      <c r="F2590" s="1054"/>
      <c r="G2590" s="946"/>
      <c r="H2590" s="1031"/>
      <c r="I2590" s="948"/>
    </row>
    <row r="2591" spans="3:9" ht="15.75">
      <c r="C2591" s="949"/>
      <c r="D2591" s="946"/>
      <c r="E2591" s="947"/>
      <c r="F2591" s="1054"/>
      <c r="G2591" s="946"/>
      <c r="H2591" s="1031"/>
      <c r="I2591" s="948"/>
    </row>
    <row r="2592" spans="3:9" ht="15.75">
      <c r="C2592" s="951" t="s">
        <v>930</v>
      </c>
      <c r="D2592" s="960"/>
      <c r="E2592" s="943" t="str">
        <f>+E2568</f>
        <v>und</v>
      </c>
      <c r="F2592" s="1070"/>
      <c r="G2592" s="960"/>
      <c r="H2592" s="1033"/>
      <c r="I2592" s="952">
        <f>SUM(I2586:I2589)</f>
        <v>42</v>
      </c>
    </row>
    <row r="2593" spans="2:9" ht="15.75">
      <c r="C2593" s="951"/>
      <c r="D2593" s="960"/>
      <c r="E2593" s="943"/>
      <c r="F2593" s="1070"/>
      <c r="G2593" s="960"/>
      <c r="H2593" s="1033"/>
      <c r="I2593" s="952"/>
    </row>
    <row r="2594" spans="2:9" ht="15.75">
      <c r="C2594" s="951"/>
      <c r="D2594" s="960"/>
      <c r="E2594" s="943"/>
      <c r="F2594" s="1070"/>
      <c r="G2594" s="960"/>
      <c r="H2594" s="1033"/>
      <c r="I2594" s="952"/>
    </row>
    <row r="2595" spans="2:9" ht="15.75">
      <c r="B2595" s="1024">
        <v>6.31</v>
      </c>
      <c r="C2595" s="937" t="str">
        <f>+Presupuesto!B151</f>
        <v>Oreja de Elefante</v>
      </c>
      <c r="D2595" s="938"/>
      <c r="E2595" s="939" t="s">
        <v>1106</v>
      </c>
      <c r="F2595" s="1066"/>
      <c r="G2595" s="938"/>
      <c r="H2595" s="1029"/>
      <c r="I2595" s="940">
        <f>I2619</f>
        <v>400</v>
      </c>
    </row>
    <row r="2596" spans="2:9" ht="15.75">
      <c r="C2596" s="941" t="s">
        <v>908</v>
      </c>
      <c r="D2596" s="942" t="s">
        <v>9</v>
      </c>
      <c r="E2596" s="943" t="s">
        <v>10</v>
      </c>
      <c r="F2596" s="1067" t="s">
        <v>909</v>
      </c>
      <c r="G2596" s="942" t="s">
        <v>910</v>
      </c>
      <c r="H2596" s="1030" t="s">
        <v>911</v>
      </c>
      <c r="I2596" s="944" t="s">
        <v>912</v>
      </c>
    </row>
    <row r="2597" spans="2:9" ht="15.75">
      <c r="C2597" s="945" t="s">
        <v>913</v>
      </c>
      <c r="D2597" s="946"/>
      <c r="E2597" s="947"/>
      <c r="F2597" s="1054"/>
      <c r="G2597" s="946"/>
      <c r="H2597" s="1031"/>
      <c r="I2597" s="948"/>
    </row>
    <row r="2598" spans="2:9" ht="15.75">
      <c r="C2598" s="949" t="s">
        <v>1539</v>
      </c>
      <c r="D2598" s="946">
        <v>1</v>
      </c>
      <c r="E2598" s="950" t="str">
        <f>+VLOOKUP(C2598,'Basic (equilibrio) (2)'!B:D,2,FALSE)</f>
        <v>ud</v>
      </c>
      <c r="F2598" s="1068">
        <f>'Basic (equilibrio) (2)'!$D$439</f>
        <v>400</v>
      </c>
      <c r="G2598" s="946">
        <f>F2598-(F2598/1.18)</f>
        <v>61.02</v>
      </c>
      <c r="H2598" s="1031"/>
      <c r="I2598" s="948">
        <f>D2598*F2598</f>
        <v>400</v>
      </c>
    </row>
    <row r="2599" spans="2:9" ht="15.75">
      <c r="C2599" s="951" t="s">
        <v>918</v>
      </c>
      <c r="D2599" s="946"/>
      <c r="E2599" s="947"/>
      <c r="F2599" s="1068"/>
      <c r="G2599" s="946"/>
      <c r="H2599" s="1031"/>
      <c r="I2599" s="952">
        <f>SUM(I2598:I2598)</f>
        <v>400</v>
      </c>
    </row>
    <row r="2600" spans="2:9" ht="15.75">
      <c r="C2600" s="949"/>
      <c r="D2600" s="946"/>
      <c r="E2600" s="947"/>
      <c r="F2600" s="1068"/>
      <c r="G2600" s="946"/>
      <c r="H2600" s="1031"/>
      <c r="I2600" s="948"/>
    </row>
    <row r="2601" spans="2:9" ht="15.75">
      <c r="C2601" s="945" t="s">
        <v>919</v>
      </c>
      <c r="D2601" s="946"/>
      <c r="E2601" s="947"/>
      <c r="F2601" s="1068"/>
      <c r="G2601" s="946"/>
      <c r="H2601" s="1031"/>
      <c r="I2601" s="948"/>
    </row>
    <row r="2602" spans="2:9" ht="15.75">
      <c r="C2602" s="949" t="s">
        <v>924</v>
      </c>
      <c r="D2602" s="953"/>
      <c r="E2602" s="954" t="str">
        <f>+VLOOKUP(C2602,'Basic (equilibrio) (2)'!B:D,2,FALSE)</f>
        <v>n/a</v>
      </c>
      <c r="F2602" s="1068">
        <f>+VLOOKUP(C2602,'Basic (equilibrio) (2)'!B:D,3,FALSE)</f>
        <v>0</v>
      </c>
      <c r="G2602" s="946">
        <v>0</v>
      </c>
      <c r="H2602" s="1031"/>
      <c r="I2602" s="948">
        <f>D2602*F2602</f>
        <v>0</v>
      </c>
    </row>
    <row r="2603" spans="2:9" ht="15.75">
      <c r="C2603" s="951" t="s">
        <v>918</v>
      </c>
      <c r="D2603" s="946"/>
      <c r="E2603" s="947"/>
      <c r="F2603" s="1054"/>
      <c r="G2603" s="946"/>
      <c r="H2603" s="1031"/>
      <c r="I2603" s="952">
        <f>SUM(I2602:I2602)</f>
        <v>0</v>
      </c>
    </row>
    <row r="2604" spans="2:9" ht="15.75">
      <c r="C2604" s="949"/>
      <c r="D2604" s="946"/>
      <c r="E2604" s="947"/>
      <c r="F2604" s="1054"/>
      <c r="G2604" s="946"/>
      <c r="H2604" s="1031"/>
      <c r="I2604" s="948"/>
    </row>
    <row r="2605" spans="2:9" ht="15.75">
      <c r="C2605" s="945" t="s">
        <v>923</v>
      </c>
      <c r="D2605" s="946"/>
      <c r="E2605" s="947"/>
      <c r="F2605" s="1054"/>
      <c r="G2605" s="946"/>
      <c r="H2605" s="1031"/>
      <c r="I2605" s="948"/>
    </row>
    <row r="2606" spans="2:9" ht="15.75">
      <c r="C2606" s="949" t="s">
        <v>924</v>
      </c>
      <c r="D2606" s="946"/>
      <c r="E2606" s="947" t="str">
        <f>+VLOOKUP(C2606,'Basic (equilibrio) (2)'!B:D,2,FALSE)</f>
        <v>n/a</v>
      </c>
      <c r="F2606" s="1054">
        <f>+VLOOKUP(C2606,'Basic (equilibrio) (2)'!B:D,3,FALSE)</f>
        <v>0</v>
      </c>
      <c r="G2606" s="946">
        <f>F2606-(F2606/1.18)</f>
        <v>0</v>
      </c>
      <c r="H2606" s="1039"/>
      <c r="I2606" s="955">
        <f>D2606*F2606</f>
        <v>0</v>
      </c>
    </row>
    <row r="2607" spans="2:9" ht="15.75">
      <c r="C2607" s="951" t="s">
        <v>918</v>
      </c>
      <c r="D2607" s="946"/>
      <c r="E2607" s="947"/>
      <c r="F2607" s="1054"/>
      <c r="G2607" s="946"/>
      <c r="H2607" s="1031"/>
      <c r="I2607" s="952">
        <f>SUM(I2606:I2606)</f>
        <v>0</v>
      </c>
    </row>
    <row r="2608" spans="2:9" ht="15.75">
      <c r="C2608" s="949"/>
      <c r="D2608" s="946"/>
      <c r="E2608" s="947"/>
      <c r="F2608" s="1054"/>
      <c r="G2608" s="946"/>
      <c r="H2608" s="1031"/>
      <c r="I2608" s="948"/>
    </row>
    <row r="2609" spans="2:9" ht="15.75">
      <c r="C2609" s="945" t="s">
        <v>925</v>
      </c>
      <c r="D2609" s="946"/>
      <c r="E2609" s="947"/>
      <c r="F2609" s="1054"/>
      <c r="G2609" s="946"/>
      <c r="H2609" s="1031"/>
      <c r="I2609" s="948"/>
    </row>
    <row r="2610" spans="2:9" ht="15.75">
      <c r="C2610" s="949" t="s">
        <v>924</v>
      </c>
      <c r="D2610" s="946"/>
      <c r="E2610" s="947" t="str">
        <f>+VLOOKUP(C2610,'Basic (equilibrio) (2)'!B:D,2,FALSE)</f>
        <v>n/a</v>
      </c>
      <c r="F2610" s="1054">
        <f>+VLOOKUP(C2610,'Basic (equilibrio) (2)'!B:D,3,FALSE)</f>
        <v>0</v>
      </c>
      <c r="G2610" s="946">
        <f>F2610-(F2610/1.18)</f>
        <v>0</v>
      </c>
      <c r="H2610" s="1031"/>
      <c r="I2610" s="948">
        <f>D2610*F2610</f>
        <v>0</v>
      </c>
    </row>
    <row r="2611" spans="2:9" ht="15.75">
      <c r="C2611" s="951" t="s">
        <v>918</v>
      </c>
      <c r="D2611" s="946"/>
      <c r="E2611" s="947"/>
      <c r="F2611" s="1054"/>
      <c r="G2611" s="946"/>
      <c r="H2611" s="1031"/>
      <c r="I2611" s="952">
        <f>SUM(I2610)</f>
        <v>0</v>
      </c>
    </row>
    <row r="2612" spans="2:9" ht="15.75">
      <c r="C2612" s="951"/>
      <c r="D2612" s="946"/>
      <c r="E2612" s="947"/>
      <c r="F2612" s="1054"/>
      <c r="G2612" s="946"/>
      <c r="H2612" s="1031"/>
      <c r="I2612" s="952"/>
    </row>
    <row r="2613" spans="2:9" ht="15.75">
      <c r="C2613" s="956" t="s">
        <v>926</v>
      </c>
      <c r="D2613" s="957"/>
      <c r="E2613" s="958"/>
      <c r="F2613" s="1069"/>
      <c r="G2613" s="957"/>
      <c r="H2613" s="1032"/>
      <c r="I2613" s="959">
        <f>+I2599</f>
        <v>400</v>
      </c>
    </row>
    <row r="2614" spans="2:9" ht="15.75">
      <c r="C2614" s="956" t="s">
        <v>927</v>
      </c>
      <c r="D2614" s="957"/>
      <c r="E2614" s="958"/>
      <c r="F2614" s="1069"/>
      <c r="G2614" s="957"/>
      <c r="H2614" s="1032"/>
      <c r="I2614" s="959">
        <f>+I2603</f>
        <v>0</v>
      </c>
    </row>
    <row r="2615" spans="2:9" ht="15.75">
      <c r="C2615" s="956" t="s">
        <v>928</v>
      </c>
      <c r="D2615" s="957"/>
      <c r="E2615" s="958"/>
      <c r="F2615" s="1069"/>
      <c r="G2615" s="957"/>
      <c r="H2615" s="1032"/>
      <c r="I2615" s="959">
        <f>+I2607</f>
        <v>0</v>
      </c>
    </row>
    <row r="2616" spans="2:9" ht="15.75">
      <c r="C2616" s="956" t="s">
        <v>929</v>
      </c>
      <c r="D2616" s="957"/>
      <c r="E2616" s="958"/>
      <c r="F2616" s="1069"/>
      <c r="G2616" s="957"/>
      <c r="H2616" s="1032"/>
      <c r="I2616" s="959">
        <f>+I2611</f>
        <v>0</v>
      </c>
    </row>
    <row r="2617" spans="2:9" ht="15.75">
      <c r="C2617" s="949"/>
      <c r="D2617" s="946"/>
      <c r="E2617" s="947"/>
      <c r="F2617" s="1054"/>
      <c r="G2617" s="946"/>
      <c r="H2617" s="1031"/>
      <c r="I2617" s="948"/>
    </row>
    <row r="2618" spans="2:9" ht="15.75">
      <c r="C2618" s="949"/>
      <c r="D2618" s="946"/>
      <c r="E2618" s="947"/>
      <c r="F2618" s="1054"/>
      <c r="G2618" s="946"/>
      <c r="H2618" s="1031"/>
      <c r="I2618" s="948"/>
    </row>
    <row r="2619" spans="2:9" ht="15.75">
      <c r="C2619" s="951" t="s">
        <v>930</v>
      </c>
      <c r="D2619" s="960"/>
      <c r="E2619" s="943" t="str">
        <f>+E2595</f>
        <v>und</v>
      </c>
      <c r="F2619" s="1070"/>
      <c r="G2619" s="960"/>
      <c r="H2619" s="1033"/>
      <c r="I2619" s="952">
        <f>SUM(I2613:I2616)</f>
        <v>400</v>
      </c>
    </row>
    <row r="2620" spans="2:9" ht="15.75">
      <c r="C2620" s="951"/>
      <c r="D2620" s="960"/>
      <c r="E2620" s="943"/>
      <c r="F2620" s="1070"/>
      <c r="G2620" s="960"/>
      <c r="H2620" s="1033"/>
      <c r="I2620" s="952"/>
    </row>
    <row r="2621" spans="2:9" ht="15.75">
      <c r="C2621" s="951"/>
      <c r="D2621" s="960"/>
      <c r="E2621" s="943"/>
      <c r="F2621" s="1070"/>
      <c r="G2621" s="960"/>
      <c r="H2621" s="1033"/>
      <c r="I2621" s="952"/>
    </row>
    <row r="2622" spans="2:9" ht="15.75">
      <c r="B2622" s="1024">
        <v>6.32</v>
      </c>
      <c r="C2622" s="937" t="str">
        <f>+Presupuesto!B152</f>
        <v>Costilla de Adán</v>
      </c>
      <c r="D2622" s="938"/>
      <c r="E2622" s="939" t="s">
        <v>1106</v>
      </c>
      <c r="F2622" s="1066"/>
      <c r="G2622" s="938"/>
      <c r="H2622" s="1029"/>
      <c r="I2622" s="940">
        <f>I2646</f>
        <v>350</v>
      </c>
    </row>
    <row r="2623" spans="2:9" ht="15.75">
      <c r="C2623" s="941" t="s">
        <v>908</v>
      </c>
      <c r="D2623" s="942" t="s">
        <v>9</v>
      </c>
      <c r="E2623" s="943" t="s">
        <v>10</v>
      </c>
      <c r="F2623" s="1067" t="s">
        <v>909</v>
      </c>
      <c r="G2623" s="942" t="s">
        <v>910</v>
      </c>
      <c r="H2623" s="1030" t="s">
        <v>911</v>
      </c>
      <c r="I2623" s="944" t="s">
        <v>912</v>
      </c>
    </row>
    <row r="2624" spans="2:9" ht="15.75">
      <c r="C2624" s="945" t="s">
        <v>913</v>
      </c>
      <c r="D2624" s="946"/>
      <c r="E2624" s="947"/>
      <c r="F2624" s="1054"/>
      <c r="G2624" s="946"/>
      <c r="H2624" s="1031"/>
      <c r="I2624" s="948"/>
    </row>
    <row r="2625" spans="3:9" ht="15.75">
      <c r="C2625" s="949" t="s">
        <v>1540</v>
      </c>
      <c r="D2625" s="946">
        <v>1</v>
      </c>
      <c r="E2625" s="950" t="str">
        <f>+VLOOKUP(C2625,'Basic (equilibrio) (2)'!B:D,2,FALSE)</f>
        <v>ud</v>
      </c>
      <c r="F2625" s="1068">
        <f>'Basic (equilibrio) (2)'!$D$444</f>
        <v>350</v>
      </c>
      <c r="G2625" s="946">
        <f>F2625-(F2625/1.18)</f>
        <v>53.39</v>
      </c>
      <c r="H2625" s="1031"/>
      <c r="I2625" s="948">
        <f>D2625*F2625</f>
        <v>350</v>
      </c>
    </row>
    <row r="2626" spans="3:9" ht="15.75">
      <c r="C2626" s="951" t="s">
        <v>918</v>
      </c>
      <c r="D2626" s="946"/>
      <c r="E2626" s="947"/>
      <c r="F2626" s="1068"/>
      <c r="G2626" s="946"/>
      <c r="H2626" s="1031"/>
      <c r="I2626" s="952">
        <f>SUM(I2625:I2625)</f>
        <v>350</v>
      </c>
    </row>
    <row r="2627" spans="3:9" ht="15.75">
      <c r="C2627" s="949"/>
      <c r="D2627" s="946"/>
      <c r="E2627" s="947"/>
      <c r="F2627" s="1068"/>
      <c r="G2627" s="946"/>
      <c r="H2627" s="1031"/>
      <c r="I2627" s="948"/>
    </row>
    <row r="2628" spans="3:9" ht="15.75">
      <c r="C2628" s="945" t="s">
        <v>919</v>
      </c>
      <c r="D2628" s="946"/>
      <c r="E2628" s="947"/>
      <c r="F2628" s="1068"/>
      <c r="G2628" s="946"/>
      <c r="H2628" s="1031"/>
      <c r="I2628" s="948"/>
    </row>
    <row r="2629" spans="3:9" ht="15.75">
      <c r="C2629" s="949" t="s">
        <v>924</v>
      </c>
      <c r="D2629" s="953"/>
      <c r="E2629" s="954" t="str">
        <f>+VLOOKUP(C2629,'Basic (equilibrio) (2)'!B:D,2,FALSE)</f>
        <v>n/a</v>
      </c>
      <c r="F2629" s="1068">
        <f>+VLOOKUP(C2629,'Basic (equilibrio) (2)'!B:D,3,FALSE)</f>
        <v>0</v>
      </c>
      <c r="G2629" s="946">
        <v>0</v>
      </c>
      <c r="H2629" s="1031"/>
      <c r="I2629" s="948">
        <f>D2629*F2629</f>
        <v>0</v>
      </c>
    </row>
    <row r="2630" spans="3:9" ht="15.75">
      <c r="C2630" s="951" t="s">
        <v>918</v>
      </c>
      <c r="D2630" s="946"/>
      <c r="E2630" s="947"/>
      <c r="F2630" s="1054"/>
      <c r="G2630" s="946"/>
      <c r="H2630" s="1031"/>
      <c r="I2630" s="952">
        <f>SUM(I2629:I2629)</f>
        <v>0</v>
      </c>
    </row>
    <row r="2631" spans="3:9" ht="15.75">
      <c r="C2631" s="949"/>
      <c r="D2631" s="946"/>
      <c r="E2631" s="947"/>
      <c r="F2631" s="1054"/>
      <c r="G2631" s="946"/>
      <c r="H2631" s="1031"/>
      <c r="I2631" s="948"/>
    </row>
    <row r="2632" spans="3:9" ht="15.75">
      <c r="C2632" s="945" t="s">
        <v>923</v>
      </c>
      <c r="D2632" s="946"/>
      <c r="E2632" s="947"/>
      <c r="F2632" s="1054"/>
      <c r="G2632" s="946"/>
      <c r="H2632" s="1031"/>
      <c r="I2632" s="948"/>
    </row>
    <row r="2633" spans="3:9" ht="15.75">
      <c r="C2633" s="949" t="s">
        <v>924</v>
      </c>
      <c r="D2633" s="946"/>
      <c r="E2633" s="947" t="str">
        <f>+VLOOKUP(C2633,'Basic (equilibrio) (2)'!B:D,2,FALSE)</f>
        <v>n/a</v>
      </c>
      <c r="F2633" s="1054">
        <f>+VLOOKUP(C2633,'Basic (equilibrio) (2)'!B:D,3,FALSE)</f>
        <v>0</v>
      </c>
      <c r="G2633" s="946">
        <f>F2633-(F2633/1.18)</f>
        <v>0</v>
      </c>
      <c r="H2633" s="1039"/>
      <c r="I2633" s="955">
        <f>D2633*F2633</f>
        <v>0</v>
      </c>
    </row>
    <row r="2634" spans="3:9" ht="15.75">
      <c r="C2634" s="951" t="s">
        <v>918</v>
      </c>
      <c r="D2634" s="946"/>
      <c r="E2634" s="947"/>
      <c r="F2634" s="1054"/>
      <c r="G2634" s="946"/>
      <c r="H2634" s="1031"/>
      <c r="I2634" s="952">
        <f>SUM(I2633:I2633)</f>
        <v>0</v>
      </c>
    </row>
    <row r="2635" spans="3:9" ht="15.75">
      <c r="C2635" s="949"/>
      <c r="D2635" s="946"/>
      <c r="E2635" s="947"/>
      <c r="F2635" s="1054"/>
      <c r="G2635" s="946"/>
      <c r="H2635" s="1031"/>
      <c r="I2635" s="948"/>
    </row>
    <row r="2636" spans="3:9" ht="15.75">
      <c r="C2636" s="945" t="s">
        <v>925</v>
      </c>
      <c r="D2636" s="946"/>
      <c r="E2636" s="947"/>
      <c r="F2636" s="1054"/>
      <c r="G2636" s="946"/>
      <c r="H2636" s="1031"/>
      <c r="I2636" s="948"/>
    </row>
    <row r="2637" spans="3:9" ht="15.75">
      <c r="C2637" s="949" t="s">
        <v>924</v>
      </c>
      <c r="D2637" s="946"/>
      <c r="E2637" s="947" t="str">
        <f>+VLOOKUP(C2637,'Basic (equilibrio) (2)'!B:D,2,FALSE)</f>
        <v>n/a</v>
      </c>
      <c r="F2637" s="1054">
        <f>+VLOOKUP(C2637,'Basic (equilibrio) (2)'!B:D,3,FALSE)</f>
        <v>0</v>
      </c>
      <c r="G2637" s="946">
        <f>F2637-(F2637/1.18)</f>
        <v>0</v>
      </c>
      <c r="H2637" s="1031"/>
      <c r="I2637" s="948">
        <f>D2637*F2637</f>
        <v>0</v>
      </c>
    </row>
    <row r="2638" spans="3:9" ht="15.75">
      <c r="C2638" s="951" t="s">
        <v>918</v>
      </c>
      <c r="D2638" s="946"/>
      <c r="E2638" s="947"/>
      <c r="F2638" s="1054"/>
      <c r="G2638" s="946"/>
      <c r="H2638" s="1031"/>
      <c r="I2638" s="952">
        <f>SUM(I2637)</f>
        <v>0</v>
      </c>
    </row>
    <row r="2639" spans="3:9" ht="15.75">
      <c r="C2639" s="951"/>
      <c r="D2639" s="946"/>
      <c r="E2639" s="947"/>
      <c r="F2639" s="1054"/>
      <c r="G2639" s="946"/>
      <c r="H2639" s="1031"/>
      <c r="I2639" s="952"/>
    </row>
    <row r="2640" spans="3:9" ht="15.75">
      <c r="C2640" s="956" t="s">
        <v>926</v>
      </c>
      <c r="D2640" s="957"/>
      <c r="E2640" s="958"/>
      <c r="F2640" s="1069"/>
      <c r="G2640" s="957"/>
      <c r="H2640" s="1032"/>
      <c r="I2640" s="959">
        <f>+I2626</f>
        <v>350</v>
      </c>
    </row>
    <row r="2641" spans="2:9" ht="15.75">
      <c r="C2641" s="956" t="s">
        <v>927</v>
      </c>
      <c r="D2641" s="957"/>
      <c r="E2641" s="958"/>
      <c r="F2641" s="1069"/>
      <c r="G2641" s="957"/>
      <c r="H2641" s="1032"/>
      <c r="I2641" s="959">
        <f>+I2630</f>
        <v>0</v>
      </c>
    </row>
    <row r="2642" spans="2:9" ht="15.75">
      <c r="C2642" s="956" t="s">
        <v>928</v>
      </c>
      <c r="D2642" s="957"/>
      <c r="E2642" s="958"/>
      <c r="F2642" s="1069"/>
      <c r="G2642" s="957"/>
      <c r="H2642" s="1032"/>
      <c r="I2642" s="959">
        <f>+I2634</f>
        <v>0</v>
      </c>
    </row>
    <row r="2643" spans="2:9" ht="15.75">
      <c r="C2643" s="956" t="s">
        <v>929</v>
      </c>
      <c r="D2643" s="957"/>
      <c r="E2643" s="958"/>
      <c r="F2643" s="1069"/>
      <c r="G2643" s="957"/>
      <c r="H2643" s="1032"/>
      <c r="I2643" s="959">
        <f>+I2638</f>
        <v>0</v>
      </c>
    </row>
    <row r="2644" spans="2:9" ht="15.75">
      <c r="C2644" s="949"/>
      <c r="D2644" s="946"/>
      <c r="E2644" s="947"/>
      <c r="F2644" s="1054"/>
      <c r="G2644" s="946"/>
      <c r="H2644" s="1031"/>
      <c r="I2644" s="948"/>
    </row>
    <row r="2645" spans="2:9" ht="15.75">
      <c r="C2645" s="949"/>
      <c r="D2645" s="946"/>
      <c r="E2645" s="947"/>
      <c r="F2645" s="1054"/>
      <c r="G2645" s="946"/>
      <c r="H2645" s="1031"/>
      <c r="I2645" s="948"/>
    </row>
    <row r="2646" spans="2:9" ht="15.75">
      <c r="C2646" s="951" t="s">
        <v>930</v>
      </c>
      <c r="D2646" s="960"/>
      <c r="E2646" s="943" t="str">
        <f>+E2622</f>
        <v>und</v>
      </c>
      <c r="F2646" s="1070"/>
      <c r="G2646" s="960"/>
      <c r="H2646" s="1033"/>
      <c r="I2646" s="952">
        <f>SUM(I2640:I2643)</f>
        <v>350</v>
      </c>
    </row>
    <row r="2647" spans="2:9" ht="15.75">
      <c r="C2647" s="951"/>
      <c r="D2647" s="960"/>
      <c r="E2647" s="943"/>
      <c r="F2647" s="1070"/>
      <c r="G2647" s="960"/>
      <c r="H2647" s="1033"/>
      <c r="I2647" s="952"/>
    </row>
    <row r="2648" spans="2:9" ht="15.75">
      <c r="C2648" s="951"/>
      <c r="D2648" s="960"/>
      <c r="E2648" s="943"/>
      <c r="F2648" s="1070"/>
      <c r="G2648" s="960"/>
      <c r="H2648" s="1033"/>
      <c r="I2648" s="952"/>
    </row>
    <row r="2649" spans="2:9" ht="15.75">
      <c r="B2649" s="1024">
        <v>6.33</v>
      </c>
      <c r="C2649" s="937" t="str">
        <f>+Presupuesto!B153</f>
        <v>Uva de playa</v>
      </c>
      <c r="D2649" s="938"/>
      <c r="E2649" s="939" t="s">
        <v>1106</v>
      </c>
      <c r="F2649" s="1066"/>
      <c r="G2649" s="938"/>
      <c r="H2649" s="1029"/>
      <c r="I2649" s="940">
        <f>I2673</f>
        <v>46.3</v>
      </c>
    </row>
    <row r="2650" spans="2:9" ht="15.75">
      <c r="C2650" s="941" t="s">
        <v>908</v>
      </c>
      <c r="D2650" s="942" t="s">
        <v>9</v>
      </c>
      <c r="E2650" s="943" t="s">
        <v>10</v>
      </c>
      <c r="F2650" s="1067" t="s">
        <v>909</v>
      </c>
      <c r="G2650" s="942" t="s">
        <v>910</v>
      </c>
      <c r="H2650" s="1030" t="s">
        <v>911</v>
      </c>
      <c r="I2650" s="944" t="s">
        <v>912</v>
      </c>
    </row>
    <row r="2651" spans="2:9" ht="15.75">
      <c r="C2651" s="945" t="s">
        <v>913</v>
      </c>
      <c r="D2651" s="946"/>
      <c r="E2651" s="947"/>
      <c r="F2651" s="1054"/>
      <c r="G2651" s="946"/>
      <c r="H2651" s="1031"/>
      <c r="I2651" s="948"/>
    </row>
    <row r="2652" spans="2:9" ht="15.75">
      <c r="C2652" s="949" t="s">
        <v>1541</v>
      </c>
      <c r="D2652" s="946">
        <v>1</v>
      </c>
      <c r="E2652" s="950" t="str">
        <f>+VLOOKUP(C2652,'Basic (equilibrio) (2)'!B:D,2,FALSE)</f>
        <v>ud</v>
      </c>
      <c r="F2652" s="1068">
        <f>'Basic (equilibrio) (2)'!$D$437</f>
        <v>46.3</v>
      </c>
      <c r="G2652" s="946">
        <f>F2652-(F2652/1.18)</f>
        <v>7.06</v>
      </c>
      <c r="H2652" s="1031"/>
      <c r="I2652" s="948">
        <f>D2652*F2652</f>
        <v>46.3</v>
      </c>
    </row>
    <row r="2653" spans="2:9" ht="15.75">
      <c r="C2653" s="951" t="s">
        <v>918</v>
      </c>
      <c r="D2653" s="946"/>
      <c r="E2653" s="947"/>
      <c r="F2653" s="1068"/>
      <c r="G2653" s="946"/>
      <c r="H2653" s="1031"/>
      <c r="I2653" s="952">
        <f>SUM(I2652:I2652)</f>
        <v>46.3</v>
      </c>
    </row>
    <row r="2654" spans="2:9" ht="15.75">
      <c r="C2654" s="949"/>
      <c r="D2654" s="946"/>
      <c r="E2654" s="947"/>
      <c r="F2654" s="1068"/>
      <c r="G2654" s="946"/>
      <c r="H2654" s="1031"/>
      <c r="I2654" s="948"/>
    </row>
    <row r="2655" spans="2:9" ht="15.75">
      <c r="C2655" s="945" t="s">
        <v>919</v>
      </c>
      <c r="D2655" s="946"/>
      <c r="E2655" s="947"/>
      <c r="F2655" s="1068"/>
      <c r="G2655" s="946"/>
      <c r="H2655" s="1031"/>
      <c r="I2655" s="948"/>
    </row>
    <row r="2656" spans="2:9" ht="15.75">
      <c r="C2656" s="949" t="s">
        <v>924</v>
      </c>
      <c r="D2656" s="953"/>
      <c r="E2656" s="954" t="str">
        <f>+VLOOKUP(C2656,'Basic (equilibrio) (2)'!B:D,2,FALSE)</f>
        <v>n/a</v>
      </c>
      <c r="F2656" s="1068">
        <f>+VLOOKUP(C2656,'Basic (equilibrio) (2)'!B:D,3,FALSE)</f>
        <v>0</v>
      </c>
      <c r="G2656" s="946">
        <v>0</v>
      </c>
      <c r="H2656" s="1031"/>
      <c r="I2656" s="948">
        <f>D2656*F2656</f>
        <v>0</v>
      </c>
    </row>
    <row r="2657" spans="3:9" ht="15.75">
      <c r="C2657" s="951" t="s">
        <v>918</v>
      </c>
      <c r="D2657" s="946"/>
      <c r="E2657" s="947"/>
      <c r="F2657" s="1054"/>
      <c r="G2657" s="946"/>
      <c r="H2657" s="1031"/>
      <c r="I2657" s="952">
        <f>SUM(I2656:I2656)</f>
        <v>0</v>
      </c>
    </row>
    <row r="2658" spans="3:9" ht="15.75">
      <c r="C2658" s="949"/>
      <c r="D2658" s="946"/>
      <c r="E2658" s="947"/>
      <c r="F2658" s="1054"/>
      <c r="G2658" s="946"/>
      <c r="H2658" s="1031"/>
      <c r="I2658" s="948"/>
    </row>
    <row r="2659" spans="3:9" ht="15.75">
      <c r="C2659" s="945" t="s">
        <v>923</v>
      </c>
      <c r="D2659" s="946"/>
      <c r="E2659" s="947"/>
      <c r="F2659" s="1054"/>
      <c r="G2659" s="946"/>
      <c r="H2659" s="1031"/>
      <c r="I2659" s="948"/>
    </row>
    <row r="2660" spans="3:9" ht="15.75">
      <c r="C2660" s="949" t="s">
        <v>924</v>
      </c>
      <c r="D2660" s="946"/>
      <c r="E2660" s="947" t="str">
        <f>+VLOOKUP(C2660,'Basic (equilibrio) (2)'!B:D,2,FALSE)</f>
        <v>n/a</v>
      </c>
      <c r="F2660" s="1054">
        <f>+VLOOKUP(C2660,'Basic (equilibrio) (2)'!B:D,3,FALSE)</f>
        <v>0</v>
      </c>
      <c r="G2660" s="946">
        <f>F2660-(F2660/1.18)</f>
        <v>0</v>
      </c>
      <c r="H2660" s="1039"/>
      <c r="I2660" s="955">
        <f>D2660*F2660</f>
        <v>0</v>
      </c>
    </row>
    <row r="2661" spans="3:9" ht="15.75">
      <c r="C2661" s="951" t="s">
        <v>918</v>
      </c>
      <c r="D2661" s="946"/>
      <c r="E2661" s="947"/>
      <c r="F2661" s="1054"/>
      <c r="G2661" s="946"/>
      <c r="H2661" s="1031"/>
      <c r="I2661" s="952">
        <f>SUM(I2660:I2660)</f>
        <v>0</v>
      </c>
    </row>
    <row r="2662" spans="3:9" ht="15.75">
      <c r="C2662" s="949"/>
      <c r="D2662" s="946"/>
      <c r="E2662" s="947"/>
      <c r="F2662" s="1054"/>
      <c r="G2662" s="946"/>
      <c r="H2662" s="1031"/>
      <c r="I2662" s="948"/>
    </row>
    <row r="2663" spans="3:9" ht="15.75">
      <c r="C2663" s="945" t="s">
        <v>925</v>
      </c>
      <c r="D2663" s="946"/>
      <c r="E2663" s="947"/>
      <c r="F2663" s="1054"/>
      <c r="G2663" s="946"/>
      <c r="H2663" s="1031"/>
      <c r="I2663" s="948"/>
    </row>
    <row r="2664" spans="3:9" ht="15.75">
      <c r="C2664" s="949" t="s">
        <v>924</v>
      </c>
      <c r="D2664" s="946"/>
      <c r="E2664" s="947" t="str">
        <f>+VLOOKUP(C2664,'Basic (equilibrio) (2)'!B:D,2,FALSE)</f>
        <v>n/a</v>
      </c>
      <c r="F2664" s="1054">
        <f>+VLOOKUP(C2664,'Basic (equilibrio) (2)'!B:D,3,FALSE)</f>
        <v>0</v>
      </c>
      <c r="G2664" s="946">
        <f>F2664-(F2664/1.18)</f>
        <v>0</v>
      </c>
      <c r="H2664" s="1031"/>
      <c r="I2664" s="948">
        <f>D2664*F2664</f>
        <v>0</v>
      </c>
    </row>
    <row r="2665" spans="3:9" ht="15.75">
      <c r="C2665" s="951" t="s">
        <v>918</v>
      </c>
      <c r="D2665" s="946"/>
      <c r="E2665" s="947"/>
      <c r="F2665" s="1054"/>
      <c r="G2665" s="946"/>
      <c r="H2665" s="1031"/>
      <c r="I2665" s="952">
        <f>SUM(I2664)</f>
        <v>0</v>
      </c>
    </row>
    <row r="2666" spans="3:9" ht="15.75">
      <c r="C2666" s="951"/>
      <c r="D2666" s="946"/>
      <c r="E2666" s="947"/>
      <c r="F2666" s="1054"/>
      <c r="G2666" s="946"/>
      <c r="H2666" s="1031"/>
      <c r="I2666" s="952"/>
    </row>
    <row r="2667" spans="3:9" ht="15.75">
      <c r="C2667" s="956" t="s">
        <v>926</v>
      </c>
      <c r="D2667" s="957"/>
      <c r="E2667" s="958"/>
      <c r="F2667" s="1069"/>
      <c r="G2667" s="957"/>
      <c r="H2667" s="1032"/>
      <c r="I2667" s="959">
        <f>+I2653</f>
        <v>46.3</v>
      </c>
    </row>
    <row r="2668" spans="3:9" ht="15.75">
      <c r="C2668" s="956" t="s">
        <v>927</v>
      </c>
      <c r="D2668" s="957"/>
      <c r="E2668" s="958"/>
      <c r="F2668" s="1069"/>
      <c r="G2668" s="957"/>
      <c r="H2668" s="1032"/>
      <c r="I2668" s="959">
        <f>+I2657</f>
        <v>0</v>
      </c>
    </row>
    <row r="2669" spans="3:9" ht="15.75">
      <c r="C2669" s="956" t="s">
        <v>928</v>
      </c>
      <c r="D2669" s="957"/>
      <c r="E2669" s="958"/>
      <c r="F2669" s="1069"/>
      <c r="G2669" s="957"/>
      <c r="H2669" s="1032"/>
      <c r="I2669" s="959">
        <f>+I2661</f>
        <v>0</v>
      </c>
    </row>
    <row r="2670" spans="3:9" ht="15.75">
      <c r="C2670" s="956" t="s">
        <v>929</v>
      </c>
      <c r="D2670" s="957"/>
      <c r="E2670" s="958"/>
      <c r="F2670" s="1069"/>
      <c r="G2670" s="957"/>
      <c r="H2670" s="1032"/>
      <c r="I2670" s="959">
        <f>+I2665</f>
        <v>0</v>
      </c>
    </row>
    <row r="2671" spans="3:9" ht="15.75">
      <c r="C2671" s="949"/>
      <c r="D2671" s="946"/>
      <c r="E2671" s="947"/>
      <c r="F2671" s="1054"/>
      <c r="G2671" s="946"/>
      <c r="H2671" s="1031"/>
      <c r="I2671" s="948"/>
    </row>
    <row r="2672" spans="3:9" ht="15.75">
      <c r="C2672" s="949"/>
      <c r="D2672" s="946"/>
      <c r="E2672" s="947"/>
      <c r="F2672" s="1054"/>
      <c r="G2672" s="946"/>
      <c r="H2672" s="1031"/>
      <c r="I2672" s="948"/>
    </row>
    <row r="2673" spans="2:9" ht="15.75">
      <c r="C2673" s="951" t="s">
        <v>930</v>
      </c>
      <c r="D2673" s="960"/>
      <c r="E2673" s="943" t="str">
        <f>+E2649</f>
        <v>und</v>
      </c>
      <c r="F2673" s="1070"/>
      <c r="G2673" s="960"/>
      <c r="H2673" s="1033"/>
      <c r="I2673" s="952">
        <f>SUM(I2667:I2670)</f>
        <v>46.3</v>
      </c>
    </row>
    <row r="2674" spans="2:9" ht="15.75">
      <c r="C2674" s="951"/>
      <c r="D2674" s="960"/>
      <c r="E2674" s="943"/>
      <c r="F2674" s="1070"/>
      <c r="G2674" s="960"/>
      <c r="H2674" s="1033"/>
      <c r="I2674" s="952"/>
    </row>
    <row r="2675" spans="2:9" ht="15.75">
      <c r="C2675" s="951"/>
      <c r="D2675" s="960"/>
      <c r="E2675" s="943"/>
      <c r="F2675" s="1070"/>
      <c r="G2675" s="960"/>
      <c r="H2675" s="1033"/>
      <c r="I2675" s="952"/>
    </row>
    <row r="2676" spans="2:9" ht="15.75">
      <c r="B2676" s="1024">
        <v>6.34</v>
      </c>
      <c r="C2676" s="937" t="str">
        <f>+Presupuesto!B154</f>
        <v>Tierra negra con abono</v>
      </c>
      <c r="D2676" s="938"/>
      <c r="E2676" s="939" t="s">
        <v>1042</v>
      </c>
      <c r="F2676" s="1066"/>
      <c r="G2676" s="938"/>
      <c r="H2676" s="1029"/>
      <c r="I2676" s="940">
        <f>I2700</f>
        <v>1000</v>
      </c>
    </row>
    <row r="2677" spans="2:9" ht="15.75">
      <c r="C2677" s="941" t="s">
        <v>908</v>
      </c>
      <c r="D2677" s="942" t="s">
        <v>9</v>
      </c>
      <c r="E2677" s="943" t="s">
        <v>10</v>
      </c>
      <c r="F2677" s="1067" t="s">
        <v>909</v>
      </c>
      <c r="G2677" s="942" t="s">
        <v>910</v>
      </c>
      <c r="H2677" s="1030" t="s">
        <v>911</v>
      </c>
      <c r="I2677" s="944" t="s">
        <v>912</v>
      </c>
    </row>
    <row r="2678" spans="2:9" ht="15.75">
      <c r="C2678" s="945" t="s">
        <v>913</v>
      </c>
      <c r="D2678" s="946"/>
      <c r="E2678" s="947"/>
      <c r="F2678" s="1054"/>
      <c r="G2678" s="946"/>
      <c r="H2678" s="1031"/>
      <c r="I2678" s="948"/>
    </row>
    <row r="2679" spans="2:9" ht="15.75">
      <c r="C2679" s="949" t="s">
        <v>1395</v>
      </c>
      <c r="D2679" s="946">
        <v>1</v>
      </c>
      <c r="E2679" s="950" t="str">
        <f>+VLOOKUP(C2679,'Basic (equilibrio) (2)'!B:D,2,FALSE)</f>
        <v>m3</v>
      </c>
      <c r="F2679" s="1068">
        <f>'Basic (equilibrio) (2)'!$D$426</f>
        <v>1000</v>
      </c>
      <c r="G2679" s="946">
        <f>F2679-(F2679/1.18)</f>
        <v>152.54</v>
      </c>
      <c r="H2679" s="1031"/>
      <c r="I2679" s="948">
        <f>D2679*F2679</f>
        <v>1000</v>
      </c>
    </row>
    <row r="2680" spans="2:9" ht="15.75">
      <c r="C2680" s="951" t="s">
        <v>918</v>
      </c>
      <c r="D2680" s="946"/>
      <c r="E2680" s="947"/>
      <c r="F2680" s="1068"/>
      <c r="G2680" s="946"/>
      <c r="H2680" s="1031"/>
      <c r="I2680" s="952">
        <f>SUM(I2679:I2679)</f>
        <v>1000</v>
      </c>
    </row>
    <row r="2681" spans="2:9" ht="15.75">
      <c r="C2681" s="949"/>
      <c r="D2681" s="946"/>
      <c r="E2681" s="947"/>
      <c r="F2681" s="1068"/>
      <c r="G2681" s="946"/>
      <c r="H2681" s="1031"/>
      <c r="I2681" s="948"/>
    </row>
    <row r="2682" spans="2:9" ht="15.75">
      <c r="C2682" s="945" t="s">
        <v>919</v>
      </c>
      <c r="D2682" s="946"/>
      <c r="E2682" s="947"/>
      <c r="F2682" s="1068"/>
      <c r="G2682" s="946"/>
      <c r="H2682" s="1031"/>
      <c r="I2682" s="948"/>
    </row>
    <row r="2683" spans="2:9" ht="15.75">
      <c r="C2683" s="949" t="s">
        <v>924</v>
      </c>
      <c r="D2683" s="953"/>
      <c r="E2683" s="954" t="str">
        <f>+VLOOKUP(C2683,'Basic (equilibrio) (2)'!B:D,2,FALSE)</f>
        <v>n/a</v>
      </c>
      <c r="F2683" s="1068">
        <f>+VLOOKUP(C2683,'Basic (equilibrio) (2)'!B:D,3,FALSE)</f>
        <v>0</v>
      </c>
      <c r="G2683" s="946">
        <v>0</v>
      </c>
      <c r="H2683" s="1031"/>
      <c r="I2683" s="948">
        <f>D2683*F2683</f>
        <v>0</v>
      </c>
    </row>
    <row r="2684" spans="2:9" ht="15.75">
      <c r="C2684" s="951" t="s">
        <v>918</v>
      </c>
      <c r="D2684" s="946"/>
      <c r="E2684" s="947"/>
      <c r="F2684" s="1054"/>
      <c r="G2684" s="946"/>
      <c r="H2684" s="1031"/>
      <c r="I2684" s="952">
        <f>SUM(I2683:I2683)</f>
        <v>0</v>
      </c>
    </row>
    <row r="2685" spans="2:9" ht="15.75">
      <c r="C2685" s="949"/>
      <c r="D2685" s="946"/>
      <c r="E2685" s="947"/>
      <c r="F2685" s="1054"/>
      <c r="G2685" s="946"/>
      <c r="H2685" s="1031"/>
      <c r="I2685" s="948"/>
    </row>
    <row r="2686" spans="2:9" ht="15.75">
      <c r="C2686" s="945" t="s">
        <v>923</v>
      </c>
      <c r="D2686" s="946"/>
      <c r="E2686" s="947"/>
      <c r="F2686" s="1054"/>
      <c r="G2686" s="946"/>
      <c r="H2686" s="1031"/>
      <c r="I2686" s="948"/>
    </row>
    <row r="2687" spans="2:9" ht="15.75">
      <c r="C2687" s="949" t="s">
        <v>924</v>
      </c>
      <c r="D2687" s="946"/>
      <c r="E2687" s="947" t="str">
        <f>+VLOOKUP(C2687,'Basic (equilibrio) (2)'!B:D,2,FALSE)</f>
        <v>n/a</v>
      </c>
      <c r="F2687" s="1054">
        <f>+VLOOKUP(C2687,'Basic (equilibrio) (2)'!B:D,3,FALSE)</f>
        <v>0</v>
      </c>
      <c r="G2687" s="946">
        <f>F2687-(F2687/1.18)</f>
        <v>0</v>
      </c>
      <c r="H2687" s="1039"/>
      <c r="I2687" s="955">
        <f>D2687*F2687</f>
        <v>0</v>
      </c>
    </row>
    <row r="2688" spans="2:9" ht="15.75">
      <c r="C2688" s="951" t="s">
        <v>918</v>
      </c>
      <c r="D2688" s="946"/>
      <c r="E2688" s="947"/>
      <c r="F2688" s="1054"/>
      <c r="G2688" s="946"/>
      <c r="H2688" s="1031"/>
      <c r="I2688" s="952">
        <f>SUM(I2687:I2687)</f>
        <v>0</v>
      </c>
    </row>
    <row r="2689" spans="2:9" ht="15.75">
      <c r="C2689" s="949"/>
      <c r="D2689" s="946"/>
      <c r="E2689" s="947"/>
      <c r="F2689" s="1054"/>
      <c r="G2689" s="946"/>
      <c r="H2689" s="1031"/>
      <c r="I2689" s="948"/>
    </row>
    <row r="2690" spans="2:9" ht="15.75">
      <c r="C2690" s="945" t="s">
        <v>925</v>
      </c>
      <c r="D2690" s="946"/>
      <c r="E2690" s="947"/>
      <c r="F2690" s="1054"/>
      <c r="G2690" s="946"/>
      <c r="H2690" s="1031"/>
      <c r="I2690" s="948"/>
    </row>
    <row r="2691" spans="2:9" ht="15.75">
      <c r="C2691" s="949" t="s">
        <v>924</v>
      </c>
      <c r="D2691" s="946"/>
      <c r="E2691" s="947" t="str">
        <f>+VLOOKUP(C2691,'Basic (equilibrio) (2)'!B:D,2,FALSE)</f>
        <v>n/a</v>
      </c>
      <c r="F2691" s="1054">
        <f>+VLOOKUP(C2691,'Basic (equilibrio) (2)'!B:D,3,FALSE)</f>
        <v>0</v>
      </c>
      <c r="G2691" s="946">
        <f>F2691-(F2691/1.18)</f>
        <v>0</v>
      </c>
      <c r="H2691" s="1031"/>
      <c r="I2691" s="948">
        <f>D2691*F2691</f>
        <v>0</v>
      </c>
    </row>
    <row r="2692" spans="2:9" ht="15.75">
      <c r="C2692" s="951" t="s">
        <v>918</v>
      </c>
      <c r="D2692" s="946"/>
      <c r="E2692" s="947"/>
      <c r="F2692" s="1054"/>
      <c r="G2692" s="946"/>
      <c r="H2692" s="1031"/>
      <c r="I2692" s="952">
        <f>SUM(I2691)</f>
        <v>0</v>
      </c>
    </row>
    <row r="2693" spans="2:9" ht="15.75">
      <c r="C2693" s="951"/>
      <c r="D2693" s="946"/>
      <c r="E2693" s="947"/>
      <c r="F2693" s="1054"/>
      <c r="G2693" s="946"/>
      <c r="H2693" s="1031"/>
      <c r="I2693" s="952"/>
    </row>
    <row r="2694" spans="2:9" ht="15.75">
      <c r="C2694" s="956" t="s">
        <v>926</v>
      </c>
      <c r="D2694" s="957"/>
      <c r="E2694" s="958"/>
      <c r="F2694" s="1069"/>
      <c r="G2694" s="957"/>
      <c r="H2694" s="1032"/>
      <c r="I2694" s="959">
        <f>+I2680</f>
        <v>1000</v>
      </c>
    </row>
    <row r="2695" spans="2:9" ht="15.75">
      <c r="C2695" s="956" t="s">
        <v>927</v>
      </c>
      <c r="D2695" s="957"/>
      <c r="E2695" s="958"/>
      <c r="F2695" s="1069"/>
      <c r="G2695" s="957"/>
      <c r="H2695" s="1032"/>
      <c r="I2695" s="959">
        <f>+I2684</f>
        <v>0</v>
      </c>
    </row>
    <row r="2696" spans="2:9" ht="15.75">
      <c r="C2696" s="956" t="s">
        <v>928</v>
      </c>
      <c r="D2696" s="957"/>
      <c r="E2696" s="958"/>
      <c r="F2696" s="1069"/>
      <c r="G2696" s="957"/>
      <c r="H2696" s="1032"/>
      <c r="I2696" s="959">
        <f>+I2688</f>
        <v>0</v>
      </c>
    </row>
    <row r="2697" spans="2:9" ht="15.75">
      <c r="C2697" s="956" t="s">
        <v>929</v>
      </c>
      <c r="D2697" s="957"/>
      <c r="E2697" s="958"/>
      <c r="F2697" s="1069"/>
      <c r="G2697" s="957"/>
      <c r="H2697" s="1032"/>
      <c r="I2697" s="959">
        <f>+I2692</f>
        <v>0</v>
      </c>
    </row>
    <row r="2698" spans="2:9" ht="15.75">
      <c r="C2698" s="949"/>
      <c r="D2698" s="946"/>
      <c r="E2698" s="947"/>
      <c r="F2698" s="1054"/>
      <c r="G2698" s="946"/>
      <c r="H2698" s="1031"/>
      <c r="I2698" s="948"/>
    </row>
    <row r="2699" spans="2:9" ht="15.75">
      <c r="C2699" s="949"/>
      <c r="D2699" s="946"/>
      <c r="E2699" s="947"/>
      <c r="F2699" s="1054"/>
      <c r="G2699" s="946"/>
      <c r="H2699" s="1031"/>
      <c r="I2699" s="948"/>
    </row>
    <row r="2700" spans="2:9" ht="15.75">
      <c r="C2700" s="951" t="s">
        <v>930</v>
      </c>
      <c r="D2700" s="960"/>
      <c r="E2700" s="943" t="str">
        <f>+E2676</f>
        <v>m3</v>
      </c>
      <c r="F2700" s="1070"/>
      <c r="G2700" s="960"/>
      <c r="H2700" s="1033"/>
      <c r="I2700" s="952">
        <f>SUM(I2694:I2697)</f>
        <v>1000</v>
      </c>
    </row>
    <row r="2701" spans="2:9" ht="15.75">
      <c r="C2701" s="951"/>
      <c r="D2701" s="960"/>
      <c r="E2701" s="943"/>
      <c r="F2701" s="1070"/>
      <c r="G2701" s="960"/>
      <c r="H2701" s="1033"/>
      <c r="I2701" s="952"/>
    </row>
    <row r="2702" spans="2:9" ht="15.75">
      <c r="B2702" s="1024">
        <v>6.35</v>
      </c>
      <c r="C2702" s="937" t="str">
        <f>+Presupuesto!B155</f>
        <v>Requilete en áreas verdes</v>
      </c>
      <c r="D2702" s="938"/>
      <c r="E2702" s="939" t="s">
        <v>1042</v>
      </c>
      <c r="F2702" s="1066"/>
      <c r="G2702" s="938"/>
      <c r="H2702" s="1029"/>
      <c r="I2702" s="940">
        <f>I2726</f>
        <v>150</v>
      </c>
    </row>
    <row r="2703" spans="2:9" ht="15.75">
      <c r="C2703" s="941" t="s">
        <v>908</v>
      </c>
      <c r="D2703" s="942" t="s">
        <v>9</v>
      </c>
      <c r="E2703" s="943" t="s">
        <v>10</v>
      </c>
      <c r="F2703" s="1067" t="s">
        <v>909</v>
      </c>
      <c r="G2703" s="942" t="s">
        <v>910</v>
      </c>
      <c r="H2703" s="1030" t="s">
        <v>911</v>
      </c>
      <c r="I2703" s="944" t="s">
        <v>912</v>
      </c>
    </row>
    <row r="2704" spans="2:9" ht="15.75">
      <c r="C2704" s="945" t="s">
        <v>913</v>
      </c>
      <c r="D2704" s="946"/>
      <c r="E2704" s="947"/>
      <c r="F2704" s="1054"/>
      <c r="G2704" s="946"/>
      <c r="H2704" s="1031"/>
      <c r="I2704" s="948"/>
    </row>
    <row r="2705" spans="3:9" ht="15.75">
      <c r="C2705" s="949" t="s">
        <v>1542</v>
      </c>
      <c r="D2705" s="946">
        <v>1</v>
      </c>
      <c r="E2705" s="950" t="str">
        <f>+VLOOKUP(C2705,'Basic (equilibrio) (2)'!B:D,2,FALSE)</f>
        <v>ud</v>
      </c>
      <c r="F2705" s="1068">
        <f>'Basic (equilibrio) (2)'!$D$452</f>
        <v>150</v>
      </c>
      <c r="G2705" s="946">
        <f>F2705-(F2705/1.18)</f>
        <v>22.88</v>
      </c>
      <c r="H2705" s="1031"/>
      <c r="I2705" s="948">
        <f>D2705*F2705</f>
        <v>150</v>
      </c>
    </row>
    <row r="2706" spans="3:9" ht="15.75">
      <c r="C2706" s="951" t="s">
        <v>918</v>
      </c>
      <c r="D2706" s="946"/>
      <c r="E2706" s="947"/>
      <c r="F2706" s="1068"/>
      <c r="G2706" s="946"/>
      <c r="H2706" s="1031"/>
      <c r="I2706" s="952">
        <f>SUM(I2705:I2705)</f>
        <v>150</v>
      </c>
    </row>
    <row r="2707" spans="3:9" ht="15.75">
      <c r="C2707" s="949"/>
      <c r="D2707" s="946"/>
      <c r="E2707" s="947"/>
      <c r="F2707" s="1068"/>
      <c r="G2707" s="946"/>
      <c r="H2707" s="1031"/>
      <c r="I2707" s="948"/>
    </row>
    <row r="2708" spans="3:9" ht="15.75">
      <c r="C2708" s="945" t="s">
        <v>919</v>
      </c>
      <c r="D2708" s="946"/>
      <c r="E2708" s="947"/>
      <c r="F2708" s="1068"/>
      <c r="G2708" s="946"/>
      <c r="H2708" s="1031"/>
      <c r="I2708" s="948"/>
    </row>
    <row r="2709" spans="3:9" ht="15.75">
      <c r="C2709" s="949" t="s">
        <v>924</v>
      </c>
      <c r="D2709" s="953"/>
      <c r="E2709" s="954" t="str">
        <f>+VLOOKUP(C2709,'Basic (equilibrio) (2)'!B:D,2,FALSE)</f>
        <v>n/a</v>
      </c>
      <c r="F2709" s="1068">
        <f>+VLOOKUP(C2709,'Basic (equilibrio) (2)'!B:D,3,FALSE)</f>
        <v>0</v>
      </c>
      <c r="G2709" s="946">
        <v>0</v>
      </c>
      <c r="H2709" s="1031"/>
      <c r="I2709" s="948">
        <f>D2709*F2709</f>
        <v>0</v>
      </c>
    </row>
    <row r="2710" spans="3:9" ht="15.75">
      <c r="C2710" s="951" t="s">
        <v>918</v>
      </c>
      <c r="D2710" s="946"/>
      <c r="E2710" s="947"/>
      <c r="F2710" s="1054"/>
      <c r="G2710" s="946"/>
      <c r="H2710" s="1031"/>
      <c r="I2710" s="952">
        <f>SUM(I2709:I2709)</f>
        <v>0</v>
      </c>
    </row>
    <row r="2711" spans="3:9" ht="15.75">
      <c r="C2711" s="949"/>
      <c r="D2711" s="946"/>
      <c r="E2711" s="947"/>
      <c r="F2711" s="1054"/>
      <c r="G2711" s="946"/>
      <c r="H2711" s="1031"/>
      <c r="I2711" s="948"/>
    </row>
    <row r="2712" spans="3:9" ht="15.75">
      <c r="C2712" s="945" t="s">
        <v>923</v>
      </c>
      <c r="D2712" s="946"/>
      <c r="E2712" s="947"/>
      <c r="F2712" s="1054"/>
      <c r="G2712" s="946"/>
      <c r="H2712" s="1031"/>
      <c r="I2712" s="948"/>
    </row>
    <row r="2713" spans="3:9" ht="15.75">
      <c r="C2713" s="949" t="s">
        <v>924</v>
      </c>
      <c r="D2713" s="946"/>
      <c r="E2713" s="947" t="str">
        <f>+VLOOKUP(C2713,'Basic (equilibrio) (2)'!B:D,2,FALSE)</f>
        <v>n/a</v>
      </c>
      <c r="F2713" s="1054">
        <f>+VLOOKUP(C2713,'Basic (equilibrio) (2)'!B:D,3,FALSE)</f>
        <v>0</v>
      </c>
      <c r="G2713" s="946">
        <f>F2713-(F2713/1.18)</f>
        <v>0</v>
      </c>
      <c r="H2713" s="1039"/>
      <c r="I2713" s="955">
        <f>D2713*F2713</f>
        <v>0</v>
      </c>
    </row>
    <row r="2714" spans="3:9" ht="15.75">
      <c r="C2714" s="951" t="s">
        <v>918</v>
      </c>
      <c r="D2714" s="946"/>
      <c r="E2714" s="947"/>
      <c r="F2714" s="1054"/>
      <c r="G2714" s="946"/>
      <c r="H2714" s="1031"/>
      <c r="I2714" s="952">
        <f>SUM(I2713:I2713)</f>
        <v>0</v>
      </c>
    </row>
    <row r="2715" spans="3:9" ht="15.75">
      <c r="C2715" s="949"/>
      <c r="D2715" s="946"/>
      <c r="E2715" s="947"/>
      <c r="F2715" s="1054"/>
      <c r="G2715" s="946"/>
      <c r="H2715" s="1031"/>
      <c r="I2715" s="948"/>
    </row>
    <row r="2716" spans="3:9" ht="15.75">
      <c r="C2716" s="945" t="s">
        <v>925</v>
      </c>
      <c r="D2716" s="946"/>
      <c r="E2716" s="947"/>
      <c r="F2716" s="1054"/>
      <c r="G2716" s="946"/>
      <c r="H2716" s="1031"/>
      <c r="I2716" s="948"/>
    </row>
    <row r="2717" spans="3:9" ht="15.75">
      <c r="C2717" s="949" t="s">
        <v>924</v>
      </c>
      <c r="D2717" s="946"/>
      <c r="E2717" s="947" t="str">
        <f>+VLOOKUP(C2717,'Basic (equilibrio) (2)'!B:D,2,FALSE)</f>
        <v>n/a</v>
      </c>
      <c r="F2717" s="1054">
        <f>+VLOOKUP(C2717,'Basic (equilibrio) (2)'!B:D,3,FALSE)</f>
        <v>0</v>
      </c>
      <c r="G2717" s="946">
        <f>F2717-(F2717/1.18)</f>
        <v>0</v>
      </c>
      <c r="H2717" s="1031"/>
      <c r="I2717" s="948">
        <f>D2717*F2717</f>
        <v>0</v>
      </c>
    </row>
    <row r="2718" spans="3:9" ht="15.75">
      <c r="C2718" s="951" t="s">
        <v>918</v>
      </c>
      <c r="D2718" s="946"/>
      <c r="E2718" s="947"/>
      <c r="F2718" s="1054"/>
      <c r="G2718" s="946"/>
      <c r="H2718" s="1031"/>
      <c r="I2718" s="952">
        <f>SUM(I2717)</f>
        <v>0</v>
      </c>
    </row>
    <row r="2719" spans="3:9" ht="15.75">
      <c r="C2719" s="951"/>
      <c r="D2719" s="946"/>
      <c r="E2719" s="947"/>
      <c r="F2719" s="1054"/>
      <c r="G2719" s="946"/>
      <c r="H2719" s="1031"/>
      <c r="I2719" s="952"/>
    </row>
    <row r="2720" spans="3:9" ht="15.75">
      <c r="C2720" s="956" t="s">
        <v>926</v>
      </c>
      <c r="D2720" s="957"/>
      <c r="E2720" s="958"/>
      <c r="F2720" s="1069"/>
      <c r="G2720" s="957"/>
      <c r="H2720" s="1032"/>
      <c r="I2720" s="959">
        <f>+I2706</f>
        <v>150</v>
      </c>
    </row>
    <row r="2721" spans="2:9" ht="15.75">
      <c r="C2721" s="956" t="s">
        <v>927</v>
      </c>
      <c r="D2721" s="957"/>
      <c r="E2721" s="958"/>
      <c r="F2721" s="1069"/>
      <c r="G2721" s="957"/>
      <c r="H2721" s="1032"/>
      <c r="I2721" s="959">
        <f>+I2710</f>
        <v>0</v>
      </c>
    </row>
    <row r="2722" spans="2:9" ht="15.75">
      <c r="C2722" s="956" t="s">
        <v>928</v>
      </c>
      <c r="D2722" s="957"/>
      <c r="E2722" s="958"/>
      <c r="F2722" s="1069"/>
      <c r="G2722" s="957"/>
      <c r="H2722" s="1032"/>
      <c r="I2722" s="959">
        <f>+I2714</f>
        <v>0</v>
      </c>
    </row>
    <row r="2723" spans="2:9" ht="15.75">
      <c r="C2723" s="956" t="s">
        <v>929</v>
      </c>
      <c r="D2723" s="957"/>
      <c r="E2723" s="958"/>
      <c r="F2723" s="1069"/>
      <c r="G2723" s="957"/>
      <c r="H2723" s="1032"/>
      <c r="I2723" s="959">
        <f>+I2718</f>
        <v>0</v>
      </c>
    </row>
    <row r="2724" spans="2:9" ht="15.75">
      <c r="C2724" s="949"/>
      <c r="D2724" s="946"/>
      <c r="E2724" s="947"/>
      <c r="F2724" s="1054"/>
      <c r="G2724" s="946"/>
      <c r="H2724" s="1031"/>
      <c r="I2724" s="948"/>
    </row>
    <row r="2725" spans="2:9" ht="15.75">
      <c r="C2725" s="949"/>
      <c r="D2725" s="946"/>
      <c r="E2725" s="947"/>
      <c r="F2725" s="1054"/>
      <c r="G2725" s="946"/>
      <c r="H2725" s="1031"/>
      <c r="I2725" s="948"/>
    </row>
    <row r="2726" spans="2:9" ht="15.75">
      <c r="C2726" s="951" t="s">
        <v>930</v>
      </c>
      <c r="D2726" s="960"/>
      <c r="E2726" s="943" t="str">
        <f>+E2702</f>
        <v>m3</v>
      </c>
      <c r="F2726" s="1070"/>
      <c r="G2726" s="960"/>
      <c r="H2726" s="1033"/>
      <c r="I2726" s="952">
        <f>SUM(I2720:I2723)</f>
        <v>150</v>
      </c>
    </row>
    <row r="2727" spans="2:9" ht="15.75">
      <c r="C2727" s="951"/>
      <c r="D2727" s="960"/>
      <c r="E2727" s="943"/>
      <c r="F2727" s="1070"/>
      <c r="G2727" s="960"/>
      <c r="H2727" s="1033"/>
      <c r="I2727" s="952"/>
    </row>
    <row r="2728" spans="2:9" ht="15.75">
      <c r="C2728" s="951"/>
      <c r="D2728" s="960"/>
      <c r="E2728" s="943"/>
      <c r="F2728" s="1070"/>
      <c r="G2728" s="960"/>
      <c r="H2728" s="1033"/>
      <c r="I2728" s="952"/>
    </row>
    <row r="2729" spans="2:9" ht="31.5">
      <c r="B2729" s="1024">
        <v>6.36</v>
      </c>
      <c r="C2729" s="937" t="str">
        <f>+Presupuesto!B156</f>
        <v>Tuberías y piezas de agua potable para regado de áreas verdes</v>
      </c>
      <c r="D2729" s="938"/>
      <c r="E2729" s="939" t="s">
        <v>1042</v>
      </c>
      <c r="F2729" s="1066"/>
      <c r="G2729" s="938"/>
      <c r="H2729" s="1029"/>
      <c r="I2729" s="940">
        <f>I2753</f>
        <v>12000</v>
      </c>
    </row>
    <row r="2730" spans="2:9" ht="15.75">
      <c r="C2730" s="941" t="s">
        <v>908</v>
      </c>
      <c r="D2730" s="942" t="s">
        <v>9</v>
      </c>
      <c r="E2730" s="943" t="s">
        <v>10</v>
      </c>
      <c r="F2730" s="1067" t="s">
        <v>909</v>
      </c>
      <c r="G2730" s="942" t="s">
        <v>910</v>
      </c>
      <c r="H2730" s="1030" t="s">
        <v>911</v>
      </c>
      <c r="I2730" s="944" t="s">
        <v>912</v>
      </c>
    </row>
    <row r="2731" spans="2:9" ht="15.75">
      <c r="C2731" s="945" t="s">
        <v>913</v>
      </c>
      <c r="D2731" s="946"/>
      <c r="E2731" s="947"/>
      <c r="F2731" s="1054"/>
      <c r="G2731" s="946"/>
      <c r="H2731" s="1031"/>
      <c r="I2731" s="948"/>
    </row>
    <row r="2732" spans="2:9" ht="15.75">
      <c r="C2732" s="949" t="s">
        <v>1543</v>
      </c>
      <c r="D2732" s="946">
        <v>1</v>
      </c>
      <c r="E2732" s="950" t="str">
        <f>+VLOOKUP(C2732,'Basic (equilibrio) (2)'!B:D,2,FALSE)</f>
        <v>P.a</v>
      </c>
      <c r="F2732" s="1068">
        <f>'Basic (equilibrio) (2)'!$D$451</f>
        <v>12000</v>
      </c>
      <c r="G2732" s="946">
        <f>F2732-(F2732/1.18)</f>
        <v>1830.51</v>
      </c>
      <c r="H2732" s="1031"/>
      <c r="I2732" s="948">
        <f>D2732*F2732</f>
        <v>12000</v>
      </c>
    </row>
    <row r="2733" spans="2:9" ht="15.75">
      <c r="C2733" s="951" t="s">
        <v>918</v>
      </c>
      <c r="D2733" s="946"/>
      <c r="E2733" s="947"/>
      <c r="F2733" s="1068"/>
      <c r="G2733" s="946"/>
      <c r="H2733" s="1031"/>
      <c r="I2733" s="952">
        <f>SUM(I2732:I2732)</f>
        <v>12000</v>
      </c>
    </row>
    <row r="2734" spans="2:9" ht="15.75">
      <c r="C2734" s="949"/>
      <c r="D2734" s="946"/>
      <c r="E2734" s="947"/>
      <c r="F2734" s="1068"/>
      <c r="G2734" s="946"/>
      <c r="H2734" s="1031"/>
      <c r="I2734" s="948"/>
    </row>
    <row r="2735" spans="2:9" ht="15.75">
      <c r="C2735" s="945" t="s">
        <v>919</v>
      </c>
      <c r="D2735" s="946"/>
      <c r="E2735" s="947"/>
      <c r="F2735" s="1068"/>
      <c r="G2735" s="946"/>
      <c r="H2735" s="1031"/>
      <c r="I2735" s="948"/>
    </row>
    <row r="2736" spans="2:9" ht="15.75">
      <c r="C2736" s="949" t="s">
        <v>924</v>
      </c>
      <c r="D2736" s="953"/>
      <c r="E2736" s="954" t="str">
        <f>+VLOOKUP(C2736,'Basic (equilibrio) (2)'!B:D,2,FALSE)</f>
        <v>n/a</v>
      </c>
      <c r="F2736" s="1068">
        <f>+VLOOKUP(C2736,'Basic (equilibrio) (2)'!B:D,3,FALSE)</f>
        <v>0</v>
      </c>
      <c r="G2736" s="946">
        <v>0</v>
      </c>
      <c r="H2736" s="1031"/>
      <c r="I2736" s="948">
        <f>D2736*F2736</f>
        <v>0</v>
      </c>
    </row>
    <row r="2737" spans="3:9" ht="15.75">
      <c r="C2737" s="951" t="s">
        <v>918</v>
      </c>
      <c r="D2737" s="946"/>
      <c r="E2737" s="947"/>
      <c r="F2737" s="1054"/>
      <c r="G2737" s="946"/>
      <c r="H2737" s="1031"/>
      <c r="I2737" s="952">
        <f>SUM(I2736:I2736)</f>
        <v>0</v>
      </c>
    </row>
    <row r="2738" spans="3:9" ht="15.75">
      <c r="C2738" s="949"/>
      <c r="D2738" s="946"/>
      <c r="E2738" s="947"/>
      <c r="F2738" s="1054"/>
      <c r="G2738" s="946"/>
      <c r="H2738" s="1031"/>
      <c r="I2738" s="948"/>
    </row>
    <row r="2739" spans="3:9" ht="15.75">
      <c r="C2739" s="945" t="s">
        <v>923</v>
      </c>
      <c r="D2739" s="946"/>
      <c r="E2739" s="947"/>
      <c r="F2739" s="1054"/>
      <c r="G2739" s="946"/>
      <c r="H2739" s="1031"/>
      <c r="I2739" s="948"/>
    </row>
    <row r="2740" spans="3:9" ht="15.75">
      <c r="C2740" s="949" t="s">
        <v>924</v>
      </c>
      <c r="D2740" s="946"/>
      <c r="E2740" s="947" t="str">
        <f>+VLOOKUP(C2740,'Basic (equilibrio) (2)'!B:D,2,FALSE)</f>
        <v>n/a</v>
      </c>
      <c r="F2740" s="1054">
        <f>+VLOOKUP(C2740,'Basic (equilibrio) (2)'!B:D,3,FALSE)</f>
        <v>0</v>
      </c>
      <c r="G2740" s="946">
        <f>F2740-(F2740/1.18)</f>
        <v>0</v>
      </c>
      <c r="H2740" s="1039"/>
      <c r="I2740" s="955">
        <f>D2740*F2740</f>
        <v>0</v>
      </c>
    </row>
    <row r="2741" spans="3:9" ht="15.75">
      <c r="C2741" s="951" t="s">
        <v>918</v>
      </c>
      <c r="D2741" s="946"/>
      <c r="E2741" s="947"/>
      <c r="F2741" s="1054"/>
      <c r="G2741" s="946"/>
      <c r="H2741" s="1031"/>
      <c r="I2741" s="952">
        <f>SUM(I2740:I2740)</f>
        <v>0</v>
      </c>
    </row>
    <row r="2742" spans="3:9" ht="15.75">
      <c r="C2742" s="949"/>
      <c r="D2742" s="946"/>
      <c r="E2742" s="947"/>
      <c r="F2742" s="1054"/>
      <c r="G2742" s="946"/>
      <c r="H2742" s="1031"/>
      <c r="I2742" s="948"/>
    </row>
    <row r="2743" spans="3:9" ht="15.75">
      <c r="C2743" s="945" t="s">
        <v>925</v>
      </c>
      <c r="D2743" s="946"/>
      <c r="E2743" s="947"/>
      <c r="F2743" s="1054"/>
      <c r="G2743" s="946"/>
      <c r="H2743" s="1031"/>
      <c r="I2743" s="948"/>
    </row>
    <row r="2744" spans="3:9" ht="15.75">
      <c r="C2744" s="949" t="s">
        <v>924</v>
      </c>
      <c r="D2744" s="946"/>
      <c r="E2744" s="947" t="str">
        <f>+VLOOKUP(C2744,'Basic (equilibrio) (2)'!B:D,2,FALSE)</f>
        <v>n/a</v>
      </c>
      <c r="F2744" s="1054">
        <f>+VLOOKUP(C2744,'Basic (equilibrio) (2)'!B:D,3,FALSE)</f>
        <v>0</v>
      </c>
      <c r="G2744" s="946">
        <f>F2744-(F2744/1.18)</f>
        <v>0</v>
      </c>
      <c r="H2744" s="1031"/>
      <c r="I2744" s="948">
        <f>D2744*F2744</f>
        <v>0</v>
      </c>
    </row>
    <row r="2745" spans="3:9" ht="15.75">
      <c r="C2745" s="951" t="s">
        <v>918</v>
      </c>
      <c r="D2745" s="946"/>
      <c r="E2745" s="947"/>
      <c r="F2745" s="1054"/>
      <c r="G2745" s="946"/>
      <c r="H2745" s="1031"/>
      <c r="I2745" s="952">
        <f>SUM(I2744)</f>
        <v>0</v>
      </c>
    </row>
    <row r="2746" spans="3:9" ht="15.75">
      <c r="C2746" s="951"/>
      <c r="D2746" s="946"/>
      <c r="E2746" s="947"/>
      <c r="F2746" s="1054"/>
      <c r="G2746" s="946"/>
      <c r="H2746" s="1031"/>
      <c r="I2746" s="952"/>
    </row>
    <row r="2747" spans="3:9" ht="15.75">
      <c r="C2747" s="956" t="s">
        <v>926</v>
      </c>
      <c r="D2747" s="957"/>
      <c r="E2747" s="958"/>
      <c r="F2747" s="1069"/>
      <c r="G2747" s="957"/>
      <c r="H2747" s="1032"/>
      <c r="I2747" s="959">
        <f>+I2733</f>
        <v>12000</v>
      </c>
    </row>
    <row r="2748" spans="3:9" ht="15.75">
      <c r="C2748" s="956" t="s">
        <v>927</v>
      </c>
      <c r="D2748" s="957"/>
      <c r="E2748" s="958"/>
      <c r="F2748" s="1069"/>
      <c r="G2748" s="957"/>
      <c r="H2748" s="1032"/>
      <c r="I2748" s="959">
        <f>+I2737</f>
        <v>0</v>
      </c>
    </row>
    <row r="2749" spans="3:9" ht="15.75">
      <c r="C2749" s="956" t="s">
        <v>928</v>
      </c>
      <c r="D2749" s="957"/>
      <c r="E2749" s="958"/>
      <c r="F2749" s="1069"/>
      <c r="G2749" s="957"/>
      <c r="H2749" s="1032"/>
      <c r="I2749" s="959">
        <f>+I2741</f>
        <v>0</v>
      </c>
    </row>
    <row r="2750" spans="3:9" ht="15.75">
      <c r="C2750" s="956" t="s">
        <v>929</v>
      </c>
      <c r="D2750" s="957"/>
      <c r="E2750" s="958"/>
      <c r="F2750" s="1069"/>
      <c r="G2750" s="957"/>
      <c r="H2750" s="1032"/>
      <c r="I2750" s="959">
        <f>+I2745</f>
        <v>0</v>
      </c>
    </row>
    <row r="2751" spans="3:9" ht="15.75">
      <c r="C2751" s="949"/>
      <c r="D2751" s="946"/>
      <c r="E2751" s="947"/>
      <c r="F2751" s="1054"/>
      <c r="G2751" s="946"/>
      <c r="H2751" s="1031"/>
      <c r="I2751" s="948"/>
    </row>
    <row r="2752" spans="3:9" ht="15.75">
      <c r="C2752" s="949"/>
      <c r="D2752" s="946"/>
      <c r="E2752" s="947"/>
      <c r="F2752" s="1054"/>
      <c r="G2752" s="946"/>
      <c r="H2752" s="1031"/>
      <c r="I2752" s="948"/>
    </row>
    <row r="2753" spans="2:9" ht="15.75">
      <c r="C2753" s="951" t="s">
        <v>930</v>
      </c>
      <c r="D2753" s="960"/>
      <c r="E2753" s="943" t="str">
        <f>+E2729</f>
        <v>m3</v>
      </c>
      <c r="F2753" s="1070"/>
      <c r="G2753" s="960"/>
      <c r="H2753" s="1033"/>
      <c r="I2753" s="952">
        <f>SUM(I2747:I2750)</f>
        <v>12000</v>
      </c>
    </row>
    <row r="2754" spans="2:9" ht="15.75">
      <c r="C2754" s="951"/>
      <c r="D2754" s="960"/>
      <c r="E2754" s="943"/>
      <c r="F2754" s="1070"/>
      <c r="G2754" s="960"/>
      <c r="H2754" s="1033"/>
      <c r="I2754" s="952"/>
    </row>
    <row r="2755" spans="2:9" ht="15.75">
      <c r="C2755" s="951"/>
      <c r="D2755" s="960"/>
      <c r="E2755" s="943"/>
      <c r="F2755" s="1070"/>
      <c r="G2755" s="960"/>
      <c r="H2755" s="1033"/>
      <c r="I2755" s="952"/>
    </row>
    <row r="2756" spans="2:9" ht="31.5">
      <c r="B2756" s="1024">
        <v>5</v>
      </c>
      <c r="C2756" s="937" t="str">
        <f>+Presupuesto!B158</f>
        <v>Suministro y colocación de banco de hormigón (Según diseño)</v>
      </c>
      <c r="D2756" s="938"/>
      <c r="E2756" s="939" t="s">
        <v>1042</v>
      </c>
      <c r="F2756" s="1066"/>
      <c r="G2756" s="938"/>
      <c r="H2756" s="1029"/>
      <c r="I2756" s="940">
        <f>I2780</f>
        <v>14300</v>
      </c>
    </row>
    <row r="2757" spans="2:9" ht="15.75">
      <c r="C2757" s="941" t="s">
        <v>908</v>
      </c>
      <c r="D2757" s="942" t="s">
        <v>9</v>
      </c>
      <c r="E2757" s="943" t="s">
        <v>10</v>
      </c>
      <c r="F2757" s="1067" t="s">
        <v>909</v>
      </c>
      <c r="G2757" s="942" t="s">
        <v>910</v>
      </c>
      <c r="H2757" s="1030" t="s">
        <v>911</v>
      </c>
      <c r="I2757" s="944" t="s">
        <v>912</v>
      </c>
    </row>
    <row r="2758" spans="2:9" ht="15.75">
      <c r="C2758" s="945" t="s">
        <v>913</v>
      </c>
      <c r="D2758" s="946"/>
      <c r="E2758" s="947"/>
      <c r="F2758" s="1054"/>
      <c r="G2758" s="946"/>
      <c r="H2758" s="1031"/>
      <c r="I2758" s="948"/>
    </row>
    <row r="2759" spans="2:9" ht="31.5">
      <c r="C2759" s="949" t="s">
        <v>1419</v>
      </c>
      <c r="D2759" s="946">
        <v>1</v>
      </c>
      <c r="E2759" s="950" t="str">
        <f>+VLOOKUP(C2759,'Basic (equilibrio) (2)'!B:D,2,FALSE)</f>
        <v>Ud</v>
      </c>
      <c r="F2759" s="1068">
        <f>'Basic (equilibrio) (2)'!$D$456</f>
        <v>14300</v>
      </c>
      <c r="G2759" s="946">
        <f>F2759-(F2759/1.18)</f>
        <v>2181.36</v>
      </c>
      <c r="H2759" s="1031"/>
      <c r="I2759" s="948">
        <f>D2759*F2759</f>
        <v>14300</v>
      </c>
    </row>
    <row r="2760" spans="2:9" ht="15.75">
      <c r="C2760" s="951" t="s">
        <v>918</v>
      </c>
      <c r="D2760" s="946"/>
      <c r="E2760" s="947"/>
      <c r="F2760" s="1068"/>
      <c r="G2760" s="946"/>
      <c r="H2760" s="1031"/>
      <c r="I2760" s="952">
        <f>SUM(I2759:I2759)</f>
        <v>14300</v>
      </c>
    </row>
    <row r="2761" spans="2:9" ht="15.75">
      <c r="C2761" s="949"/>
      <c r="D2761" s="946"/>
      <c r="E2761" s="947"/>
      <c r="F2761" s="1068"/>
      <c r="G2761" s="946"/>
      <c r="H2761" s="1031"/>
      <c r="I2761" s="948"/>
    </row>
    <row r="2762" spans="2:9" ht="15.75">
      <c r="C2762" s="945" t="s">
        <v>919</v>
      </c>
      <c r="D2762" s="946"/>
      <c r="E2762" s="947"/>
      <c r="F2762" s="1068"/>
      <c r="G2762" s="946"/>
      <c r="H2762" s="1031"/>
      <c r="I2762" s="948"/>
    </row>
    <row r="2763" spans="2:9" ht="15.75">
      <c r="C2763" s="949" t="s">
        <v>924</v>
      </c>
      <c r="D2763" s="953"/>
      <c r="E2763" s="954" t="str">
        <f>+VLOOKUP(C2763,'Basic (equilibrio) (2)'!B:D,2,FALSE)</f>
        <v>n/a</v>
      </c>
      <c r="F2763" s="1068">
        <f>+VLOOKUP(C2763,'Basic (equilibrio) (2)'!B:D,3,FALSE)</f>
        <v>0</v>
      </c>
      <c r="G2763" s="946">
        <v>0</v>
      </c>
      <c r="H2763" s="1031"/>
      <c r="I2763" s="948">
        <f>D2763*F2763</f>
        <v>0</v>
      </c>
    </row>
    <row r="2764" spans="2:9" ht="15.75">
      <c r="C2764" s="951" t="s">
        <v>918</v>
      </c>
      <c r="D2764" s="946"/>
      <c r="E2764" s="947"/>
      <c r="F2764" s="1054"/>
      <c r="G2764" s="946"/>
      <c r="H2764" s="1031"/>
      <c r="I2764" s="952">
        <f>SUM(I2763:I2763)</f>
        <v>0</v>
      </c>
    </row>
    <row r="2765" spans="2:9" ht="15.75">
      <c r="C2765" s="949"/>
      <c r="D2765" s="946"/>
      <c r="E2765" s="947"/>
      <c r="F2765" s="1054"/>
      <c r="G2765" s="946"/>
      <c r="H2765" s="1031"/>
      <c r="I2765" s="948"/>
    </row>
    <row r="2766" spans="2:9" ht="15.75">
      <c r="C2766" s="945" t="s">
        <v>923</v>
      </c>
      <c r="D2766" s="946"/>
      <c r="E2766" s="947"/>
      <c r="F2766" s="1054"/>
      <c r="G2766" s="946"/>
      <c r="H2766" s="1031"/>
      <c r="I2766" s="948"/>
    </row>
    <row r="2767" spans="2:9" ht="15.75">
      <c r="C2767" s="949" t="s">
        <v>924</v>
      </c>
      <c r="D2767" s="946"/>
      <c r="E2767" s="947" t="str">
        <f>+VLOOKUP(C2767,'Basic (equilibrio) (2)'!B:D,2,FALSE)</f>
        <v>n/a</v>
      </c>
      <c r="F2767" s="1054">
        <f>+VLOOKUP(C2767,'Basic (equilibrio) (2)'!B:D,3,FALSE)</f>
        <v>0</v>
      </c>
      <c r="G2767" s="946">
        <f>F2767-(F2767/1.18)</f>
        <v>0</v>
      </c>
      <c r="H2767" s="1039"/>
      <c r="I2767" s="955">
        <f>D2767*F2767</f>
        <v>0</v>
      </c>
    </row>
    <row r="2768" spans="2:9" ht="15.75">
      <c r="C2768" s="951" t="s">
        <v>918</v>
      </c>
      <c r="D2768" s="946"/>
      <c r="E2768" s="947"/>
      <c r="F2768" s="1054"/>
      <c r="G2768" s="946"/>
      <c r="H2768" s="1031"/>
      <c r="I2768" s="952">
        <f>SUM(I2767:I2767)</f>
        <v>0</v>
      </c>
    </row>
    <row r="2769" spans="2:9" ht="15.75">
      <c r="C2769" s="949"/>
      <c r="D2769" s="946"/>
      <c r="E2769" s="947"/>
      <c r="F2769" s="1054"/>
      <c r="G2769" s="946"/>
      <c r="H2769" s="1031"/>
      <c r="I2769" s="948"/>
    </row>
    <row r="2770" spans="2:9" ht="15.75">
      <c r="C2770" s="945" t="s">
        <v>925</v>
      </c>
      <c r="D2770" s="946"/>
      <c r="E2770" s="947"/>
      <c r="F2770" s="1054"/>
      <c r="G2770" s="946"/>
      <c r="H2770" s="1031"/>
      <c r="I2770" s="948"/>
    </row>
    <row r="2771" spans="2:9" ht="15.75">
      <c r="C2771" s="949" t="s">
        <v>924</v>
      </c>
      <c r="D2771" s="946"/>
      <c r="E2771" s="947" t="str">
        <f>+VLOOKUP(C2771,'Basic (equilibrio) (2)'!B:D,2,FALSE)</f>
        <v>n/a</v>
      </c>
      <c r="F2771" s="1054">
        <f>+VLOOKUP(C2771,'Basic (equilibrio) (2)'!B:D,3,FALSE)</f>
        <v>0</v>
      </c>
      <c r="G2771" s="946">
        <f>F2771-(F2771/1.18)</f>
        <v>0</v>
      </c>
      <c r="H2771" s="1031"/>
      <c r="I2771" s="948">
        <f>D2771*F2771</f>
        <v>0</v>
      </c>
    </row>
    <row r="2772" spans="2:9" ht="15.75">
      <c r="C2772" s="951" t="s">
        <v>918</v>
      </c>
      <c r="D2772" s="946"/>
      <c r="E2772" s="947"/>
      <c r="F2772" s="1054"/>
      <c r="G2772" s="946"/>
      <c r="H2772" s="1031"/>
      <c r="I2772" s="952">
        <f>SUM(I2771)</f>
        <v>0</v>
      </c>
    </row>
    <row r="2773" spans="2:9" ht="15.75">
      <c r="C2773" s="951"/>
      <c r="D2773" s="946"/>
      <c r="E2773" s="947"/>
      <c r="F2773" s="1054"/>
      <c r="G2773" s="946"/>
      <c r="H2773" s="1031"/>
      <c r="I2773" s="952"/>
    </row>
    <row r="2774" spans="2:9" ht="15.75">
      <c r="C2774" s="956" t="s">
        <v>926</v>
      </c>
      <c r="D2774" s="957"/>
      <c r="E2774" s="958"/>
      <c r="F2774" s="1069"/>
      <c r="G2774" s="957"/>
      <c r="H2774" s="1032"/>
      <c r="I2774" s="959">
        <f>+I2760</f>
        <v>14300</v>
      </c>
    </row>
    <row r="2775" spans="2:9" ht="15.75">
      <c r="C2775" s="956" t="s">
        <v>927</v>
      </c>
      <c r="D2775" s="957"/>
      <c r="E2775" s="958"/>
      <c r="F2775" s="1069"/>
      <c r="G2775" s="957"/>
      <c r="H2775" s="1032"/>
      <c r="I2775" s="959">
        <f>+I2764</f>
        <v>0</v>
      </c>
    </row>
    <row r="2776" spans="2:9" ht="15.75">
      <c r="C2776" s="956" t="s">
        <v>928</v>
      </c>
      <c r="D2776" s="957"/>
      <c r="E2776" s="958"/>
      <c r="F2776" s="1069"/>
      <c r="G2776" s="957"/>
      <c r="H2776" s="1032"/>
      <c r="I2776" s="959">
        <f>+I2768</f>
        <v>0</v>
      </c>
    </row>
    <row r="2777" spans="2:9" ht="15.75">
      <c r="C2777" s="956" t="s">
        <v>929</v>
      </c>
      <c r="D2777" s="957"/>
      <c r="E2777" s="958"/>
      <c r="F2777" s="1069"/>
      <c r="G2777" s="957"/>
      <c r="H2777" s="1032"/>
      <c r="I2777" s="959">
        <f>+I2772</f>
        <v>0</v>
      </c>
    </row>
    <row r="2778" spans="2:9" ht="15.75">
      <c r="C2778" s="949"/>
      <c r="D2778" s="946"/>
      <c r="E2778" s="947"/>
      <c r="F2778" s="1054"/>
      <c r="G2778" s="946"/>
      <c r="H2778" s="1031"/>
      <c r="I2778" s="948"/>
    </row>
    <row r="2779" spans="2:9" ht="15.75">
      <c r="C2779" s="949"/>
      <c r="D2779" s="946"/>
      <c r="E2779" s="947"/>
      <c r="F2779" s="1054"/>
      <c r="G2779" s="946"/>
      <c r="H2779" s="1031"/>
      <c r="I2779" s="948"/>
    </row>
    <row r="2780" spans="2:9" ht="15.75">
      <c r="C2780" s="951" t="s">
        <v>930</v>
      </c>
      <c r="D2780" s="960"/>
      <c r="E2780" s="943" t="str">
        <f>+E2756</f>
        <v>m3</v>
      </c>
      <c r="F2780" s="1070"/>
      <c r="G2780" s="960"/>
      <c r="H2780" s="1033"/>
      <c r="I2780" s="952">
        <f>SUM(I2774:I2777)</f>
        <v>14300</v>
      </c>
    </row>
    <row r="2781" spans="2:9" ht="15.75">
      <c r="C2781" s="951"/>
      <c r="D2781" s="960"/>
      <c r="E2781" s="943"/>
      <c r="F2781" s="1070"/>
      <c r="G2781" s="960"/>
      <c r="H2781" s="1033"/>
      <c r="I2781" s="952"/>
    </row>
    <row r="2782" spans="2:9" ht="15.75">
      <c r="C2782" s="951"/>
      <c r="D2782" s="960"/>
      <c r="E2782" s="943"/>
      <c r="F2782" s="1070"/>
      <c r="G2782" s="960"/>
      <c r="H2782" s="1033"/>
      <c r="I2782" s="952"/>
    </row>
    <row r="2783" spans="2:9" ht="15.75">
      <c r="B2783" s="1024">
        <v>6</v>
      </c>
      <c r="C2783" s="937" t="str">
        <f>+Presupuesto!B160</f>
        <v>Suministro y colocación de zafacones triples de reciclaje</v>
      </c>
      <c r="D2783" s="938"/>
      <c r="E2783" s="939" t="s">
        <v>1042</v>
      </c>
      <c r="F2783" s="1066"/>
      <c r="G2783" s="938"/>
      <c r="H2783" s="1029"/>
      <c r="I2783" s="940">
        <f>I2807</f>
        <v>8000</v>
      </c>
    </row>
    <row r="2784" spans="2:9" ht="15.75">
      <c r="C2784" s="941" t="s">
        <v>908</v>
      </c>
      <c r="D2784" s="942" t="s">
        <v>9</v>
      </c>
      <c r="E2784" s="943" t="s">
        <v>10</v>
      </c>
      <c r="F2784" s="1067" t="s">
        <v>909</v>
      </c>
      <c r="G2784" s="942" t="s">
        <v>910</v>
      </c>
      <c r="H2784" s="1030" t="s">
        <v>911</v>
      </c>
      <c r="I2784" s="944" t="s">
        <v>912</v>
      </c>
    </row>
    <row r="2785" spans="3:9" ht="15.75">
      <c r="C2785" s="945" t="s">
        <v>913</v>
      </c>
      <c r="D2785" s="946"/>
      <c r="E2785" s="947"/>
      <c r="F2785" s="1054"/>
      <c r="G2785" s="946"/>
      <c r="H2785" s="1031"/>
      <c r="I2785" s="948"/>
    </row>
    <row r="2786" spans="3:9" ht="15.75">
      <c r="C2786" s="949" t="s">
        <v>1544</v>
      </c>
      <c r="D2786" s="946">
        <v>1</v>
      </c>
      <c r="E2786" s="950" t="str">
        <f>+VLOOKUP(C2786,'Basic (equilibrio) (2)'!B:D,2,FALSE)</f>
        <v>und</v>
      </c>
      <c r="F2786" s="1068">
        <f>'Basic (equilibrio) (2)'!$D$455</f>
        <v>8000</v>
      </c>
      <c r="G2786" s="946">
        <f>F2786-(F2786/1.18)</f>
        <v>1220.3399999999999</v>
      </c>
      <c r="H2786" s="1031"/>
      <c r="I2786" s="948">
        <f>D2786*F2786</f>
        <v>8000</v>
      </c>
    </row>
    <row r="2787" spans="3:9" ht="15.75">
      <c r="C2787" s="951" t="s">
        <v>918</v>
      </c>
      <c r="D2787" s="946"/>
      <c r="E2787" s="947"/>
      <c r="F2787" s="1068"/>
      <c r="G2787" s="946"/>
      <c r="H2787" s="1031"/>
      <c r="I2787" s="952">
        <f>SUM(I2786:I2786)</f>
        <v>8000</v>
      </c>
    </row>
    <row r="2788" spans="3:9" ht="15.75">
      <c r="C2788" s="949"/>
      <c r="D2788" s="946"/>
      <c r="E2788" s="947"/>
      <c r="F2788" s="1068"/>
      <c r="G2788" s="946"/>
      <c r="H2788" s="1031"/>
      <c r="I2788" s="948"/>
    </row>
    <row r="2789" spans="3:9" ht="15.75">
      <c r="C2789" s="945" t="s">
        <v>919</v>
      </c>
      <c r="D2789" s="946"/>
      <c r="E2789" s="947"/>
      <c r="F2789" s="1068"/>
      <c r="G2789" s="946"/>
      <c r="H2789" s="1031"/>
      <c r="I2789" s="948"/>
    </row>
    <row r="2790" spans="3:9" ht="15.75">
      <c r="C2790" s="949" t="s">
        <v>924</v>
      </c>
      <c r="D2790" s="953"/>
      <c r="E2790" s="954" t="str">
        <f>+VLOOKUP(C2790,'Basic (equilibrio) (2)'!B:D,2,FALSE)</f>
        <v>n/a</v>
      </c>
      <c r="F2790" s="1068">
        <f>+VLOOKUP(C2790,'Basic (equilibrio) (2)'!B:D,3,FALSE)</f>
        <v>0</v>
      </c>
      <c r="G2790" s="946">
        <v>0</v>
      </c>
      <c r="H2790" s="1031"/>
      <c r="I2790" s="948">
        <f>D2790*F2790</f>
        <v>0</v>
      </c>
    </row>
    <row r="2791" spans="3:9" ht="15.75">
      <c r="C2791" s="951" t="s">
        <v>918</v>
      </c>
      <c r="D2791" s="946"/>
      <c r="E2791" s="947"/>
      <c r="F2791" s="1054"/>
      <c r="G2791" s="946"/>
      <c r="H2791" s="1031"/>
      <c r="I2791" s="952">
        <f>SUM(I2790:I2790)</f>
        <v>0</v>
      </c>
    </row>
    <row r="2792" spans="3:9" ht="15.75">
      <c r="C2792" s="949"/>
      <c r="D2792" s="946"/>
      <c r="E2792" s="947"/>
      <c r="F2792" s="1054"/>
      <c r="G2792" s="946"/>
      <c r="H2792" s="1031"/>
      <c r="I2792" s="948"/>
    </row>
    <row r="2793" spans="3:9" ht="15.75">
      <c r="C2793" s="945" t="s">
        <v>923</v>
      </c>
      <c r="D2793" s="946"/>
      <c r="E2793" s="947"/>
      <c r="F2793" s="1054"/>
      <c r="G2793" s="946"/>
      <c r="H2793" s="1031"/>
      <c r="I2793" s="948"/>
    </row>
    <row r="2794" spans="3:9" ht="15.75">
      <c r="C2794" s="949" t="s">
        <v>924</v>
      </c>
      <c r="D2794" s="946"/>
      <c r="E2794" s="947" t="str">
        <f>+VLOOKUP(C2794,'Basic (equilibrio) (2)'!B:D,2,FALSE)</f>
        <v>n/a</v>
      </c>
      <c r="F2794" s="1054">
        <f>+VLOOKUP(C2794,'Basic (equilibrio) (2)'!B:D,3,FALSE)</f>
        <v>0</v>
      </c>
      <c r="G2794" s="946">
        <f>F2794-(F2794/1.18)</f>
        <v>0</v>
      </c>
      <c r="H2794" s="1039"/>
      <c r="I2794" s="955">
        <f>D2794*F2794</f>
        <v>0</v>
      </c>
    </row>
    <row r="2795" spans="3:9" ht="15.75">
      <c r="C2795" s="951" t="s">
        <v>918</v>
      </c>
      <c r="D2795" s="946"/>
      <c r="E2795" s="947"/>
      <c r="F2795" s="1054"/>
      <c r="G2795" s="946"/>
      <c r="H2795" s="1031"/>
      <c r="I2795" s="952">
        <f>SUM(I2794:I2794)</f>
        <v>0</v>
      </c>
    </row>
    <row r="2796" spans="3:9" ht="15.75">
      <c r="C2796" s="949"/>
      <c r="D2796" s="946"/>
      <c r="E2796" s="947"/>
      <c r="F2796" s="1054"/>
      <c r="G2796" s="946"/>
      <c r="H2796" s="1031"/>
      <c r="I2796" s="948"/>
    </row>
    <row r="2797" spans="3:9" ht="15.75">
      <c r="C2797" s="945" t="s">
        <v>925</v>
      </c>
      <c r="D2797" s="946"/>
      <c r="E2797" s="947"/>
      <c r="F2797" s="1054"/>
      <c r="G2797" s="946"/>
      <c r="H2797" s="1031"/>
      <c r="I2797" s="948"/>
    </row>
    <row r="2798" spans="3:9" ht="15.75">
      <c r="C2798" s="949" t="s">
        <v>924</v>
      </c>
      <c r="D2798" s="946"/>
      <c r="E2798" s="947" t="str">
        <f>+VLOOKUP(C2798,'Basic (equilibrio) (2)'!B:D,2,FALSE)</f>
        <v>n/a</v>
      </c>
      <c r="F2798" s="1054">
        <f>+VLOOKUP(C2798,'Basic (equilibrio) (2)'!B:D,3,FALSE)</f>
        <v>0</v>
      </c>
      <c r="G2798" s="946">
        <f>F2798-(F2798/1.18)</f>
        <v>0</v>
      </c>
      <c r="H2798" s="1031"/>
      <c r="I2798" s="948">
        <f>D2798*F2798</f>
        <v>0</v>
      </c>
    </row>
    <row r="2799" spans="3:9" ht="15.75">
      <c r="C2799" s="951" t="s">
        <v>918</v>
      </c>
      <c r="D2799" s="946"/>
      <c r="E2799" s="947"/>
      <c r="F2799" s="1054"/>
      <c r="G2799" s="946"/>
      <c r="H2799" s="1031"/>
      <c r="I2799" s="952">
        <f>SUM(I2798)</f>
        <v>0</v>
      </c>
    </row>
    <row r="2800" spans="3:9" ht="15.75">
      <c r="C2800" s="951"/>
      <c r="D2800" s="946"/>
      <c r="E2800" s="947"/>
      <c r="F2800" s="1054"/>
      <c r="G2800" s="946"/>
      <c r="H2800" s="1031"/>
      <c r="I2800" s="952"/>
    </row>
    <row r="2801" spans="2:9" ht="15.75">
      <c r="C2801" s="956" t="s">
        <v>926</v>
      </c>
      <c r="D2801" s="957"/>
      <c r="E2801" s="958"/>
      <c r="F2801" s="1069"/>
      <c r="G2801" s="957"/>
      <c r="H2801" s="1032"/>
      <c r="I2801" s="959">
        <f>+I2787</f>
        <v>8000</v>
      </c>
    </row>
    <row r="2802" spans="2:9" ht="15.75">
      <c r="C2802" s="956" t="s">
        <v>927</v>
      </c>
      <c r="D2802" s="957"/>
      <c r="E2802" s="958"/>
      <c r="F2802" s="1069"/>
      <c r="G2802" s="957"/>
      <c r="H2802" s="1032"/>
      <c r="I2802" s="959">
        <f>+I2791</f>
        <v>0</v>
      </c>
    </row>
    <row r="2803" spans="2:9" ht="15.75">
      <c r="C2803" s="956" t="s">
        <v>928</v>
      </c>
      <c r="D2803" s="957"/>
      <c r="E2803" s="958"/>
      <c r="F2803" s="1069"/>
      <c r="G2803" s="957"/>
      <c r="H2803" s="1032"/>
      <c r="I2803" s="959">
        <f>+I2795</f>
        <v>0</v>
      </c>
    </row>
    <row r="2804" spans="2:9" ht="15.75">
      <c r="C2804" s="956" t="s">
        <v>929</v>
      </c>
      <c r="D2804" s="957"/>
      <c r="E2804" s="958"/>
      <c r="F2804" s="1069"/>
      <c r="G2804" s="957"/>
      <c r="H2804" s="1032"/>
      <c r="I2804" s="959">
        <f>+I2799</f>
        <v>0</v>
      </c>
    </row>
    <row r="2805" spans="2:9" ht="15.75">
      <c r="C2805" s="949"/>
      <c r="D2805" s="946"/>
      <c r="E2805" s="947"/>
      <c r="F2805" s="1054"/>
      <c r="G2805" s="946"/>
      <c r="H2805" s="1031"/>
      <c r="I2805" s="948"/>
    </row>
    <row r="2806" spans="2:9" ht="15.75">
      <c r="C2806" s="949"/>
      <c r="D2806" s="946"/>
      <c r="E2806" s="947"/>
      <c r="F2806" s="1054"/>
      <c r="G2806" s="946"/>
      <c r="H2806" s="1031"/>
      <c r="I2806" s="948"/>
    </row>
    <row r="2807" spans="2:9" ht="15.75">
      <c r="C2807" s="951" t="s">
        <v>930</v>
      </c>
      <c r="D2807" s="960"/>
      <c r="E2807" s="943" t="str">
        <f>+E2783</f>
        <v>m3</v>
      </c>
      <c r="F2807" s="1070"/>
      <c r="G2807" s="960"/>
      <c r="H2807" s="1033"/>
      <c r="I2807" s="952">
        <f>SUM(I2801:I2804)</f>
        <v>8000</v>
      </c>
    </row>
    <row r="2808" spans="2:9" ht="15.75">
      <c r="C2808" s="951"/>
      <c r="D2808" s="960"/>
      <c r="E2808" s="943"/>
      <c r="F2808" s="1070"/>
      <c r="G2808" s="960"/>
      <c r="H2808" s="1033"/>
      <c r="I2808" s="952"/>
    </row>
    <row r="2809" spans="2:9" ht="18.75" customHeight="1">
      <c r="B2809" s="1435" t="s">
        <v>1545</v>
      </c>
      <c r="C2809" s="1435"/>
      <c r="D2809" s="1435"/>
      <c r="E2809" s="1435"/>
      <c r="F2809" s="1435"/>
      <c r="G2809" s="1435"/>
      <c r="H2809" s="1435"/>
      <c r="I2809" s="1436"/>
    </row>
    <row r="2810" spans="2:9" ht="15.75">
      <c r="C2810" s="951"/>
      <c r="D2810" s="960"/>
      <c r="E2810" s="943"/>
      <c r="F2810" s="1070"/>
      <c r="G2810" s="960"/>
      <c r="H2810" s="1033"/>
      <c r="I2810" s="952"/>
    </row>
    <row r="2811" spans="2:9" ht="15.75">
      <c r="B2811" s="1024">
        <v>1.1000000000000001</v>
      </c>
      <c r="C2811" s="937" t="str">
        <f>+Presupuesto!B170</f>
        <v xml:space="preserve">Replanteo </v>
      </c>
      <c r="D2811" s="938"/>
      <c r="E2811" s="939" t="s">
        <v>140</v>
      </c>
      <c r="F2811" s="1066"/>
      <c r="G2811" s="938"/>
      <c r="H2811" s="1029"/>
      <c r="I2811" s="940">
        <f>I2840</f>
        <v>32457.25</v>
      </c>
    </row>
    <row r="2812" spans="2:9" ht="15.75">
      <c r="C2812" s="941" t="s">
        <v>908</v>
      </c>
      <c r="D2812" s="942" t="s">
        <v>9</v>
      </c>
      <c r="E2812" s="943" t="s">
        <v>10</v>
      </c>
      <c r="F2812" s="1067" t="s">
        <v>909</v>
      </c>
      <c r="G2812" s="942" t="s">
        <v>910</v>
      </c>
      <c r="H2812" s="1030" t="s">
        <v>911</v>
      </c>
      <c r="I2812" s="944" t="s">
        <v>912</v>
      </c>
    </row>
    <row r="2813" spans="2:9" ht="15.75">
      <c r="C2813" s="945" t="s">
        <v>913</v>
      </c>
      <c r="D2813" s="946"/>
      <c r="E2813" s="947"/>
      <c r="F2813" s="1054"/>
      <c r="G2813" s="946"/>
      <c r="H2813" s="1031"/>
      <c r="I2813" s="948"/>
    </row>
    <row r="2814" spans="2:9" ht="15.75">
      <c r="C2814" s="949" t="s">
        <v>914</v>
      </c>
      <c r="D2814" s="946">
        <f>33.94/28.83</f>
        <v>1.18</v>
      </c>
      <c r="E2814" s="947" t="str">
        <f>+VLOOKUP(C2814,'Basic (equilibrio) (2)'!B:D,2,FALSE)</f>
        <v>lb</v>
      </c>
      <c r="F2814" s="1068">
        <f>'Basic (equilibrio) (2)'!$D$326</f>
        <v>78.2</v>
      </c>
      <c r="G2814" s="946">
        <f>F2814-(F2814/1.18)</f>
        <v>11.93</v>
      </c>
      <c r="H2814" s="1031"/>
      <c r="I2814" s="948">
        <f>D2814*F2814</f>
        <v>92.28</v>
      </c>
    </row>
    <row r="2815" spans="2:9" ht="15.75">
      <c r="C2815" s="949" t="s">
        <v>915</v>
      </c>
      <c r="D2815" s="946">
        <f>22/28.83</f>
        <v>0.76</v>
      </c>
      <c r="E2815" s="950" t="str">
        <f>+VLOOKUP(C2815,'Basic (equilibrio) (2)'!B:D,2,FALSE)</f>
        <v>fda</v>
      </c>
      <c r="F2815" s="1068">
        <f>'Basic (equilibrio) (2)'!$D$327</f>
        <v>153.6</v>
      </c>
      <c r="G2815" s="946">
        <f>F2815-(F2815/1.18)</f>
        <v>23.43</v>
      </c>
      <c r="H2815" s="1031"/>
      <c r="I2815" s="948">
        <f>D2815*F2815</f>
        <v>116.74</v>
      </c>
    </row>
    <row r="2816" spans="2:9" ht="15.75">
      <c r="C2816" s="949" t="s">
        <v>916</v>
      </c>
      <c r="D2816" s="946">
        <f>160.42/28.83</f>
        <v>5.56</v>
      </c>
      <c r="E2816" s="947" t="str">
        <f>+VLOOKUP(C2816,'Basic (equilibrio) (2)'!B:D,2,FALSE)</f>
        <v>pt</v>
      </c>
      <c r="F2816" s="1068">
        <f>'Basic (equilibrio) (2)'!$D$194</f>
        <v>107.7</v>
      </c>
      <c r="G2816" s="946">
        <f>F2816-(F2816/1.18)</f>
        <v>16.43</v>
      </c>
      <c r="H2816" s="1031"/>
      <c r="I2816" s="948">
        <f>D2816*F2816</f>
        <v>598.80999999999995</v>
      </c>
    </row>
    <row r="2817" spans="3:9" ht="15.75">
      <c r="C2817" s="949" t="s">
        <v>917</v>
      </c>
      <c r="D2817" s="946">
        <f>3/28.83</f>
        <v>0.1</v>
      </c>
      <c r="E2817" s="950" t="str">
        <f>+VLOOKUP(C2817,'Basic (equilibrio) (2)'!B:D,2,FALSE)</f>
        <v>u</v>
      </c>
      <c r="F2817" s="1068">
        <f>'Basic (equilibrio) (2)'!$D$329</f>
        <v>139.19999999999999</v>
      </c>
      <c r="G2817" s="946">
        <f>F2817-(F2817/1.18)</f>
        <v>21.23</v>
      </c>
      <c r="H2817" s="1031"/>
      <c r="I2817" s="948">
        <f>D2817*F2817</f>
        <v>13.92</v>
      </c>
    </row>
    <row r="2818" spans="3:9" ht="15.75">
      <c r="C2818" s="951" t="s">
        <v>918</v>
      </c>
      <c r="D2818" s="946"/>
      <c r="E2818" s="947"/>
      <c r="F2818" s="1068"/>
      <c r="G2818" s="946"/>
      <c r="H2818" s="1031"/>
      <c r="I2818" s="952">
        <f>SUM(I2814:I2817)</f>
        <v>821.75</v>
      </c>
    </row>
    <row r="2819" spans="3:9" ht="15.75">
      <c r="C2819" s="949"/>
      <c r="D2819" s="946"/>
      <c r="E2819" s="947"/>
      <c r="F2819" s="1068"/>
      <c r="G2819" s="946"/>
      <c r="H2819" s="1031"/>
      <c r="I2819" s="948"/>
    </row>
    <row r="2820" spans="3:9" ht="15.75">
      <c r="C2820" s="945" t="s">
        <v>919</v>
      </c>
      <c r="D2820" s="946"/>
      <c r="E2820" s="947"/>
      <c r="F2820" s="1068"/>
      <c r="G2820" s="946"/>
      <c r="H2820" s="1031"/>
      <c r="I2820" s="948"/>
    </row>
    <row r="2821" spans="3:9" ht="15.75">
      <c r="C2821" s="949" t="s">
        <v>920</v>
      </c>
      <c r="D2821" s="953">
        <v>1</v>
      </c>
      <c r="E2821" s="954" t="str">
        <f>+VLOOKUP(C2821,'Basic (equilibrio) (2)'!B:D,2,FALSE)</f>
        <v>dia</v>
      </c>
      <c r="F2821" s="1068">
        <f>+'Basic (equilibrio) (2)'!$D$18</f>
        <v>28535.5</v>
      </c>
      <c r="G2821" s="946">
        <v>0</v>
      </c>
      <c r="H2821" s="1031"/>
      <c r="I2821" s="948">
        <f>D2821*F2821</f>
        <v>28535.5</v>
      </c>
    </row>
    <row r="2822" spans="3:9" ht="15.75">
      <c r="C2822" s="949" t="s">
        <v>921</v>
      </c>
      <c r="D2822" s="946">
        <v>1</v>
      </c>
      <c r="E2822" s="954" t="str">
        <f>+VLOOKUP(C2822,'Basic (equilibrio) (2)'!B:D,2,FALSE)</f>
        <v>dia</v>
      </c>
      <c r="F2822" s="1054">
        <f>'Basic (equilibrio) (2)'!$D$12</f>
        <v>1900</v>
      </c>
      <c r="G2822" s="946">
        <v>0</v>
      </c>
      <c r="H2822" s="1031"/>
      <c r="I2822" s="948">
        <f>D2822*F2822</f>
        <v>1900</v>
      </c>
    </row>
    <row r="2823" spans="3:9" ht="15.75">
      <c r="C2823" s="949" t="s">
        <v>922</v>
      </c>
      <c r="D2823" s="946">
        <v>1</v>
      </c>
      <c r="E2823" s="954" t="str">
        <f>+VLOOKUP(C2823,'Basic (equilibrio) (2)'!B:D,2,FALSE)</f>
        <v>dia</v>
      </c>
      <c r="F2823" s="1054">
        <f>'Basic (equilibrio) (2)'!$D$13</f>
        <v>1200</v>
      </c>
      <c r="G2823" s="946">
        <v>0</v>
      </c>
      <c r="H2823" s="1031"/>
      <c r="I2823" s="948">
        <f>D2823*F2823</f>
        <v>1200</v>
      </c>
    </row>
    <row r="2824" spans="3:9" ht="15.75">
      <c r="C2824" s="951" t="s">
        <v>918</v>
      </c>
      <c r="D2824" s="946"/>
      <c r="E2824" s="947"/>
      <c r="F2824" s="1054"/>
      <c r="G2824" s="946"/>
      <c r="H2824" s="1031"/>
      <c r="I2824" s="952">
        <f>SUM(I2821:I2823)</f>
        <v>31635.5</v>
      </c>
    </row>
    <row r="2825" spans="3:9" ht="15.75">
      <c r="C2825" s="949"/>
      <c r="D2825" s="946"/>
      <c r="E2825" s="947"/>
      <c r="F2825" s="1054"/>
      <c r="G2825" s="946"/>
      <c r="H2825" s="1031"/>
      <c r="I2825" s="948"/>
    </row>
    <row r="2826" spans="3:9" ht="15.75">
      <c r="C2826" s="945" t="s">
        <v>923</v>
      </c>
      <c r="D2826" s="946"/>
      <c r="E2826" s="947"/>
      <c r="F2826" s="1054"/>
      <c r="G2826" s="946"/>
      <c r="H2826" s="1031"/>
      <c r="I2826" s="948"/>
    </row>
    <row r="2827" spans="3:9" ht="15.75">
      <c r="C2827" s="949" t="s">
        <v>924</v>
      </c>
      <c r="D2827" s="946"/>
      <c r="E2827" s="947"/>
      <c r="F2827" s="1054">
        <f>+VLOOKUP(C2827,[49]BASICS!B:E,3,FALSE)</f>
        <v>0</v>
      </c>
      <c r="G2827" s="946">
        <f>F2827-(F2827/1.18)</f>
        <v>0</v>
      </c>
      <c r="H2827" s="1039"/>
      <c r="I2827" s="955">
        <f>D2827*F2827</f>
        <v>0</v>
      </c>
    </row>
    <row r="2828" spans="3:9" ht="15.75">
      <c r="C2828" s="951" t="s">
        <v>918</v>
      </c>
      <c r="D2828" s="946"/>
      <c r="E2828" s="947"/>
      <c r="F2828" s="1054"/>
      <c r="G2828" s="946"/>
      <c r="H2828" s="1031"/>
      <c r="I2828" s="952">
        <f>SUM(I2827)</f>
        <v>0</v>
      </c>
    </row>
    <row r="2829" spans="3:9" ht="15.75">
      <c r="C2829" s="949"/>
      <c r="D2829" s="946"/>
      <c r="E2829" s="947"/>
      <c r="F2829" s="1054"/>
      <c r="G2829" s="946"/>
      <c r="H2829" s="1031"/>
      <c r="I2829" s="948"/>
    </row>
    <row r="2830" spans="3:9" ht="15.75">
      <c r="C2830" s="945" t="s">
        <v>925</v>
      </c>
      <c r="D2830" s="946"/>
      <c r="E2830" s="947"/>
      <c r="F2830" s="1054"/>
      <c r="G2830" s="946"/>
      <c r="H2830" s="1031"/>
      <c r="I2830" s="948"/>
    </row>
    <row r="2831" spans="3:9" ht="15.75">
      <c r="C2831" s="949" t="s">
        <v>924</v>
      </c>
      <c r="D2831" s="946"/>
      <c r="E2831" s="947" t="str">
        <f>+VLOOKUP(C2831,'Basic (equilibrio) (2)'!B:D,2,FALSE)</f>
        <v>n/a</v>
      </c>
      <c r="F2831" s="1054">
        <f>+VLOOKUP(C2831,'Basic (equilibrio) (2)'!B:D,3,FALSE)</f>
        <v>0</v>
      </c>
      <c r="G2831" s="946">
        <f>F2831-(F2831/1.18)</f>
        <v>0</v>
      </c>
      <c r="H2831" s="1031"/>
      <c r="I2831" s="948">
        <f>D2831*F2831</f>
        <v>0</v>
      </c>
    </row>
    <row r="2832" spans="3:9" ht="15.75">
      <c r="C2832" s="951" t="s">
        <v>918</v>
      </c>
      <c r="D2832" s="946"/>
      <c r="E2832" s="947"/>
      <c r="F2832" s="1054"/>
      <c r="G2832" s="946"/>
      <c r="H2832" s="1031"/>
      <c r="I2832" s="952">
        <f>SUM(I2831)</f>
        <v>0</v>
      </c>
    </row>
    <row r="2833" spans="2:9" ht="15.75">
      <c r="C2833" s="951"/>
      <c r="D2833" s="946"/>
      <c r="E2833" s="947"/>
      <c r="F2833" s="1054"/>
      <c r="G2833" s="946"/>
      <c r="H2833" s="1031"/>
      <c r="I2833" s="952"/>
    </row>
    <row r="2834" spans="2:9" ht="15.75">
      <c r="C2834" s="956" t="s">
        <v>926</v>
      </c>
      <c r="D2834" s="957"/>
      <c r="E2834" s="958"/>
      <c r="F2834" s="1069"/>
      <c r="G2834" s="957"/>
      <c r="H2834" s="1032"/>
      <c r="I2834" s="959">
        <f>+I2818</f>
        <v>821.75</v>
      </c>
    </row>
    <row r="2835" spans="2:9" ht="15.75">
      <c r="C2835" s="956" t="s">
        <v>927</v>
      </c>
      <c r="D2835" s="957"/>
      <c r="E2835" s="958"/>
      <c r="F2835" s="1069"/>
      <c r="G2835" s="957"/>
      <c r="H2835" s="1032"/>
      <c r="I2835" s="959">
        <f>+I2824</f>
        <v>31635.5</v>
      </c>
    </row>
    <row r="2836" spans="2:9" ht="15.75">
      <c r="C2836" s="956" t="s">
        <v>928</v>
      </c>
      <c r="D2836" s="957"/>
      <c r="E2836" s="958"/>
      <c r="F2836" s="1069"/>
      <c r="G2836" s="957"/>
      <c r="H2836" s="1032"/>
      <c r="I2836" s="959">
        <f>+I2828</f>
        <v>0</v>
      </c>
    </row>
    <row r="2837" spans="2:9" ht="15.75">
      <c r="C2837" s="956" t="s">
        <v>929</v>
      </c>
      <c r="D2837" s="957"/>
      <c r="E2837" s="958"/>
      <c r="F2837" s="1069"/>
      <c r="G2837" s="957"/>
      <c r="H2837" s="1032"/>
      <c r="I2837" s="959">
        <f>+I2832</f>
        <v>0</v>
      </c>
    </row>
    <row r="2838" spans="2:9" ht="15.75">
      <c r="C2838" s="949"/>
      <c r="D2838" s="946"/>
      <c r="E2838" s="947"/>
      <c r="F2838" s="1054"/>
      <c r="G2838" s="946"/>
      <c r="H2838" s="1031"/>
      <c r="I2838" s="948"/>
    </row>
    <row r="2839" spans="2:9" ht="15.75">
      <c r="C2839" s="949"/>
      <c r="D2839" s="946"/>
      <c r="E2839" s="947"/>
      <c r="F2839" s="1054"/>
      <c r="G2839" s="946"/>
      <c r="H2839" s="1031"/>
      <c r="I2839" s="948"/>
    </row>
    <row r="2840" spans="2:9" ht="15.75">
      <c r="C2840" s="951" t="s">
        <v>930</v>
      </c>
      <c r="D2840" s="960"/>
      <c r="E2840" s="943" t="str">
        <f>+E2811</f>
        <v>P.A</v>
      </c>
      <c r="F2840" s="1070"/>
      <c r="G2840" s="960"/>
      <c r="H2840" s="1033"/>
      <c r="I2840" s="952">
        <f>SUM(I2834:I2837)</f>
        <v>32457.25</v>
      </c>
    </row>
    <row r="2841" spans="2:9" ht="15.75">
      <c r="C2841" s="949"/>
      <c r="D2841" s="946"/>
      <c r="E2841" s="947"/>
      <c r="F2841" s="1054"/>
      <c r="G2841" s="946"/>
      <c r="H2841" s="1031"/>
      <c r="I2841" s="948"/>
    </row>
    <row r="2842" spans="2:9" ht="15.75">
      <c r="B2842" s="1026">
        <v>2.1</v>
      </c>
      <c r="C2842" s="937" t="str">
        <f>+Presupuesto!B173</f>
        <v>Excavación de material no clasificado c/equipo</v>
      </c>
      <c r="D2842" s="938"/>
      <c r="E2842" s="962" t="str">
        <f>+Presupuesto!D173</f>
        <v>M³N</v>
      </c>
      <c r="F2842" s="1066"/>
      <c r="G2842" s="938"/>
      <c r="H2842" s="1029"/>
      <c r="I2842" s="940">
        <f>I2867</f>
        <v>118.09</v>
      </c>
    </row>
    <row r="2843" spans="2:9" ht="15.75">
      <c r="C2843" s="941" t="s">
        <v>908</v>
      </c>
      <c r="D2843" s="942" t="s">
        <v>9</v>
      </c>
      <c r="E2843" s="943" t="s">
        <v>10</v>
      </c>
      <c r="F2843" s="1067" t="s">
        <v>909</v>
      </c>
      <c r="G2843" s="942" t="s">
        <v>910</v>
      </c>
      <c r="H2843" s="1030" t="s">
        <v>911</v>
      </c>
      <c r="I2843" s="944" t="s">
        <v>912</v>
      </c>
    </row>
    <row r="2844" spans="2:9" ht="15.75">
      <c r="C2844" s="945" t="s">
        <v>913</v>
      </c>
      <c r="D2844" s="946"/>
      <c r="E2844" s="947"/>
      <c r="F2844" s="1054"/>
      <c r="G2844" s="946"/>
      <c r="H2844" s="1031"/>
      <c r="I2844" s="948"/>
    </row>
    <row r="2845" spans="2:9" ht="15.75">
      <c r="C2845" s="949" t="s">
        <v>924</v>
      </c>
      <c r="D2845" s="946"/>
      <c r="E2845" s="947" t="str">
        <f>+VLOOKUP(C2845,'Basic (equilibrio) (2)'!B:D,2,FALSE)</f>
        <v>n/a</v>
      </c>
      <c r="F2845" s="1068">
        <f>+VLOOKUP(C2845,'Basic (equilibrio) (2)'!B:D,3,FALSE)</f>
        <v>0</v>
      </c>
      <c r="G2845" s="946">
        <f>F2845-(F2845/1.18)</f>
        <v>0</v>
      </c>
      <c r="H2845" s="1031"/>
      <c r="I2845" s="948">
        <f>D2845*F2845</f>
        <v>0</v>
      </c>
    </row>
    <row r="2846" spans="2:9" ht="15.75">
      <c r="C2846" s="951" t="s">
        <v>918</v>
      </c>
      <c r="D2846" s="946"/>
      <c r="E2846" s="947"/>
      <c r="F2846" s="1068"/>
      <c r="G2846" s="946"/>
      <c r="H2846" s="1031"/>
      <c r="I2846" s="952">
        <f>SUM(I2845:I2845)</f>
        <v>0</v>
      </c>
    </row>
    <row r="2847" spans="2:9" ht="15.75">
      <c r="C2847" s="949"/>
      <c r="D2847" s="946"/>
      <c r="E2847" s="947"/>
      <c r="F2847" s="1068"/>
      <c r="G2847" s="946"/>
      <c r="H2847" s="1031"/>
      <c r="I2847" s="948"/>
    </row>
    <row r="2848" spans="2:9" ht="15.75">
      <c r="C2848" s="945" t="s">
        <v>919</v>
      </c>
      <c r="D2848" s="946"/>
      <c r="E2848" s="947"/>
      <c r="F2848" s="1068"/>
      <c r="G2848" s="946"/>
      <c r="H2848" s="1031"/>
      <c r="I2848" s="948"/>
    </row>
    <row r="2849" spans="3:9" ht="15.75">
      <c r="C2849" s="949" t="s">
        <v>931</v>
      </c>
      <c r="D2849" s="953">
        <v>0.13</v>
      </c>
      <c r="E2849" s="954" t="str">
        <f>+VLOOKUP(C2849,'Basic (equilibrio) (2)'!B:D,2,FALSE)</f>
        <v>dia</v>
      </c>
      <c r="F2849" s="1068">
        <f>'Basic (equilibrio) (2)'!$D$14</f>
        <v>900</v>
      </c>
      <c r="G2849" s="946">
        <v>0</v>
      </c>
      <c r="H2849" s="1031">
        <v>70</v>
      </c>
      <c r="I2849" s="948">
        <f>(D2849*F2849)/H2849</f>
        <v>1.67</v>
      </c>
    </row>
    <row r="2850" spans="3:9" ht="15.75">
      <c r="C2850" s="951" t="s">
        <v>918</v>
      </c>
      <c r="D2850" s="946"/>
      <c r="E2850" s="947"/>
      <c r="F2850" s="1054"/>
      <c r="G2850" s="946"/>
      <c r="H2850" s="1031"/>
      <c r="I2850" s="952">
        <f>SUM(I2849:I2849)</f>
        <v>1.67</v>
      </c>
    </row>
    <row r="2851" spans="3:9" ht="15.75">
      <c r="C2851" s="949"/>
      <c r="D2851" s="946"/>
      <c r="E2851" s="947"/>
      <c r="F2851" s="1054"/>
      <c r="G2851" s="946"/>
      <c r="H2851" s="1031"/>
      <c r="I2851" s="948"/>
    </row>
    <row r="2852" spans="3:9" ht="15.75">
      <c r="C2852" s="945" t="s">
        <v>923</v>
      </c>
      <c r="D2852" s="946"/>
      <c r="E2852" s="947"/>
      <c r="F2852" s="1054"/>
      <c r="G2852" s="946"/>
      <c r="H2852" s="1031"/>
      <c r="I2852" s="948"/>
    </row>
    <row r="2853" spans="3:9" ht="31.5">
      <c r="C2853" s="949" t="s">
        <v>932</v>
      </c>
      <c r="D2853" s="946">
        <v>1</v>
      </c>
      <c r="E2853" s="947" t="str">
        <f>+VLOOKUP(C2853,'Basic (equilibrio) (2)'!B:D,2,FALSE)</f>
        <v>hr</v>
      </c>
      <c r="F2853" s="1054">
        <f>'Basic (equilibrio) (2)'!$D$690</f>
        <v>3900</v>
      </c>
      <c r="G2853" s="946">
        <f>F2853-(F2853/1.18)</f>
        <v>594.91999999999996</v>
      </c>
      <c r="H2853" s="1039">
        <v>70</v>
      </c>
      <c r="I2853" s="955">
        <f>D2853*F2853/H2853</f>
        <v>55.71</v>
      </c>
    </row>
    <row r="2854" spans="3:9" ht="15.75">
      <c r="C2854" s="949" t="s">
        <v>933</v>
      </c>
      <c r="D2854" s="946">
        <v>1</v>
      </c>
      <c r="E2854" s="947" t="str">
        <f>+VLOOKUP(C2854,'Basic (equilibrio) (2)'!B:D,2,FALSE)</f>
        <v>hr</v>
      </c>
      <c r="F2854" s="1054">
        <f>'Basic (equilibrio) (2)'!$D$682</f>
        <v>4250</v>
      </c>
      <c r="G2854" s="946">
        <f>F2854-(F2854/1.18)</f>
        <v>648.30999999999995</v>
      </c>
      <c r="H2854" s="1039">
        <v>70</v>
      </c>
      <c r="I2854" s="955">
        <f>D2854*F2854/H2854</f>
        <v>60.71</v>
      </c>
    </row>
    <row r="2855" spans="3:9" ht="15.75">
      <c r="C2855" s="951" t="s">
        <v>918</v>
      </c>
      <c r="D2855" s="946"/>
      <c r="E2855" s="947"/>
      <c r="F2855" s="1054"/>
      <c r="G2855" s="946"/>
      <c r="H2855" s="1031"/>
      <c r="I2855" s="952">
        <f>SUM(I2853:I2854)</f>
        <v>116.42</v>
      </c>
    </row>
    <row r="2856" spans="3:9" ht="15.75">
      <c r="C2856" s="949"/>
      <c r="D2856" s="946"/>
      <c r="E2856" s="947"/>
      <c r="F2856" s="1054"/>
      <c r="G2856" s="946"/>
      <c r="H2856" s="1031"/>
      <c r="I2856" s="948"/>
    </row>
    <row r="2857" spans="3:9" ht="15.75">
      <c r="C2857" s="945" t="s">
        <v>925</v>
      </c>
      <c r="D2857" s="946"/>
      <c r="E2857" s="947"/>
      <c r="F2857" s="1054"/>
      <c r="G2857" s="946"/>
      <c r="H2857" s="1031"/>
      <c r="I2857" s="948"/>
    </row>
    <row r="2858" spans="3:9" ht="15.75">
      <c r="C2858" s="949" t="s">
        <v>925</v>
      </c>
      <c r="D2858" s="946">
        <f>+I2855</f>
        <v>116.42</v>
      </c>
      <c r="E2858" s="947" t="str">
        <f>+VLOOKUP(C2858,'Basic (equilibrio) (2)'!B:D,2,FALSE)</f>
        <v>Pa</v>
      </c>
      <c r="F2858" s="1054">
        <f>+VLOOKUP(C2858,'Basic (equilibrio) (2)'!B:D,3,FALSE)</f>
        <v>0</v>
      </c>
      <c r="G2858" s="946"/>
      <c r="H2858" s="1031"/>
      <c r="I2858" s="948">
        <f>D2858*F2858</f>
        <v>0</v>
      </c>
    </row>
    <row r="2859" spans="3:9" ht="15.75">
      <c r="C2859" s="951" t="s">
        <v>918</v>
      </c>
      <c r="D2859" s="946"/>
      <c r="E2859" s="947"/>
      <c r="F2859" s="1054"/>
      <c r="G2859" s="946"/>
      <c r="H2859" s="1031"/>
      <c r="I2859" s="952">
        <f>SUM(I2858)</f>
        <v>0</v>
      </c>
    </row>
    <row r="2860" spans="3:9" ht="15.75">
      <c r="C2860" s="951"/>
      <c r="D2860" s="946"/>
      <c r="E2860" s="947"/>
      <c r="F2860" s="1054"/>
      <c r="G2860" s="946"/>
      <c r="H2860" s="1031"/>
      <c r="I2860" s="952"/>
    </row>
    <row r="2861" spans="3:9" ht="15.75">
      <c r="C2861" s="956" t="s">
        <v>926</v>
      </c>
      <c r="D2861" s="957"/>
      <c r="E2861" s="958"/>
      <c r="F2861" s="1069"/>
      <c r="G2861" s="957"/>
      <c r="H2861" s="1032"/>
      <c r="I2861" s="959">
        <f>+I2846</f>
        <v>0</v>
      </c>
    </row>
    <row r="2862" spans="3:9" ht="15.75">
      <c r="C2862" s="956" t="s">
        <v>927</v>
      </c>
      <c r="D2862" s="957"/>
      <c r="E2862" s="958"/>
      <c r="F2862" s="1069"/>
      <c r="G2862" s="957"/>
      <c r="H2862" s="1032"/>
      <c r="I2862" s="959">
        <f>+I2850</f>
        <v>1.67</v>
      </c>
    </row>
    <row r="2863" spans="3:9" ht="15.75">
      <c r="C2863" s="956" t="s">
        <v>928</v>
      </c>
      <c r="D2863" s="957"/>
      <c r="E2863" s="958"/>
      <c r="F2863" s="1069"/>
      <c r="G2863" s="957"/>
      <c r="H2863" s="1032"/>
      <c r="I2863" s="959">
        <f>+I2855</f>
        <v>116.42</v>
      </c>
    </row>
    <row r="2864" spans="3:9" ht="15.75">
      <c r="C2864" s="956" t="s">
        <v>929</v>
      </c>
      <c r="D2864" s="957"/>
      <c r="E2864" s="958"/>
      <c r="F2864" s="1069"/>
      <c r="G2864" s="957"/>
      <c r="H2864" s="1032"/>
      <c r="I2864" s="959">
        <f>+I2859</f>
        <v>0</v>
      </c>
    </row>
    <row r="2865" spans="2:9" ht="15.75">
      <c r="C2865" s="949"/>
      <c r="D2865" s="946"/>
      <c r="E2865" s="947"/>
      <c r="F2865" s="1054"/>
      <c r="G2865" s="946"/>
      <c r="H2865" s="1031"/>
      <c r="I2865" s="948"/>
    </row>
    <row r="2866" spans="2:9" ht="15.75">
      <c r="C2866" s="949"/>
      <c r="D2866" s="946"/>
      <c r="E2866" s="947"/>
      <c r="F2866" s="1054"/>
      <c r="G2866" s="946"/>
      <c r="H2866" s="1031"/>
      <c r="I2866" s="948"/>
    </row>
    <row r="2867" spans="2:9" ht="15.75">
      <c r="C2867" s="951" t="s">
        <v>930</v>
      </c>
      <c r="D2867" s="960"/>
      <c r="E2867" s="943" t="str">
        <f>+E2842</f>
        <v>M³N</v>
      </c>
      <c r="F2867" s="1070"/>
      <c r="G2867" s="960"/>
      <c r="H2867" s="1033"/>
      <c r="I2867" s="952">
        <f>SUM(I2861:I2864)</f>
        <v>118.09</v>
      </c>
    </row>
    <row r="2868" spans="2:9" ht="15.75">
      <c r="C2868" s="949"/>
      <c r="D2868" s="946"/>
      <c r="E2868" s="947"/>
      <c r="F2868" s="1054"/>
      <c r="G2868" s="946"/>
      <c r="H2868" s="1031"/>
      <c r="I2868" s="948"/>
    </row>
    <row r="2869" spans="2:9" ht="15.75">
      <c r="C2869" s="951"/>
      <c r="D2869" s="960"/>
      <c r="E2869" s="943"/>
      <c r="F2869" s="1070"/>
      <c r="G2869" s="960"/>
      <c r="H2869" s="1033"/>
      <c r="I2869" s="952"/>
    </row>
    <row r="2870" spans="2:9" ht="15.75">
      <c r="B2870" s="1026">
        <v>2.2000000000000002</v>
      </c>
      <c r="C2870" s="937" t="str">
        <f>+Presupuesto!B174</f>
        <v>Suministro de material de mina</v>
      </c>
      <c r="D2870" s="938"/>
      <c r="E2870" s="962" t="str">
        <f>+Presupuesto!D174</f>
        <v>M³</v>
      </c>
      <c r="F2870" s="1066"/>
      <c r="G2870" s="938"/>
      <c r="H2870" s="1029"/>
      <c r="I2870" s="940">
        <f>I2894</f>
        <v>732</v>
      </c>
    </row>
    <row r="2871" spans="2:9" ht="15.75">
      <c r="C2871" s="941" t="s">
        <v>908</v>
      </c>
      <c r="D2871" s="942" t="s">
        <v>9</v>
      </c>
      <c r="E2871" s="943" t="s">
        <v>10</v>
      </c>
      <c r="F2871" s="1067" t="s">
        <v>909</v>
      </c>
      <c r="G2871" s="942" t="s">
        <v>910</v>
      </c>
      <c r="H2871" s="1030" t="s">
        <v>911</v>
      </c>
      <c r="I2871" s="944" t="s">
        <v>912</v>
      </c>
    </row>
    <row r="2872" spans="2:9" ht="15.75">
      <c r="C2872" s="945" t="s">
        <v>913</v>
      </c>
      <c r="D2872" s="946"/>
      <c r="E2872" s="947"/>
      <c r="F2872" s="1054"/>
      <c r="G2872" s="946"/>
      <c r="H2872" s="1031"/>
      <c r="I2872" s="948"/>
    </row>
    <row r="2873" spans="2:9" ht="15.75">
      <c r="C2873" s="949" t="s">
        <v>1176</v>
      </c>
      <c r="D2873" s="946">
        <v>1.3</v>
      </c>
      <c r="E2873" s="947" t="str">
        <f>+VLOOKUP(C2873,'Basic (equilibrio) (2)'!B:D,2,FALSE)</f>
        <v>m3e</v>
      </c>
      <c r="F2873" s="1068">
        <f>'Basic (equilibrio) (2)'!$D$176</f>
        <v>300</v>
      </c>
      <c r="G2873" s="946">
        <f>F2873-(F2873/1.18)</f>
        <v>45.76</v>
      </c>
      <c r="H2873" s="1031"/>
      <c r="I2873" s="948">
        <f>D2873*F2873</f>
        <v>390</v>
      </c>
    </row>
    <row r="2874" spans="2:9" ht="15.75">
      <c r="C2874" s="951" t="s">
        <v>918</v>
      </c>
      <c r="D2874" s="946"/>
      <c r="E2874" s="947"/>
      <c r="F2874" s="1068"/>
      <c r="G2874" s="946"/>
      <c r="H2874" s="1031"/>
      <c r="I2874" s="952">
        <f>SUM(I2873:I2873)</f>
        <v>390</v>
      </c>
    </row>
    <row r="2875" spans="2:9" ht="15.75">
      <c r="C2875" s="949"/>
      <c r="D2875" s="946"/>
      <c r="E2875" s="947"/>
      <c r="F2875" s="1068"/>
      <c r="G2875" s="946"/>
      <c r="H2875" s="1031"/>
      <c r="I2875" s="948"/>
    </row>
    <row r="2876" spans="2:9" ht="15.75">
      <c r="C2876" s="945" t="s">
        <v>919</v>
      </c>
      <c r="D2876" s="946"/>
      <c r="E2876" s="947"/>
      <c r="F2876" s="1068"/>
      <c r="G2876" s="946"/>
      <c r="H2876" s="1031"/>
      <c r="I2876" s="948"/>
    </row>
    <row r="2877" spans="2:9" ht="15.75">
      <c r="C2877" s="949" t="s">
        <v>924</v>
      </c>
      <c r="D2877" s="953"/>
      <c r="E2877" s="954" t="str">
        <f>+VLOOKUP(C2877,'Basic (equilibrio) (2)'!B:D,2,FALSE)</f>
        <v>n/a</v>
      </c>
      <c r="F2877" s="1068">
        <f>+VLOOKUP(C2877,'Basic (equilibrio) (2)'!B:D,3,FALSE)</f>
        <v>0</v>
      </c>
      <c r="G2877" s="946">
        <v>0</v>
      </c>
      <c r="H2877" s="1031"/>
      <c r="I2877" s="948">
        <f>(D2877*F2877)</f>
        <v>0</v>
      </c>
    </row>
    <row r="2878" spans="2:9" ht="15.75">
      <c r="C2878" s="951" t="s">
        <v>918</v>
      </c>
      <c r="D2878" s="946"/>
      <c r="E2878" s="947"/>
      <c r="F2878" s="1054"/>
      <c r="G2878" s="946"/>
      <c r="H2878" s="1031"/>
      <c r="I2878" s="952">
        <f>SUM(I2877:I2877)</f>
        <v>0</v>
      </c>
    </row>
    <row r="2879" spans="2:9" ht="15.75">
      <c r="C2879" s="949"/>
      <c r="D2879" s="946"/>
      <c r="E2879" s="947"/>
      <c r="F2879" s="1054"/>
      <c r="G2879" s="946"/>
      <c r="H2879" s="1031"/>
      <c r="I2879" s="948"/>
    </row>
    <row r="2880" spans="2:9" ht="15.75">
      <c r="C2880" s="945" t="s">
        <v>923</v>
      </c>
      <c r="D2880" s="946"/>
      <c r="E2880" s="947"/>
      <c r="F2880" s="1054"/>
      <c r="G2880" s="946"/>
      <c r="H2880" s="1031"/>
      <c r="I2880" s="948"/>
    </row>
    <row r="2881" spans="3:9" ht="15.75">
      <c r="C2881" s="949" t="s">
        <v>1177</v>
      </c>
      <c r="D2881" s="946">
        <v>1</v>
      </c>
      <c r="E2881" s="947" t="str">
        <f>+VLOOKUP(C2881,'Basic (equilibrio) (2)'!B:D,2,FALSE)</f>
        <v>m3e</v>
      </c>
      <c r="F2881" s="1054">
        <f>'Basic (equilibrio) (2)'!$D$177</f>
        <v>342</v>
      </c>
      <c r="G2881" s="946">
        <f>F2881-(F2881/1.18)</f>
        <v>52.17</v>
      </c>
      <c r="H2881" s="1039"/>
      <c r="I2881" s="955">
        <f>D2881*F2881</f>
        <v>342</v>
      </c>
    </row>
    <row r="2882" spans="3:9" ht="15.75">
      <c r="C2882" s="951" t="s">
        <v>918</v>
      </c>
      <c r="D2882" s="946"/>
      <c r="E2882" s="947"/>
      <c r="F2882" s="1054"/>
      <c r="G2882" s="946"/>
      <c r="H2882" s="1031"/>
      <c r="I2882" s="952">
        <f>SUM(I2881:I2881)</f>
        <v>342</v>
      </c>
    </row>
    <row r="2883" spans="3:9" ht="15.75">
      <c r="C2883" s="949"/>
      <c r="D2883" s="946"/>
      <c r="E2883" s="947"/>
      <c r="F2883" s="1054"/>
      <c r="G2883" s="946"/>
      <c r="H2883" s="1031"/>
      <c r="I2883" s="948"/>
    </row>
    <row r="2884" spans="3:9" ht="15.75">
      <c r="C2884" s="945" t="s">
        <v>925</v>
      </c>
      <c r="D2884" s="946"/>
      <c r="E2884" s="947"/>
      <c r="F2884" s="1054"/>
      <c r="G2884" s="946"/>
      <c r="H2884" s="1031"/>
      <c r="I2884" s="948"/>
    </row>
    <row r="2885" spans="3:9" ht="15.75">
      <c r="C2885" s="949" t="s">
        <v>924</v>
      </c>
      <c r="D2885" s="946"/>
      <c r="E2885" s="947" t="str">
        <f>+VLOOKUP(C2885,'Basic (equilibrio) (2)'!B:D,2,FALSE)</f>
        <v>n/a</v>
      </c>
      <c r="F2885" s="1054">
        <f>+VLOOKUP(C2885,'Basic (equilibrio) (2)'!B:D,3,FALSE)</f>
        <v>0</v>
      </c>
      <c r="G2885" s="946"/>
      <c r="H2885" s="1031"/>
      <c r="I2885" s="948">
        <f>D2885*F2885</f>
        <v>0</v>
      </c>
    </row>
    <row r="2886" spans="3:9" ht="15.75">
      <c r="C2886" s="951" t="s">
        <v>918</v>
      </c>
      <c r="D2886" s="946"/>
      <c r="E2886" s="947"/>
      <c r="F2886" s="1054"/>
      <c r="G2886" s="946"/>
      <c r="H2886" s="1031"/>
      <c r="I2886" s="952">
        <f>SUM(I2885)</f>
        <v>0</v>
      </c>
    </row>
    <row r="2887" spans="3:9" ht="15.75">
      <c r="C2887" s="951"/>
      <c r="D2887" s="946"/>
      <c r="E2887" s="947"/>
      <c r="F2887" s="1054"/>
      <c r="G2887" s="946"/>
      <c r="H2887" s="1031"/>
      <c r="I2887" s="952"/>
    </row>
    <row r="2888" spans="3:9" ht="15.75">
      <c r="C2888" s="956" t="s">
        <v>926</v>
      </c>
      <c r="D2888" s="957"/>
      <c r="E2888" s="958"/>
      <c r="F2888" s="1069"/>
      <c r="G2888" s="957"/>
      <c r="H2888" s="1032"/>
      <c r="I2888" s="959">
        <f>+I2874</f>
        <v>390</v>
      </c>
    </row>
    <row r="2889" spans="3:9" ht="15.75">
      <c r="C2889" s="956" t="s">
        <v>927</v>
      </c>
      <c r="D2889" s="957"/>
      <c r="E2889" s="958"/>
      <c r="F2889" s="1069"/>
      <c r="G2889" s="957"/>
      <c r="H2889" s="1032"/>
      <c r="I2889" s="959">
        <f>+I2878</f>
        <v>0</v>
      </c>
    </row>
    <row r="2890" spans="3:9" ht="15.75">
      <c r="C2890" s="956" t="s">
        <v>928</v>
      </c>
      <c r="D2890" s="957"/>
      <c r="E2890" s="958"/>
      <c r="F2890" s="1069"/>
      <c r="G2890" s="957"/>
      <c r="H2890" s="1032"/>
      <c r="I2890" s="959">
        <f>+I2882</f>
        <v>342</v>
      </c>
    </row>
    <row r="2891" spans="3:9" ht="15.75">
      <c r="C2891" s="956" t="s">
        <v>929</v>
      </c>
      <c r="D2891" s="957"/>
      <c r="E2891" s="958"/>
      <c r="F2891" s="1069"/>
      <c r="G2891" s="957"/>
      <c r="H2891" s="1032"/>
      <c r="I2891" s="959">
        <f>+I2886</f>
        <v>0</v>
      </c>
    </row>
    <row r="2892" spans="3:9" ht="15.75">
      <c r="C2892" s="949"/>
      <c r="D2892" s="946"/>
      <c r="E2892" s="947"/>
      <c r="F2892" s="1054"/>
      <c r="G2892" s="946"/>
      <c r="H2892" s="1031"/>
      <c r="I2892" s="948"/>
    </row>
    <row r="2893" spans="3:9" ht="15.75">
      <c r="C2893" s="949"/>
      <c r="D2893" s="946"/>
      <c r="E2893" s="947"/>
      <c r="F2893" s="1054"/>
      <c r="G2893" s="946"/>
      <c r="H2893" s="1031"/>
      <c r="I2893" s="948"/>
    </row>
    <row r="2894" spans="3:9" ht="15.75">
      <c r="C2894" s="951" t="s">
        <v>930</v>
      </c>
      <c r="D2894" s="960"/>
      <c r="E2894" s="943" t="str">
        <f>+E2870</f>
        <v>M³</v>
      </c>
      <c r="F2894" s="1070"/>
      <c r="G2894" s="960"/>
      <c r="H2894" s="1033"/>
      <c r="I2894" s="952">
        <f>SUM(I2888:I2891)</f>
        <v>732</v>
      </c>
    </row>
    <row r="2895" spans="3:9" ht="15.75">
      <c r="C2895" s="949"/>
      <c r="D2895" s="946"/>
      <c r="E2895" s="947"/>
      <c r="F2895" s="1054"/>
      <c r="G2895" s="946"/>
      <c r="H2895" s="1031"/>
      <c r="I2895" s="948"/>
    </row>
    <row r="2896" spans="3:9" ht="15.75">
      <c r="C2896" s="949"/>
      <c r="D2896" s="946"/>
      <c r="E2896" s="947"/>
      <c r="F2896" s="1054"/>
      <c r="G2896" s="946"/>
      <c r="H2896" s="1031"/>
      <c r="I2896" s="948"/>
    </row>
    <row r="2897" spans="2:9" ht="15.75">
      <c r="B2897" s="1026">
        <v>2.2999999999999998</v>
      </c>
      <c r="C2897" s="937" t="str">
        <f>+Presupuesto!B175</f>
        <v>Relleno de material compactado c/compactador mecánico</v>
      </c>
      <c r="D2897" s="938"/>
      <c r="E2897" s="962" t="str">
        <f>+Presupuesto!D175</f>
        <v>M³C</v>
      </c>
      <c r="F2897" s="1066"/>
      <c r="G2897" s="938"/>
      <c r="H2897" s="1029"/>
      <c r="I2897" s="940">
        <f>I2923</f>
        <v>87.49</v>
      </c>
    </row>
    <row r="2898" spans="2:9" ht="15.75">
      <c r="C2898" s="941" t="s">
        <v>908</v>
      </c>
      <c r="D2898" s="942" t="s">
        <v>9</v>
      </c>
      <c r="E2898" s="943" t="s">
        <v>10</v>
      </c>
      <c r="F2898" s="1067" t="s">
        <v>909</v>
      </c>
      <c r="G2898" s="942" t="s">
        <v>910</v>
      </c>
      <c r="H2898" s="1030" t="s">
        <v>911</v>
      </c>
      <c r="I2898" s="944" t="s">
        <v>912</v>
      </c>
    </row>
    <row r="2899" spans="2:9" ht="15.75">
      <c r="C2899" s="945" t="s">
        <v>913</v>
      </c>
      <c r="D2899" s="946"/>
      <c r="E2899" s="947"/>
      <c r="F2899" s="1054"/>
      <c r="G2899" s="946"/>
      <c r="H2899" s="1031"/>
      <c r="I2899" s="948"/>
    </row>
    <row r="2900" spans="2:9" ht="15.75">
      <c r="C2900" s="949" t="s">
        <v>924</v>
      </c>
      <c r="D2900" s="946">
        <v>1.3</v>
      </c>
      <c r="E2900" s="947" t="str">
        <f>+VLOOKUP(C2900,'Basic (equilibrio) (2)'!B:D,2,FALSE)</f>
        <v>n/a</v>
      </c>
      <c r="F2900" s="1068">
        <f>+VLOOKUP(C2900,'Basic (equilibrio) (2)'!B:D,3,FALSE)</f>
        <v>0</v>
      </c>
      <c r="G2900" s="946">
        <f>F2900-(F2900/1.18)</f>
        <v>0</v>
      </c>
      <c r="H2900" s="1031"/>
      <c r="I2900" s="948">
        <f>D2900*F2900</f>
        <v>0</v>
      </c>
    </row>
    <row r="2901" spans="2:9" ht="15.75">
      <c r="C2901" s="951" t="s">
        <v>918</v>
      </c>
      <c r="D2901" s="946"/>
      <c r="E2901" s="947"/>
      <c r="F2901" s="1068"/>
      <c r="G2901" s="946"/>
      <c r="H2901" s="1031"/>
      <c r="I2901" s="952">
        <f>SUM(I2900:I2900)</f>
        <v>0</v>
      </c>
    </row>
    <row r="2902" spans="2:9" ht="15.75">
      <c r="C2902" s="949"/>
      <c r="D2902" s="946"/>
      <c r="E2902" s="947"/>
      <c r="F2902" s="1068"/>
      <c r="G2902" s="946"/>
      <c r="H2902" s="1031"/>
      <c r="I2902" s="948"/>
    </row>
    <row r="2903" spans="2:9" ht="15.75">
      <c r="C2903" s="945" t="s">
        <v>919</v>
      </c>
      <c r="D2903" s="946"/>
      <c r="E2903" s="947"/>
      <c r="F2903" s="1068"/>
      <c r="G2903" s="946"/>
      <c r="H2903" s="1031"/>
      <c r="I2903" s="948"/>
    </row>
    <row r="2904" spans="2:9" ht="15.75">
      <c r="C2904" s="949" t="s">
        <v>931</v>
      </c>
      <c r="D2904" s="953">
        <v>0.25</v>
      </c>
      <c r="E2904" s="954" t="str">
        <f>+VLOOKUP(C2904,'Basic (equilibrio) (2)'!B:D,2,FALSE)</f>
        <v>dia</v>
      </c>
      <c r="F2904" s="1068">
        <f>'Basic (equilibrio) (2)'!$D$14</f>
        <v>900</v>
      </c>
      <c r="G2904" s="946">
        <v>0</v>
      </c>
      <c r="H2904" s="1031">
        <v>70</v>
      </c>
      <c r="I2904" s="948">
        <f>(D2904*F2904)/H2904</f>
        <v>3.21</v>
      </c>
    </row>
    <row r="2905" spans="2:9" ht="15.75">
      <c r="C2905" s="951" t="s">
        <v>918</v>
      </c>
      <c r="D2905" s="946"/>
      <c r="E2905" s="947"/>
      <c r="F2905" s="1054"/>
      <c r="G2905" s="946"/>
      <c r="H2905" s="1031"/>
      <c r="I2905" s="952">
        <f>SUM(I2904:I2904)</f>
        <v>3.21</v>
      </c>
    </row>
    <row r="2906" spans="2:9" ht="15.75">
      <c r="C2906" s="949"/>
      <c r="D2906" s="946"/>
      <c r="E2906" s="947"/>
      <c r="F2906" s="1054"/>
      <c r="G2906" s="946"/>
      <c r="H2906" s="1031"/>
      <c r="I2906" s="948"/>
    </row>
    <row r="2907" spans="2:9" ht="15.75">
      <c r="C2907" s="945" t="s">
        <v>923</v>
      </c>
      <c r="D2907" s="946"/>
      <c r="E2907" s="947"/>
      <c r="F2907" s="1054"/>
      <c r="G2907" s="946"/>
      <c r="H2907" s="1031"/>
      <c r="I2907" s="948"/>
    </row>
    <row r="2908" spans="2:9" ht="15.75">
      <c r="C2908" s="949" t="s">
        <v>938</v>
      </c>
      <c r="D2908" s="946">
        <v>1</v>
      </c>
      <c r="E2908" s="947" t="str">
        <f>+VLOOKUP(C2908,'Basic (equilibrio) (2)'!B:D,2,FALSE)</f>
        <v>hr</v>
      </c>
      <c r="F2908" s="1054">
        <f>'Basic (equilibrio) (2)'!$D$683</f>
        <v>2500</v>
      </c>
      <c r="G2908" s="946">
        <f>F2908-(F2908/1.18)</f>
        <v>381.36</v>
      </c>
      <c r="H2908" s="1039">
        <v>70</v>
      </c>
      <c r="I2908" s="955">
        <f>D2908*F2908/H2908</f>
        <v>35.71</v>
      </c>
    </row>
    <row r="2909" spans="2:9" ht="15.75">
      <c r="C2909" s="949" t="s">
        <v>935</v>
      </c>
      <c r="D2909" s="946">
        <v>1</v>
      </c>
      <c r="E2909" s="947" t="str">
        <f>+VLOOKUP(C2909,'Basic (equilibrio) (2)'!B:D,2,FALSE)</f>
        <v>hr</v>
      </c>
      <c r="F2909" s="1054">
        <f>'Basic (equilibrio) (2)'!$D$684</f>
        <v>3000</v>
      </c>
      <c r="G2909" s="946">
        <f>F2909-(F2909/1.18)</f>
        <v>457.63</v>
      </c>
      <c r="H2909" s="1039">
        <v>70</v>
      </c>
      <c r="I2909" s="955">
        <f t="shared" ref="I2909:I2910" si="13">D2909*F2909/H2909</f>
        <v>42.86</v>
      </c>
    </row>
    <row r="2910" spans="2:9" ht="15.75">
      <c r="C2910" s="949" t="s">
        <v>939</v>
      </c>
      <c r="D2910" s="946">
        <v>1</v>
      </c>
      <c r="E2910" s="947" t="str">
        <f>+VLOOKUP(C2910,'Basic (equilibrio) (2)'!B:D,2,FALSE)</f>
        <v>hr</v>
      </c>
      <c r="F2910" s="1054">
        <f>'Basic (equilibrio) (2)'!$D$688</f>
        <v>400</v>
      </c>
      <c r="G2910" s="946">
        <f>F2910-(F2910/1.18)</f>
        <v>61.02</v>
      </c>
      <c r="H2910" s="1039">
        <v>70</v>
      </c>
      <c r="I2910" s="955">
        <f t="shared" si="13"/>
        <v>5.71</v>
      </c>
    </row>
    <row r="2911" spans="2:9" ht="15.75">
      <c r="C2911" s="951" t="s">
        <v>918</v>
      </c>
      <c r="D2911" s="946"/>
      <c r="E2911" s="947"/>
      <c r="F2911" s="1054"/>
      <c r="G2911" s="946"/>
      <c r="H2911" s="1031"/>
      <c r="I2911" s="952">
        <f>SUM(I2908:I2910)</f>
        <v>84.28</v>
      </c>
    </row>
    <row r="2912" spans="2:9" ht="15.75">
      <c r="C2912" s="949"/>
      <c r="D2912" s="946"/>
      <c r="E2912" s="947"/>
      <c r="F2912" s="1054"/>
      <c r="G2912" s="946"/>
      <c r="H2912" s="1031"/>
      <c r="I2912" s="948"/>
    </row>
    <row r="2913" spans="2:9" ht="15.75">
      <c r="C2913" s="945" t="s">
        <v>925</v>
      </c>
      <c r="D2913" s="946"/>
      <c r="E2913" s="947"/>
      <c r="F2913" s="1054"/>
      <c r="G2913" s="946"/>
      <c r="H2913" s="1031"/>
      <c r="I2913" s="948"/>
    </row>
    <row r="2914" spans="2:9" ht="15.75">
      <c r="C2914" s="949" t="s">
        <v>924</v>
      </c>
      <c r="D2914" s="946"/>
      <c r="E2914" s="947" t="str">
        <f>+VLOOKUP(C2914,'Basic (equilibrio) (2)'!B:D,2,FALSE)</f>
        <v>n/a</v>
      </c>
      <c r="F2914" s="1054">
        <f>+VLOOKUP(C2914,'Basic (equilibrio) (2)'!B:D,3,FALSE)</f>
        <v>0</v>
      </c>
      <c r="G2914" s="946"/>
      <c r="H2914" s="1031"/>
      <c r="I2914" s="948">
        <f>D2914*F2914</f>
        <v>0</v>
      </c>
    </row>
    <row r="2915" spans="2:9" ht="15.75">
      <c r="C2915" s="951" t="s">
        <v>918</v>
      </c>
      <c r="D2915" s="946"/>
      <c r="E2915" s="947"/>
      <c r="F2915" s="1054"/>
      <c r="G2915" s="946"/>
      <c r="H2915" s="1031"/>
      <c r="I2915" s="952">
        <f>SUM(I2914)</f>
        <v>0</v>
      </c>
    </row>
    <row r="2916" spans="2:9" ht="15.75">
      <c r="C2916" s="951"/>
      <c r="D2916" s="946"/>
      <c r="E2916" s="947"/>
      <c r="F2916" s="1054"/>
      <c r="G2916" s="946"/>
      <c r="H2916" s="1031"/>
      <c r="I2916" s="952"/>
    </row>
    <row r="2917" spans="2:9" ht="15.75">
      <c r="C2917" s="956" t="s">
        <v>926</v>
      </c>
      <c r="D2917" s="957"/>
      <c r="E2917" s="958"/>
      <c r="F2917" s="1069"/>
      <c r="G2917" s="957"/>
      <c r="H2917" s="1032"/>
      <c r="I2917" s="959">
        <f>+I2901</f>
        <v>0</v>
      </c>
    </row>
    <row r="2918" spans="2:9" ht="15.75">
      <c r="C2918" s="956" t="s">
        <v>927</v>
      </c>
      <c r="D2918" s="957"/>
      <c r="E2918" s="958"/>
      <c r="F2918" s="1069"/>
      <c r="G2918" s="957"/>
      <c r="H2918" s="1032"/>
      <c r="I2918" s="959">
        <f>+I2905</f>
        <v>3.21</v>
      </c>
    </row>
    <row r="2919" spans="2:9" ht="15.75">
      <c r="C2919" s="956" t="s">
        <v>928</v>
      </c>
      <c r="D2919" s="957"/>
      <c r="E2919" s="958"/>
      <c r="F2919" s="1069"/>
      <c r="G2919" s="957"/>
      <c r="H2919" s="1032"/>
      <c r="I2919" s="959">
        <f>+I2911</f>
        <v>84.28</v>
      </c>
    </row>
    <row r="2920" spans="2:9" ht="15.75">
      <c r="C2920" s="956" t="s">
        <v>929</v>
      </c>
      <c r="D2920" s="957"/>
      <c r="E2920" s="958"/>
      <c r="F2920" s="1069"/>
      <c r="G2920" s="957"/>
      <c r="H2920" s="1032"/>
      <c r="I2920" s="959">
        <f>+I2915</f>
        <v>0</v>
      </c>
    </row>
    <row r="2921" spans="2:9" ht="15.75">
      <c r="C2921" s="949"/>
      <c r="D2921" s="946"/>
      <c r="E2921" s="947"/>
      <c r="F2921" s="1054"/>
      <c r="G2921" s="946"/>
      <c r="H2921" s="1031"/>
      <c r="I2921" s="948"/>
    </row>
    <row r="2922" spans="2:9" ht="15.75">
      <c r="C2922" s="949"/>
      <c r="D2922" s="946"/>
      <c r="E2922" s="947"/>
      <c r="F2922" s="1054"/>
      <c r="G2922" s="946"/>
      <c r="H2922" s="1031"/>
      <c r="I2922" s="948"/>
    </row>
    <row r="2923" spans="2:9" ht="15.75">
      <c r="C2923" s="951" t="s">
        <v>930</v>
      </c>
      <c r="D2923" s="960"/>
      <c r="E2923" s="943" t="str">
        <f>+E2897</f>
        <v>M³C</v>
      </c>
      <c r="F2923" s="1070"/>
      <c r="G2923" s="960"/>
      <c r="H2923" s="1033"/>
      <c r="I2923" s="952">
        <f>SUM(I2917:I2920)</f>
        <v>87.49</v>
      </c>
    </row>
    <row r="2924" spans="2:9" ht="15.75">
      <c r="C2924" s="949"/>
      <c r="D2924" s="946"/>
      <c r="E2924" s="947"/>
      <c r="F2924" s="1054"/>
      <c r="G2924" s="946"/>
      <c r="H2924" s="1031"/>
      <c r="I2924" s="948"/>
    </row>
    <row r="2925" spans="2:9" ht="31.5">
      <c r="B2925" s="1026">
        <v>2.4</v>
      </c>
      <c r="C2925" s="937" t="str">
        <f>+Presupuesto!B176</f>
        <v>Bote de material sobrante c/camión (Incluye esparcimiento en botadero)</v>
      </c>
      <c r="D2925" s="938"/>
      <c r="E2925" s="962" t="str">
        <f>+Presupuesto!D176</f>
        <v>M³E</v>
      </c>
      <c r="F2925" s="1066"/>
      <c r="G2925" s="938"/>
      <c r="H2925" s="1029"/>
      <c r="I2925" s="940">
        <f>I2951</f>
        <v>455.24</v>
      </c>
    </row>
    <row r="2926" spans="2:9" ht="15.75">
      <c r="C2926" s="941" t="s">
        <v>908</v>
      </c>
      <c r="D2926" s="942" t="s">
        <v>9</v>
      </c>
      <c r="E2926" s="943" t="s">
        <v>10</v>
      </c>
      <c r="F2926" s="1067" t="s">
        <v>909</v>
      </c>
      <c r="G2926" s="942" t="s">
        <v>910</v>
      </c>
      <c r="H2926" s="1030" t="s">
        <v>911</v>
      </c>
      <c r="I2926" s="944" t="s">
        <v>912</v>
      </c>
    </row>
    <row r="2927" spans="2:9" ht="15.75">
      <c r="C2927" s="945" t="s">
        <v>913</v>
      </c>
      <c r="D2927" s="946"/>
      <c r="E2927" s="947"/>
      <c r="F2927" s="1054"/>
      <c r="G2927" s="946"/>
      <c r="H2927" s="1031"/>
      <c r="I2927" s="948"/>
    </row>
    <row r="2928" spans="2:9" ht="15.75">
      <c r="C2928" s="949" t="s">
        <v>924</v>
      </c>
      <c r="D2928" s="946"/>
      <c r="E2928" s="947" t="str">
        <f>+VLOOKUP(C2928,'Basic (equilibrio) (2)'!B:D,2,FALSE)</f>
        <v>n/a</v>
      </c>
      <c r="F2928" s="1068">
        <f>+VLOOKUP(C2928,'Basic (equilibrio) (2)'!B:D,3,FALSE)</f>
        <v>0</v>
      </c>
      <c r="G2928" s="946">
        <f>F2928-(F2928/1.18)</f>
        <v>0</v>
      </c>
      <c r="H2928" s="1031"/>
      <c r="I2928" s="948">
        <f>D2928*F2928</f>
        <v>0</v>
      </c>
    </row>
    <row r="2929" spans="3:9" ht="15.75">
      <c r="C2929" s="951" t="s">
        <v>918</v>
      </c>
      <c r="D2929" s="946"/>
      <c r="E2929" s="947"/>
      <c r="F2929" s="1068"/>
      <c r="G2929" s="946"/>
      <c r="H2929" s="1031"/>
      <c r="I2929" s="952">
        <f>SUM(I2928:I2928)</f>
        <v>0</v>
      </c>
    </row>
    <row r="2930" spans="3:9" ht="15.75">
      <c r="C2930" s="949"/>
      <c r="D2930" s="946"/>
      <c r="E2930" s="947"/>
      <c r="F2930" s="1068"/>
      <c r="G2930" s="946"/>
      <c r="H2930" s="1031"/>
      <c r="I2930" s="948"/>
    </row>
    <row r="2931" spans="3:9" ht="15.75">
      <c r="C2931" s="945" t="s">
        <v>919</v>
      </c>
      <c r="D2931" s="946"/>
      <c r="E2931" s="947"/>
      <c r="F2931" s="1068"/>
      <c r="G2931" s="946"/>
      <c r="H2931" s="1031"/>
      <c r="I2931" s="948"/>
    </row>
    <row r="2932" spans="3:9" ht="15.75">
      <c r="C2932" s="949" t="s">
        <v>931</v>
      </c>
      <c r="D2932" s="953">
        <v>0.13</v>
      </c>
      <c r="E2932" s="954" t="str">
        <f>+VLOOKUP(C2932,'Basic (equilibrio) (2)'!B:D,2,FALSE)</f>
        <v>dia</v>
      </c>
      <c r="F2932" s="1068">
        <f>'Basic (equilibrio) (2)'!$D$14</f>
        <v>900</v>
      </c>
      <c r="G2932" s="946">
        <v>0</v>
      </c>
      <c r="H2932" s="1031">
        <v>70</v>
      </c>
      <c r="I2932" s="948">
        <f>(D2932*F2932)/H2932</f>
        <v>1.67</v>
      </c>
    </row>
    <row r="2933" spans="3:9" ht="15.75">
      <c r="C2933" s="951" t="s">
        <v>918</v>
      </c>
      <c r="D2933" s="946"/>
      <c r="E2933" s="947"/>
      <c r="F2933" s="1054"/>
      <c r="G2933" s="946"/>
      <c r="H2933" s="1031"/>
      <c r="I2933" s="952">
        <f>SUM(I2932:I2932)</f>
        <v>1.67</v>
      </c>
    </row>
    <row r="2934" spans="3:9" ht="15.75">
      <c r="C2934" s="949"/>
      <c r="D2934" s="946"/>
      <c r="E2934" s="947"/>
      <c r="F2934" s="1054"/>
      <c r="G2934" s="946"/>
      <c r="H2934" s="1031"/>
      <c r="I2934" s="948"/>
    </row>
    <row r="2935" spans="3:9" ht="15.75">
      <c r="C2935" s="945" t="s">
        <v>923</v>
      </c>
      <c r="D2935" s="946"/>
      <c r="E2935" s="947"/>
      <c r="F2935" s="1054"/>
      <c r="G2935" s="946"/>
      <c r="H2935" s="1031"/>
      <c r="I2935" s="948"/>
    </row>
    <row r="2936" spans="3:9" ht="15.75">
      <c r="C2936" s="949" t="s">
        <v>934</v>
      </c>
      <c r="D2936" s="946">
        <v>1</v>
      </c>
      <c r="E2936" s="947" t="str">
        <f>+VLOOKUP(C2936,'Basic (equilibrio) (2)'!B:D,2,FALSE)</f>
        <v>m3e</v>
      </c>
      <c r="F2936" s="1054">
        <f>'Basic (equilibrio) (2)'!$D$685</f>
        <v>350</v>
      </c>
      <c r="G2936" s="946">
        <f>F2936-(F2936/1.18)</f>
        <v>53.39</v>
      </c>
      <c r="H2936" s="1039"/>
      <c r="I2936" s="955">
        <f>D2936*F2936</f>
        <v>350</v>
      </c>
    </row>
    <row r="2937" spans="3:9" ht="15.75">
      <c r="C2937" s="949" t="s">
        <v>933</v>
      </c>
      <c r="D2937" s="946">
        <v>1</v>
      </c>
      <c r="E2937" s="947" t="str">
        <f>+VLOOKUP(C2937,'Basic (equilibrio) (2)'!B:D,2,FALSE)</f>
        <v>hr</v>
      </c>
      <c r="F2937" s="1054">
        <f>'Basic (equilibrio) (2)'!$D$682</f>
        <v>4250</v>
      </c>
      <c r="G2937" s="946">
        <f>F2937-(F2937/1.18)</f>
        <v>648.30999999999995</v>
      </c>
      <c r="H2937" s="1039">
        <v>70</v>
      </c>
      <c r="I2937" s="955">
        <f t="shared" ref="I2937:I2938" si="14">D2937*F2937/H2937</f>
        <v>60.71</v>
      </c>
    </row>
    <row r="2938" spans="3:9" ht="15.75">
      <c r="C2938" s="949" t="s">
        <v>935</v>
      </c>
      <c r="D2938" s="946">
        <v>1</v>
      </c>
      <c r="E2938" s="947" t="str">
        <f>+VLOOKUP(C2938,'Basic (equilibrio) (2)'!B:D,2,FALSE)</f>
        <v>hr</v>
      </c>
      <c r="F2938" s="1054">
        <f>'Basic (equilibrio) (2)'!$D$684</f>
        <v>3000</v>
      </c>
      <c r="G2938" s="946">
        <f>F2938-(F2938/1.18)</f>
        <v>457.63</v>
      </c>
      <c r="H2938" s="1039">
        <v>70</v>
      </c>
      <c r="I2938" s="955">
        <f t="shared" si="14"/>
        <v>42.86</v>
      </c>
    </row>
    <row r="2939" spans="3:9" ht="15.75">
      <c r="C2939" s="951" t="s">
        <v>918</v>
      </c>
      <c r="D2939" s="946"/>
      <c r="E2939" s="947"/>
      <c r="F2939" s="1054"/>
      <c r="G2939" s="946"/>
      <c r="H2939" s="1031"/>
      <c r="I2939" s="952">
        <f>SUM(I2936:I2938)</f>
        <v>453.57</v>
      </c>
    </row>
    <row r="2940" spans="3:9" ht="15.75">
      <c r="C2940" s="949"/>
      <c r="D2940" s="946"/>
      <c r="E2940" s="947"/>
      <c r="F2940" s="1054"/>
      <c r="G2940" s="946"/>
      <c r="H2940" s="1031"/>
      <c r="I2940" s="948"/>
    </row>
    <row r="2941" spans="3:9" ht="15.75">
      <c r="C2941" s="945" t="s">
        <v>925</v>
      </c>
      <c r="D2941" s="946"/>
      <c r="E2941" s="947"/>
      <c r="F2941" s="1054"/>
      <c r="G2941" s="946"/>
      <c r="H2941" s="1031"/>
      <c r="I2941" s="948"/>
    </row>
    <row r="2942" spans="3:9" ht="15.75">
      <c r="C2942" s="949" t="s">
        <v>924</v>
      </c>
      <c r="D2942" s="946">
        <f>+I2939</f>
        <v>453.57</v>
      </c>
      <c r="E2942" s="947" t="str">
        <f>+VLOOKUP(C2942,'Basic (equilibrio) (2)'!B:D,2,FALSE)</f>
        <v>n/a</v>
      </c>
      <c r="F2942" s="1054">
        <f>+VLOOKUP(C2942,'Basic (equilibrio) (2)'!B:D,3,FALSE)</f>
        <v>0</v>
      </c>
      <c r="G2942" s="946"/>
      <c r="H2942" s="1031"/>
      <c r="I2942" s="948">
        <f>D2942*F2942</f>
        <v>0</v>
      </c>
    </row>
    <row r="2943" spans="3:9" ht="15.75">
      <c r="C2943" s="951" t="s">
        <v>918</v>
      </c>
      <c r="D2943" s="946"/>
      <c r="E2943" s="947"/>
      <c r="F2943" s="1054"/>
      <c r="G2943" s="946"/>
      <c r="H2943" s="1031"/>
      <c r="I2943" s="952">
        <f>SUM(I2942)</f>
        <v>0</v>
      </c>
    </row>
    <row r="2944" spans="3:9" ht="15.75">
      <c r="C2944" s="951"/>
      <c r="D2944" s="946"/>
      <c r="E2944" s="947"/>
      <c r="F2944" s="1054"/>
      <c r="G2944" s="946"/>
      <c r="H2944" s="1031"/>
      <c r="I2944" s="952"/>
    </row>
    <row r="2945" spans="2:9" ht="15.75">
      <c r="C2945" s="956" t="s">
        <v>926</v>
      </c>
      <c r="D2945" s="957"/>
      <c r="E2945" s="958"/>
      <c r="F2945" s="1069"/>
      <c r="G2945" s="957"/>
      <c r="H2945" s="1032"/>
      <c r="I2945" s="959">
        <f>+I2929</f>
        <v>0</v>
      </c>
    </row>
    <row r="2946" spans="2:9" ht="15.75">
      <c r="C2946" s="956" t="s">
        <v>927</v>
      </c>
      <c r="D2946" s="957"/>
      <c r="E2946" s="958"/>
      <c r="F2946" s="1069"/>
      <c r="G2946" s="957"/>
      <c r="H2946" s="1032"/>
      <c r="I2946" s="959">
        <f>+I2933</f>
        <v>1.67</v>
      </c>
    </row>
    <row r="2947" spans="2:9" ht="15.75">
      <c r="C2947" s="956" t="s">
        <v>928</v>
      </c>
      <c r="D2947" s="957"/>
      <c r="E2947" s="958"/>
      <c r="F2947" s="1069"/>
      <c r="G2947" s="957"/>
      <c r="H2947" s="1032"/>
      <c r="I2947" s="959">
        <f>+I2939</f>
        <v>453.57</v>
      </c>
    </row>
    <row r="2948" spans="2:9" ht="15.75">
      <c r="C2948" s="956" t="s">
        <v>929</v>
      </c>
      <c r="D2948" s="957"/>
      <c r="E2948" s="958"/>
      <c r="F2948" s="1069"/>
      <c r="G2948" s="957"/>
      <c r="H2948" s="1032"/>
      <c r="I2948" s="959">
        <f>+I2943</f>
        <v>0</v>
      </c>
    </row>
    <row r="2949" spans="2:9" ht="15.75">
      <c r="C2949" s="949"/>
      <c r="D2949" s="946"/>
      <c r="E2949" s="947"/>
      <c r="F2949" s="1054"/>
      <c r="G2949" s="946"/>
      <c r="H2949" s="1031"/>
      <c r="I2949" s="948"/>
    </row>
    <row r="2950" spans="2:9" ht="15.75">
      <c r="C2950" s="949"/>
      <c r="D2950" s="946"/>
      <c r="E2950" s="947"/>
      <c r="F2950" s="1054"/>
      <c r="G2950" s="946"/>
      <c r="H2950" s="1031"/>
      <c r="I2950" s="948"/>
    </row>
    <row r="2951" spans="2:9" ht="15.75">
      <c r="C2951" s="951" t="s">
        <v>930</v>
      </c>
      <c r="D2951" s="960"/>
      <c r="E2951" s="943" t="str">
        <f>+E2925</f>
        <v>M³E</v>
      </c>
      <c r="F2951" s="1070"/>
      <c r="G2951" s="960"/>
      <c r="H2951" s="1033"/>
      <c r="I2951" s="952">
        <f>SUM(I2945:I2948)</f>
        <v>455.24</v>
      </c>
    </row>
    <row r="2952" spans="2:9" ht="15.75">
      <c r="C2952" s="951"/>
      <c r="D2952" s="960"/>
      <c r="E2952" s="943"/>
      <c r="F2952" s="1070"/>
      <c r="G2952" s="960"/>
      <c r="H2952" s="1033"/>
      <c r="I2952" s="952"/>
    </row>
    <row r="2953" spans="2:9" ht="15.75">
      <c r="C2953" s="951"/>
      <c r="D2953" s="960"/>
      <c r="E2953" s="943"/>
      <c r="F2953" s="1070"/>
      <c r="G2953" s="960"/>
      <c r="H2953" s="1033"/>
      <c r="I2953" s="952"/>
    </row>
    <row r="2954" spans="2:9" ht="15.75">
      <c r="B2954" s="1026">
        <v>3.1</v>
      </c>
      <c r="C2954" s="937" t="str">
        <f>+Presupuesto!B179</f>
        <v>Zapata de muros bordillo (0.45m x 0.20m)</v>
      </c>
      <c r="D2954" s="938"/>
      <c r="E2954" s="962" t="str">
        <f>+Presupuesto!D179</f>
        <v>M³</v>
      </c>
      <c r="F2954" s="1066"/>
      <c r="G2954" s="938"/>
      <c r="H2954" s="1029"/>
      <c r="I2954" s="940">
        <f>I2980</f>
        <v>10147.31</v>
      </c>
    </row>
    <row r="2955" spans="2:9" ht="15.75">
      <c r="C2955" s="941" t="s">
        <v>908</v>
      </c>
      <c r="D2955" s="942" t="s">
        <v>9</v>
      </c>
      <c r="E2955" s="943" t="s">
        <v>10</v>
      </c>
      <c r="F2955" s="1067" t="s">
        <v>909</v>
      </c>
      <c r="G2955" s="942" t="s">
        <v>910</v>
      </c>
      <c r="H2955" s="1030" t="s">
        <v>911</v>
      </c>
      <c r="I2955" s="944" t="s">
        <v>912</v>
      </c>
    </row>
    <row r="2956" spans="2:9" ht="15.75">
      <c r="C2956" s="945" t="s">
        <v>913</v>
      </c>
      <c r="D2956" s="946"/>
      <c r="E2956" s="947"/>
      <c r="F2956" s="1054"/>
      <c r="G2956" s="946"/>
      <c r="H2956" s="1031"/>
      <c r="I2956" s="948"/>
    </row>
    <row r="2957" spans="2:9" ht="15.75">
      <c r="C2957" s="949" t="s">
        <v>994</v>
      </c>
      <c r="D2957" s="946">
        <v>1.02</v>
      </c>
      <c r="E2957" s="947" t="str">
        <f>+VLOOKUP(C2957,'Basic (equilibrio) (2)'!B:D,2,FALSE)</f>
        <v>m3</v>
      </c>
      <c r="F2957" s="1068">
        <f>'Basic (equilibrio) (2)'!$D$179</f>
        <v>7600</v>
      </c>
      <c r="G2957" s="946">
        <f>F2957-(F2957/1.18)</f>
        <v>1159.32</v>
      </c>
      <c r="H2957" s="1031"/>
      <c r="I2957" s="948">
        <f>D2957*F2957</f>
        <v>7752</v>
      </c>
    </row>
    <row r="2958" spans="2:9" ht="15.75">
      <c r="C2958" s="949" t="s">
        <v>1188</v>
      </c>
      <c r="D2958" s="946">
        <v>0.65</v>
      </c>
      <c r="E2958" s="947" t="str">
        <f>+VLOOKUP(C2958,'Basic (equilibrio) (2)'!B:D,2,FALSE)</f>
        <v>qq</v>
      </c>
      <c r="F2958" s="1068">
        <f>'Basic (equilibrio) (2)'!$D$183</f>
        <v>3600</v>
      </c>
      <c r="G2958" s="946">
        <f>F2958-(F2958/1.18)</f>
        <v>549.15</v>
      </c>
      <c r="H2958" s="1031"/>
      <c r="I2958" s="948">
        <f>D2958*F2958</f>
        <v>2340</v>
      </c>
    </row>
    <row r="2959" spans="2:9" ht="15.75">
      <c r="C2959" s="949" t="s">
        <v>1328</v>
      </c>
      <c r="D2959" s="946">
        <v>1.3</v>
      </c>
      <c r="E2959" s="947" t="str">
        <f>+VLOOKUP(C2959,'Basic (equilibrio) (2)'!B:D,2,FALSE)</f>
        <v>lb</v>
      </c>
      <c r="F2959" s="1068">
        <f>'Basic (equilibrio) (2)'!$D$334</f>
        <v>31.1</v>
      </c>
      <c r="G2959" s="946">
        <f>F2959-(F2959/1.18)</f>
        <v>4.74</v>
      </c>
      <c r="H2959" s="1031"/>
      <c r="I2959" s="948">
        <f>D2959*F2959</f>
        <v>40.43</v>
      </c>
    </row>
    <row r="2960" spans="2:9" ht="15.75">
      <c r="C2960" s="951" t="s">
        <v>918</v>
      </c>
      <c r="D2960" s="946"/>
      <c r="E2960" s="947"/>
      <c r="F2960" s="1068"/>
      <c r="G2960" s="946"/>
      <c r="H2960" s="1031"/>
      <c r="I2960" s="952">
        <f>SUM(I2957:I2959)</f>
        <v>10132.43</v>
      </c>
    </row>
    <row r="2961" spans="3:9" ht="15.75">
      <c r="C2961" s="949"/>
      <c r="D2961" s="946"/>
      <c r="E2961" s="947"/>
      <c r="F2961" s="1068"/>
      <c r="G2961" s="946"/>
      <c r="H2961" s="1031"/>
      <c r="I2961" s="948"/>
    </row>
    <row r="2962" spans="3:9" ht="15.75">
      <c r="C2962" s="945" t="s">
        <v>919</v>
      </c>
      <c r="D2962" s="946"/>
      <c r="E2962" s="947"/>
      <c r="F2962" s="1068"/>
      <c r="G2962" s="946"/>
      <c r="H2962" s="1031"/>
      <c r="I2962" s="948"/>
    </row>
    <row r="2963" spans="3:9" ht="15.75">
      <c r="C2963" s="949" t="s">
        <v>1067</v>
      </c>
      <c r="D2963" s="953">
        <v>8.33</v>
      </c>
      <c r="E2963" s="954" t="str">
        <f>+VLOOKUP(C2963,'Basic (equilibrio) (2)'!B:D,2,FALSE)</f>
        <v>ml</v>
      </c>
      <c r="F2963" s="1068">
        <f>'Basic (equilibrio) (2)'!$D$21</f>
        <v>125</v>
      </c>
      <c r="G2963" s="946">
        <v>0</v>
      </c>
      <c r="H2963" s="1031">
        <v>70</v>
      </c>
      <c r="I2963" s="948">
        <f>(D2963*F2963)/H2963</f>
        <v>14.88</v>
      </c>
    </row>
    <row r="2964" spans="3:9" ht="15.75">
      <c r="C2964" s="951" t="s">
        <v>918</v>
      </c>
      <c r="D2964" s="946"/>
      <c r="E2964" s="947"/>
      <c r="F2964" s="1054"/>
      <c r="G2964" s="946"/>
      <c r="H2964" s="1031"/>
      <c r="I2964" s="952">
        <f>SUM(I2963:I2963)</f>
        <v>14.88</v>
      </c>
    </row>
    <row r="2965" spans="3:9" ht="15.75">
      <c r="C2965" s="949"/>
      <c r="D2965" s="946"/>
      <c r="E2965" s="947"/>
      <c r="F2965" s="1054"/>
      <c r="G2965" s="946"/>
      <c r="H2965" s="1031"/>
      <c r="I2965" s="948"/>
    </row>
    <row r="2966" spans="3:9" ht="15.75">
      <c r="C2966" s="945" t="s">
        <v>923</v>
      </c>
      <c r="D2966" s="946"/>
      <c r="E2966" s="947"/>
      <c r="F2966" s="1054"/>
      <c r="G2966" s="946"/>
      <c r="H2966" s="1031"/>
      <c r="I2966" s="948"/>
    </row>
    <row r="2967" spans="3:9" ht="15.75">
      <c r="C2967" s="949" t="s">
        <v>924</v>
      </c>
      <c r="D2967" s="946"/>
      <c r="E2967" s="947" t="str">
        <f>+VLOOKUP(C2967,'Basic (equilibrio) (2)'!B:D,2,FALSE)</f>
        <v>n/a</v>
      </c>
      <c r="F2967" s="1054">
        <f>+VLOOKUP(C2967,'Basic (equilibrio) (2)'!B:D,3,FALSE)</f>
        <v>0</v>
      </c>
      <c r="G2967" s="946">
        <f>F2967-(F2967/1.18)</f>
        <v>0</v>
      </c>
      <c r="H2967" s="1039"/>
      <c r="I2967" s="955">
        <f>D2967*F2967</f>
        <v>0</v>
      </c>
    </row>
    <row r="2968" spans="3:9" ht="15.75">
      <c r="C2968" s="951" t="s">
        <v>918</v>
      </c>
      <c r="D2968" s="946"/>
      <c r="E2968" s="947"/>
      <c r="F2968" s="1054"/>
      <c r="G2968" s="946"/>
      <c r="H2968" s="1031"/>
      <c r="I2968" s="952">
        <f>SUM(I2967:I2967)</f>
        <v>0</v>
      </c>
    </row>
    <row r="2969" spans="3:9" ht="15.75">
      <c r="C2969" s="949"/>
      <c r="D2969" s="946"/>
      <c r="E2969" s="947"/>
      <c r="F2969" s="1054"/>
      <c r="G2969" s="946"/>
      <c r="H2969" s="1031"/>
      <c r="I2969" s="948"/>
    </row>
    <row r="2970" spans="3:9" ht="15.75">
      <c r="C2970" s="945" t="s">
        <v>925</v>
      </c>
      <c r="D2970" s="946"/>
      <c r="E2970" s="947"/>
      <c r="F2970" s="1054"/>
      <c r="G2970" s="946"/>
      <c r="H2970" s="1031"/>
      <c r="I2970" s="948"/>
    </row>
    <row r="2971" spans="3:9" ht="15.75">
      <c r="C2971" s="949" t="s">
        <v>924</v>
      </c>
      <c r="D2971" s="946"/>
      <c r="E2971" s="947" t="str">
        <f>+VLOOKUP(C2971,'Basic (equilibrio) (2)'!B:D,2,FALSE)</f>
        <v>n/a</v>
      </c>
      <c r="F2971" s="1054">
        <f>+VLOOKUP(C2971,'Basic (equilibrio) (2)'!B:D,3,FALSE)</f>
        <v>0</v>
      </c>
      <c r="G2971" s="946"/>
      <c r="H2971" s="1031"/>
      <c r="I2971" s="948">
        <f>D2971*F2971</f>
        <v>0</v>
      </c>
    </row>
    <row r="2972" spans="3:9" ht="15.75">
      <c r="C2972" s="951" t="s">
        <v>918</v>
      </c>
      <c r="D2972" s="946"/>
      <c r="E2972" s="947"/>
      <c r="F2972" s="1054"/>
      <c r="G2972" s="946"/>
      <c r="H2972" s="1031"/>
      <c r="I2972" s="952">
        <f>SUM(I2971)</f>
        <v>0</v>
      </c>
    </row>
    <row r="2973" spans="3:9" ht="15.75">
      <c r="C2973" s="951"/>
      <c r="D2973" s="946"/>
      <c r="E2973" s="947"/>
      <c r="F2973" s="1054"/>
      <c r="G2973" s="946"/>
      <c r="H2973" s="1031"/>
      <c r="I2973" s="952"/>
    </row>
    <row r="2974" spans="3:9" ht="15.75">
      <c r="C2974" s="956" t="s">
        <v>926</v>
      </c>
      <c r="D2974" s="957"/>
      <c r="E2974" s="958"/>
      <c r="F2974" s="1069"/>
      <c r="G2974" s="957"/>
      <c r="H2974" s="1032"/>
      <c r="I2974" s="959">
        <f>+I2960</f>
        <v>10132.43</v>
      </c>
    </row>
    <row r="2975" spans="3:9" ht="15.75">
      <c r="C2975" s="956" t="s">
        <v>927</v>
      </c>
      <c r="D2975" s="957"/>
      <c r="E2975" s="958"/>
      <c r="F2975" s="1069"/>
      <c r="G2975" s="957"/>
      <c r="H2975" s="1032"/>
      <c r="I2975" s="959">
        <f>+I2964</f>
        <v>14.88</v>
      </c>
    </row>
    <row r="2976" spans="3:9" ht="15.75">
      <c r="C2976" s="956" t="s">
        <v>928</v>
      </c>
      <c r="D2976" s="957"/>
      <c r="E2976" s="958"/>
      <c r="F2976" s="1069"/>
      <c r="G2976" s="957"/>
      <c r="H2976" s="1032"/>
      <c r="I2976" s="959">
        <f>+I2968</f>
        <v>0</v>
      </c>
    </row>
    <row r="2977" spans="2:9" ht="15.75">
      <c r="C2977" s="956" t="s">
        <v>929</v>
      </c>
      <c r="D2977" s="957"/>
      <c r="E2977" s="958"/>
      <c r="F2977" s="1069"/>
      <c r="G2977" s="957"/>
      <c r="H2977" s="1032"/>
      <c r="I2977" s="959">
        <f>+I2972</f>
        <v>0</v>
      </c>
    </row>
    <row r="2978" spans="2:9" ht="15.75">
      <c r="C2978" s="949"/>
      <c r="D2978" s="946"/>
      <c r="E2978" s="947"/>
      <c r="F2978" s="1054"/>
      <c r="G2978" s="946"/>
      <c r="H2978" s="1031"/>
      <c r="I2978" s="948"/>
    </row>
    <row r="2979" spans="2:9" ht="15.75">
      <c r="C2979" s="949"/>
      <c r="D2979" s="946"/>
      <c r="E2979" s="947"/>
      <c r="F2979" s="1054"/>
      <c r="G2979" s="946"/>
      <c r="H2979" s="1031"/>
      <c r="I2979" s="948"/>
    </row>
    <row r="2980" spans="2:9" ht="15.75">
      <c r="C2980" s="951" t="s">
        <v>930</v>
      </c>
      <c r="D2980" s="960"/>
      <c r="E2980" s="943" t="str">
        <f>+E2954</f>
        <v>M³</v>
      </c>
      <c r="F2980" s="1070"/>
      <c r="G2980" s="960"/>
      <c r="H2980" s="1033"/>
      <c r="I2980" s="952">
        <f>SUM(I2974:I2977)</f>
        <v>10147.31</v>
      </c>
    </row>
    <row r="2981" spans="2:9" ht="15.75">
      <c r="C2981" s="951"/>
      <c r="D2981" s="960"/>
      <c r="E2981" s="943"/>
      <c r="F2981" s="1070"/>
      <c r="G2981" s="960"/>
      <c r="H2981" s="1033"/>
      <c r="I2981" s="952"/>
    </row>
    <row r="2982" spans="2:9" ht="15.75">
      <c r="C2982" s="951"/>
      <c r="D2982" s="960"/>
      <c r="E2982" s="943"/>
      <c r="F2982" s="1070"/>
      <c r="G2982" s="960"/>
      <c r="H2982" s="1033"/>
      <c r="I2982" s="952"/>
    </row>
    <row r="2983" spans="2:9" ht="15.75">
      <c r="B2983" s="1026">
        <v>3.2</v>
      </c>
      <c r="C2983" s="937" t="str">
        <f>+Presupuesto!B180</f>
        <v>Zapata columnas soporte (0.80m x 1.70m x 0.50m)</v>
      </c>
      <c r="D2983" s="938"/>
      <c r="E2983" s="962" t="s">
        <v>22</v>
      </c>
      <c r="F2983" s="1066"/>
      <c r="G2983" s="938"/>
      <c r="H2983" s="1029"/>
      <c r="I2983" s="940">
        <f>I3009</f>
        <v>15664.49</v>
      </c>
    </row>
    <row r="2984" spans="2:9" ht="15.75">
      <c r="C2984" s="941" t="s">
        <v>908</v>
      </c>
      <c r="D2984" s="942" t="s">
        <v>9</v>
      </c>
      <c r="E2984" s="943" t="s">
        <v>10</v>
      </c>
      <c r="F2984" s="1067" t="s">
        <v>909</v>
      </c>
      <c r="G2984" s="942" t="s">
        <v>910</v>
      </c>
      <c r="H2984" s="1030" t="s">
        <v>911</v>
      </c>
      <c r="I2984" s="944" t="s">
        <v>912</v>
      </c>
    </row>
    <row r="2985" spans="2:9" ht="15.75">
      <c r="C2985" s="945" t="s">
        <v>913</v>
      </c>
      <c r="D2985" s="946"/>
      <c r="E2985" s="947"/>
      <c r="F2985" s="1054"/>
      <c r="G2985" s="946"/>
      <c r="H2985" s="1031"/>
      <c r="I2985" s="948"/>
    </row>
    <row r="2986" spans="2:9" ht="15.75">
      <c r="C2986" s="949" t="s">
        <v>994</v>
      </c>
      <c r="D2986" s="946">
        <v>1.05</v>
      </c>
      <c r="E2986" s="947" t="str">
        <f>+VLOOKUP(C2986,'Basic (equilibrio) (2)'!B:D,2,FALSE)</f>
        <v>m3</v>
      </c>
      <c r="F2986" s="1068">
        <f>'Basic (equilibrio) (2)'!$D$179</f>
        <v>7600</v>
      </c>
      <c r="G2986" s="946">
        <f>F2986-(F2986/1.18)</f>
        <v>1159.32</v>
      </c>
      <c r="H2986" s="1031"/>
      <c r="I2986" s="948">
        <f>D2986*F2986</f>
        <v>7980</v>
      </c>
    </row>
    <row r="2987" spans="2:9" ht="15.75">
      <c r="C2987" s="949" t="s">
        <v>1188</v>
      </c>
      <c r="D2987" s="946">
        <v>2.09</v>
      </c>
      <c r="E2987" s="947" t="str">
        <f>+VLOOKUP(C2987,'Basic (equilibrio) (2)'!B:D,2,FALSE)</f>
        <v>qq</v>
      </c>
      <c r="F2987" s="1068">
        <f>'Basic (equilibrio) (2)'!$D$183</f>
        <v>3600</v>
      </c>
      <c r="G2987" s="946">
        <f>F2987-(F2987/1.18)</f>
        <v>549.15</v>
      </c>
      <c r="H2987" s="1031"/>
      <c r="I2987" s="948">
        <f>D2987*F2987</f>
        <v>7524</v>
      </c>
    </row>
    <row r="2988" spans="2:9" ht="15.75">
      <c r="C2988" s="949" t="s">
        <v>1212</v>
      </c>
      <c r="D2988" s="946">
        <v>4.17</v>
      </c>
      <c r="E2988" s="947" t="str">
        <f>+VLOOKUP(C2988,'Basic (equilibrio) (2)'!B:D,2,FALSE)</f>
        <v>lb</v>
      </c>
      <c r="F2988" s="1068">
        <f>'Basic (equilibrio) (2)'!$D$312</f>
        <v>26.5</v>
      </c>
      <c r="G2988" s="946">
        <f>F2988-(F2988/1.18)</f>
        <v>4.04</v>
      </c>
      <c r="H2988" s="1031"/>
      <c r="I2988" s="948">
        <f>D2988*F2988</f>
        <v>110.51</v>
      </c>
    </row>
    <row r="2989" spans="2:9" ht="15.75">
      <c r="C2989" s="951" t="s">
        <v>918</v>
      </c>
      <c r="D2989" s="946"/>
      <c r="E2989" s="947"/>
      <c r="F2989" s="1068"/>
      <c r="G2989" s="946"/>
      <c r="H2989" s="1031"/>
      <c r="I2989" s="952">
        <f>SUM(I2986:I2988)</f>
        <v>15614.51</v>
      </c>
    </row>
    <row r="2990" spans="2:9" ht="15.75">
      <c r="C2990" s="949"/>
      <c r="D2990" s="946"/>
      <c r="E2990" s="947"/>
      <c r="F2990" s="1068"/>
      <c r="G2990" s="946"/>
      <c r="H2990" s="1031"/>
      <c r="I2990" s="948"/>
    </row>
    <row r="2991" spans="2:9" ht="15.75">
      <c r="C2991" s="945" t="s">
        <v>919</v>
      </c>
      <c r="D2991" s="946"/>
      <c r="E2991" s="947"/>
      <c r="F2991" s="1068"/>
      <c r="G2991" s="946"/>
      <c r="H2991" s="1031"/>
      <c r="I2991" s="948"/>
    </row>
    <row r="2992" spans="2:9" ht="15.75">
      <c r="C2992" s="949" t="s">
        <v>1121</v>
      </c>
      <c r="D2992" s="953">
        <v>8.33</v>
      </c>
      <c r="E2992" s="954" t="str">
        <f>+VLOOKUP(C2992,'Basic (equilibrio) (2)'!B:D,2,FALSE)</f>
        <v>qq</v>
      </c>
      <c r="F2992" s="1068">
        <f>'Basic (equilibrio) (2)'!$D$126</f>
        <v>420</v>
      </c>
      <c r="G2992" s="946">
        <v>0</v>
      </c>
      <c r="H2992" s="1031">
        <v>70</v>
      </c>
      <c r="I2992" s="948">
        <f>(D2992*F2992)/H2992</f>
        <v>49.98</v>
      </c>
    </row>
    <row r="2993" spans="3:9" ht="15.75">
      <c r="C2993" s="951" t="s">
        <v>918</v>
      </c>
      <c r="D2993" s="946"/>
      <c r="E2993" s="947"/>
      <c r="F2993" s="1054"/>
      <c r="G2993" s="946"/>
      <c r="H2993" s="1031"/>
      <c r="I2993" s="952">
        <f>SUM(I2992:I2992)</f>
        <v>49.98</v>
      </c>
    </row>
    <row r="2994" spans="3:9" ht="15.75">
      <c r="C2994" s="949"/>
      <c r="D2994" s="946"/>
      <c r="E2994" s="947"/>
      <c r="F2994" s="1054"/>
      <c r="G2994" s="946"/>
      <c r="H2994" s="1031"/>
      <c r="I2994" s="948"/>
    </row>
    <row r="2995" spans="3:9" ht="15.75">
      <c r="C2995" s="945" t="s">
        <v>923</v>
      </c>
      <c r="D2995" s="946"/>
      <c r="E2995" s="947"/>
      <c r="F2995" s="1054"/>
      <c r="G2995" s="946"/>
      <c r="H2995" s="1031"/>
      <c r="I2995" s="948"/>
    </row>
    <row r="2996" spans="3:9" ht="15.75">
      <c r="C2996" s="949" t="s">
        <v>924</v>
      </c>
      <c r="D2996" s="946"/>
      <c r="E2996" s="947" t="str">
        <f>+VLOOKUP(C2996,'Basic (equilibrio) (2)'!B:D,2,FALSE)</f>
        <v>n/a</v>
      </c>
      <c r="F2996" s="1054">
        <f>+VLOOKUP(C2996,'Basic (equilibrio) (2)'!B:D,3,FALSE)</f>
        <v>0</v>
      </c>
      <c r="G2996" s="946">
        <f>F2996-(F2996/1.18)</f>
        <v>0</v>
      </c>
      <c r="H2996" s="1039"/>
      <c r="I2996" s="955">
        <f>D2996*F2996</f>
        <v>0</v>
      </c>
    </row>
    <row r="2997" spans="3:9" ht="15.75">
      <c r="C2997" s="951" t="s">
        <v>918</v>
      </c>
      <c r="D2997" s="946"/>
      <c r="E2997" s="947"/>
      <c r="F2997" s="1054"/>
      <c r="G2997" s="946"/>
      <c r="H2997" s="1031"/>
      <c r="I2997" s="952">
        <f>SUM(I2996:I2996)</f>
        <v>0</v>
      </c>
    </row>
    <row r="2998" spans="3:9" ht="15.75">
      <c r="C2998" s="949"/>
      <c r="D2998" s="946"/>
      <c r="E2998" s="947"/>
      <c r="F2998" s="1054"/>
      <c r="G2998" s="946"/>
      <c r="H2998" s="1031"/>
      <c r="I2998" s="948"/>
    </row>
    <row r="2999" spans="3:9" ht="15.75">
      <c r="C2999" s="945" t="s">
        <v>925</v>
      </c>
      <c r="D2999" s="946"/>
      <c r="E2999" s="947"/>
      <c r="F2999" s="1054"/>
      <c r="G2999" s="946"/>
      <c r="H2999" s="1031"/>
      <c r="I2999" s="948"/>
    </row>
    <row r="3000" spans="3:9" ht="15.75">
      <c r="C3000" s="949" t="s">
        <v>924</v>
      </c>
      <c r="D3000" s="946"/>
      <c r="E3000" s="947" t="str">
        <f>+VLOOKUP(C3000,'Basic (equilibrio) (2)'!B:D,2,FALSE)</f>
        <v>n/a</v>
      </c>
      <c r="F3000" s="1054">
        <f>+VLOOKUP(C3000,'Basic (equilibrio) (2)'!B:D,3,FALSE)</f>
        <v>0</v>
      </c>
      <c r="G3000" s="946"/>
      <c r="H3000" s="1031"/>
      <c r="I3000" s="948">
        <f>D3000*F3000</f>
        <v>0</v>
      </c>
    </row>
    <row r="3001" spans="3:9" ht="15.75">
      <c r="C3001" s="951" t="s">
        <v>918</v>
      </c>
      <c r="D3001" s="946"/>
      <c r="E3001" s="947"/>
      <c r="F3001" s="1054"/>
      <c r="G3001" s="946"/>
      <c r="H3001" s="1031"/>
      <c r="I3001" s="952">
        <f>SUM(I3000)</f>
        <v>0</v>
      </c>
    </row>
    <row r="3002" spans="3:9" ht="15.75">
      <c r="C3002" s="951"/>
      <c r="D3002" s="946"/>
      <c r="E3002" s="947"/>
      <c r="F3002" s="1054"/>
      <c r="G3002" s="946"/>
      <c r="H3002" s="1031"/>
      <c r="I3002" s="952"/>
    </row>
    <row r="3003" spans="3:9" ht="15.75">
      <c r="C3003" s="956" t="s">
        <v>926</v>
      </c>
      <c r="D3003" s="957"/>
      <c r="E3003" s="958"/>
      <c r="F3003" s="1069"/>
      <c r="G3003" s="957"/>
      <c r="H3003" s="1032"/>
      <c r="I3003" s="959">
        <f>+I2989</f>
        <v>15614.51</v>
      </c>
    </row>
    <row r="3004" spans="3:9" ht="15.75">
      <c r="C3004" s="956" t="s">
        <v>927</v>
      </c>
      <c r="D3004" s="957"/>
      <c r="E3004" s="958"/>
      <c r="F3004" s="1069"/>
      <c r="G3004" s="957"/>
      <c r="H3004" s="1032"/>
      <c r="I3004" s="959">
        <f>+I2993</f>
        <v>49.98</v>
      </c>
    </row>
    <row r="3005" spans="3:9" ht="15.75">
      <c r="C3005" s="956" t="s">
        <v>928</v>
      </c>
      <c r="D3005" s="957"/>
      <c r="E3005" s="958"/>
      <c r="F3005" s="1069"/>
      <c r="G3005" s="957"/>
      <c r="H3005" s="1032"/>
      <c r="I3005" s="959">
        <f>+I2997</f>
        <v>0</v>
      </c>
    </row>
    <row r="3006" spans="3:9" ht="15.75">
      <c r="C3006" s="956" t="s">
        <v>929</v>
      </c>
      <c r="D3006" s="957"/>
      <c r="E3006" s="958"/>
      <c r="F3006" s="1069"/>
      <c r="G3006" s="957"/>
      <c r="H3006" s="1032"/>
      <c r="I3006" s="959">
        <f>+I3001</f>
        <v>0</v>
      </c>
    </row>
    <row r="3007" spans="3:9" ht="15.75">
      <c r="C3007" s="949"/>
      <c r="D3007" s="946"/>
      <c r="E3007" s="947"/>
      <c r="F3007" s="1054"/>
      <c r="G3007" s="946"/>
      <c r="H3007" s="1031"/>
      <c r="I3007" s="948"/>
    </row>
    <row r="3008" spans="3:9" ht="15.75">
      <c r="C3008" s="949"/>
      <c r="D3008" s="946"/>
      <c r="E3008" s="947"/>
      <c r="F3008" s="1054"/>
      <c r="G3008" s="946"/>
      <c r="H3008" s="1031"/>
      <c r="I3008" s="948"/>
    </row>
    <row r="3009" spans="2:9" ht="15.75">
      <c r="C3009" s="951" t="s">
        <v>930</v>
      </c>
      <c r="D3009" s="960"/>
      <c r="E3009" s="943" t="str">
        <f>+E2983</f>
        <v>M3</v>
      </c>
      <c r="F3009" s="1070"/>
      <c r="G3009" s="960"/>
      <c r="H3009" s="1033"/>
      <c r="I3009" s="952">
        <f>SUM(I3003:I3006)</f>
        <v>15664.49</v>
      </c>
    </row>
    <row r="3010" spans="2:9" ht="15.75">
      <c r="C3010" s="951"/>
      <c r="D3010" s="960"/>
      <c r="E3010" s="943"/>
      <c r="F3010" s="1070"/>
      <c r="G3010" s="960"/>
      <c r="H3010" s="1033"/>
      <c r="I3010" s="952"/>
    </row>
    <row r="3011" spans="2:9" ht="15.75">
      <c r="C3011" s="951"/>
      <c r="D3011" s="960"/>
      <c r="E3011" s="943"/>
      <c r="F3011" s="1070"/>
      <c r="G3011" s="960"/>
      <c r="H3011" s="1033"/>
      <c r="I3011" s="952"/>
    </row>
    <row r="3012" spans="2:9" ht="15.75">
      <c r="B3012" s="1026">
        <v>3.3</v>
      </c>
      <c r="C3012" s="937" t="str">
        <f>+Presupuesto!B181</f>
        <v>Columnas soporte</v>
      </c>
      <c r="D3012" s="938"/>
      <c r="E3012" s="962" t="s">
        <v>22</v>
      </c>
      <c r="F3012" s="1066"/>
      <c r="G3012" s="938"/>
      <c r="H3012" s="1029"/>
      <c r="I3012" s="940">
        <f>I3044</f>
        <v>38109.22</v>
      </c>
    </row>
    <row r="3013" spans="2:9" ht="15.75">
      <c r="C3013" s="941" t="s">
        <v>908</v>
      </c>
      <c r="D3013" s="942" t="s">
        <v>9</v>
      </c>
      <c r="E3013" s="943" t="s">
        <v>10</v>
      </c>
      <c r="F3013" s="1067" t="s">
        <v>909</v>
      </c>
      <c r="G3013" s="942" t="s">
        <v>910</v>
      </c>
      <c r="H3013" s="1030" t="s">
        <v>911</v>
      </c>
      <c r="I3013" s="944" t="s">
        <v>912</v>
      </c>
    </row>
    <row r="3014" spans="2:9" ht="15.75">
      <c r="C3014" s="945" t="s">
        <v>913</v>
      </c>
      <c r="D3014" s="946"/>
      <c r="E3014" s="947"/>
      <c r="F3014" s="1054"/>
      <c r="G3014" s="946"/>
      <c r="H3014" s="1031"/>
      <c r="I3014" s="948"/>
    </row>
    <row r="3015" spans="2:9" ht="15.75">
      <c r="C3015" s="949" t="s">
        <v>994</v>
      </c>
      <c r="D3015" s="946">
        <v>1.05</v>
      </c>
      <c r="E3015" s="947" t="str">
        <f>+VLOOKUP(C3015,'Basic (equilibrio) (2)'!B:D,2,FALSE)</f>
        <v>m3</v>
      </c>
      <c r="F3015" s="1068">
        <f>'Basic (equilibrio) (2)'!$D$179</f>
        <v>7600</v>
      </c>
      <c r="G3015" s="946">
        <f t="shared" ref="G3015:G3020" si="15">F3015-(F3015/1.18)</f>
        <v>1159.32</v>
      </c>
      <c r="H3015" s="1031"/>
      <c r="I3015" s="948">
        <f t="shared" ref="I3015:I3020" si="16">D3015*F3015</f>
        <v>7980</v>
      </c>
    </row>
    <row r="3016" spans="2:9" ht="15.75">
      <c r="C3016" s="949" t="s">
        <v>1188</v>
      </c>
      <c r="D3016" s="946">
        <v>2.85</v>
      </c>
      <c r="E3016" s="947" t="str">
        <f>+VLOOKUP(C3016,'Basic (equilibrio) (2)'!B:D,2,FALSE)</f>
        <v>qq</v>
      </c>
      <c r="F3016" s="1068">
        <f>'Basic (equilibrio) (2)'!$D$183</f>
        <v>3600</v>
      </c>
      <c r="G3016" s="946">
        <f t="shared" si="15"/>
        <v>549.15</v>
      </c>
      <c r="H3016" s="1031"/>
      <c r="I3016" s="948">
        <f t="shared" si="16"/>
        <v>10260</v>
      </c>
    </row>
    <row r="3017" spans="2:9" ht="15.75">
      <c r="C3017" s="949" t="s">
        <v>1212</v>
      </c>
      <c r="D3017" s="946">
        <v>5.7</v>
      </c>
      <c r="E3017" s="947" t="str">
        <f>+VLOOKUP(C3017,'Basic (equilibrio) (2)'!B:D,2,FALSE)</f>
        <v>lb</v>
      </c>
      <c r="F3017" s="1068">
        <f>'Basic (equilibrio) (2)'!$D$312</f>
        <v>26.5</v>
      </c>
      <c r="G3017" s="946">
        <f t="shared" si="15"/>
        <v>4.04</v>
      </c>
      <c r="H3017" s="1031"/>
      <c r="I3017" s="948">
        <f t="shared" si="16"/>
        <v>151.05000000000001</v>
      </c>
    </row>
    <row r="3018" spans="2:9" ht="15.75">
      <c r="C3018" s="949" t="s">
        <v>916</v>
      </c>
      <c r="D3018" s="946">
        <v>144</v>
      </c>
      <c r="E3018" s="947" t="str">
        <f>+VLOOKUP(C3018,'Basic (equilibrio) (2)'!B:D,2,FALSE)</f>
        <v>pt</v>
      </c>
      <c r="F3018" s="1068">
        <f>'Basic (equilibrio) (2)'!$D$194</f>
        <v>107.7</v>
      </c>
      <c r="G3018" s="946">
        <f t="shared" si="15"/>
        <v>16.43</v>
      </c>
      <c r="H3018" s="1031"/>
      <c r="I3018" s="948">
        <f t="shared" si="16"/>
        <v>15508.8</v>
      </c>
    </row>
    <row r="3019" spans="2:9" ht="15.75">
      <c r="C3019" s="949" t="s">
        <v>1194</v>
      </c>
      <c r="D3019" s="946">
        <v>23.09</v>
      </c>
      <c r="E3019" s="947" t="str">
        <f>+VLOOKUP(C3019,'Basic (equilibrio) (2)'!B:D,2,FALSE)</f>
        <v>lb</v>
      </c>
      <c r="F3019" s="1068">
        <f>'Basic (equilibrio) (2)'!$D$192</f>
        <v>78.2</v>
      </c>
      <c r="G3019" s="946">
        <f t="shared" si="15"/>
        <v>11.93</v>
      </c>
      <c r="H3019" s="1031"/>
      <c r="I3019" s="948">
        <f t="shared" si="16"/>
        <v>1805.64</v>
      </c>
    </row>
    <row r="3020" spans="2:9" ht="15.75">
      <c r="C3020" s="949" t="s">
        <v>1299</v>
      </c>
      <c r="D3020" s="946">
        <v>6.93</v>
      </c>
      <c r="E3020" s="947" t="str">
        <f>+VLOOKUP(C3020,'Basic (equilibrio) (2)'!B:D,2,FALSE)</f>
        <v>lb</v>
      </c>
      <c r="F3020" s="1068">
        <f>'Basic (equilibrio) (2)'!$D$335</f>
        <v>78.2</v>
      </c>
      <c r="G3020" s="946">
        <f t="shared" si="15"/>
        <v>11.93</v>
      </c>
      <c r="H3020" s="1031"/>
      <c r="I3020" s="948">
        <f t="shared" si="16"/>
        <v>541.92999999999995</v>
      </c>
    </row>
    <row r="3021" spans="2:9" ht="15.75">
      <c r="C3021" s="951" t="s">
        <v>918</v>
      </c>
      <c r="D3021" s="946"/>
      <c r="E3021" s="947"/>
      <c r="F3021" s="1068"/>
      <c r="G3021" s="946"/>
      <c r="H3021" s="1031"/>
      <c r="I3021" s="952">
        <f>SUM(I3015:I3020)</f>
        <v>36247.42</v>
      </c>
    </row>
    <row r="3022" spans="2:9" ht="15.75">
      <c r="C3022" s="949"/>
      <c r="D3022" s="946"/>
      <c r="E3022" s="947"/>
      <c r="F3022" s="1068"/>
      <c r="G3022" s="946"/>
      <c r="H3022" s="1031"/>
      <c r="I3022" s="948"/>
    </row>
    <row r="3023" spans="2:9" ht="15.75">
      <c r="C3023" s="945" t="s">
        <v>919</v>
      </c>
      <c r="D3023" s="946"/>
      <c r="E3023" s="947"/>
      <c r="F3023" s="1068"/>
      <c r="G3023" s="946"/>
      <c r="H3023" s="1031"/>
      <c r="I3023" s="948"/>
    </row>
    <row r="3024" spans="2:9" ht="15.75">
      <c r="C3024" s="949" t="s">
        <v>1131</v>
      </c>
      <c r="D3024" s="953">
        <v>2.2999999999999998</v>
      </c>
      <c r="E3024" s="954" t="str">
        <f>+VLOOKUP(C3024,'Basic (equilibrio) (2)'!B:D,2,FALSE)</f>
        <v>ml</v>
      </c>
      <c r="F3024" s="1068">
        <f>'Basic (equilibrio) (2)'!$D$48</f>
        <v>400</v>
      </c>
      <c r="G3024" s="946">
        <v>0</v>
      </c>
      <c r="H3024" s="1031"/>
      <c r="I3024" s="948">
        <f>(D3024*F3024)</f>
        <v>920</v>
      </c>
    </row>
    <row r="3025" spans="3:9" ht="31.5">
      <c r="C3025" s="949" t="s">
        <v>1132</v>
      </c>
      <c r="D3025" s="946">
        <v>2.2999999999999998</v>
      </c>
      <c r="E3025" s="947" t="str">
        <f>+VLOOKUP(C3025,'Basic (equilibrio) (2)'!B:D,2,FALSE)</f>
        <v>ml</v>
      </c>
      <c r="F3025" s="1068">
        <f>'Basic (equilibrio) (2)'!$D$49</f>
        <v>211</v>
      </c>
      <c r="G3025" s="946">
        <f>F3025-(F3025/1.18)</f>
        <v>32.19</v>
      </c>
      <c r="H3025" s="1031"/>
      <c r="I3025" s="948">
        <f>D3025*F3025</f>
        <v>485.3</v>
      </c>
    </row>
    <row r="3026" spans="3:9" ht="15.75">
      <c r="C3026" s="949" t="s">
        <v>1117</v>
      </c>
      <c r="D3026" s="946">
        <v>9.52</v>
      </c>
      <c r="E3026" s="947" t="str">
        <f>+VLOOKUP(C3026,'Basic (equilibrio) (2)'!B:D,2,FALSE)</f>
        <v>m2</v>
      </c>
      <c r="F3026" s="1068">
        <f>'Basic (equilibrio) (2)'!$D$41</f>
        <v>25</v>
      </c>
      <c r="G3026" s="946">
        <f>F3026-(F3026/1.18)</f>
        <v>3.81</v>
      </c>
      <c r="H3026" s="1031"/>
      <c r="I3026" s="948">
        <f>D3026*F3026</f>
        <v>238</v>
      </c>
    </row>
    <row r="3027" spans="3:9" ht="15.75">
      <c r="C3027" s="949" t="s">
        <v>1118</v>
      </c>
      <c r="D3027" s="946">
        <v>2.2999999999999998</v>
      </c>
      <c r="E3027" s="947" t="str">
        <f>+VLOOKUP(C3027,'Basic (equilibrio) (2)'!B:D,2,FALSE)</f>
        <v>m</v>
      </c>
      <c r="F3027" s="1068">
        <f>'Basic (equilibrio) (2)'!$D$42</f>
        <v>95</v>
      </c>
      <c r="G3027" s="946">
        <f>F3027-(F3027/1.18)</f>
        <v>14.49</v>
      </c>
      <c r="H3027" s="1031"/>
      <c r="I3027" s="948">
        <f>D3027*F3027</f>
        <v>218.5</v>
      </c>
    </row>
    <row r="3028" spans="3:9" ht="15.75">
      <c r="C3028" s="951" t="s">
        <v>918</v>
      </c>
      <c r="D3028" s="946"/>
      <c r="E3028" s="947"/>
      <c r="F3028" s="1054"/>
      <c r="G3028" s="946"/>
      <c r="H3028" s="1031"/>
      <c r="I3028" s="952">
        <f>SUM(I3024:I3027)</f>
        <v>1861.8</v>
      </c>
    </row>
    <row r="3029" spans="3:9" ht="15.75">
      <c r="C3029" s="949"/>
      <c r="D3029" s="946"/>
      <c r="E3029" s="947"/>
      <c r="F3029" s="1054"/>
      <c r="G3029" s="946"/>
      <c r="H3029" s="1031"/>
      <c r="I3029" s="948"/>
    </row>
    <row r="3030" spans="3:9" ht="15.75">
      <c r="C3030" s="945" t="s">
        <v>923</v>
      </c>
      <c r="D3030" s="946"/>
      <c r="E3030" s="947"/>
      <c r="F3030" s="1054"/>
      <c r="G3030" s="946"/>
      <c r="H3030" s="1031"/>
      <c r="I3030" s="948"/>
    </row>
    <row r="3031" spans="3:9" ht="15.75">
      <c r="C3031" s="949" t="s">
        <v>924</v>
      </c>
      <c r="D3031" s="946"/>
      <c r="E3031" s="947" t="str">
        <f>+VLOOKUP(C3031,'Basic (equilibrio) (2)'!B:D,2,FALSE)</f>
        <v>n/a</v>
      </c>
      <c r="F3031" s="1054">
        <f>+VLOOKUP(C3031,'Basic (equilibrio) (2)'!B:D,3,FALSE)</f>
        <v>0</v>
      </c>
      <c r="G3031" s="946">
        <f>F3031-(F3031/1.18)</f>
        <v>0</v>
      </c>
      <c r="H3031" s="1039"/>
      <c r="I3031" s="955">
        <f>D3031*F3031</f>
        <v>0</v>
      </c>
    </row>
    <row r="3032" spans="3:9" ht="15.75">
      <c r="C3032" s="951" t="s">
        <v>918</v>
      </c>
      <c r="D3032" s="946"/>
      <c r="E3032" s="947"/>
      <c r="F3032" s="1054"/>
      <c r="G3032" s="946"/>
      <c r="H3032" s="1031"/>
      <c r="I3032" s="952">
        <f>SUM(I3031:I3031)</f>
        <v>0</v>
      </c>
    </row>
    <row r="3033" spans="3:9" ht="15.75">
      <c r="C3033" s="949"/>
      <c r="D3033" s="946"/>
      <c r="E3033" s="947"/>
      <c r="F3033" s="1054"/>
      <c r="G3033" s="946"/>
      <c r="H3033" s="1031"/>
      <c r="I3033" s="948"/>
    </row>
    <row r="3034" spans="3:9" ht="15.75">
      <c r="C3034" s="945" t="s">
        <v>925</v>
      </c>
      <c r="D3034" s="946"/>
      <c r="E3034" s="947"/>
      <c r="F3034" s="1054"/>
      <c r="G3034" s="946"/>
      <c r="H3034" s="1031"/>
      <c r="I3034" s="948"/>
    </row>
    <row r="3035" spans="3:9" ht="15.75">
      <c r="C3035" s="949" t="s">
        <v>924</v>
      </c>
      <c r="D3035" s="946"/>
      <c r="E3035" s="947" t="str">
        <f>+VLOOKUP(C3035,'Basic (equilibrio) (2)'!B:D,2,FALSE)</f>
        <v>n/a</v>
      </c>
      <c r="F3035" s="1054">
        <f>+VLOOKUP(C3035,'Basic (equilibrio) (2)'!B:D,3,FALSE)</f>
        <v>0</v>
      </c>
      <c r="G3035" s="946"/>
      <c r="H3035" s="1031"/>
      <c r="I3035" s="948">
        <f>D3035*F3035</f>
        <v>0</v>
      </c>
    </row>
    <row r="3036" spans="3:9" ht="15.75">
      <c r="C3036" s="951" t="s">
        <v>918</v>
      </c>
      <c r="D3036" s="946"/>
      <c r="E3036" s="947"/>
      <c r="F3036" s="1054"/>
      <c r="G3036" s="946"/>
      <c r="H3036" s="1031"/>
      <c r="I3036" s="952">
        <f>SUM(I3035)</f>
        <v>0</v>
      </c>
    </row>
    <row r="3037" spans="3:9" ht="15.75">
      <c r="C3037" s="951"/>
      <c r="D3037" s="946"/>
      <c r="E3037" s="947"/>
      <c r="F3037" s="1054"/>
      <c r="G3037" s="946"/>
      <c r="H3037" s="1031"/>
      <c r="I3037" s="952"/>
    </row>
    <row r="3038" spans="3:9" ht="15.75">
      <c r="C3038" s="956" t="s">
        <v>926</v>
      </c>
      <c r="D3038" s="957"/>
      <c r="E3038" s="958"/>
      <c r="F3038" s="1069"/>
      <c r="G3038" s="957"/>
      <c r="H3038" s="1032"/>
      <c r="I3038" s="959">
        <f>+I3021</f>
        <v>36247.42</v>
      </c>
    </row>
    <row r="3039" spans="3:9" ht="15.75">
      <c r="C3039" s="956" t="s">
        <v>927</v>
      </c>
      <c r="D3039" s="957"/>
      <c r="E3039" s="958"/>
      <c r="F3039" s="1069"/>
      <c r="G3039" s="957"/>
      <c r="H3039" s="1032"/>
      <c r="I3039" s="959">
        <f>+I3028</f>
        <v>1861.8</v>
      </c>
    </row>
    <row r="3040" spans="3:9" ht="15.75">
      <c r="C3040" s="956" t="s">
        <v>928</v>
      </c>
      <c r="D3040" s="957"/>
      <c r="E3040" s="958"/>
      <c r="F3040" s="1069"/>
      <c r="G3040" s="957"/>
      <c r="H3040" s="1032"/>
      <c r="I3040" s="959">
        <f>+I3032</f>
        <v>0</v>
      </c>
    </row>
    <row r="3041" spans="2:9" ht="15.75">
      <c r="C3041" s="956" t="s">
        <v>929</v>
      </c>
      <c r="D3041" s="957"/>
      <c r="E3041" s="958"/>
      <c r="F3041" s="1069"/>
      <c r="G3041" s="957"/>
      <c r="H3041" s="1032"/>
      <c r="I3041" s="959">
        <f>+I3036</f>
        <v>0</v>
      </c>
    </row>
    <row r="3042" spans="2:9" ht="15.75">
      <c r="C3042" s="949"/>
      <c r="D3042" s="946"/>
      <c r="E3042" s="947"/>
      <c r="F3042" s="1054"/>
      <c r="G3042" s="946"/>
      <c r="H3042" s="1031"/>
      <c r="I3042" s="948"/>
    </row>
    <row r="3043" spans="2:9" ht="15.75">
      <c r="C3043" s="949"/>
      <c r="D3043" s="946"/>
      <c r="E3043" s="947"/>
      <c r="F3043" s="1054"/>
      <c r="G3043" s="946"/>
      <c r="H3043" s="1031"/>
      <c r="I3043" s="948"/>
    </row>
    <row r="3044" spans="2:9" ht="15.75">
      <c r="C3044" s="951" t="s">
        <v>930</v>
      </c>
      <c r="D3044" s="960"/>
      <c r="E3044" s="943" t="str">
        <f>+E3012</f>
        <v>M3</v>
      </c>
      <c r="F3044" s="1070"/>
      <c r="G3044" s="960"/>
      <c r="H3044" s="1033"/>
      <c r="I3044" s="952">
        <f>SUM(I3038:I3041)</f>
        <v>38109.22</v>
      </c>
    </row>
    <row r="3045" spans="2:9" ht="15.75">
      <c r="C3045" s="951"/>
      <c r="D3045" s="960"/>
      <c r="E3045" s="943"/>
      <c r="F3045" s="1070"/>
      <c r="G3045" s="960"/>
      <c r="H3045" s="1033"/>
      <c r="I3045" s="952"/>
    </row>
    <row r="3046" spans="2:9" ht="15.75">
      <c r="C3046" s="951"/>
      <c r="D3046" s="960"/>
      <c r="E3046" s="943"/>
      <c r="F3046" s="1070"/>
      <c r="G3046" s="960"/>
      <c r="H3046" s="1033"/>
      <c r="I3046" s="952"/>
    </row>
    <row r="3047" spans="2:9" ht="15.75">
      <c r="B3047" s="1026">
        <v>4.0999999999999996</v>
      </c>
      <c r="C3047" s="937" t="str">
        <f>+Presupuesto!B184</f>
        <v>Bordillo de 0.15 m (B.N.P.)</v>
      </c>
      <c r="D3047" s="938"/>
      <c r="E3047" s="962" t="s">
        <v>20</v>
      </c>
      <c r="F3047" s="1066"/>
      <c r="G3047" s="938"/>
      <c r="H3047" s="1029"/>
      <c r="I3047" s="940">
        <f>+I3076</f>
        <v>1674.71</v>
      </c>
    </row>
    <row r="3048" spans="2:9" ht="15.75">
      <c r="C3048" s="941" t="s">
        <v>908</v>
      </c>
      <c r="D3048" s="942" t="s">
        <v>9</v>
      </c>
      <c r="E3048" s="943" t="s">
        <v>10</v>
      </c>
      <c r="F3048" s="1067" t="s">
        <v>909</v>
      </c>
      <c r="G3048" s="942" t="s">
        <v>910</v>
      </c>
      <c r="H3048" s="1030" t="s">
        <v>911</v>
      </c>
      <c r="I3048" s="944" t="s">
        <v>912</v>
      </c>
    </row>
    <row r="3049" spans="2:9" ht="15.75">
      <c r="C3049" s="945" t="s">
        <v>913</v>
      </c>
      <c r="D3049" s="946"/>
      <c r="E3049" s="947"/>
      <c r="F3049" s="1054"/>
      <c r="G3049" s="946"/>
      <c r="H3049" s="1031"/>
      <c r="I3049" s="948"/>
    </row>
    <row r="3050" spans="2:9" ht="15.75">
      <c r="C3050" s="949" t="s">
        <v>998</v>
      </c>
      <c r="D3050" s="946">
        <v>0.1</v>
      </c>
      <c r="E3050" s="947" t="str">
        <f>+VLOOKUP(C3050,'Basic (equilibrio) (2)'!B:D,2,FALSE)</f>
        <v>m3</v>
      </c>
      <c r="F3050" s="1068">
        <f>'Basic (equilibrio) (2)'!$D$180</f>
        <v>7200</v>
      </c>
      <c r="G3050" s="946">
        <f>F3050-(F3050/1.18)</f>
        <v>1098.31</v>
      </c>
      <c r="H3050" s="1031"/>
      <c r="I3050" s="948">
        <f>D3050*F3050</f>
        <v>720</v>
      </c>
    </row>
    <row r="3051" spans="2:9" ht="15.75">
      <c r="C3051" s="949" t="s">
        <v>1188</v>
      </c>
      <c r="D3051" s="946">
        <v>0.05</v>
      </c>
      <c r="E3051" s="947" t="str">
        <f>+VLOOKUP(C3051,'Basic (equilibrio) (2)'!B:D,2,FALSE)</f>
        <v>qq</v>
      </c>
      <c r="F3051" s="1068">
        <f>'Basic (equilibrio) (2)'!$D$183</f>
        <v>3600</v>
      </c>
      <c r="G3051" s="946">
        <f>F3051-(F3051/1.18)</f>
        <v>549.15</v>
      </c>
      <c r="H3051" s="1031"/>
      <c r="I3051" s="948">
        <f>D3051*F3051</f>
        <v>180</v>
      </c>
    </row>
    <row r="3052" spans="2:9" ht="15.75">
      <c r="C3052" s="949" t="s">
        <v>1328</v>
      </c>
      <c r="D3052" s="946">
        <v>0.1</v>
      </c>
      <c r="E3052" s="947" t="str">
        <f>+VLOOKUP(C3052,'Basic (equilibrio) (2)'!B:D,2,FALSE)</f>
        <v>lb</v>
      </c>
      <c r="F3052" s="1068">
        <f>'Basic (equilibrio) (2)'!$D$334</f>
        <v>31.1</v>
      </c>
      <c r="G3052" s="946">
        <f>F3052-(F3052/1.18)</f>
        <v>4.74</v>
      </c>
      <c r="H3052" s="1031"/>
      <c r="I3052" s="948">
        <f>D3052*F3052</f>
        <v>3.11</v>
      </c>
    </row>
    <row r="3053" spans="2:9" ht="15.75">
      <c r="C3053" s="949" t="s">
        <v>1201</v>
      </c>
      <c r="D3053" s="1058">
        <v>13</v>
      </c>
      <c r="E3053" s="947" t="str">
        <f>+VLOOKUP(C3053,'Basic (equilibrio) (2)'!B:D,2,FALSE)</f>
        <v>ud</v>
      </c>
      <c r="F3053" s="1068">
        <f>'Basic (equilibrio) (2)'!$D$305</f>
        <v>38.200000000000003</v>
      </c>
      <c r="G3053" s="946">
        <f>F3053-(F3053/1.18)</f>
        <v>5.83</v>
      </c>
      <c r="H3053" s="1031"/>
      <c r="I3053" s="948">
        <f>D3053*F3053</f>
        <v>496.6</v>
      </c>
    </row>
    <row r="3054" spans="2:9" ht="15.75">
      <c r="C3054" s="949"/>
      <c r="D3054" s="946"/>
      <c r="E3054" s="947"/>
      <c r="F3054" s="1068"/>
      <c r="G3054" s="946"/>
      <c r="H3054" s="1031"/>
      <c r="I3054" s="948"/>
    </row>
    <row r="3055" spans="2:9" ht="15.75">
      <c r="C3055" s="951" t="s">
        <v>918</v>
      </c>
      <c r="D3055" s="946"/>
      <c r="E3055" s="947"/>
      <c r="F3055" s="1068"/>
      <c r="G3055" s="946"/>
      <c r="H3055" s="1031"/>
      <c r="I3055" s="952">
        <f>SUM(I3050:I3054)</f>
        <v>1399.71</v>
      </c>
    </row>
    <row r="3056" spans="2:9" ht="15.75">
      <c r="C3056" s="949"/>
      <c r="D3056" s="946"/>
      <c r="E3056" s="947"/>
      <c r="F3056" s="1068"/>
      <c r="G3056" s="946"/>
      <c r="H3056" s="1031"/>
      <c r="I3056" s="948"/>
    </row>
    <row r="3057" spans="3:9" ht="15.75">
      <c r="C3057" s="945" t="s">
        <v>919</v>
      </c>
      <c r="D3057" s="946"/>
      <c r="E3057" s="947"/>
      <c r="F3057" s="1068"/>
      <c r="G3057" s="946"/>
      <c r="H3057" s="1031"/>
      <c r="I3057" s="948"/>
    </row>
    <row r="3058" spans="3:9" ht="15.75">
      <c r="C3058" s="949" t="s">
        <v>1067</v>
      </c>
      <c r="D3058" s="953">
        <v>1</v>
      </c>
      <c r="E3058" s="954" t="str">
        <f>+VLOOKUP(C3058,'Basic (equilibrio) (2)'!B:D,2,FALSE)</f>
        <v>ml</v>
      </c>
      <c r="F3058" s="1068">
        <f>'Basic (equilibrio) (2)'!$D$21</f>
        <v>125</v>
      </c>
      <c r="G3058" s="946">
        <v>0</v>
      </c>
      <c r="H3058" s="1031"/>
      <c r="I3058" s="948">
        <f>(D3058*F3058)</f>
        <v>125</v>
      </c>
    </row>
    <row r="3059" spans="3:9" ht="15.75">
      <c r="C3059" s="949" t="s">
        <v>963</v>
      </c>
      <c r="D3059" s="946">
        <v>1</v>
      </c>
      <c r="E3059" s="947" t="str">
        <f>+VLOOKUP(C3059,'Basic (equilibrio) (2)'!B:D,2,FALSE)</f>
        <v>ml</v>
      </c>
      <c r="F3059" s="1068">
        <f>'Basic (equilibrio) (2)'!$D$52</f>
        <v>150</v>
      </c>
      <c r="G3059" s="946">
        <f>F3059-(F3059/1.18)</f>
        <v>22.88</v>
      </c>
      <c r="H3059" s="1031"/>
      <c r="I3059" s="948">
        <f>D3059*F3059</f>
        <v>150</v>
      </c>
    </row>
    <row r="3060" spans="3:9" ht="15.75">
      <c r="C3060" s="951" t="s">
        <v>918</v>
      </c>
      <c r="D3060" s="946"/>
      <c r="E3060" s="947"/>
      <c r="F3060" s="1054"/>
      <c r="G3060" s="946"/>
      <c r="H3060" s="1031"/>
      <c r="I3060" s="952">
        <f>SUM(I3058:I3059)</f>
        <v>275</v>
      </c>
    </row>
    <row r="3061" spans="3:9" ht="15.75">
      <c r="C3061" s="949"/>
      <c r="D3061" s="946"/>
      <c r="E3061" s="947"/>
      <c r="F3061" s="1054"/>
      <c r="G3061" s="946"/>
      <c r="H3061" s="1031"/>
      <c r="I3061" s="948"/>
    </row>
    <row r="3062" spans="3:9" ht="15.75">
      <c r="C3062" s="945" t="s">
        <v>923</v>
      </c>
      <c r="D3062" s="946"/>
      <c r="E3062" s="947"/>
      <c r="F3062" s="1054"/>
      <c r="G3062" s="946"/>
      <c r="H3062" s="1031"/>
      <c r="I3062" s="948"/>
    </row>
    <row r="3063" spans="3:9" ht="15.75">
      <c r="C3063" s="949" t="s">
        <v>924</v>
      </c>
      <c r="D3063" s="946"/>
      <c r="E3063" s="947" t="str">
        <f>+VLOOKUP(C3063,'Basic (equilibrio) (2)'!B:D,2,FALSE)</f>
        <v>n/a</v>
      </c>
      <c r="F3063" s="1054">
        <f>+VLOOKUP(C3063,'Basic (equilibrio) (2)'!B:D,3,FALSE)</f>
        <v>0</v>
      </c>
      <c r="G3063" s="946">
        <f>F3063-(F3063/1.18)</f>
        <v>0</v>
      </c>
      <c r="H3063" s="1039"/>
      <c r="I3063" s="955">
        <f>D3063*F3063</f>
        <v>0</v>
      </c>
    </row>
    <row r="3064" spans="3:9" ht="15.75">
      <c r="C3064" s="951" t="s">
        <v>918</v>
      </c>
      <c r="D3064" s="946"/>
      <c r="E3064" s="947"/>
      <c r="F3064" s="1054"/>
      <c r="G3064" s="946"/>
      <c r="H3064" s="1031"/>
      <c r="I3064" s="952">
        <f>SUM(I3063:I3063)</f>
        <v>0</v>
      </c>
    </row>
    <row r="3065" spans="3:9" ht="15.75">
      <c r="C3065" s="949"/>
      <c r="D3065" s="946"/>
      <c r="E3065" s="947"/>
      <c r="F3065" s="1054"/>
      <c r="G3065" s="946"/>
      <c r="H3065" s="1031"/>
      <c r="I3065" s="948"/>
    </row>
    <row r="3066" spans="3:9" ht="15.75">
      <c r="C3066" s="945" t="s">
        <v>925</v>
      </c>
      <c r="D3066" s="946"/>
      <c r="E3066" s="947"/>
      <c r="F3066" s="1054"/>
      <c r="G3066" s="946"/>
      <c r="H3066" s="1031"/>
      <c r="I3066" s="948"/>
    </row>
    <row r="3067" spans="3:9" ht="15.75">
      <c r="C3067" s="949" t="s">
        <v>924</v>
      </c>
      <c r="D3067" s="946"/>
      <c r="E3067" s="947" t="str">
        <f>+VLOOKUP(C3067,'Basic (equilibrio) (2)'!B:D,2,FALSE)</f>
        <v>n/a</v>
      </c>
      <c r="F3067" s="1054">
        <f>+VLOOKUP(C3067,'Basic (equilibrio) (2)'!B:D,3,FALSE)</f>
        <v>0</v>
      </c>
      <c r="G3067" s="946"/>
      <c r="H3067" s="1031"/>
      <c r="I3067" s="948">
        <f>D3067*F3067</f>
        <v>0</v>
      </c>
    </row>
    <row r="3068" spans="3:9" ht="15.75">
      <c r="C3068" s="951" t="s">
        <v>918</v>
      </c>
      <c r="D3068" s="946"/>
      <c r="E3068" s="947"/>
      <c r="F3068" s="1054"/>
      <c r="G3068" s="946"/>
      <c r="H3068" s="1031"/>
      <c r="I3068" s="952">
        <f>SUM(I3067)</f>
        <v>0</v>
      </c>
    </row>
    <row r="3069" spans="3:9" ht="15.75">
      <c r="C3069" s="951"/>
      <c r="D3069" s="946"/>
      <c r="E3069" s="947"/>
      <c r="F3069" s="1054"/>
      <c r="G3069" s="946"/>
      <c r="H3069" s="1031"/>
      <c r="I3069" s="952"/>
    </row>
    <row r="3070" spans="3:9" ht="15.75">
      <c r="C3070" s="956" t="s">
        <v>926</v>
      </c>
      <c r="D3070" s="957"/>
      <c r="E3070" s="958"/>
      <c r="F3070" s="1069"/>
      <c r="G3070" s="957"/>
      <c r="H3070" s="1032"/>
      <c r="I3070" s="959">
        <f>+I3055</f>
        <v>1399.71</v>
      </c>
    </row>
    <row r="3071" spans="3:9" ht="15.75">
      <c r="C3071" s="956" t="s">
        <v>927</v>
      </c>
      <c r="D3071" s="957"/>
      <c r="E3071" s="958"/>
      <c r="F3071" s="1069"/>
      <c r="G3071" s="957"/>
      <c r="H3071" s="1032"/>
      <c r="I3071" s="959">
        <f>+I3060</f>
        <v>275</v>
      </c>
    </row>
    <row r="3072" spans="3:9" ht="15.75">
      <c r="C3072" s="956" t="s">
        <v>928</v>
      </c>
      <c r="D3072" s="957"/>
      <c r="E3072" s="958"/>
      <c r="F3072" s="1069"/>
      <c r="G3072" s="957"/>
      <c r="H3072" s="1032"/>
      <c r="I3072" s="959">
        <f>+I3064</f>
        <v>0</v>
      </c>
    </row>
    <row r="3073" spans="2:9" ht="15.75">
      <c r="C3073" s="956" t="s">
        <v>929</v>
      </c>
      <c r="D3073" s="957"/>
      <c r="E3073" s="958"/>
      <c r="F3073" s="1069"/>
      <c r="G3073" s="957"/>
      <c r="H3073" s="1032"/>
      <c r="I3073" s="959">
        <f>+I3068</f>
        <v>0</v>
      </c>
    </row>
    <row r="3074" spans="2:9" ht="15.75">
      <c r="C3074" s="949"/>
      <c r="D3074" s="946"/>
      <c r="E3074" s="947"/>
      <c r="F3074" s="1054"/>
      <c r="G3074" s="946"/>
      <c r="H3074" s="1031"/>
      <c r="I3074" s="948"/>
    </row>
    <row r="3075" spans="2:9" ht="15.75">
      <c r="C3075" s="949"/>
      <c r="D3075" s="946"/>
      <c r="E3075" s="947"/>
      <c r="F3075" s="1054"/>
      <c r="G3075" s="946"/>
      <c r="H3075" s="1031"/>
      <c r="I3075" s="948"/>
    </row>
    <row r="3076" spans="2:9" ht="15.75">
      <c r="C3076" s="951" t="s">
        <v>930</v>
      </c>
      <c r="D3076" s="960"/>
      <c r="E3076" s="943" t="s">
        <v>1546</v>
      </c>
      <c r="F3076" s="1070"/>
      <c r="G3076" s="960"/>
      <c r="H3076" s="1033"/>
      <c r="I3076" s="952">
        <f>SUM(I3070:I3073)</f>
        <v>1674.71</v>
      </c>
    </row>
    <row r="3077" spans="2:9" ht="15.75">
      <c r="C3077" s="951"/>
      <c r="D3077" s="960"/>
      <c r="E3077" s="943"/>
      <c r="F3077" s="1070"/>
      <c r="G3077" s="960"/>
      <c r="H3077" s="1033"/>
      <c r="I3077" s="952"/>
    </row>
    <row r="3078" spans="2:9" ht="15.75">
      <c r="C3078" s="951"/>
      <c r="D3078" s="960"/>
      <c r="E3078" s="943"/>
      <c r="F3078" s="1070"/>
      <c r="G3078" s="960"/>
      <c r="H3078" s="1033"/>
      <c r="I3078" s="952"/>
    </row>
    <row r="3079" spans="2:9" ht="15.75">
      <c r="B3079" s="1026">
        <v>5.0999999999999996</v>
      </c>
      <c r="C3079" s="937" t="str">
        <f>+Presupuesto!B187</f>
        <v>Pañete en exterior</v>
      </c>
      <c r="D3079" s="938"/>
      <c r="E3079" s="962" t="str">
        <f>+Presupuesto!D187</f>
        <v>M²</v>
      </c>
      <c r="F3079" s="1066"/>
      <c r="G3079" s="938"/>
      <c r="H3079" s="1029"/>
      <c r="I3079" s="940">
        <f>I3104</f>
        <v>453.5</v>
      </c>
    </row>
    <row r="3080" spans="2:9" ht="15.75">
      <c r="C3080" s="941" t="s">
        <v>908</v>
      </c>
      <c r="D3080" s="942" t="s">
        <v>9</v>
      </c>
      <c r="E3080" s="943" t="s">
        <v>10</v>
      </c>
      <c r="F3080" s="1067" t="s">
        <v>909</v>
      </c>
      <c r="G3080" s="942" t="s">
        <v>910</v>
      </c>
      <c r="H3080" s="1030" t="s">
        <v>911</v>
      </c>
      <c r="I3080" s="944" t="s">
        <v>912</v>
      </c>
    </row>
    <row r="3081" spans="2:9" ht="15.75">
      <c r="C3081" s="945" t="s">
        <v>913</v>
      </c>
      <c r="D3081" s="946"/>
      <c r="E3081" s="947"/>
      <c r="F3081" s="1054"/>
      <c r="G3081" s="946"/>
      <c r="H3081" s="1031"/>
      <c r="I3081" s="948"/>
    </row>
    <row r="3082" spans="2:9" ht="15.75">
      <c r="C3082" s="949" t="s">
        <v>958</v>
      </c>
      <c r="D3082" s="946">
        <v>0.03</v>
      </c>
      <c r="E3082" s="947" t="str">
        <f>+VLOOKUP(C3082,'Basic (equilibrio) (2)'!B:D,2,FALSE)</f>
        <v>m3</v>
      </c>
      <c r="F3082" s="1068">
        <f>'Basic (equilibrio) (2)'!$D$309</f>
        <v>6820</v>
      </c>
      <c r="G3082" s="946">
        <f>F3082-(F3082/1.18)</f>
        <v>1040.3399999999999</v>
      </c>
      <c r="H3082" s="1031"/>
      <c r="I3082" s="948">
        <f>D3082*F3082</f>
        <v>204.6</v>
      </c>
    </row>
    <row r="3083" spans="2:9" ht="15.75">
      <c r="C3083" s="949" t="s">
        <v>1206</v>
      </c>
      <c r="D3083" s="946">
        <v>0.03</v>
      </c>
      <c r="E3083" s="947" t="str">
        <f>+VLOOKUP(C3083,'Basic (equilibrio) (2)'!B:D,2,FALSE)</f>
        <v>pt</v>
      </c>
      <c r="F3083" s="1068">
        <f>'Basic (equilibrio) (2)'!$D$310</f>
        <v>230</v>
      </c>
      <c r="G3083" s="946">
        <f>F3083-(F3083/1.18)</f>
        <v>35.08</v>
      </c>
      <c r="H3083" s="1031"/>
      <c r="I3083" s="948">
        <f>D3083*F3083</f>
        <v>6.9</v>
      </c>
    </row>
    <row r="3084" spans="2:9" ht="15.75">
      <c r="C3084" s="949" t="s">
        <v>1079</v>
      </c>
      <c r="D3084" s="946">
        <v>1</v>
      </c>
      <c r="E3084" s="947" t="str">
        <f>+VLOOKUP(C3084,'Basic (equilibrio) (2)'!B:D,2,FALSE)</f>
        <v>m2</v>
      </c>
      <c r="F3084" s="1068">
        <f>'Basic (equilibrio) (2)'!$D$31</f>
        <v>52</v>
      </c>
      <c r="G3084" s="946">
        <f>F3084-(F3084/1.18)</f>
        <v>7.93</v>
      </c>
      <c r="H3084" s="1031"/>
      <c r="I3084" s="948">
        <f>D3084*F3084</f>
        <v>52</v>
      </c>
    </row>
    <row r="3085" spans="2:9" ht="15.75">
      <c r="C3085" s="951" t="s">
        <v>918</v>
      </c>
      <c r="D3085" s="946"/>
      <c r="E3085" s="947"/>
      <c r="F3085" s="1068"/>
      <c r="G3085" s="946"/>
      <c r="H3085" s="1031"/>
      <c r="I3085" s="952">
        <f>SUM(I3082:I3084)</f>
        <v>263.5</v>
      </c>
    </row>
    <row r="3086" spans="2:9" ht="15.75">
      <c r="C3086" s="949"/>
      <c r="D3086" s="946"/>
      <c r="E3086" s="947"/>
      <c r="F3086" s="1068"/>
      <c r="G3086" s="946"/>
      <c r="H3086" s="1031"/>
      <c r="I3086" s="948"/>
    </row>
    <row r="3087" spans="2:9" ht="15.75">
      <c r="C3087" s="945" t="s">
        <v>919</v>
      </c>
      <c r="D3087" s="946"/>
      <c r="E3087" s="947"/>
      <c r="F3087" s="1068"/>
      <c r="G3087" s="946"/>
      <c r="H3087" s="1031"/>
      <c r="I3087" s="948"/>
    </row>
    <row r="3088" spans="2:9" ht="15.75">
      <c r="C3088" s="949" t="s">
        <v>1078</v>
      </c>
      <c r="D3088" s="953">
        <v>1</v>
      </c>
      <c r="E3088" s="954" t="str">
        <f>+VLOOKUP(C3088,'Basic (equilibrio) (2)'!B:D,2,FALSE)</f>
        <v>m2</v>
      </c>
      <c r="F3088" s="1068">
        <f>+VLOOKUP(C3088,'Basic (equilibrio) (2)'!B:D,3,FALSE)</f>
        <v>190</v>
      </c>
      <c r="G3088" s="946">
        <v>0</v>
      </c>
      <c r="H3088" s="1031"/>
      <c r="I3088" s="948">
        <f>(D3088*F3088)</f>
        <v>190</v>
      </c>
    </row>
    <row r="3089" spans="3:9" ht="15.75">
      <c r="C3089" s="951" t="s">
        <v>918</v>
      </c>
      <c r="D3089" s="946"/>
      <c r="E3089" s="947"/>
      <c r="F3089" s="1054"/>
      <c r="G3089" s="946"/>
      <c r="H3089" s="1031"/>
      <c r="I3089" s="952">
        <f>SUM(I3088:I3088)</f>
        <v>190</v>
      </c>
    </row>
    <row r="3090" spans="3:9" ht="15.75">
      <c r="C3090" s="949"/>
      <c r="D3090" s="946"/>
      <c r="E3090" s="947"/>
      <c r="F3090" s="1054"/>
      <c r="G3090" s="946"/>
      <c r="H3090" s="1031"/>
      <c r="I3090" s="948"/>
    </row>
    <row r="3091" spans="3:9" ht="15.75">
      <c r="C3091" s="945" t="s">
        <v>923</v>
      </c>
      <c r="D3091" s="946"/>
      <c r="E3091" s="947"/>
      <c r="F3091" s="1054"/>
      <c r="G3091" s="946"/>
      <c r="H3091" s="1031"/>
      <c r="I3091" s="948"/>
    </row>
    <row r="3092" spans="3:9" ht="15.75">
      <c r="C3092" s="949" t="s">
        <v>924</v>
      </c>
      <c r="D3092" s="946"/>
      <c r="E3092" s="947" t="str">
        <f>+VLOOKUP(C3092,'Basic (equilibrio) (2)'!B:D,2,FALSE)</f>
        <v>n/a</v>
      </c>
      <c r="F3092" s="1054">
        <f>+VLOOKUP(C3092,'Basic (equilibrio) (2)'!B:D,3,FALSE)</f>
        <v>0</v>
      </c>
      <c r="G3092" s="946">
        <f>F3092-(F3092/1.18)</f>
        <v>0</v>
      </c>
      <c r="H3092" s="1039"/>
      <c r="I3092" s="955">
        <f>D3092*F3092</f>
        <v>0</v>
      </c>
    </row>
    <row r="3093" spans="3:9" ht="15.75">
      <c r="C3093" s="951" t="s">
        <v>918</v>
      </c>
      <c r="D3093" s="946"/>
      <c r="E3093" s="947"/>
      <c r="F3093" s="1054"/>
      <c r="G3093" s="946"/>
      <c r="H3093" s="1031"/>
      <c r="I3093" s="952">
        <f>SUM(I3092:I3092)</f>
        <v>0</v>
      </c>
    </row>
    <row r="3094" spans="3:9" ht="15.75">
      <c r="C3094" s="949"/>
      <c r="D3094" s="946"/>
      <c r="E3094" s="947"/>
      <c r="F3094" s="1054"/>
      <c r="G3094" s="946"/>
      <c r="H3094" s="1031"/>
      <c r="I3094" s="948"/>
    </row>
    <row r="3095" spans="3:9" ht="15.75">
      <c r="C3095" s="945" t="s">
        <v>925</v>
      </c>
      <c r="D3095" s="946"/>
      <c r="E3095" s="947"/>
      <c r="F3095" s="1054"/>
      <c r="G3095" s="946"/>
      <c r="H3095" s="1031"/>
      <c r="I3095" s="948"/>
    </row>
    <row r="3096" spans="3:9" ht="15.75">
      <c r="C3096" s="949" t="s">
        <v>924</v>
      </c>
      <c r="D3096" s="946"/>
      <c r="E3096" s="947" t="str">
        <f>+VLOOKUP(C3096,'Basic (equilibrio) (2)'!B:D,2,FALSE)</f>
        <v>n/a</v>
      </c>
      <c r="F3096" s="1054">
        <f>+VLOOKUP(C3096,'Basic (equilibrio) (2)'!B:D,3,FALSE)</f>
        <v>0</v>
      </c>
      <c r="G3096" s="946"/>
      <c r="H3096" s="1031"/>
      <c r="I3096" s="948">
        <f>D3096*F3096</f>
        <v>0</v>
      </c>
    </row>
    <row r="3097" spans="3:9" ht="15.75">
      <c r="C3097" s="951" t="s">
        <v>918</v>
      </c>
      <c r="D3097" s="946"/>
      <c r="E3097" s="947"/>
      <c r="F3097" s="1054"/>
      <c r="G3097" s="946"/>
      <c r="H3097" s="1031"/>
      <c r="I3097" s="952">
        <f>SUM(I3096)</f>
        <v>0</v>
      </c>
    </row>
    <row r="3098" spans="3:9" ht="15.75">
      <c r="C3098" s="951"/>
      <c r="D3098" s="946"/>
      <c r="E3098" s="947"/>
      <c r="F3098" s="1054"/>
      <c r="G3098" s="946"/>
      <c r="H3098" s="1031"/>
      <c r="I3098" s="952"/>
    </row>
    <row r="3099" spans="3:9" ht="15.75">
      <c r="C3099" s="956" t="s">
        <v>926</v>
      </c>
      <c r="D3099" s="957"/>
      <c r="E3099" s="958"/>
      <c r="F3099" s="1069"/>
      <c r="G3099" s="957"/>
      <c r="H3099" s="1032"/>
      <c r="I3099" s="959">
        <f>+I3085</f>
        <v>263.5</v>
      </c>
    </row>
    <row r="3100" spans="3:9" ht="15.75">
      <c r="C3100" s="956" t="s">
        <v>927</v>
      </c>
      <c r="D3100" s="957"/>
      <c r="E3100" s="958"/>
      <c r="F3100" s="1069"/>
      <c r="G3100" s="957"/>
      <c r="H3100" s="1032"/>
      <c r="I3100" s="959">
        <f>+I3089</f>
        <v>190</v>
      </c>
    </row>
    <row r="3101" spans="3:9" ht="15.75">
      <c r="C3101" s="956" t="s">
        <v>928</v>
      </c>
      <c r="D3101" s="957"/>
      <c r="E3101" s="958"/>
      <c r="F3101" s="1069"/>
      <c r="G3101" s="957"/>
      <c r="H3101" s="1032"/>
      <c r="I3101" s="959">
        <f>+I3093</f>
        <v>0</v>
      </c>
    </row>
    <row r="3102" spans="3:9" ht="15.75">
      <c r="C3102" s="956" t="s">
        <v>929</v>
      </c>
      <c r="D3102" s="957"/>
      <c r="E3102" s="958"/>
      <c r="F3102" s="1069"/>
      <c r="G3102" s="957"/>
      <c r="H3102" s="1032"/>
      <c r="I3102" s="959">
        <f>+I3097</f>
        <v>0</v>
      </c>
    </row>
    <row r="3103" spans="3:9" ht="15.75">
      <c r="C3103" s="949"/>
      <c r="D3103" s="946"/>
      <c r="E3103" s="947"/>
      <c r="F3103" s="1054"/>
      <c r="G3103" s="946"/>
      <c r="H3103" s="1031"/>
      <c r="I3103" s="948"/>
    </row>
    <row r="3104" spans="3:9" ht="15.75">
      <c r="C3104" s="951" t="s">
        <v>930</v>
      </c>
      <c r="D3104" s="960"/>
      <c r="E3104" s="943" t="str">
        <f>+E3079</f>
        <v>M²</v>
      </c>
      <c r="F3104" s="1070"/>
      <c r="G3104" s="960"/>
      <c r="H3104" s="1033"/>
      <c r="I3104" s="952">
        <f>SUM(I3099:I3102)</f>
        <v>453.5</v>
      </c>
    </row>
    <row r="3105" spans="2:9" ht="15.75">
      <c r="C3105" s="951"/>
      <c r="D3105" s="960"/>
      <c r="E3105" s="943"/>
      <c r="F3105" s="1070"/>
      <c r="G3105" s="960"/>
      <c r="H3105" s="1033"/>
      <c r="I3105" s="952"/>
    </row>
    <row r="3106" spans="2:9" ht="15.75">
      <c r="B3106" s="1026">
        <v>5.2</v>
      </c>
      <c r="C3106" s="937" t="str">
        <f>+Presupuesto!B188</f>
        <v>Pañete liso en columnas</v>
      </c>
      <c r="D3106" s="938"/>
      <c r="E3106" s="962" t="s">
        <v>20</v>
      </c>
      <c r="F3106" s="1066"/>
      <c r="G3106" s="938"/>
      <c r="H3106" s="1029"/>
      <c r="I3106" s="940">
        <f>I3131</f>
        <v>453.5</v>
      </c>
    </row>
    <row r="3107" spans="2:9" ht="15.75">
      <c r="C3107" s="941" t="s">
        <v>908</v>
      </c>
      <c r="D3107" s="942" t="s">
        <v>9</v>
      </c>
      <c r="E3107" s="943" t="s">
        <v>10</v>
      </c>
      <c r="F3107" s="1067" t="s">
        <v>909</v>
      </c>
      <c r="G3107" s="942" t="s">
        <v>910</v>
      </c>
      <c r="H3107" s="1030" t="s">
        <v>911</v>
      </c>
      <c r="I3107" s="944" t="s">
        <v>912</v>
      </c>
    </row>
    <row r="3108" spans="2:9" ht="15.75">
      <c r="C3108" s="945" t="s">
        <v>913</v>
      </c>
      <c r="D3108" s="946"/>
      <c r="E3108" s="947"/>
      <c r="F3108" s="1054"/>
      <c r="G3108" s="946"/>
      <c r="H3108" s="1031"/>
      <c r="I3108" s="948"/>
    </row>
    <row r="3109" spans="2:9" ht="15.75">
      <c r="C3109" s="949" t="s">
        <v>958</v>
      </c>
      <c r="D3109" s="946">
        <v>0.03</v>
      </c>
      <c r="E3109" s="947" t="str">
        <f>+VLOOKUP(C3109,'Basic (equilibrio) (2)'!B:D,2,FALSE)</f>
        <v>m3</v>
      </c>
      <c r="F3109" s="1068">
        <f>'Basic (equilibrio) (2)'!$D$309</f>
        <v>6820</v>
      </c>
      <c r="G3109" s="946">
        <f>F3109-(F3109/1.18)</f>
        <v>1040.3399999999999</v>
      </c>
      <c r="H3109" s="1031"/>
      <c r="I3109" s="948">
        <f>D3109*F3109</f>
        <v>204.6</v>
      </c>
    </row>
    <row r="3110" spans="2:9" ht="15.75">
      <c r="C3110" s="949" t="s">
        <v>1206</v>
      </c>
      <c r="D3110" s="946">
        <v>0.03</v>
      </c>
      <c r="E3110" s="947" t="str">
        <f>+VLOOKUP(C3110,'Basic (equilibrio) (2)'!B:D,2,FALSE)</f>
        <v>pt</v>
      </c>
      <c r="F3110" s="1068">
        <f>'Basic (equilibrio) (2)'!$D$310</f>
        <v>230</v>
      </c>
      <c r="G3110" s="946">
        <f>F3110-(F3110/1.18)</f>
        <v>35.08</v>
      </c>
      <c r="H3110" s="1031"/>
      <c r="I3110" s="948">
        <f>D3110*F3110</f>
        <v>6.9</v>
      </c>
    </row>
    <row r="3111" spans="2:9" ht="15.75">
      <c r="C3111" s="949" t="s">
        <v>1079</v>
      </c>
      <c r="D3111" s="946">
        <v>1</v>
      </c>
      <c r="E3111" s="947" t="str">
        <f>+VLOOKUP(C3111,'Basic (equilibrio) (2)'!B:D,2,FALSE)</f>
        <v>m2</v>
      </c>
      <c r="F3111" s="1068">
        <f>'Basic (equilibrio) (2)'!$D$31</f>
        <v>52</v>
      </c>
      <c r="G3111" s="946">
        <f>F3111-(F3111/1.18)</f>
        <v>7.93</v>
      </c>
      <c r="H3111" s="1031"/>
      <c r="I3111" s="948">
        <f>D3111*F3111</f>
        <v>52</v>
      </c>
    </row>
    <row r="3112" spans="2:9" ht="15.75">
      <c r="C3112" s="951" t="s">
        <v>918</v>
      </c>
      <c r="D3112" s="946"/>
      <c r="E3112" s="947"/>
      <c r="F3112" s="1068"/>
      <c r="G3112" s="946"/>
      <c r="H3112" s="1031"/>
      <c r="I3112" s="952">
        <f>SUM(I3109:I3111)</f>
        <v>263.5</v>
      </c>
    </row>
    <row r="3113" spans="2:9" ht="15.75">
      <c r="C3113" s="949"/>
      <c r="D3113" s="946"/>
      <c r="E3113" s="947"/>
      <c r="F3113" s="1068"/>
      <c r="G3113" s="946"/>
      <c r="H3113" s="1031"/>
      <c r="I3113" s="948"/>
    </row>
    <row r="3114" spans="2:9" ht="15.75">
      <c r="C3114" s="945" t="s">
        <v>919</v>
      </c>
      <c r="D3114" s="946"/>
      <c r="E3114" s="947"/>
      <c r="F3114" s="1068"/>
      <c r="G3114" s="946"/>
      <c r="H3114" s="1031"/>
      <c r="I3114" s="948"/>
    </row>
    <row r="3115" spans="2:9" ht="15.75">
      <c r="C3115" s="949" t="s">
        <v>1078</v>
      </c>
      <c r="D3115" s="953">
        <v>1</v>
      </c>
      <c r="E3115" s="954" t="str">
        <f>+VLOOKUP(C3115,'Basic (equilibrio) (2)'!B:D,2,FALSE)</f>
        <v>m2</v>
      </c>
      <c r="F3115" s="1068">
        <f>'Basic (equilibrio) (2)'!$D$30</f>
        <v>190</v>
      </c>
      <c r="G3115" s="946">
        <v>0</v>
      </c>
      <c r="H3115" s="1031"/>
      <c r="I3115" s="948">
        <f>(D3115*F3115)</f>
        <v>190</v>
      </c>
    </row>
    <row r="3116" spans="2:9" ht="15.75">
      <c r="C3116" s="951" t="s">
        <v>918</v>
      </c>
      <c r="D3116" s="946"/>
      <c r="E3116" s="947"/>
      <c r="F3116" s="1054"/>
      <c r="G3116" s="946"/>
      <c r="H3116" s="1031"/>
      <c r="I3116" s="952">
        <f>SUM(I3115:I3115)</f>
        <v>190</v>
      </c>
    </row>
    <row r="3117" spans="2:9" ht="15.75">
      <c r="C3117" s="949"/>
      <c r="D3117" s="946"/>
      <c r="E3117" s="947"/>
      <c r="F3117" s="1054"/>
      <c r="G3117" s="946"/>
      <c r="H3117" s="1031"/>
      <c r="I3117" s="948"/>
    </row>
    <row r="3118" spans="2:9" ht="15.75">
      <c r="C3118" s="945" t="s">
        <v>923</v>
      </c>
      <c r="D3118" s="946"/>
      <c r="E3118" s="947"/>
      <c r="F3118" s="1054"/>
      <c r="G3118" s="946"/>
      <c r="H3118" s="1031"/>
      <c r="I3118" s="948"/>
    </row>
    <row r="3119" spans="2:9" ht="15.75">
      <c r="C3119" s="949" t="s">
        <v>924</v>
      </c>
      <c r="D3119" s="946"/>
      <c r="E3119" s="947" t="str">
        <f>+VLOOKUP(C3119,'Basic (equilibrio) (2)'!B:D,2,FALSE)</f>
        <v>n/a</v>
      </c>
      <c r="F3119" s="1054">
        <f>+VLOOKUP(C3119,'Basic (equilibrio) (2)'!B:D,3,FALSE)</f>
        <v>0</v>
      </c>
      <c r="G3119" s="946">
        <f>F3119-(F3119/1.18)</f>
        <v>0</v>
      </c>
      <c r="H3119" s="1039"/>
      <c r="I3119" s="955">
        <f>D3119*F3119</f>
        <v>0</v>
      </c>
    </row>
    <row r="3120" spans="2:9" ht="15.75">
      <c r="C3120" s="951" t="s">
        <v>918</v>
      </c>
      <c r="D3120" s="946"/>
      <c r="E3120" s="947"/>
      <c r="F3120" s="1054"/>
      <c r="G3120" s="946"/>
      <c r="H3120" s="1031"/>
      <c r="I3120" s="952">
        <f>SUM(I3119:I3119)</f>
        <v>0</v>
      </c>
    </row>
    <row r="3121" spans="2:9" ht="15.75">
      <c r="C3121" s="949"/>
      <c r="D3121" s="946"/>
      <c r="E3121" s="947"/>
      <c r="F3121" s="1054"/>
      <c r="G3121" s="946"/>
      <c r="H3121" s="1031"/>
      <c r="I3121" s="948"/>
    </row>
    <row r="3122" spans="2:9" ht="15.75">
      <c r="C3122" s="945" t="s">
        <v>925</v>
      </c>
      <c r="D3122" s="946"/>
      <c r="E3122" s="947"/>
      <c r="F3122" s="1054"/>
      <c r="G3122" s="946"/>
      <c r="H3122" s="1031"/>
      <c r="I3122" s="948"/>
    </row>
    <row r="3123" spans="2:9" ht="15.75">
      <c r="C3123" s="949" t="s">
        <v>924</v>
      </c>
      <c r="D3123" s="946"/>
      <c r="E3123" s="947" t="str">
        <f>+VLOOKUP(C3123,'Basic (equilibrio) (2)'!B:D,2,FALSE)</f>
        <v>n/a</v>
      </c>
      <c r="F3123" s="1054">
        <f>+VLOOKUP(C3123,'Basic (equilibrio) (2)'!B:D,3,FALSE)</f>
        <v>0</v>
      </c>
      <c r="G3123" s="946"/>
      <c r="H3123" s="1031"/>
      <c r="I3123" s="948">
        <f>D3123*F3123</f>
        <v>0</v>
      </c>
    </row>
    <row r="3124" spans="2:9" ht="15.75">
      <c r="C3124" s="951" t="s">
        <v>918</v>
      </c>
      <c r="D3124" s="946"/>
      <c r="E3124" s="947"/>
      <c r="F3124" s="1054"/>
      <c r="G3124" s="946"/>
      <c r="H3124" s="1031"/>
      <c r="I3124" s="952">
        <f>SUM(I3123)</f>
        <v>0</v>
      </c>
    </row>
    <row r="3125" spans="2:9" ht="15.75">
      <c r="C3125" s="951"/>
      <c r="D3125" s="946"/>
      <c r="E3125" s="947"/>
      <c r="F3125" s="1054"/>
      <c r="G3125" s="946"/>
      <c r="H3125" s="1031"/>
      <c r="I3125" s="952"/>
    </row>
    <row r="3126" spans="2:9" ht="15.75">
      <c r="C3126" s="956" t="s">
        <v>926</v>
      </c>
      <c r="D3126" s="957"/>
      <c r="E3126" s="958"/>
      <c r="F3126" s="1069"/>
      <c r="G3126" s="957"/>
      <c r="H3126" s="1032"/>
      <c r="I3126" s="959">
        <f>+I3112</f>
        <v>263.5</v>
      </c>
    </row>
    <row r="3127" spans="2:9" ht="15.75">
      <c r="C3127" s="956" t="s">
        <v>927</v>
      </c>
      <c r="D3127" s="957"/>
      <c r="E3127" s="958"/>
      <c r="F3127" s="1069"/>
      <c r="G3127" s="957"/>
      <c r="H3127" s="1032"/>
      <c r="I3127" s="959">
        <f>+I3116</f>
        <v>190</v>
      </c>
    </row>
    <row r="3128" spans="2:9" ht="15.75">
      <c r="C3128" s="956" t="s">
        <v>928</v>
      </c>
      <c r="D3128" s="957"/>
      <c r="E3128" s="958"/>
      <c r="F3128" s="1069"/>
      <c r="G3128" s="957"/>
      <c r="H3128" s="1032"/>
      <c r="I3128" s="959">
        <f>+I3120</f>
        <v>0</v>
      </c>
    </row>
    <row r="3129" spans="2:9" ht="15.75">
      <c r="C3129" s="956" t="s">
        <v>929</v>
      </c>
      <c r="D3129" s="957"/>
      <c r="E3129" s="958"/>
      <c r="F3129" s="1069"/>
      <c r="G3129" s="957"/>
      <c r="H3129" s="1032"/>
      <c r="I3129" s="959">
        <f>+I3124</f>
        <v>0</v>
      </c>
    </row>
    <row r="3130" spans="2:9" ht="15.75">
      <c r="C3130" s="949"/>
      <c r="D3130" s="946"/>
      <c r="E3130" s="947"/>
      <c r="F3130" s="1054"/>
      <c r="G3130" s="946"/>
      <c r="H3130" s="1031"/>
      <c r="I3130" s="948"/>
    </row>
    <row r="3131" spans="2:9" ht="15.75">
      <c r="C3131" s="951" t="s">
        <v>930</v>
      </c>
      <c r="D3131" s="960"/>
      <c r="E3131" s="943" t="str">
        <f>+E3106</f>
        <v>M2</v>
      </c>
      <c r="F3131" s="1070"/>
      <c r="G3131" s="960"/>
      <c r="H3131" s="1033"/>
      <c r="I3131" s="952">
        <f>SUM(I3126:I3129)</f>
        <v>453.5</v>
      </c>
    </row>
    <row r="3132" spans="2:9" ht="15.75">
      <c r="C3132" s="951"/>
      <c r="D3132" s="960"/>
      <c r="E3132" s="943"/>
      <c r="F3132" s="1070"/>
      <c r="G3132" s="960"/>
      <c r="H3132" s="1033"/>
      <c r="I3132" s="952"/>
    </row>
    <row r="3133" spans="2:9" ht="15.75">
      <c r="B3133" s="1026">
        <v>5.3</v>
      </c>
      <c r="C3133" s="937" t="str">
        <f>+Presupuesto!B189</f>
        <v>Fraguache</v>
      </c>
      <c r="D3133" s="938"/>
      <c r="E3133" s="962" t="s">
        <v>20</v>
      </c>
      <c r="F3133" s="1066"/>
      <c r="G3133" s="938"/>
      <c r="H3133" s="1029"/>
      <c r="I3133" s="940">
        <f>I3157</f>
        <v>101.1</v>
      </c>
    </row>
    <row r="3134" spans="2:9" ht="15.75">
      <c r="C3134" s="941" t="s">
        <v>908</v>
      </c>
      <c r="D3134" s="942" t="s">
        <v>9</v>
      </c>
      <c r="E3134" s="943" t="s">
        <v>10</v>
      </c>
      <c r="F3134" s="1067" t="s">
        <v>909</v>
      </c>
      <c r="G3134" s="942" t="s">
        <v>910</v>
      </c>
      <c r="H3134" s="1030" t="s">
        <v>911</v>
      </c>
      <c r="I3134" s="944" t="s">
        <v>912</v>
      </c>
    </row>
    <row r="3135" spans="2:9" ht="15.75">
      <c r="C3135" s="945" t="s">
        <v>913</v>
      </c>
      <c r="D3135" s="946"/>
      <c r="E3135" s="947"/>
      <c r="F3135" s="1054"/>
      <c r="G3135" s="946"/>
      <c r="H3135" s="1031"/>
      <c r="I3135" s="948"/>
    </row>
    <row r="3136" spans="2:9" ht="15.75">
      <c r="C3136" s="949" t="s">
        <v>958</v>
      </c>
      <c r="D3136" s="946">
        <v>0.01</v>
      </c>
      <c r="E3136" s="947" t="str">
        <f>+VLOOKUP(C3136,'Basic (equilibrio) (2)'!B:D,2,FALSE)</f>
        <v>m3</v>
      </c>
      <c r="F3136" s="1068">
        <f>'Basic (equilibrio) (2)'!$D$309</f>
        <v>6820</v>
      </c>
      <c r="G3136" s="946">
        <f>F3136-(F3136/1.18)</f>
        <v>1040.3399999999999</v>
      </c>
      <c r="H3136" s="1031"/>
      <c r="I3136" s="948">
        <f>D3136*F3136</f>
        <v>68.2</v>
      </c>
    </row>
    <row r="3137" spans="3:9" ht="15.75">
      <c r="C3137" s="949" t="s">
        <v>1206</v>
      </c>
      <c r="D3137" s="946">
        <v>0.03</v>
      </c>
      <c r="E3137" s="947" t="str">
        <f>+VLOOKUP(C3137,'Basic (equilibrio) (2)'!B:D,2,FALSE)</f>
        <v>pt</v>
      </c>
      <c r="F3137" s="1068">
        <f>'Basic (equilibrio) (2)'!$D$310</f>
        <v>230</v>
      </c>
      <c r="G3137" s="946">
        <f>F3137-(F3137/1.18)</f>
        <v>35.08</v>
      </c>
      <c r="H3137" s="1031"/>
      <c r="I3137" s="948">
        <f>D3137*F3137</f>
        <v>6.9</v>
      </c>
    </row>
    <row r="3138" spans="3:9" ht="15.75">
      <c r="C3138" s="951" t="s">
        <v>918</v>
      </c>
      <c r="D3138" s="946"/>
      <c r="E3138" s="947"/>
      <c r="F3138" s="1068"/>
      <c r="G3138" s="946"/>
      <c r="H3138" s="1031"/>
      <c r="I3138" s="952">
        <f>SUM(I3136:I3137)</f>
        <v>75.099999999999994</v>
      </c>
    </row>
    <row r="3139" spans="3:9" ht="15.75">
      <c r="C3139" s="949"/>
      <c r="D3139" s="946"/>
      <c r="E3139" s="947"/>
      <c r="F3139" s="1068"/>
      <c r="G3139" s="946"/>
      <c r="H3139" s="1031"/>
      <c r="I3139" s="948"/>
    </row>
    <row r="3140" spans="3:9" ht="15.75">
      <c r="C3140" s="945" t="s">
        <v>919</v>
      </c>
      <c r="D3140" s="946"/>
      <c r="E3140" s="947"/>
      <c r="F3140" s="1068"/>
      <c r="G3140" s="946"/>
      <c r="H3140" s="1031"/>
      <c r="I3140" s="948"/>
    </row>
    <row r="3141" spans="3:9" ht="15.75">
      <c r="C3141" s="949" t="s">
        <v>1080</v>
      </c>
      <c r="D3141" s="953">
        <v>1</v>
      </c>
      <c r="E3141" s="954" t="str">
        <f>+VLOOKUP(C3141,'Basic (equilibrio) (2)'!B:D,2,FALSE)</f>
        <v>m2</v>
      </c>
      <c r="F3141" s="1068">
        <f>+VLOOKUP(C3141,'Basic (equilibrio) (2)'!B:D,3,FALSE)</f>
        <v>26</v>
      </c>
      <c r="G3141" s="946">
        <v>0</v>
      </c>
      <c r="H3141" s="1031"/>
      <c r="I3141" s="948">
        <f>(D3141*F3141)</f>
        <v>26</v>
      </c>
    </row>
    <row r="3142" spans="3:9" ht="15.75">
      <c r="C3142" s="951" t="s">
        <v>918</v>
      </c>
      <c r="D3142" s="946"/>
      <c r="E3142" s="947"/>
      <c r="F3142" s="1054"/>
      <c r="G3142" s="946"/>
      <c r="H3142" s="1031"/>
      <c r="I3142" s="952">
        <f>SUM(I3141:I3141)</f>
        <v>26</v>
      </c>
    </row>
    <row r="3143" spans="3:9" ht="15.75">
      <c r="C3143" s="949"/>
      <c r="D3143" s="946"/>
      <c r="E3143" s="947"/>
      <c r="F3143" s="1054"/>
      <c r="G3143" s="946"/>
      <c r="H3143" s="1031"/>
      <c r="I3143" s="948"/>
    </row>
    <row r="3144" spans="3:9" ht="15.75">
      <c r="C3144" s="945" t="s">
        <v>923</v>
      </c>
      <c r="D3144" s="946"/>
      <c r="E3144" s="947"/>
      <c r="F3144" s="1054"/>
      <c r="G3144" s="946"/>
      <c r="H3144" s="1031"/>
      <c r="I3144" s="948"/>
    </row>
    <row r="3145" spans="3:9" ht="15.75">
      <c r="C3145" s="949" t="s">
        <v>924</v>
      </c>
      <c r="D3145" s="946"/>
      <c r="E3145" s="947" t="str">
        <f>+VLOOKUP(C3145,'Basic (equilibrio) (2)'!B:D,2,FALSE)</f>
        <v>n/a</v>
      </c>
      <c r="F3145" s="1054">
        <f>+VLOOKUP(C3145,'Basic (equilibrio) (2)'!B:D,3,FALSE)</f>
        <v>0</v>
      </c>
      <c r="G3145" s="946">
        <f>F3145-(F3145/1.18)</f>
        <v>0</v>
      </c>
      <c r="H3145" s="1039"/>
      <c r="I3145" s="955">
        <f>D3145*F3145</f>
        <v>0</v>
      </c>
    </row>
    <row r="3146" spans="3:9" ht="15.75">
      <c r="C3146" s="951" t="s">
        <v>918</v>
      </c>
      <c r="D3146" s="946"/>
      <c r="E3146" s="947"/>
      <c r="F3146" s="1054"/>
      <c r="G3146" s="946"/>
      <c r="H3146" s="1031"/>
      <c r="I3146" s="952">
        <f>SUM(I3145:I3145)</f>
        <v>0</v>
      </c>
    </row>
    <row r="3147" spans="3:9" ht="15.75">
      <c r="C3147" s="949"/>
      <c r="D3147" s="946"/>
      <c r="E3147" s="947"/>
      <c r="F3147" s="1054"/>
      <c r="G3147" s="946"/>
      <c r="H3147" s="1031"/>
      <c r="I3147" s="948"/>
    </row>
    <row r="3148" spans="3:9" ht="15.75">
      <c r="C3148" s="945" t="s">
        <v>925</v>
      </c>
      <c r="D3148" s="946"/>
      <c r="E3148" s="947"/>
      <c r="F3148" s="1054"/>
      <c r="G3148" s="946"/>
      <c r="H3148" s="1031"/>
      <c r="I3148" s="948"/>
    </row>
    <row r="3149" spans="3:9" ht="15.75">
      <c r="C3149" s="949" t="s">
        <v>924</v>
      </c>
      <c r="D3149" s="946"/>
      <c r="E3149" s="947" t="str">
        <f>+VLOOKUP(C3149,'Basic (equilibrio) (2)'!B:D,2,FALSE)</f>
        <v>n/a</v>
      </c>
      <c r="F3149" s="1054">
        <f>+VLOOKUP(C3149,'Basic (equilibrio) (2)'!B:D,3,FALSE)</f>
        <v>0</v>
      </c>
      <c r="G3149" s="946"/>
      <c r="H3149" s="1031"/>
      <c r="I3149" s="948">
        <f>D3149*F3149</f>
        <v>0</v>
      </c>
    </row>
    <row r="3150" spans="3:9" ht="15.75">
      <c r="C3150" s="951" t="s">
        <v>918</v>
      </c>
      <c r="D3150" s="946"/>
      <c r="E3150" s="947"/>
      <c r="F3150" s="1054"/>
      <c r="G3150" s="946"/>
      <c r="H3150" s="1031"/>
      <c r="I3150" s="952">
        <f>SUM(I3149)</f>
        <v>0</v>
      </c>
    </row>
    <row r="3151" spans="3:9" ht="15.75">
      <c r="C3151" s="951"/>
      <c r="D3151" s="946"/>
      <c r="E3151" s="947"/>
      <c r="F3151" s="1054"/>
      <c r="G3151" s="946"/>
      <c r="H3151" s="1031"/>
      <c r="I3151" s="952"/>
    </row>
    <row r="3152" spans="3:9" ht="15.75">
      <c r="C3152" s="956" t="s">
        <v>926</v>
      </c>
      <c r="D3152" s="957"/>
      <c r="E3152" s="958"/>
      <c r="F3152" s="1069"/>
      <c r="G3152" s="957"/>
      <c r="H3152" s="1032"/>
      <c r="I3152" s="959">
        <f>+I3138</f>
        <v>75.099999999999994</v>
      </c>
    </row>
    <row r="3153" spans="2:9" ht="15.75">
      <c r="C3153" s="956" t="s">
        <v>927</v>
      </c>
      <c r="D3153" s="957"/>
      <c r="E3153" s="958"/>
      <c r="F3153" s="1069"/>
      <c r="G3153" s="957"/>
      <c r="H3153" s="1032"/>
      <c r="I3153" s="959">
        <f>+I3142</f>
        <v>26</v>
      </c>
    </row>
    <row r="3154" spans="2:9" ht="15.75">
      <c r="C3154" s="956" t="s">
        <v>928</v>
      </c>
      <c r="D3154" s="957"/>
      <c r="E3154" s="958"/>
      <c r="F3154" s="1069"/>
      <c r="G3154" s="957"/>
      <c r="H3154" s="1032"/>
      <c r="I3154" s="959">
        <f>+I3146</f>
        <v>0</v>
      </c>
    </row>
    <row r="3155" spans="2:9" ht="15.75">
      <c r="C3155" s="956" t="s">
        <v>929</v>
      </c>
      <c r="D3155" s="957"/>
      <c r="E3155" s="958"/>
      <c r="F3155" s="1069"/>
      <c r="G3155" s="957"/>
      <c r="H3155" s="1032"/>
      <c r="I3155" s="959">
        <f>+I3150</f>
        <v>0</v>
      </c>
    </row>
    <row r="3156" spans="2:9" ht="15.75">
      <c r="C3156" s="949"/>
      <c r="D3156" s="946"/>
      <c r="E3156" s="947"/>
      <c r="F3156" s="1054"/>
      <c r="G3156" s="946"/>
      <c r="H3156" s="1031"/>
      <c r="I3156" s="948"/>
    </row>
    <row r="3157" spans="2:9" ht="15.75">
      <c r="C3157" s="951" t="s">
        <v>930</v>
      </c>
      <c r="D3157" s="960"/>
      <c r="E3157" s="943" t="str">
        <f>+E3133</f>
        <v>M2</v>
      </c>
      <c r="F3157" s="1070"/>
      <c r="G3157" s="960"/>
      <c r="H3157" s="1033"/>
      <c r="I3157" s="952">
        <f>SUM(I3152:I3155)</f>
        <v>101.1</v>
      </c>
    </row>
    <row r="3158" spans="2:9" ht="15.75">
      <c r="C3158" s="951"/>
      <c r="D3158" s="960"/>
      <c r="E3158" s="943"/>
      <c r="F3158" s="1070"/>
      <c r="G3158" s="960"/>
      <c r="H3158" s="1033"/>
      <c r="I3158" s="952"/>
    </row>
    <row r="3159" spans="2:9" ht="15.75">
      <c r="C3159" s="951"/>
      <c r="D3159" s="960"/>
      <c r="E3159" s="943"/>
      <c r="F3159" s="1070"/>
      <c r="G3159" s="960"/>
      <c r="H3159" s="1033"/>
      <c r="I3159" s="952"/>
    </row>
    <row r="3160" spans="2:9" ht="15.75">
      <c r="B3160" s="1026">
        <v>5.4</v>
      </c>
      <c r="C3160" s="937" t="str">
        <f>+Presupuesto!B190</f>
        <v>Cantos en general</v>
      </c>
      <c r="D3160" s="938"/>
      <c r="E3160" s="962" t="s">
        <v>15</v>
      </c>
      <c r="F3160" s="1066"/>
      <c r="G3160" s="938"/>
      <c r="H3160" s="1029"/>
      <c r="I3160" s="940">
        <f>I3184</f>
        <v>158.5</v>
      </c>
    </row>
    <row r="3161" spans="2:9" ht="15.75">
      <c r="C3161" s="941" t="s">
        <v>908</v>
      </c>
      <c r="D3161" s="942" t="s">
        <v>9</v>
      </c>
      <c r="E3161" s="943" t="s">
        <v>10</v>
      </c>
      <c r="F3161" s="1067" t="s">
        <v>909</v>
      </c>
      <c r="G3161" s="942" t="s">
        <v>910</v>
      </c>
      <c r="H3161" s="1030" t="s">
        <v>911</v>
      </c>
      <c r="I3161" s="944" t="s">
        <v>912</v>
      </c>
    </row>
    <row r="3162" spans="2:9" ht="15.75">
      <c r="C3162" s="945" t="s">
        <v>913</v>
      </c>
      <c r="D3162" s="946"/>
      <c r="E3162" s="947"/>
      <c r="F3162" s="1054"/>
      <c r="G3162" s="946"/>
      <c r="H3162" s="1031"/>
      <c r="I3162" s="948"/>
    </row>
    <row r="3163" spans="2:9" ht="15.75">
      <c r="C3163" s="949" t="s">
        <v>958</v>
      </c>
      <c r="D3163" s="946">
        <v>0.01</v>
      </c>
      <c r="E3163" s="947" t="str">
        <f>+VLOOKUP(C3163,'Basic (equilibrio) (2)'!B:D,2,FALSE)</f>
        <v>m3</v>
      </c>
      <c r="F3163" s="1068">
        <f>'Basic (equilibrio) (2)'!$D$309</f>
        <v>6820</v>
      </c>
      <c r="G3163" s="946">
        <f>F3163-(F3163/1.18)</f>
        <v>1040.3399999999999</v>
      </c>
      <c r="H3163" s="1031"/>
      <c r="I3163" s="948">
        <f>D3163*F3163</f>
        <v>68.2</v>
      </c>
    </row>
    <row r="3164" spans="2:9" ht="15.75">
      <c r="C3164" s="949" t="s">
        <v>1206</v>
      </c>
      <c r="D3164" s="946">
        <v>0.11</v>
      </c>
      <c r="E3164" s="947" t="str">
        <f>+VLOOKUP(C3164,'Basic (equilibrio) (2)'!B:D,2,FALSE)</f>
        <v>pt</v>
      </c>
      <c r="F3164" s="1068">
        <f>'Basic (equilibrio) (2)'!$D$310</f>
        <v>230</v>
      </c>
      <c r="G3164" s="946">
        <f>F3164-(F3164/1.18)</f>
        <v>35.08</v>
      </c>
      <c r="H3164" s="1031"/>
      <c r="I3164" s="948">
        <f>D3164*F3164</f>
        <v>25.3</v>
      </c>
    </row>
    <row r="3165" spans="2:9" ht="15.75">
      <c r="C3165" s="951" t="s">
        <v>918</v>
      </c>
      <c r="D3165" s="946"/>
      <c r="E3165" s="947"/>
      <c r="F3165" s="1068"/>
      <c r="G3165" s="946"/>
      <c r="H3165" s="1031"/>
      <c r="I3165" s="952">
        <f>SUM(I3163:I3164)</f>
        <v>93.5</v>
      </c>
    </row>
    <row r="3166" spans="2:9" ht="15.75">
      <c r="C3166" s="949"/>
      <c r="D3166" s="946"/>
      <c r="E3166" s="947"/>
      <c r="F3166" s="1068"/>
      <c r="G3166" s="946"/>
      <c r="H3166" s="1031"/>
      <c r="I3166" s="948"/>
    </row>
    <row r="3167" spans="2:9" ht="15.75">
      <c r="C3167" s="945" t="s">
        <v>919</v>
      </c>
      <c r="D3167" s="946"/>
      <c r="E3167" s="947"/>
      <c r="F3167" s="1068"/>
      <c r="G3167" s="946"/>
      <c r="H3167" s="1031"/>
      <c r="I3167" s="948"/>
    </row>
    <row r="3168" spans="2:9" ht="15.75">
      <c r="C3168" s="949" t="s">
        <v>1081</v>
      </c>
      <c r="D3168" s="953">
        <v>1</v>
      </c>
      <c r="E3168" s="954" t="str">
        <f>+VLOOKUP(C3168,'Basic (equilibrio) (2)'!B:D,2,FALSE)</f>
        <v>ml</v>
      </c>
      <c r="F3168" s="1068">
        <f>'Basic (equilibrio) (2)'!$D$33</f>
        <v>65</v>
      </c>
      <c r="G3168" s="946">
        <v>0</v>
      </c>
      <c r="H3168" s="1031"/>
      <c r="I3168" s="948">
        <f>(D3168*F3168)</f>
        <v>65</v>
      </c>
    </row>
    <row r="3169" spans="3:9" ht="15.75">
      <c r="C3169" s="951" t="s">
        <v>918</v>
      </c>
      <c r="D3169" s="946"/>
      <c r="E3169" s="947"/>
      <c r="F3169" s="1054"/>
      <c r="G3169" s="946"/>
      <c r="H3169" s="1031"/>
      <c r="I3169" s="952">
        <f>SUM(I3168:I3168)</f>
        <v>65</v>
      </c>
    </row>
    <row r="3170" spans="3:9" ht="15.75">
      <c r="C3170" s="949"/>
      <c r="D3170" s="946"/>
      <c r="E3170" s="947"/>
      <c r="F3170" s="1054"/>
      <c r="G3170" s="946"/>
      <c r="H3170" s="1031"/>
      <c r="I3170" s="948"/>
    </row>
    <row r="3171" spans="3:9" ht="15.75">
      <c r="C3171" s="945" t="s">
        <v>923</v>
      </c>
      <c r="D3171" s="946"/>
      <c r="E3171" s="947"/>
      <c r="F3171" s="1054"/>
      <c r="G3171" s="946"/>
      <c r="H3171" s="1031"/>
      <c r="I3171" s="948"/>
    </row>
    <row r="3172" spans="3:9" ht="15.75">
      <c r="C3172" s="949" t="s">
        <v>924</v>
      </c>
      <c r="D3172" s="946"/>
      <c r="E3172" s="947" t="str">
        <f>+VLOOKUP(C3172,'Basic (equilibrio) (2)'!B:D,2,FALSE)</f>
        <v>n/a</v>
      </c>
      <c r="F3172" s="1054">
        <f>+VLOOKUP(C3172,'Basic (equilibrio) (2)'!B:D,3,FALSE)</f>
        <v>0</v>
      </c>
      <c r="G3172" s="946">
        <f>F3172-(F3172/1.18)</f>
        <v>0</v>
      </c>
      <c r="H3172" s="1039"/>
      <c r="I3172" s="955">
        <f>D3172*F3172</f>
        <v>0</v>
      </c>
    </row>
    <row r="3173" spans="3:9" ht="15.75">
      <c r="C3173" s="951" t="s">
        <v>918</v>
      </c>
      <c r="D3173" s="946"/>
      <c r="E3173" s="947"/>
      <c r="F3173" s="1054"/>
      <c r="G3173" s="946"/>
      <c r="H3173" s="1031"/>
      <c r="I3173" s="952">
        <f>SUM(I3172:I3172)</f>
        <v>0</v>
      </c>
    </row>
    <row r="3174" spans="3:9" ht="15.75">
      <c r="C3174" s="949"/>
      <c r="D3174" s="946"/>
      <c r="E3174" s="947"/>
      <c r="F3174" s="1054"/>
      <c r="G3174" s="946"/>
      <c r="H3174" s="1031"/>
      <c r="I3174" s="948"/>
    </row>
    <row r="3175" spans="3:9" ht="15.75">
      <c r="C3175" s="945" t="s">
        <v>925</v>
      </c>
      <c r="D3175" s="946"/>
      <c r="E3175" s="947"/>
      <c r="F3175" s="1054"/>
      <c r="G3175" s="946"/>
      <c r="H3175" s="1031"/>
      <c r="I3175" s="948"/>
    </row>
    <row r="3176" spans="3:9" ht="15.75">
      <c r="C3176" s="949" t="s">
        <v>924</v>
      </c>
      <c r="D3176" s="946"/>
      <c r="E3176" s="947" t="str">
        <f>+VLOOKUP(C3176,'Basic (equilibrio) (2)'!B:D,2,FALSE)</f>
        <v>n/a</v>
      </c>
      <c r="F3176" s="1054">
        <f>+VLOOKUP(C3176,'Basic (equilibrio) (2)'!B:D,3,FALSE)</f>
        <v>0</v>
      </c>
      <c r="G3176" s="946"/>
      <c r="H3176" s="1031"/>
      <c r="I3176" s="948">
        <f>D3176*F3176</f>
        <v>0</v>
      </c>
    </row>
    <row r="3177" spans="3:9" ht="15.75">
      <c r="C3177" s="951" t="s">
        <v>918</v>
      </c>
      <c r="D3177" s="946"/>
      <c r="E3177" s="947"/>
      <c r="F3177" s="1054"/>
      <c r="G3177" s="946"/>
      <c r="H3177" s="1031"/>
      <c r="I3177" s="952">
        <f>SUM(I3176)</f>
        <v>0</v>
      </c>
    </row>
    <row r="3178" spans="3:9" ht="15.75">
      <c r="C3178" s="951"/>
      <c r="D3178" s="946"/>
      <c r="E3178" s="947"/>
      <c r="F3178" s="1054"/>
      <c r="G3178" s="946"/>
      <c r="H3178" s="1031"/>
      <c r="I3178" s="952"/>
    </row>
    <row r="3179" spans="3:9" ht="15.75">
      <c r="C3179" s="956" t="s">
        <v>926</v>
      </c>
      <c r="D3179" s="957"/>
      <c r="E3179" s="958"/>
      <c r="F3179" s="1069"/>
      <c r="G3179" s="957"/>
      <c r="H3179" s="1032"/>
      <c r="I3179" s="959">
        <f>+I3165</f>
        <v>93.5</v>
      </c>
    </row>
    <row r="3180" spans="3:9" ht="15.75">
      <c r="C3180" s="956" t="s">
        <v>927</v>
      </c>
      <c r="D3180" s="957"/>
      <c r="E3180" s="958"/>
      <c r="F3180" s="1069"/>
      <c r="G3180" s="957"/>
      <c r="H3180" s="1032"/>
      <c r="I3180" s="959">
        <f>+I3169</f>
        <v>65</v>
      </c>
    </row>
    <row r="3181" spans="3:9" ht="15.75">
      <c r="C3181" s="956" t="s">
        <v>928</v>
      </c>
      <c r="D3181" s="957"/>
      <c r="E3181" s="958"/>
      <c r="F3181" s="1069"/>
      <c r="G3181" s="957"/>
      <c r="H3181" s="1032"/>
      <c r="I3181" s="959">
        <f>+I3173</f>
        <v>0</v>
      </c>
    </row>
    <row r="3182" spans="3:9" ht="15.75">
      <c r="C3182" s="956" t="s">
        <v>929</v>
      </c>
      <c r="D3182" s="957"/>
      <c r="E3182" s="958"/>
      <c r="F3182" s="1069"/>
      <c r="G3182" s="957"/>
      <c r="H3182" s="1032"/>
      <c r="I3182" s="959">
        <f>+I3177</f>
        <v>0</v>
      </c>
    </row>
    <row r="3183" spans="3:9" ht="15.75">
      <c r="C3183" s="949"/>
      <c r="D3183" s="946"/>
      <c r="E3183" s="947"/>
      <c r="F3183" s="1054"/>
      <c r="G3183" s="946"/>
      <c r="H3183" s="1031"/>
      <c r="I3183" s="948"/>
    </row>
    <row r="3184" spans="3:9" ht="15.75">
      <c r="C3184" s="951" t="s">
        <v>930</v>
      </c>
      <c r="D3184" s="960"/>
      <c r="E3184" s="943" t="str">
        <f>+E3160</f>
        <v>M</v>
      </c>
      <c r="F3184" s="1070"/>
      <c r="G3184" s="960"/>
      <c r="H3184" s="1033"/>
      <c r="I3184" s="952">
        <f>SUM(I3179:I3182)</f>
        <v>158.5</v>
      </c>
    </row>
    <row r="3185" spans="2:9" ht="15.75">
      <c r="C3185" s="951"/>
      <c r="D3185" s="960"/>
      <c r="E3185" s="943"/>
      <c r="F3185" s="1070"/>
      <c r="G3185" s="960"/>
      <c r="H3185" s="1033"/>
      <c r="I3185" s="952"/>
    </row>
    <row r="3186" spans="2:9" ht="15.75">
      <c r="C3186" s="951"/>
      <c r="D3186" s="960"/>
      <c r="E3186" s="943"/>
      <c r="F3186" s="1070"/>
      <c r="G3186" s="960"/>
      <c r="H3186" s="1033"/>
      <c r="I3186" s="952"/>
    </row>
    <row r="3187" spans="2:9" ht="15.75">
      <c r="B3187" s="1026">
        <v>6.1</v>
      </c>
      <c r="C3187" s="937" t="str">
        <f>+Presupuesto!B193</f>
        <v>De H.A. con malla electrosoldada 1/4" (H=0.10 m)</v>
      </c>
      <c r="D3187" s="938"/>
      <c r="E3187" s="962" t="s">
        <v>20</v>
      </c>
      <c r="F3187" s="1066"/>
      <c r="G3187" s="938"/>
      <c r="H3187" s="1029"/>
      <c r="I3187" s="940">
        <f>+I3215</f>
        <v>1443.71</v>
      </c>
    </row>
    <row r="3188" spans="2:9" ht="15.75">
      <c r="C3188" s="941" t="s">
        <v>908</v>
      </c>
      <c r="D3188" s="942" t="s">
        <v>9</v>
      </c>
      <c r="E3188" s="943" t="s">
        <v>10</v>
      </c>
      <c r="F3188" s="1067" t="s">
        <v>909</v>
      </c>
      <c r="G3188" s="942" t="s">
        <v>910</v>
      </c>
      <c r="H3188" s="1030" t="s">
        <v>911</v>
      </c>
      <c r="I3188" s="944" t="s">
        <v>912</v>
      </c>
    </row>
    <row r="3189" spans="2:9" ht="15.75">
      <c r="C3189" s="945" t="s">
        <v>913</v>
      </c>
      <c r="D3189" s="946"/>
      <c r="E3189" s="947"/>
      <c r="F3189" s="1054"/>
      <c r="G3189" s="946"/>
      <c r="H3189" s="1031"/>
      <c r="I3189" s="948"/>
    </row>
    <row r="3190" spans="2:9" ht="15.75">
      <c r="C3190" s="949" t="s">
        <v>994</v>
      </c>
      <c r="D3190" s="946">
        <v>1.02</v>
      </c>
      <c r="E3190" s="947" t="str">
        <f>+VLOOKUP(C3190,'Basic (equilibrio) (2)'!B:D,2,FALSE)</f>
        <v>m3</v>
      </c>
      <c r="F3190" s="1068">
        <f>'Basic (equilibrio) (2)'!$D$179</f>
        <v>7600</v>
      </c>
      <c r="G3190" s="946">
        <f>F3190-(F3190/1.18)</f>
        <v>1159.32</v>
      </c>
      <c r="H3190" s="1031"/>
      <c r="I3190" s="948">
        <f>D3190*F3190</f>
        <v>7752</v>
      </c>
    </row>
    <row r="3191" spans="2:9" ht="15.75">
      <c r="C3191" s="949" t="s">
        <v>956</v>
      </c>
      <c r="D3191" s="946">
        <v>0.11</v>
      </c>
      <c r="E3191" s="947" t="str">
        <f>+VLOOKUP(C3191,'Basic (equilibrio) (2)'!B:D,2,FALSE)</f>
        <v>rollo</v>
      </c>
      <c r="F3191" s="1068">
        <f>'Basic (equilibrio) (2)'!$D$330</f>
        <v>22294</v>
      </c>
      <c r="G3191" s="946">
        <f>F3191-(F3191/1.18)</f>
        <v>3400.78</v>
      </c>
      <c r="H3191" s="1031"/>
      <c r="I3191" s="948">
        <f>D3191*F3191</f>
        <v>2452.34</v>
      </c>
    </row>
    <row r="3192" spans="2:9" ht="15.75">
      <c r="C3192" s="949" t="s">
        <v>1066</v>
      </c>
      <c r="D3192" s="946">
        <v>1.07</v>
      </c>
      <c r="E3192" s="947" t="str">
        <f>+VLOOKUP(C3192,'Basic (equilibrio) (2)'!B:D,2,FALSE)</f>
        <v>ml</v>
      </c>
      <c r="F3192" s="1068">
        <f>'Basic (equilibrio) (2)'!$D$20</f>
        <v>144</v>
      </c>
      <c r="G3192" s="946">
        <f>F3192-(F3192/1.18)</f>
        <v>21.97</v>
      </c>
      <c r="H3192" s="1031"/>
      <c r="I3192" s="948">
        <f>D3192*F3192</f>
        <v>154.08000000000001</v>
      </c>
    </row>
    <row r="3193" spans="2:9" ht="15.75">
      <c r="C3193" s="951" t="s">
        <v>918</v>
      </c>
      <c r="D3193" s="946"/>
      <c r="E3193" s="947"/>
      <c r="F3193" s="1068"/>
      <c r="G3193" s="946"/>
      <c r="H3193" s="1031"/>
      <c r="I3193" s="952">
        <f>SUM(I3190:I3192)</f>
        <v>10358.42</v>
      </c>
    </row>
    <row r="3194" spans="2:9" ht="15.75">
      <c r="C3194" s="949"/>
      <c r="D3194" s="946"/>
      <c r="E3194" s="947"/>
      <c r="F3194" s="1068"/>
      <c r="G3194" s="946"/>
      <c r="H3194" s="1031"/>
      <c r="I3194" s="948"/>
    </row>
    <row r="3195" spans="2:9" ht="15.75">
      <c r="C3195" s="945" t="s">
        <v>919</v>
      </c>
      <c r="D3195" s="946"/>
      <c r="E3195" s="947"/>
      <c r="F3195" s="1068"/>
      <c r="G3195" s="946"/>
      <c r="H3195" s="1031"/>
      <c r="I3195" s="948"/>
    </row>
    <row r="3196" spans="2:9" ht="15.75">
      <c r="C3196" s="949" t="s">
        <v>961</v>
      </c>
      <c r="D3196" s="953">
        <v>8.33</v>
      </c>
      <c r="E3196" s="954" t="str">
        <f>+VLOOKUP(C3196,'Basic (equilibrio) (2)'!B:D,2,FALSE)</f>
        <v>m2</v>
      </c>
      <c r="F3196" s="1054">
        <f>'Basic (equilibrio) (2)'!$D$47</f>
        <v>86.2</v>
      </c>
      <c r="G3196" s="946">
        <v>0</v>
      </c>
      <c r="H3196" s="1031"/>
      <c r="I3196" s="948">
        <f>(D3196*F3196)</f>
        <v>718.05</v>
      </c>
    </row>
    <row r="3197" spans="2:9" ht="15.75">
      <c r="C3197" s="949" t="s">
        <v>1064</v>
      </c>
      <c r="D3197" s="953">
        <v>8.33</v>
      </c>
      <c r="E3197" s="954" t="str">
        <f>+VLOOKUP(C3197,'Basic (equilibrio) (2)'!B:D,2,FALSE)</f>
        <v>m2</v>
      </c>
      <c r="F3197" s="1054">
        <f>'Basic (equilibrio) (2)'!$D$19</f>
        <v>114</v>
      </c>
      <c r="G3197" s="946">
        <v>0</v>
      </c>
      <c r="H3197" s="1031"/>
      <c r="I3197" s="948">
        <f>(D3197*F3197)</f>
        <v>949.62</v>
      </c>
    </row>
    <row r="3198" spans="2:9" ht="15.75">
      <c r="C3198" s="951" t="s">
        <v>918</v>
      </c>
      <c r="D3198" s="946"/>
      <c r="E3198" s="947"/>
      <c r="F3198" s="1054"/>
      <c r="G3198" s="946"/>
      <c r="H3198" s="1031"/>
      <c r="I3198" s="952">
        <f>SUM(I3196:I3197)</f>
        <v>1667.67</v>
      </c>
    </row>
    <row r="3199" spans="2:9" ht="15.75">
      <c r="C3199" s="949"/>
      <c r="D3199" s="946"/>
      <c r="E3199" s="947"/>
      <c r="F3199" s="1054"/>
      <c r="G3199" s="946"/>
      <c r="H3199" s="1031"/>
      <c r="I3199" s="948"/>
    </row>
    <row r="3200" spans="2:9" ht="15.75">
      <c r="C3200" s="945" t="s">
        <v>923</v>
      </c>
      <c r="D3200" s="946"/>
      <c r="E3200" s="947"/>
      <c r="F3200" s="1054"/>
      <c r="G3200" s="946"/>
      <c r="H3200" s="1031"/>
      <c r="I3200" s="948"/>
    </row>
    <row r="3201" spans="3:9" ht="15.75">
      <c r="C3201" s="949" t="s">
        <v>924</v>
      </c>
      <c r="D3201" s="946"/>
      <c r="E3201" s="947" t="str">
        <f>+VLOOKUP(C3201,'Basic (equilibrio) (2)'!B:D,2,FALSE)</f>
        <v>n/a</v>
      </c>
      <c r="F3201" s="1054">
        <f>+VLOOKUP(C3201,'Basic (equilibrio) (2)'!B:D,3,FALSE)</f>
        <v>0</v>
      </c>
      <c r="G3201" s="946"/>
      <c r="H3201" s="1039"/>
      <c r="I3201" s="955">
        <f>D3201*F3196</f>
        <v>0</v>
      </c>
    </row>
    <row r="3202" spans="3:9" ht="15.75">
      <c r="C3202" s="951" t="s">
        <v>918</v>
      </c>
      <c r="D3202" s="946"/>
      <c r="E3202" s="947"/>
      <c r="G3202" s="946"/>
      <c r="H3202" s="1031"/>
      <c r="I3202" s="952">
        <f>SUM(I3201:I3201)</f>
        <v>0</v>
      </c>
    </row>
    <row r="3203" spans="3:9" ht="15.75">
      <c r="C3203" s="949"/>
      <c r="D3203" s="946"/>
      <c r="E3203" s="947"/>
      <c r="F3203" s="1054"/>
      <c r="G3203" s="946"/>
      <c r="H3203" s="1031"/>
      <c r="I3203" s="948"/>
    </row>
    <row r="3204" spans="3:9" ht="15.75">
      <c r="C3204" s="945" t="s">
        <v>925</v>
      </c>
      <c r="D3204" s="946"/>
      <c r="E3204" s="947"/>
      <c r="F3204" s="1054"/>
      <c r="G3204" s="946"/>
      <c r="H3204" s="1031"/>
      <c r="I3204" s="948"/>
    </row>
    <row r="3205" spans="3:9" ht="15.75">
      <c r="C3205" s="949" t="s">
        <v>924</v>
      </c>
      <c r="D3205" s="946"/>
      <c r="E3205" s="947" t="str">
        <f>+VLOOKUP(C3205,'Basic (equilibrio) (2)'!B:D,2,FALSE)</f>
        <v>n/a</v>
      </c>
      <c r="F3205" s="1054">
        <f>+VLOOKUP(C3205,'Basic (equilibrio) (2)'!B:D,3,FALSE)</f>
        <v>0</v>
      </c>
      <c r="G3205" s="946"/>
      <c r="H3205" s="1031"/>
      <c r="I3205" s="948">
        <f>D3205*F3205</f>
        <v>0</v>
      </c>
    </row>
    <row r="3206" spans="3:9" ht="15.75">
      <c r="C3206" s="951" t="s">
        <v>918</v>
      </c>
      <c r="D3206" s="946"/>
      <c r="E3206" s="947"/>
      <c r="F3206" s="1054"/>
      <c r="G3206" s="946"/>
      <c r="H3206" s="1031"/>
      <c r="I3206" s="952">
        <f>SUM(I3205)</f>
        <v>0</v>
      </c>
    </row>
    <row r="3207" spans="3:9" ht="15.75">
      <c r="C3207" s="951"/>
      <c r="D3207" s="946"/>
      <c r="E3207" s="947"/>
      <c r="F3207" s="1054"/>
      <c r="G3207" s="946"/>
      <c r="H3207" s="1031"/>
      <c r="I3207" s="952"/>
    </row>
    <row r="3208" spans="3:9" ht="15.75">
      <c r="C3208" s="956" t="s">
        <v>926</v>
      </c>
      <c r="D3208" s="957"/>
      <c r="E3208" s="958"/>
      <c r="F3208" s="1069"/>
      <c r="G3208" s="957"/>
      <c r="H3208" s="1032"/>
      <c r="I3208" s="959">
        <f>+I3193</f>
        <v>10358.42</v>
      </c>
    </row>
    <row r="3209" spans="3:9" ht="15.75">
      <c r="C3209" s="956" t="s">
        <v>927</v>
      </c>
      <c r="D3209" s="957"/>
      <c r="E3209" s="958"/>
      <c r="F3209" s="1069"/>
      <c r="G3209" s="957"/>
      <c r="H3209" s="1032"/>
      <c r="I3209" s="959">
        <f>+I3198</f>
        <v>1667.67</v>
      </c>
    </row>
    <row r="3210" spans="3:9" ht="15.75">
      <c r="C3210" s="956" t="s">
        <v>928</v>
      </c>
      <c r="D3210" s="957"/>
      <c r="E3210" s="958"/>
      <c r="F3210" s="1069"/>
      <c r="G3210" s="957"/>
      <c r="H3210" s="1032"/>
      <c r="I3210" s="959">
        <f>+I3202</f>
        <v>0</v>
      </c>
    </row>
    <row r="3211" spans="3:9" ht="15.75">
      <c r="C3211" s="956" t="s">
        <v>929</v>
      </c>
      <c r="D3211" s="957"/>
      <c r="E3211" s="958"/>
      <c r="F3211" s="1069"/>
      <c r="G3211" s="957"/>
      <c r="H3211" s="1032"/>
      <c r="I3211" s="959">
        <f>+I3206</f>
        <v>0</v>
      </c>
    </row>
    <row r="3212" spans="3:9" ht="15.75">
      <c r="C3212" s="949"/>
      <c r="D3212" s="946"/>
      <c r="E3212" s="947"/>
      <c r="F3212" s="1054"/>
      <c r="G3212" s="946"/>
      <c r="H3212" s="1031"/>
      <c r="I3212" s="948"/>
    </row>
    <row r="3213" spans="3:9" ht="15.75">
      <c r="C3213" s="951" t="s">
        <v>930</v>
      </c>
      <c r="D3213" s="960"/>
      <c r="E3213" s="943" t="s">
        <v>22</v>
      </c>
      <c r="F3213" s="1070"/>
      <c r="G3213" s="960"/>
      <c r="H3213" s="1033"/>
      <c r="I3213" s="952">
        <f>SUM(I3208:I3211)</f>
        <v>12026.09</v>
      </c>
    </row>
    <row r="3214" spans="3:9" ht="15.75">
      <c r="C3214" s="951"/>
      <c r="D3214" s="960">
        <v>8.33</v>
      </c>
      <c r="E3214" s="943" t="s">
        <v>997</v>
      </c>
      <c r="F3214" s="1070"/>
      <c r="G3214" s="960"/>
      <c r="H3214" s="1033"/>
      <c r="I3214" s="952"/>
    </row>
    <row r="3215" spans="3:9" ht="15.75">
      <c r="C3215" s="951"/>
      <c r="D3215" s="960"/>
      <c r="E3215" s="943" t="s">
        <v>20</v>
      </c>
      <c r="F3215" s="1070"/>
      <c r="G3215" s="960"/>
      <c r="H3215" s="1033"/>
      <c r="I3215" s="952">
        <f>+I3213/D3214</f>
        <v>1443.71</v>
      </c>
    </row>
    <row r="3216" spans="3:9" ht="15.75">
      <c r="C3216" s="951"/>
      <c r="D3216" s="960"/>
      <c r="E3216" s="943"/>
      <c r="F3216" s="1070"/>
      <c r="G3216" s="960"/>
      <c r="H3216" s="1033"/>
      <c r="I3216" s="952"/>
    </row>
    <row r="3217" spans="2:9" ht="15.75">
      <c r="C3217" s="951"/>
      <c r="D3217" s="960"/>
      <c r="E3217" s="943"/>
      <c r="F3217" s="1070"/>
      <c r="G3217" s="960"/>
      <c r="H3217" s="1033"/>
      <c r="I3217" s="952"/>
    </row>
    <row r="3218" spans="2:9" ht="31.5">
      <c r="B3218" s="1026">
        <v>7.1</v>
      </c>
      <c r="C3218" s="937" t="str">
        <f>+Presupuesto!B196</f>
        <v>Tablero de fibra de vidrio para basketball (incluye aro y malla)</v>
      </c>
      <c r="D3218" s="938"/>
      <c r="E3218" s="962" t="s">
        <v>38</v>
      </c>
      <c r="F3218" s="1066"/>
      <c r="G3218" s="938"/>
      <c r="H3218" s="1029"/>
      <c r="I3218" s="940">
        <f>+I3241</f>
        <v>37658.400000000001</v>
      </c>
    </row>
    <row r="3219" spans="2:9" ht="15.75">
      <c r="C3219" s="941" t="s">
        <v>908</v>
      </c>
      <c r="D3219" s="942" t="s">
        <v>9</v>
      </c>
      <c r="E3219" s="943" t="s">
        <v>10</v>
      </c>
      <c r="F3219" s="1067" t="s">
        <v>909</v>
      </c>
      <c r="G3219" s="942" t="s">
        <v>910</v>
      </c>
      <c r="H3219" s="1030" t="s">
        <v>911</v>
      </c>
      <c r="I3219" s="944" t="s">
        <v>912</v>
      </c>
    </row>
    <row r="3220" spans="2:9" ht="15.75">
      <c r="C3220" s="945" t="s">
        <v>913</v>
      </c>
      <c r="D3220" s="946"/>
      <c r="E3220" s="947"/>
      <c r="F3220" s="1054"/>
      <c r="G3220" s="946"/>
      <c r="H3220" s="1031"/>
      <c r="I3220" s="948"/>
    </row>
    <row r="3221" spans="2:9" ht="31.5">
      <c r="C3221" s="949" t="s">
        <v>1230</v>
      </c>
      <c r="D3221" s="946">
        <v>1.02</v>
      </c>
      <c r="E3221" s="947" t="str">
        <f>+VLOOKUP(C3221,'Basic (equilibrio) (2)'!B:D,2,FALSE)</f>
        <v>Ud</v>
      </c>
      <c r="F3221" s="1068">
        <f>'Basic (equilibrio) (2)'!$D$320</f>
        <v>36920</v>
      </c>
      <c r="G3221" s="946">
        <f>F3221-(F3221/1.18)</f>
        <v>5631.86</v>
      </c>
      <c r="H3221" s="1031"/>
      <c r="I3221" s="948">
        <f>D3221*F3221</f>
        <v>37658.400000000001</v>
      </c>
    </row>
    <row r="3222" spans="2:9" ht="15.75">
      <c r="C3222" s="951" t="s">
        <v>918</v>
      </c>
      <c r="D3222" s="946"/>
      <c r="E3222" s="947"/>
      <c r="F3222" s="1068"/>
      <c r="G3222" s="946"/>
      <c r="H3222" s="1031"/>
      <c r="I3222" s="952">
        <f>SUM(I3221:I3221)</f>
        <v>37658.400000000001</v>
      </c>
    </row>
    <row r="3223" spans="2:9" ht="15.75">
      <c r="C3223" s="949"/>
      <c r="D3223" s="946"/>
      <c r="E3223" s="947"/>
      <c r="F3223" s="1068"/>
      <c r="G3223" s="946"/>
      <c r="H3223" s="1031"/>
      <c r="I3223" s="948"/>
    </row>
    <row r="3224" spans="2:9" ht="15.75">
      <c r="C3224" s="945" t="s">
        <v>919</v>
      </c>
      <c r="D3224" s="946"/>
      <c r="E3224" s="947"/>
      <c r="F3224" s="1068"/>
      <c r="G3224" s="946"/>
      <c r="H3224" s="1031"/>
      <c r="I3224" s="948"/>
    </row>
    <row r="3225" spans="2:9" ht="15.75">
      <c r="C3225" s="949" t="s">
        <v>924</v>
      </c>
      <c r="D3225" s="953">
        <v>8.33</v>
      </c>
      <c r="E3225" s="954" t="str">
        <f>+VLOOKUP(C3225,'Basic (equilibrio) (2)'!B:D,2,FALSE)</f>
        <v>n/a</v>
      </c>
      <c r="F3225" s="1068">
        <f>+VLOOKUP(C3225,'Basic (equilibrio) (2)'!B:D,3,FALSE)</f>
        <v>0</v>
      </c>
      <c r="G3225" s="946">
        <v>0</v>
      </c>
      <c r="H3225" s="1031"/>
      <c r="I3225" s="948">
        <f>(D3225*F3225)</f>
        <v>0</v>
      </c>
    </row>
    <row r="3226" spans="2:9" ht="15.75">
      <c r="C3226" s="951" t="s">
        <v>918</v>
      </c>
      <c r="D3226" s="946"/>
      <c r="E3226" s="947"/>
      <c r="F3226" s="1054"/>
      <c r="G3226" s="946"/>
      <c r="H3226" s="1031"/>
      <c r="I3226" s="952">
        <f>SUM(I3225:I3225)</f>
        <v>0</v>
      </c>
    </row>
    <row r="3227" spans="2:9" ht="15.75">
      <c r="C3227" s="949"/>
      <c r="D3227" s="946"/>
      <c r="E3227" s="947"/>
      <c r="F3227" s="1054"/>
      <c r="G3227" s="946"/>
      <c r="H3227" s="1031"/>
      <c r="I3227" s="948"/>
    </row>
    <row r="3228" spans="2:9" ht="15.75">
      <c r="C3228" s="945" t="s">
        <v>923</v>
      </c>
      <c r="D3228" s="946"/>
      <c r="E3228" s="947"/>
      <c r="F3228" s="1054"/>
      <c r="G3228" s="946"/>
      <c r="H3228" s="1031"/>
      <c r="I3228" s="948"/>
    </row>
    <row r="3229" spans="2:9" ht="15.75">
      <c r="C3229" s="949" t="s">
        <v>924</v>
      </c>
      <c r="D3229" s="946"/>
      <c r="E3229" s="947" t="str">
        <f>+VLOOKUP(C3229,'Basic (equilibrio) (2)'!B:D,2,FALSE)</f>
        <v>n/a</v>
      </c>
      <c r="F3229" s="1054">
        <f>+VLOOKUP(C3229,'Basic (equilibrio) (2)'!B:D,3,FALSE)</f>
        <v>0</v>
      </c>
      <c r="G3229" s="946">
        <f>F3229-(F3229/1.18)</f>
        <v>0</v>
      </c>
      <c r="H3229" s="1039"/>
      <c r="I3229" s="955">
        <f>D3229*F3229</f>
        <v>0</v>
      </c>
    </row>
    <row r="3230" spans="2:9" ht="15.75">
      <c r="C3230" s="951" t="s">
        <v>918</v>
      </c>
      <c r="D3230" s="946"/>
      <c r="E3230" s="947"/>
      <c r="F3230" s="1054"/>
      <c r="G3230" s="946"/>
      <c r="H3230" s="1031"/>
      <c r="I3230" s="952">
        <f>SUM(I3229:I3229)</f>
        <v>0</v>
      </c>
    </row>
    <row r="3231" spans="2:9" ht="15.75">
      <c r="C3231" s="949"/>
      <c r="D3231" s="946"/>
      <c r="E3231" s="947"/>
      <c r="F3231" s="1054"/>
      <c r="G3231" s="946"/>
      <c r="H3231" s="1031"/>
      <c r="I3231" s="948"/>
    </row>
    <row r="3232" spans="2:9" ht="15.75">
      <c r="C3232" s="945" t="s">
        <v>925</v>
      </c>
      <c r="D3232" s="946"/>
      <c r="E3232" s="947"/>
      <c r="F3232" s="1054"/>
      <c r="G3232" s="946"/>
      <c r="H3232" s="1031"/>
      <c r="I3232" s="948"/>
    </row>
    <row r="3233" spans="2:9" ht="15.75">
      <c r="C3233" s="949" t="s">
        <v>924</v>
      </c>
      <c r="D3233" s="946"/>
      <c r="E3233" s="947" t="str">
        <f>+VLOOKUP(C3233,'Basic (equilibrio) (2)'!B:D,2,FALSE)</f>
        <v>n/a</v>
      </c>
      <c r="F3233" s="1054">
        <f>+VLOOKUP(C3233,'Basic (equilibrio) (2)'!B:D,3,FALSE)</f>
        <v>0</v>
      </c>
      <c r="G3233" s="946"/>
      <c r="H3233" s="1031"/>
      <c r="I3233" s="948">
        <f>D3233*F3233</f>
        <v>0</v>
      </c>
    </row>
    <row r="3234" spans="2:9" ht="15.75">
      <c r="C3234" s="951" t="s">
        <v>918</v>
      </c>
      <c r="D3234" s="946"/>
      <c r="E3234" s="947"/>
      <c r="F3234" s="1054"/>
      <c r="G3234" s="946"/>
      <c r="H3234" s="1031"/>
      <c r="I3234" s="952">
        <f>SUM(I3233)</f>
        <v>0</v>
      </c>
    </row>
    <row r="3235" spans="2:9" ht="15.75">
      <c r="C3235" s="951"/>
      <c r="D3235" s="946"/>
      <c r="E3235" s="947"/>
      <c r="F3235" s="1054"/>
      <c r="G3235" s="946"/>
      <c r="H3235" s="1031"/>
      <c r="I3235" s="952"/>
    </row>
    <row r="3236" spans="2:9" ht="15.75">
      <c r="C3236" s="956" t="s">
        <v>926</v>
      </c>
      <c r="D3236" s="957"/>
      <c r="E3236" s="958"/>
      <c r="F3236" s="1069"/>
      <c r="G3236" s="957"/>
      <c r="H3236" s="1032"/>
      <c r="I3236" s="959">
        <f>+I3222</f>
        <v>37658.400000000001</v>
      </c>
    </row>
    <row r="3237" spans="2:9" ht="15.75">
      <c r="C3237" s="956" t="s">
        <v>927</v>
      </c>
      <c r="D3237" s="957"/>
      <c r="E3237" s="958"/>
      <c r="F3237" s="1069"/>
      <c r="G3237" s="957"/>
      <c r="H3237" s="1032"/>
      <c r="I3237" s="959">
        <f>+I3226</f>
        <v>0</v>
      </c>
    </row>
    <row r="3238" spans="2:9" ht="15.75">
      <c r="C3238" s="956" t="s">
        <v>928</v>
      </c>
      <c r="D3238" s="957"/>
      <c r="E3238" s="958"/>
      <c r="F3238" s="1069"/>
      <c r="G3238" s="957"/>
      <c r="H3238" s="1032"/>
      <c r="I3238" s="959">
        <f>+I3230</f>
        <v>0</v>
      </c>
    </row>
    <row r="3239" spans="2:9" ht="15.75">
      <c r="C3239" s="956" t="s">
        <v>1556</v>
      </c>
      <c r="D3239" s="957"/>
      <c r="E3239" s="958"/>
      <c r="F3239" s="1069"/>
      <c r="G3239" s="957"/>
      <c r="H3239" s="1032"/>
      <c r="I3239" s="959">
        <f>+I3234</f>
        <v>0</v>
      </c>
    </row>
    <row r="3240" spans="2:9" ht="15.75">
      <c r="C3240" s="949"/>
      <c r="D3240" s="946"/>
      <c r="E3240" s="947"/>
      <c r="F3240" s="1054"/>
      <c r="G3240" s="946"/>
      <c r="H3240" s="1031"/>
      <c r="I3240" s="948"/>
    </row>
    <row r="3241" spans="2:9" ht="15.75">
      <c r="C3241" s="951" t="s">
        <v>930</v>
      </c>
      <c r="D3241" s="960"/>
      <c r="E3241" s="975" t="str">
        <f>+E3218</f>
        <v>UD</v>
      </c>
      <c r="F3241" s="1070"/>
      <c r="G3241" s="960"/>
      <c r="H3241" s="1033"/>
      <c r="I3241" s="952">
        <f>SUM(I3236:I3239)</f>
        <v>37658.400000000001</v>
      </c>
    </row>
    <row r="3242" spans="2:9" ht="15.75">
      <c r="C3242" s="951"/>
      <c r="D3242" s="960"/>
      <c r="E3242" s="943"/>
      <c r="F3242" s="1070"/>
      <c r="G3242" s="960"/>
      <c r="H3242" s="1033"/>
      <c r="I3242" s="952"/>
    </row>
    <row r="3243" spans="2:9" ht="15.75">
      <c r="C3243" s="951"/>
      <c r="D3243" s="960"/>
      <c r="E3243" s="943"/>
      <c r="F3243" s="1070"/>
      <c r="G3243" s="960"/>
      <c r="H3243" s="1033"/>
      <c r="I3243" s="952"/>
    </row>
    <row r="3244" spans="2:9" ht="31.5">
      <c r="B3244" s="1026">
        <v>7.1</v>
      </c>
      <c r="C3244" s="937" t="str">
        <f>+Presupuesto!B197</f>
        <v>Poste volleyball y cajuelas (Tubo 2 1/2" x 10' y Tubo de 3" x 2")</v>
      </c>
      <c r="D3244" s="938"/>
      <c r="E3244" s="962" t="s">
        <v>38</v>
      </c>
      <c r="F3244" s="1066"/>
      <c r="G3244" s="938"/>
      <c r="H3244" s="1029"/>
      <c r="I3244" s="940">
        <f>+I3267</f>
        <v>14570.7</v>
      </c>
    </row>
    <row r="3245" spans="2:9" ht="15.75">
      <c r="C3245" s="941" t="s">
        <v>908</v>
      </c>
      <c r="D3245" s="942" t="s">
        <v>9</v>
      </c>
      <c r="E3245" s="943" t="s">
        <v>10</v>
      </c>
      <c r="F3245" s="1067" t="s">
        <v>909</v>
      </c>
      <c r="G3245" s="942" t="s">
        <v>910</v>
      </c>
      <c r="H3245" s="1030" t="s">
        <v>911</v>
      </c>
      <c r="I3245" s="944" t="s">
        <v>912</v>
      </c>
    </row>
    <row r="3246" spans="2:9" ht="15.75">
      <c r="C3246" s="945" t="s">
        <v>913</v>
      </c>
      <c r="D3246" s="946"/>
      <c r="E3246" s="947"/>
      <c r="F3246" s="1054"/>
      <c r="G3246" s="946"/>
      <c r="H3246" s="1031"/>
      <c r="I3246" s="948"/>
    </row>
    <row r="3247" spans="2:9" ht="15.75">
      <c r="C3247" s="949" t="s">
        <v>1549</v>
      </c>
      <c r="D3247" s="946">
        <v>1.02</v>
      </c>
      <c r="E3247" s="947" t="str">
        <f>+VLOOKUP(C3247,'Basic (equilibrio) (2)'!B:D,2,FALSE)</f>
        <v>und</v>
      </c>
      <c r="F3247" s="1068">
        <f>'Basic (equilibrio) (2)'!$D$321</f>
        <v>14285</v>
      </c>
      <c r="G3247" s="946">
        <f>F3247-(F3247/1.18)</f>
        <v>2179.0700000000002</v>
      </c>
      <c r="H3247" s="1031"/>
      <c r="I3247" s="948">
        <f>D3247*F3247</f>
        <v>14570.7</v>
      </c>
    </row>
    <row r="3248" spans="2:9" ht="15.75">
      <c r="C3248" s="951" t="s">
        <v>918</v>
      </c>
      <c r="D3248" s="946"/>
      <c r="E3248" s="947"/>
      <c r="F3248" s="1068"/>
      <c r="G3248" s="946"/>
      <c r="H3248" s="1031"/>
      <c r="I3248" s="952">
        <f>SUM(I3247:I3247)</f>
        <v>14570.7</v>
      </c>
    </row>
    <row r="3249" spans="3:9" ht="15.75">
      <c r="C3249" s="949"/>
      <c r="D3249" s="946"/>
      <c r="E3249" s="947"/>
      <c r="F3249" s="1068"/>
      <c r="G3249" s="946"/>
      <c r="H3249" s="1031"/>
      <c r="I3249" s="948"/>
    </row>
    <row r="3250" spans="3:9" ht="15.75">
      <c r="C3250" s="945" t="s">
        <v>919</v>
      </c>
      <c r="D3250" s="946"/>
      <c r="E3250" s="947"/>
      <c r="F3250" s="1068"/>
      <c r="G3250" s="946"/>
      <c r="H3250" s="1031"/>
      <c r="I3250" s="948"/>
    </row>
    <row r="3251" spans="3:9" ht="15.75">
      <c r="C3251" s="949" t="s">
        <v>924</v>
      </c>
      <c r="D3251" s="953">
        <v>8.33</v>
      </c>
      <c r="E3251" s="954" t="str">
        <f>+VLOOKUP(C3251,'Basic (equilibrio) (2)'!B:D,2,FALSE)</f>
        <v>n/a</v>
      </c>
      <c r="F3251" s="1068">
        <f>+VLOOKUP(C3251,'Basic (equilibrio) (2)'!B:D,3,FALSE)</f>
        <v>0</v>
      </c>
      <c r="G3251" s="946">
        <v>0</v>
      </c>
      <c r="H3251" s="1031"/>
      <c r="I3251" s="948">
        <f>(D3251*F3251)</f>
        <v>0</v>
      </c>
    </row>
    <row r="3252" spans="3:9" ht="15.75">
      <c r="C3252" s="951" t="s">
        <v>918</v>
      </c>
      <c r="D3252" s="946"/>
      <c r="E3252" s="947"/>
      <c r="F3252" s="1054"/>
      <c r="G3252" s="946"/>
      <c r="H3252" s="1031"/>
      <c r="I3252" s="952">
        <f>SUM(I3251:I3251)</f>
        <v>0</v>
      </c>
    </row>
    <row r="3253" spans="3:9" ht="15.75">
      <c r="C3253" s="949"/>
      <c r="D3253" s="946"/>
      <c r="E3253" s="947"/>
      <c r="F3253" s="1054"/>
      <c r="G3253" s="946"/>
      <c r="H3253" s="1031"/>
      <c r="I3253" s="948"/>
    </row>
    <row r="3254" spans="3:9" ht="15.75">
      <c r="C3254" s="945" t="s">
        <v>923</v>
      </c>
      <c r="D3254" s="946"/>
      <c r="E3254" s="947"/>
      <c r="F3254" s="1054"/>
      <c r="G3254" s="946"/>
      <c r="H3254" s="1031"/>
      <c r="I3254" s="948"/>
    </row>
    <row r="3255" spans="3:9" ht="15.75">
      <c r="C3255" s="949" t="s">
        <v>924</v>
      </c>
      <c r="D3255" s="946"/>
      <c r="E3255" s="947" t="str">
        <f>+VLOOKUP(C3255,'Basic (equilibrio) (2)'!B:D,2,FALSE)</f>
        <v>n/a</v>
      </c>
      <c r="F3255" s="1054">
        <f>+VLOOKUP(C3255,'Basic (equilibrio) (2)'!B:D,3,FALSE)</f>
        <v>0</v>
      </c>
      <c r="G3255" s="946">
        <f>F3255-(F3255/1.18)</f>
        <v>0</v>
      </c>
      <c r="H3255" s="1039"/>
      <c r="I3255" s="955">
        <f>D3255*F3255</f>
        <v>0</v>
      </c>
    </row>
    <row r="3256" spans="3:9" ht="15.75">
      <c r="C3256" s="951" t="s">
        <v>918</v>
      </c>
      <c r="D3256" s="946"/>
      <c r="E3256" s="947"/>
      <c r="F3256" s="1054"/>
      <c r="G3256" s="946"/>
      <c r="H3256" s="1031"/>
      <c r="I3256" s="952">
        <f>SUM(I3255:I3255)</f>
        <v>0</v>
      </c>
    </row>
    <row r="3257" spans="3:9" ht="15.75">
      <c r="C3257" s="949"/>
      <c r="D3257" s="946"/>
      <c r="E3257" s="947"/>
      <c r="F3257" s="1054"/>
      <c r="G3257" s="946"/>
      <c r="H3257" s="1031"/>
      <c r="I3257" s="948"/>
    </row>
    <row r="3258" spans="3:9" ht="15.75">
      <c r="C3258" s="945" t="s">
        <v>925</v>
      </c>
      <c r="D3258" s="946"/>
      <c r="E3258" s="947"/>
      <c r="F3258" s="1054"/>
      <c r="G3258" s="946"/>
      <c r="H3258" s="1031"/>
      <c r="I3258" s="948"/>
    </row>
    <row r="3259" spans="3:9" ht="15.75">
      <c r="C3259" s="949" t="s">
        <v>924</v>
      </c>
      <c r="D3259" s="946"/>
      <c r="E3259" s="947" t="str">
        <f>+VLOOKUP(C3259,'Basic (equilibrio) (2)'!B:D,2,FALSE)</f>
        <v>n/a</v>
      </c>
      <c r="F3259" s="1054">
        <f>+VLOOKUP(C3259,'Basic (equilibrio) (2)'!B:D,3,FALSE)</f>
        <v>0</v>
      </c>
      <c r="G3259" s="946"/>
      <c r="H3259" s="1031"/>
      <c r="I3259" s="948">
        <f>D3259*F3259</f>
        <v>0</v>
      </c>
    </row>
    <row r="3260" spans="3:9" ht="15.75">
      <c r="C3260" s="951" t="s">
        <v>918</v>
      </c>
      <c r="D3260" s="946"/>
      <c r="E3260" s="947"/>
      <c r="F3260" s="1054"/>
      <c r="G3260" s="946"/>
      <c r="H3260" s="1031"/>
      <c r="I3260" s="952">
        <f>SUM(I3259)</f>
        <v>0</v>
      </c>
    </row>
    <row r="3261" spans="3:9" ht="15.75">
      <c r="C3261" s="951"/>
      <c r="D3261" s="946"/>
      <c r="E3261" s="947"/>
      <c r="F3261" s="1054"/>
      <c r="G3261" s="946"/>
      <c r="H3261" s="1031"/>
      <c r="I3261" s="952"/>
    </row>
    <row r="3262" spans="3:9" ht="15.75">
      <c r="C3262" s="956" t="s">
        <v>926</v>
      </c>
      <c r="D3262" s="957"/>
      <c r="E3262" s="958"/>
      <c r="F3262" s="1069"/>
      <c r="G3262" s="957"/>
      <c r="H3262" s="1032"/>
      <c r="I3262" s="959">
        <f>+I3248</f>
        <v>14570.7</v>
      </c>
    </row>
    <row r="3263" spans="3:9" ht="15.75">
      <c r="C3263" s="956" t="s">
        <v>927</v>
      </c>
      <c r="D3263" s="957"/>
      <c r="E3263" s="958"/>
      <c r="F3263" s="1069"/>
      <c r="G3263" s="957"/>
      <c r="H3263" s="1032"/>
      <c r="I3263" s="959">
        <f>+I3252</f>
        <v>0</v>
      </c>
    </row>
    <row r="3264" spans="3:9" ht="15.75">
      <c r="C3264" s="956" t="s">
        <v>928</v>
      </c>
      <c r="D3264" s="957"/>
      <c r="E3264" s="958"/>
      <c r="F3264" s="1069"/>
      <c r="G3264" s="957"/>
      <c r="H3264" s="1032"/>
      <c r="I3264" s="959">
        <f>+I3256</f>
        <v>0</v>
      </c>
    </row>
    <row r="3265" spans="2:9" ht="15.75">
      <c r="C3265" s="956" t="s">
        <v>929</v>
      </c>
      <c r="D3265" s="957"/>
      <c r="E3265" s="958"/>
      <c r="F3265" s="1069"/>
      <c r="G3265" s="957"/>
      <c r="H3265" s="1032"/>
      <c r="I3265" s="959">
        <f>+I3260</f>
        <v>0</v>
      </c>
    </row>
    <row r="3266" spans="2:9" ht="15.75">
      <c r="C3266" s="949"/>
      <c r="D3266" s="946"/>
      <c r="E3266" s="947"/>
      <c r="F3266" s="1054"/>
      <c r="G3266" s="946"/>
      <c r="H3266" s="1031"/>
      <c r="I3266" s="948"/>
    </row>
    <row r="3267" spans="2:9" ht="15.75">
      <c r="C3267" s="951" t="s">
        <v>930</v>
      </c>
      <c r="D3267" s="960"/>
      <c r="E3267" s="975" t="str">
        <f>+E3244</f>
        <v>UD</v>
      </c>
      <c r="F3267" s="1070"/>
      <c r="G3267" s="960"/>
      <c r="H3267" s="1033"/>
      <c r="I3267" s="952">
        <f>SUM(I3262:I3265)</f>
        <v>14570.7</v>
      </c>
    </row>
    <row r="3268" spans="2:9" ht="15.75">
      <c r="C3268" s="951"/>
      <c r="D3268" s="960"/>
      <c r="E3268" s="943"/>
      <c r="F3268" s="1070"/>
      <c r="G3268" s="960"/>
      <c r="H3268" s="1033"/>
      <c r="I3268" s="952"/>
    </row>
    <row r="3269" spans="2:9" ht="15.75">
      <c r="B3269" s="1026">
        <v>7.1</v>
      </c>
      <c r="C3269" s="937" t="str">
        <f>+Presupuesto!B198</f>
        <v xml:space="preserve">Malla de volleyball </v>
      </c>
      <c r="D3269" s="938"/>
      <c r="E3269" s="962" t="s">
        <v>38</v>
      </c>
      <c r="F3269" s="1066"/>
      <c r="G3269" s="938"/>
      <c r="H3269" s="1029"/>
      <c r="I3269" s="940">
        <f>+I3292</f>
        <v>9078</v>
      </c>
    </row>
    <row r="3270" spans="2:9" ht="15.75">
      <c r="C3270" s="941" t="s">
        <v>908</v>
      </c>
      <c r="D3270" s="942" t="s">
        <v>9</v>
      </c>
      <c r="E3270" s="943" t="s">
        <v>10</v>
      </c>
      <c r="F3270" s="1067" t="s">
        <v>909</v>
      </c>
      <c r="G3270" s="942" t="s">
        <v>910</v>
      </c>
      <c r="H3270" s="1030" t="s">
        <v>911</v>
      </c>
      <c r="I3270" s="944" t="s">
        <v>912</v>
      </c>
    </row>
    <row r="3271" spans="2:9" ht="15.75">
      <c r="C3271" s="945" t="s">
        <v>913</v>
      </c>
      <c r="D3271" s="946"/>
      <c r="E3271" s="947"/>
      <c r="F3271" s="1054"/>
      <c r="G3271" s="946"/>
      <c r="H3271" s="1031"/>
      <c r="I3271" s="948"/>
    </row>
    <row r="3272" spans="2:9" ht="15.75">
      <c r="C3272" s="949" t="s">
        <v>1548</v>
      </c>
      <c r="D3272" s="946">
        <v>1.02</v>
      </c>
      <c r="E3272" s="947" t="str">
        <f>+VLOOKUP(C3272,'Basic (equilibrio) (2)'!B:D,2,FALSE)</f>
        <v>und</v>
      </c>
      <c r="F3272" s="1068">
        <f>'Basic (equilibrio) (2)'!$D$325</f>
        <v>8900</v>
      </c>
      <c r="G3272" s="946">
        <f>F3272-(F3272/1.18)</f>
        <v>1357.63</v>
      </c>
      <c r="H3272" s="1031"/>
      <c r="I3272" s="948">
        <f>D3272*F3272</f>
        <v>9078</v>
      </c>
    </row>
    <row r="3273" spans="2:9" ht="15.75">
      <c r="C3273" s="951" t="s">
        <v>918</v>
      </c>
      <c r="D3273" s="946"/>
      <c r="E3273" s="947"/>
      <c r="F3273" s="1068"/>
      <c r="G3273" s="946"/>
      <c r="H3273" s="1031"/>
      <c r="I3273" s="952">
        <f>SUM(I3272:I3272)</f>
        <v>9078</v>
      </c>
    </row>
    <row r="3274" spans="2:9" ht="15.75">
      <c r="C3274" s="949"/>
      <c r="D3274" s="946"/>
      <c r="E3274" s="947"/>
      <c r="F3274" s="1068"/>
      <c r="G3274" s="946"/>
      <c r="H3274" s="1031"/>
      <c r="I3274" s="948"/>
    </row>
    <row r="3275" spans="2:9" ht="15.75">
      <c r="C3275" s="945" t="s">
        <v>919</v>
      </c>
      <c r="D3275" s="946"/>
      <c r="E3275" s="947"/>
      <c r="F3275" s="1068"/>
      <c r="G3275" s="946"/>
      <c r="H3275" s="1031"/>
      <c r="I3275" s="948"/>
    </row>
    <row r="3276" spans="2:9" ht="15.75">
      <c r="C3276" s="949" t="s">
        <v>924</v>
      </c>
      <c r="D3276" s="953">
        <v>8.33</v>
      </c>
      <c r="E3276" s="954" t="str">
        <f>+VLOOKUP(C3276,'Basic (equilibrio) (2)'!B:D,2,FALSE)</f>
        <v>n/a</v>
      </c>
      <c r="F3276" s="1068">
        <f>+VLOOKUP(C3276,'Basic (equilibrio) (2)'!B:D,3,FALSE)</f>
        <v>0</v>
      </c>
      <c r="G3276" s="946">
        <v>0</v>
      </c>
      <c r="H3276" s="1031"/>
      <c r="I3276" s="948">
        <f>(D3276*F3276)</f>
        <v>0</v>
      </c>
    </row>
    <row r="3277" spans="2:9" ht="15.75">
      <c r="C3277" s="951" t="s">
        <v>918</v>
      </c>
      <c r="D3277" s="946"/>
      <c r="E3277" s="947"/>
      <c r="F3277" s="1054"/>
      <c r="G3277" s="946"/>
      <c r="H3277" s="1031"/>
      <c r="I3277" s="952">
        <f>SUM(I3276:I3276)</f>
        <v>0</v>
      </c>
    </row>
    <row r="3278" spans="2:9" ht="15.75">
      <c r="C3278" s="949"/>
      <c r="D3278" s="946"/>
      <c r="E3278" s="947"/>
      <c r="F3278" s="1054"/>
      <c r="G3278" s="946"/>
      <c r="H3278" s="1031"/>
      <c r="I3278" s="948"/>
    </row>
    <row r="3279" spans="2:9" ht="15.75">
      <c r="C3279" s="945" t="s">
        <v>923</v>
      </c>
      <c r="D3279" s="946"/>
      <c r="E3279" s="947"/>
      <c r="F3279" s="1054"/>
      <c r="G3279" s="946"/>
      <c r="H3279" s="1031"/>
      <c r="I3279" s="948"/>
    </row>
    <row r="3280" spans="2:9" ht="15.75">
      <c r="C3280" s="949" t="s">
        <v>924</v>
      </c>
      <c r="D3280" s="946"/>
      <c r="E3280" s="947" t="str">
        <f>+VLOOKUP(C3280,'Basic (equilibrio) (2)'!B:D,2,FALSE)</f>
        <v>n/a</v>
      </c>
      <c r="F3280" s="1054">
        <f>+VLOOKUP(C3280,'Basic (equilibrio) (2)'!B:D,3,FALSE)</f>
        <v>0</v>
      </c>
      <c r="G3280" s="946">
        <f>F3280-(F3280/1.18)</f>
        <v>0</v>
      </c>
      <c r="H3280" s="1039"/>
      <c r="I3280" s="955">
        <f>D3280*F3280</f>
        <v>0</v>
      </c>
    </row>
    <row r="3281" spans="2:9" ht="15.75">
      <c r="C3281" s="951" t="s">
        <v>918</v>
      </c>
      <c r="D3281" s="946"/>
      <c r="E3281" s="947"/>
      <c r="F3281" s="1054"/>
      <c r="G3281" s="946"/>
      <c r="H3281" s="1031"/>
      <c r="I3281" s="952">
        <f>SUM(I3280:I3280)</f>
        <v>0</v>
      </c>
    </row>
    <row r="3282" spans="2:9" ht="15.75">
      <c r="C3282" s="949"/>
      <c r="D3282" s="946"/>
      <c r="E3282" s="947"/>
      <c r="F3282" s="1054"/>
      <c r="G3282" s="946"/>
      <c r="H3282" s="1031"/>
      <c r="I3282" s="948"/>
    </row>
    <row r="3283" spans="2:9" ht="15.75">
      <c r="C3283" s="945" t="s">
        <v>925</v>
      </c>
      <c r="D3283" s="946"/>
      <c r="E3283" s="947"/>
      <c r="F3283" s="1054"/>
      <c r="G3283" s="946"/>
      <c r="H3283" s="1031"/>
      <c r="I3283" s="948"/>
    </row>
    <row r="3284" spans="2:9" ht="15.75">
      <c r="C3284" s="949" t="s">
        <v>924</v>
      </c>
      <c r="D3284" s="946"/>
      <c r="E3284" s="947" t="str">
        <f>+VLOOKUP(C3284,'Basic (equilibrio) (2)'!B:D,2,FALSE)</f>
        <v>n/a</v>
      </c>
      <c r="F3284" s="1054">
        <f>+VLOOKUP(C3284,'Basic (equilibrio) (2)'!B:D,3,FALSE)</f>
        <v>0</v>
      </c>
      <c r="G3284" s="946"/>
      <c r="H3284" s="1031"/>
      <c r="I3284" s="948">
        <f>D3284*F3284</f>
        <v>0</v>
      </c>
    </row>
    <row r="3285" spans="2:9" ht="15.75">
      <c r="C3285" s="951" t="s">
        <v>918</v>
      </c>
      <c r="D3285" s="946"/>
      <c r="E3285" s="947"/>
      <c r="F3285" s="1054"/>
      <c r="G3285" s="946"/>
      <c r="H3285" s="1031"/>
      <c r="I3285" s="952">
        <f>SUM(I3284)</f>
        <v>0</v>
      </c>
    </row>
    <row r="3286" spans="2:9" ht="15.75">
      <c r="C3286" s="951"/>
      <c r="D3286" s="946"/>
      <c r="E3286" s="947"/>
      <c r="F3286" s="1054"/>
      <c r="G3286" s="946"/>
      <c r="H3286" s="1031"/>
      <c r="I3286" s="952"/>
    </row>
    <row r="3287" spans="2:9" ht="15.75">
      <c r="C3287" s="956" t="s">
        <v>926</v>
      </c>
      <c r="D3287" s="957"/>
      <c r="E3287" s="958"/>
      <c r="F3287" s="1069"/>
      <c r="G3287" s="957"/>
      <c r="H3287" s="1032"/>
      <c r="I3287" s="959">
        <f>+I3273</f>
        <v>9078</v>
      </c>
    </row>
    <row r="3288" spans="2:9" ht="15.75">
      <c r="C3288" s="956" t="s">
        <v>927</v>
      </c>
      <c r="D3288" s="957"/>
      <c r="E3288" s="958"/>
      <c r="F3288" s="1069"/>
      <c r="G3288" s="957"/>
      <c r="H3288" s="1032"/>
      <c r="I3288" s="959">
        <f>+I3277</f>
        <v>0</v>
      </c>
    </row>
    <row r="3289" spans="2:9" ht="15.75">
      <c r="C3289" s="956" t="s">
        <v>928</v>
      </c>
      <c r="D3289" s="957"/>
      <c r="E3289" s="958"/>
      <c r="F3289" s="1069"/>
      <c r="G3289" s="957"/>
      <c r="H3289" s="1032"/>
      <c r="I3289" s="959">
        <f>+I3281</f>
        <v>0</v>
      </c>
    </row>
    <row r="3290" spans="2:9" ht="15.75">
      <c r="C3290" s="956" t="s">
        <v>929</v>
      </c>
      <c r="D3290" s="957"/>
      <c r="E3290" s="958"/>
      <c r="F3290" s="1069"/>
      <c r="G3290" s="957"/>
      <c r="H3290" s="1032"/>
      <c r="I3290" s="959">
        <f>+I3285</f>
        <v>0</v>
      </c>
    </row>
    <row r="3291" spans="2:9" ht="15.75">
      <c r="C3291" s="949"/>
      <c r="D3291" s="946"/>
      <c r="E3291" s="947"/>
      <c r="F3291" s="1054"/>
      <c r="G3291" s="946"/>
      <c r="H3291" s="1031"/>
      <c r="I3291" s="948"/>
    </row>
    <row r="3292" spans="2:9" ht="15.75">
      <c r="C3292" s="951" t="s">
        <v>930</v>
      </c>
      <c r="D3292" s="960"/>
      <c r="E3292" s="975" t="str">
        <f>+E3269</f>
        <v>UD</v>
      </c>
      <c r="F3292" s="1070"/>
      <c r="G3292" s="960"/>
      <c r="H3292" s="1033"/>
      <c r="I3292" s="952">
        <f>SUM(I3287:I3290)</f>
        <v>9078</v>
      </c>
    </row>
    <row r="3293" spans="2:9" ht="15.75">
      <c r="C3293" s="951"/>
      <c r="D3293" s="960"/>
      <c r="E3293" s="943"/>
      <c r="F3293" s="1070"/>
      <c r="G3293" s="960"/>
      <c r="H3293" s="1033"/>
      <c r="I3293" s="952"/>
    </row>
    <row r="3294" spans="2:9" ht="15.75">
      <c r="C3294" s="951"/>
      <c r="D3294" s="960"/>
      <c r="E3294" s="943"/>
      <c r="F3294" s="1070"/>
      <c r="G3294" s="960"/>
      <c r="H3294" s="1033"/>
      <c r="I3294" s="952"/>
    </row>
    <row r="3295" spans="2:9" ht="15.75">
      <c r="B3295" s="1026">
        <v>8.1</v>
      </c>
      <c r="C3295" s="937" t="str">
        <f>+Presupuesto!B201</f>
        <v xml:space="preserve">Pintura acrílica en columnas </v>
      </c>
      <c r="D3295" s="938"/>
      <c r="E3295" s="962" t="s">
        <v>20</v>
      </c>
      <c r="F3295" s="1066"/>
      <c r="G3295" s="938"/>
      <c r="H3295" s="1029"/>
      <c r="I3295" s="940">
        <f>+I3320</f>
        <v>168.48</v>
      </c>
    </row>
    <row r="3296" spans="2:9" ht="15.75">
      <c r="C3296" s="941" t="s">
        <v>908</v>
      </c>
      <c r="D3296" s="942" t="s">
        <v>9</v>
      </c>
      <c r="E3296" s="943" t="s">
        <v>10</v>
      </c>
      <c r="F3296" s="1067" t="s">
        <v>909</v>
      </c>
      <c r="G3296" s="942" t="s">
        <v>910</v>
      </c>
      <c r="H3296" s="1030" t="s">
        <v>911</v>
      </c>
      <c r="I3296" s="944" t="s">
        <v>912</v>
      </c>
    </row>
    <row r="3297" spans="3:9" ht="15.75">
      <c r="C3297" s="945" t="s">
        <v>913</v>
      </c>
      <c r="D3297" s="946"/>
      <c r="E3297" s="947"/>
      <c r="F3297" s="1054"/>
      <c r="G3297" s="946"/>
      <c r="H3297" s="1031"/>
      <c r="I3297" s="948"/>
    </row>
    <row r="3298" spans="3:9" ht="15.75">
      <c r="C3298" s="949" t="s">
        <v>1208</v>
      </c>
      <c r="D3298" s="946">
        <v>0.08</v>
      </c>
      <c r="E3298" s="947" t="s">
        <v>1183</v>
      </c>
      <c r="F3298" s="1068">
        <f>'Basic (equilibrio) (2)'!$D$311</f>
        <v>963.5</v>
      </c>
      <c r="G3298" s="946">
        <f>F3298-(F3298/1.18)</f>
        <v>146.97</v>
      </c>
      <c r="H3298" s="1031"/>
      <c r="I3298" s="948">
        <f>D3298*F3298</f>
        <v>77.08</v>
      </c>
    </row>
    <row r="3299" spans="3:9" ht="15.75">
      <c r="C3299" s="949" t="s">
        <v>1209</v>
      </c>
      <c r="D3299" s="946">
        <v>82</v>
      </c>
      <c r="E3299" s="947" t="s">
        <v>1025</v>
      </c>
      <c r="F3299" s="1068">
        <v>0.2</v>
      </c>
      <c r="G3299" s="946">
        <f>F3299-(F3299/1.18)</f>
        <v>0.03</v>
      </c>
      <c r="H3299" s="1031"/>
      <c r="I3299" s="948">
        <f>D3299*F3299</f>
        <v>16.399999999999999</v>
      </c>
    </row>
    <row r="3300" spans="3:9" ht="15.75">
      <c r="C3300" s="951" t="s">
        <v>918</v>
      </c>
      <c r="D3300" s="946"/>
      <c r="E3300" s="947"/>
      <c r="F3300" s="1068"/>
      <c r="G3300" s="946"/>
      <c r="H3300" s="1031"/>
      <c r="I3300" s="952">
        <f>SUM(I3298:I3299)</f>
        <v>93.48</v>
      </c>
    </row>
    <row r="3301" spans="3:9" ht="15.75">
      <c r="C3301" s="949"/>
      <c r="D3301" s="946"/>
      <c r="E3301" s="947"/>
      <c r="F3301" s="1068"/>
      <c r="G3301" s="946"/>
      <c r="H3301" s="1031"/>
      <c r="I3301" s="948"/>
    </row>
    <row r="3302" spans="3:9" ht="15.75">
      <c r="C3302" s="945" t="s">
        <v>919</v>
      </c>
      <c r="D3302" s="946"/>
      <c r="E3302" s="947"/>
      <c r="F3302" s="1068"/>
      <c r="G3302" s="946"/>
      <c r="H3302" s="1031"/>
      <c r="I3302" s="948"/>
    </row>
    <row r="3303" spans="3:9" ht="15.75">
      <c r="C3303" s="949" t="s">
        <v>1083</v>
      </c>
      <c r="D3303" s="953">
        <v>1</v>
      </c>
      <c r="E3303" s="954" t="str">
        <f>+VLOOKUP(C3303,'Basic (equilibrio) (2)'!B:D,2,FALSE)</f>
        <v>m2</v>
      </c>
      <c r="F3303" s="1068">
        <f>'Basic (equilibrio) (2)'!$D$34</f>
        <v>10</v>
      </c>
      <c r="G3303" s="946">
        <v>0</v>
      </c>
      <c r="H3303" s="1031"/>
      <c r="I3303" s="948">
        <f>(D3303*F3303)</f>
        <v>10</v>
      </c>
    </row>
    <row r="3304" spans="3:9" ht="15.75">
      <c r="C3304" s="949" t="s">
        <v>1084</v>
      </c>
      <c r="D3304" s="953">
        <v>1</v>
      </c>
      <c r="E3304" s="954" t="str">
        <f>+VLOOKUP(C3304,'Basic (equilibrio) (2)'!B:D,2,FALSE)</f>
        <v>m2</v>
      </c>
      <c r="F3304" s="1068">
        <f>'Basic (equilibrio) (2)'!$D$35</f>
        <v>65</v>
      </c>
      <c r="G3304" s="946">
        <v>0</v>
      </c>
      <c r="H3304" s="1031"/>
      <c r="I3304" s="948">
        <f>(D3304*F3304)</f>
        <v>65</v>
      </c>
    </row>
    <row r="3305" spans="3:9" ht="15.75">
      <c r="C3305" s="951" t="s">
        <v>918</v>
      </c>
      <c r="D3305" s="946"/>
      <c r="E3305" s="947"/>
      <c r="F3305" s="1054"/>
      <c r="G3305" s="946"/>
      <c r="H3305" s="1031"/>
      <c r="I3305" s="952">
        <f>SUM(I3303:I3304)</f>
        <v>75</v>
      </c>
    </row>
    <row r="3306" spans="3:9" ht="15.75">
      <c r="C3306" s="949"/>
      <c r="D3306" s="946"/>
      <c r="E3306" s="947"/>
      <c r="F3306" s="1054"/>
      <c r="G3306" s="946"/>
      <c r="H3306" s="1031"/>
      <c r="I3306" s="948"/>
    </row>
    <row r="3307" spans="3:9" ht="15.75">
      <c r="C3307" s="945" t="s">
        <v>923</v>
      </c>
      <c r="D3307" s="946"/>
      <c r="E3307" s="947"/>
      <c r="F3307" s="1054"/>
      <c r="G3307" s="946"/>
      <c r="H3307" s="1031"/>
      <c r="I3307" s="948"/>
    </row>
    <row r="3308" spans="3:9" ht="15.75">
      <c r="C3308" s="949" t="s">
        <v>924</v>
      </c>
      <c r="D3308" s="946"/>
      <c r="E3308" s="947" t="str">
        <f>+VLOOKUP(C3308,'Basic (equilibrio) (2)'!B:D,2,FALSE)</f>
        <v>n/a</v>
      </c>
      <c r="F3308" s="1054">
        <f>+VLOOKUP(C3308,'Basic (equilibrio) (2)'!B:D,3,FALSE)</f>
        <v>0</v>
      </c>
      <c r="G3308" s="946">
        <f>F3308-(F3308/1.18)</f>
        <v>0</v>
      </c>
      <c r="H3308" s="1039"/>
      <c r="I3308" s="955">
        <f>D3308*F3308</f>
        <v>0</v>
      </c>
    </row>
    <row r="3309" spans="3:9" ht="15.75">
      <c r="C3309" s="951" t="s">
        <v>918</v>
      </c>
      <c r="D3309" s="946"/>
      <c r="E3309" s="947"/>
      <c r="F3309" s="1054"/>
      <c r="G3309" s="946"/>
      <c r="H3309" s="1031"/>
      <c r="I3309" s="952">
        <f>SUM(I3308:I3308)</f>
        <v>0</v>
      </c>
    </row>
    <row r="3310" spans="3:9" ht="15.75">
      <c r="C3310" s="949"/>
      <c r="D3310" s="946"/>
      <c r="E3310" s="947"/>
      <c r="F3310" s="1054"/>
      <c r="G3310" s="946"/>
      <c r="H3310" s="1031"/>
      <c r="I3310" s="948"/>
    </row>
    <row r="3311" spans="3:9" ht="15.75">
      <c r="C3311" s="945" t="s">
        <v>925</v>
      </c>
      <c r="D3311" s="946"/>
      <c r="E3311" s="947"/>
      <c r="F3311" s="1054"/>
      <c r="G3311" s="946"/>
      <c r="H3311" s="1031"/>
      <c r="I3311" s="948"/>
    </row>
    <row r="3312" spans="3:9" ht="15.75">
      <c r="C3312" s="949" t="s">
        <v>924</v>
      </c>
      <c r="D3312" s="946"/>
      <c r="E3312" s="947" t="str">
        <f>+VLOOKUP(C3312,'Basic (equilibrio) (2)'!B:D,2,FALSE)</f>
        <v>n/a</v>
      </c>
      <c r="F3312" s="1054">
        <f>+VLOOKUP(C3312,'Basic (equilibrio) (2)'!B:D,3,FALSE)</f>
        <v>0</v>
      </c>
      <c r="G3312" s="946"/>
      <c r="H3312" s="1031"/>
      <c r="I3312" s="948">
        <f>D3312*F3312</f>
        <v>0</v>
      </c>
    </row>
    <row r="3313" spans="2:9" ht="15.75">
      <c r="C3313" s="951" t="s">
        <v>918</v>
      </c>
      <c r="D3313" s="946"/>
      <c r="E3313" s="947"/>
      <c r="F3313" s="1054"/>
      <c r="G3313" s="946"/>
      <c r="H3313" s="1031"/>
      <c r="I3313" s="952">
        <f>SUM(I3312)</f>
        <v>0</v>
      </c>
    </row>
    <row r="3314" spans="2:9" ht="15.75">
      <c r="C3314" s="951"/>
      <c r="D3314" s="946"/>
      <c r="E3314" s="947"/>
      <c r="F3314" s="1054"/>
      <c r="G3314" s="946"/>
      <c r="H3314" s="1031"/>
      <c r="I3314" s="952"/>
    </row>
    <row r="3315" spans="2:9" ht="15.75">
      <c r="C3315" s="956" t="s">
        <v>926</v>
      </c>
      <c r="D3315" s="957"/>
      <c r="E3315" s="958"/>
      <c r="F3315" s="1069"/>
      <c r="G3315" s="957"/>
      <c r="H3315" s="1032"/>
      <c r="I3315" s="959">
        <f>+I3300</f>
        <v>93.48</v>
      </c>
    </row>
    <row r="3316" spans="2:9" ht="15.75">
      <c r="C3316" s="956" t="s">
        <v>927</v>
      </c>
      <c r="D3316" s="957"/>
      <c r="E3316" s="958"/>
      <c r="F3316" s="1069"/>
      <c r="G3316" s="957"/>
      <c r="H3316" s="1032"/>
      <c r="I3316" s="959">
        <f>+I3305</f>
        <v>75</v>
      </c>
    </row>
    <row r="3317" spans="2:9" ht="15.75">
      <c r="C3317" s="956" t="s">
        <v>928</v>
      </c>
      <c r="D3317" s="957"/>
      <c r="E3317" s="958"/>
      <c r="F3317" s="1069"/>
      <c r="G3317" s="957"/>
      <c r="H3317" s="1032"/>
      <c r="I3317" s="959">
        <f>+I3309</f>
        <v>0</v>
      </c>
    </row>
    <row r="3318" spans="2:9" ht="15.75">
      <c r="C3318" s="956" t="s">
        <v>929</v>
      </c>
      <c r="D3318" s="957"/>
      <c r="E3318" s="958"/>
      <c r="F3318" s="1069"/>
      <c r="G3318" s="957"/>
      <c r="H3318" s="1032"/>
      <c r="I3318" s="959">
        <f>+I3313</f>
        <v>0</v>
      </c>
    </row>
    <row r="3319" spans="2:9" ht="15.75">
      <c r="C3319" s="949"/>
      <c r="D3319" s="946"/>
      <c r="E3319" s="947"/>
      <c r="F3319" s="1054"/>
      <c r="G3319" s="946"/>
      <c r="H3319" s="1031"/>
      <c r="I3319" s="948"/>
    </row>
    <row r="3320" spans="2:9" ht="15.75">
      <c r="C3320" s="951" t="s">
        <v>930</v>
      </c>
      <c r="D3320" s="960"/>
      <c r="E3320" s="975" t="str">
        <f>+E3295</f>
        <v>M2</v>
      </c>
      <c r="F3320" s="1070"/>
      <c r="G3320" s="960"/>
      <c r="H3320" s="1033"/>
      <c r="I3320" s="952">
        <f>SUM(I3315:I3318)</f>
        <v>168.48</v>
      </c>
    </row>
    <row r="3321" spans="2:9" ht="15.75">
      <c r="C3321" s="951"/>
      <c r="D3321" s="960"/>
      <c r="E3321" s="943"/>
      <c r="F3321" s="1070"/>
      <c r="G3321" s="960"/>
      <c r="H3321" s="1033"/>
      <c r="I3321" s="952"/>
    </row>
    <row r="3322" spans="2:9" ht="33.75" customHeight="1">
      <c r="B3322" s="1026">
        <v>8.1999999999999993</v>
      </c>
      <c r="C3322" s="937" t="str">
        <f>+Presupuesto!B202</f>
        <v>Pintura a base de aceite especial antideslizante para piso de canchas, color rojo positivo</v>
      </c>
      <c r="D3322" s="938"/>
      <c r="E3322" s="962" t="s">
        <v>20</v>
      </c>
      <c r="F3322" s="1066"/>
      <c r="G3322" s="938"/>
      <c r="H3322" s="1029"/>
      <c r="I3322" s="940">
        <f>+I3346</f>
        <v>382.42</v>
      </c>
    </row>
    <row r="3323" spans="2:9" ht="15.75">
      <c r="C3323" s="941" t="s">
        <v>908</v>
      </c>
      <c r="D3323" s="942" t="s">
        <v>9</v>
      </c>
      <c r="E3323" s="943" t="s">
        <v>10</v>
      </c>
      <c r="F3323" s="1067" t="s">
        <v>909</v>
      </c>
      <c r="G3323" s="942" t="s">
        <v>910</v>
      </c>
      <c r="H3323" s="1030" t="s">
        <v>911</v>
      </c>
      <c r="I3323" s="944" t="s">
        <v>912</v>
      </c>
    </row>
    <row r="3324" spans="2:9" ht="15.75">
      <c r="C3324" s="945" t="s">
        <v>913</v>
      </c>
      <c r="D3324" s="946"/>
      <c r="E3324" s="947"/>
      <c r="F3324" s="1054"/>
      <c r="G3324" s="946"/>
      <c r="H3324" s="1031"/>
      <c r="I3324" s="948"/>
    </row>
    <row r="3325" spans="2:9" ht="15.75">
      <c r="C3325" s="949" t="s">
        <v>1551</v>
      </c>
      <c r="D3325" s="946">
        <v>0.13</v>
      </c>
      <c r="E3325" s="947" t="s">
        <v>1183</v>
      </c>
      <c r="F3325" s="1068">
        <f>'Basic (equilibrio) (2)'!$D$323</f>
        <v>1895</v>
      </c>
      <c r="G3325" s="946">
        <f>F3325-(F3325/1.18)</f>
        <v>289.07</v>
      </c>
      <c r="H3325" s="1031"/>
      <c r="I3325" s="948">
        <f>D3325*F3325</f>
        <v>246.35</v>
      </c>
    </row>
    <row r="3326" spans="2:9" ht="15.75">
      <c r="C3326" s="949" t="s">
        <v>1209</v>
      </c>
      <c r="D3326" s="946">
        <f>+I3325</f>
        <v>246.35</v>
      </c>
      <c r="E3326" s="947" t="s">
        <v>1025</v>
      </c>
      <c r="F3326" s="1068">
        <v>0.2</v>
      </c>
      <c r="G3326" s="946">
        <f>F3326-(F3326/1.18)</f>
        <v>0.03</v>
      </c>
      <c r="H3326" s="1031"/>
      <c r="I3326" s="948">
        <f>D3326*F3326</f>
        <v>49.27</v>
      </c>
    </row>
    <row r="3327" spans="2:9" ht="15.75">
      <c r="C3327" s="951" t="s">
        <v>918</v>
      </c>
      <c r="D3327" s="946"/>
      <c r="E3327" s="947"/>
      <c r="F3327" s="1068"/>
      <c r="G3327" s="946"/>
      <c r="H3327" s="1031"/>
      <c r="I3327" s="952">
        <f>SUM(I3325:I3326)</f>
        <v>295.62</v>
      </c>
    </row>
    <row r="3328" spans="2:9" ht="15.75">
      <c r="C3328" s="949"/>
      <c r="D3328" s="946"/>
      <c r="E3328" s="947"/>
      <c r="F3328" s="1068"/>
      <c r="G3328" s="946"/>
      <c r="H3328" s="1031"/>
      <c r="I3328" s="948"/>
    </row>
    <row r="3329" spans="3:9" ht="15.75">
      <c r="C3329" s="945" t="s">
        <v>919</v>
      </c>
      <c r="D3329" s="946"/>
      <c r="E3329" s="947"/>
      <c r="F3329" s="1068"/>
      <c r="G3329" s="946"/>
      <c r="H3329" s="1031"/>
      <c r="I3329" s="948"/>
    </row>
    <row r="3330" spans="3:9" ht="15.75">
      <c r="C3330" s="949" t="s">
        <v>1140</v>
      </c>
      <c r="D3330" s="953">
        <v>1</v>
      </c>
      <c r="E3330" s="954" t="str">
        <f>+VLOOKUP(C3330,'Basic (equilibrio) (2)'!B:D,2,FALSE)</f>
        <v>m2</v>
      </c>
      <c r="F3330" s="1068">
        <f>'Basic (equilibrio) (2)'!$D$50</f>
        <v>86.8</v>
      </c>
      <c r="G3330" s="946">
        <v>0</v>
      </c>
      <c r="H3330" s="1031"/>
      <c r="I3330" s="948">
        <f>(D3330*F3330)</f>
        <v>86.8</v>
      </c>
    </row>
    <row r="3331" spans="3:9" ht="15.75">
      <c r="C3331" s="951" t="s">
        <v>918</v>
      </c>
      <c r="D3331" s="946"/>
      <c r="E3331" s="947"/>
      <c r="F3331" s="1054"/>
      <c r="G3331" s="946"/>
      <c r="H3331" s="1031"/>
      <c r="I3331" s="952">
        <f>SUM(I3330:I3330)</f>
        <v>86.8</v>
      </c>
    </row>
    <row r="3332" spans="3:9" ht="15.75">
      <c r="C3332" s="949"/>
      <c r="D3332" s="946"/>
      <c r="E3332" s="947"/>
      <c r="F3332" s="1054"/>
      <c r="G3332" s="946"/>
      <c r="H3332" s="1031"/>
      <c r="I3332" s="948"/>
    </row>
    <row r="3333" spans="3:9" ht="15.75">
      <c r="C3333" s="945" t="s">
        <v>923</v>
      </c>
      <c r="D3333" s="946"/>
      <c r="E3333" s="947"/>
      <c r="F3333" s="1054"/>
      <c r="G3333" s="946"/>
      <c r="H3333" s="1031"/>
      <c r="I3333" s="948"/>
    </row>
    <row r="3334" spans="3:9" ht="15.75">
      <c r="C3334" s="949" t="s">
        <v>924</v>
      </c>
      <c r="D3334" s="946"/>
      <c r="E3334" s="947" t="str">
        <f>+VLOOKUP(C3334,'Basic (equilibrio) (2)'!B:D,2,FALSE)</f>
        <v>n/a</v>
      </c>
      <c r="F3334" s="1054">
        <f>+VLOOKUP(C3334,'Basic (equilibrio) (2)'!B:D,3,FALSE)</f>
        <v>0</v>
      </c>
      <c r="G3334" s="946">
        <f>F3334-(F3334/1.18)</f>
        <v>0</v>
      </c>
      <c r="H3334" s="1039"/>
      <c r="I3334" s="955">
        <f>D3334*F3334</f>
        <v>0</v>
      </c>
    </row>
    <row r="3335" spans="3:9" ht="15.75">
      <c r="C3335" s="951" t="s">
        <v>918</v>
      </c>
      <c r="D3335" s="946"/>
      <c r="E3335" s="947"/>
      <c r="F3335" s="1054"/>
      <c r="G3335" s="946"/>
      <c r="H3335" s="1031"/>
      <c r="I3335" s="952">
        <f>SUM(I3334:I3334)</f>
        <v>0</v>
      </c>
    </row>
    <row r="3336" spans="3:9" ht="15.75">
      <c r="C3336" s="949"/>
      <c r="D3336" s="946"/>
      <c r="E3336" s="947"/>
      <c r="F3336" s="1054"/>
      <c r="G3336" s="946"/>
      <c r="H3336" s="1031"/>
      <c r="I3336" s="948"/>
    </row>
    <row r="3337" spans="3:9" ht="15.75">
      <c r="C3337" s="945" t="s">
        <v>925</v>
      </c>
      <c r="D3337" s="946"/>
      <c r="E3337" s="947"/>
      <c r="F3337" s="1054"/>
      <c r="G3337" s="946"/>
      <c r="H3337" s="1031"/>
      <c r="I3337" s="948"/>
    </row>
    <row r="3338" spans="3:9" ht="15.75">
      <c r="C3338" s="949" t="s">
        <v>924</v>
      </c>
      <c r="D3338" s="946"/>
      <c r="E3338" s="947" t="str">
        <f>+VLOOKUP(C3338,'Basic (equilibrio) (2)'!B:D,2,FALSE)</f>
        <v>n/a</v>
      </c>
      <c r="F3338" s="1054">
        <f>+VLOOKUP(C3338,'Basic (equilibrio) (2)'!B:D,3,FALSE)</f>
        <v>0</v>
      </c>
      <c r="G3338" s="946"/>
      <c r="H3338" s="1031"/>
      <c r="I3338" s="948">
        <f>D3338*F3338</f>
        <v>0</v>
      </c>
    </row>
    <row r="3339" spans="3:9" ht="15.75">
      <c r="C3339" s="951" t="s">
        <v>918</v>
      </c>
      <c r="D3339" s="946"/>
      <c r="E3339" s="947"/>
      <c r="F3339" s="1054"/>
      <c r="G3339" s="946"/>
      <c r="H3339" s="1031"/>
      <c r="I3339" s="952">
        <f>SUM(I3338)</f>
        <v>0</v>
      </c>
    </row>
    <row r="3340" spans="3:9" ht="15.75">
      <c r="C3340" s="951"/>
      <c r="D3340" s="946"/>
      <c r="E3340" s="947"/>
      <c r="F3340" s="1054"/>
      <c r="G3340" s="946"/>
      <c r="H3340" s="1031"/>
      <c r="I3340" s="952"/>
    </row>
    <row r="3341" spans="3:9" ht="15.75">
      <c r="C3341" s="956" t="s">
        <v>926</v>
      </c>
      <c r="D3341" s="957"/>
      <c r="E3341" s="958"/>
      <c r="F3341" s="1069"/>
      <c r="G3341" s="957"/>
      <c r="H3341" s="1032"/>
      <c r="I3341" s="959">
        <f>+I3327</f>
        <v>295.62</v>
      </c>
    </row>
    <row r="3342" spans="3:9" ht="15.75">
      <c r="C3342" s="956" t="s">
        <v>927</v>
      </c>
      <c r="D3342" s="957"/>
      <c r="E3342" s="958"/>
      <c r="F3342" s="1069"/>
      <c r="G3342" s="957"/>
      <c r="H3342" s="1032"/>
      <c r="I3342" s="959">
        <f>+I3331</f>
        <v>86.8</v>
      </c>
    </row>
    <row r="3343" spans="3:9" ht="15.75">
      <c r="C3343" s="956" t="s">
        <v>928</v>
      </c>
      <c r="D3343" s="957"/>
      <c r="E3343" s="958"/>
      <c r="F3343" s="1069"/>
      <c r="G3343" s="957"/>
      <c r="H3343" s="1032"/>
      <c r="I3343" s="959">
        <f>+I3335</f>
        <v>0</v>
      </c>
    </row>
    <row r="3344" spans="3:9" ht="15.75">
      <c r="C3344" s="956" t="s">
        <v>929</v>
      </c>
      <c r="D3344" s="957"/>
      <c r="E3344" s="958"/>
      <c r="F3344" s="1069"/>
      <c r="G3344" s="957"/>
      <c r="H3344" s="1032"/>
      <c r="I3344" s="959">
        <f>+I3339</f>
        <v>0</v>
      </c>
    </row>
    <row r="3345" spans="2:9" ht="15.75">
      <c r="C3345" s="949"/>
      <c r="D3345" s="946"/>
      <c r="E3345" s="947"/>
      <c r="F3345" s="1054"/>
      <c r="G3345" s="946"/>
      <c r="H3345" s="1031"/>
      <c r="I3345" s="948"/>
    </row>
    <row r="3346" spans="2:9" ht="15.75">
      <c r="C3346" s="951" t="s">
        <v>930</v>
      </c>
      <c r="D3346" s="960"/>
      <c r="E3346" s="975" t="str">
        <f>+E3322</f>
        <v>M2</v>
      </c>
      <c r="F3346" s="1070"/>
      <c r="G3346" s="960"/>
      <c r="H3346" s="1033"/>
      <c r="I3346" s="952">
        <f>SUM(I3341:I3344)</f>
        <v>382.42</v>
      </c>
    </row>
    <row r="3347" spans="2:9" ht="15.75">
      <c r="C3347" s="951"/>
      <c r="D3347" s="960"/>
      <c r="E3347" s="943"/>
      <c r="F3347" s="1070"/>
      <c r="G3347" s="960"/>
      <c r="H3347" s="1033"/>
      <c r="I3347" s="952"/>
    </row>
    <row r="3348" spans="2:9" ht="33.75" customHeight="1">
      <c r="B3348" s="1026">
        <v>8.3000000000000007</v>
      </c>
      <c r="C3348" s="937" t="str">
        <f>+Presupuesto!B203</f>
        <v>Pintura a base de aceite especial antideslizante para piso de canchas, color verde</v>
      </c>
      <c r="D3348" s="938"/>
      <c r="E3348" s="962" t="s">
        <v>20</v>
      </c>
      <c r="F3348" s="1066"/>
      <c r="G3348" s="938"/>
      <c r="H3348" s="1029"/>
      <c r="I3348" s="940">
        <f>+I3372</f>
        <v>382.42</v>
      </c>
    </row>
    <row r="3349" spans="2:9" ht="15.75">
      <c r="C3349" s="941" t="s">
        <v>908</v>
      </c>
      <c r="D3349" s="942" t="s">
        <v>9</v>
      </c>
      <c r="E3349" s="943" t="s">
        <v>10</v>
      </c>
      <c r="F3349" s="1067" t="s">
        <v>909</v>
      </c>
      <c r="G3349" s="942" t="s">
        <v>910</v>
      </c>
      <c r="H3349" s="1030" t="s">
        <v>911</v>
      </c>
      <c r="I3349" s="944" t="s">
        <v>912</v>
      </c>
    </row>
    <row r="3350" spans="2:9" ht="15.75">
      <c r="C3350" s="945" t="s">
        <v>913</v>
      </c>
      <c r="D3350" s="946"/>
      <c r="E3350" s="947"/>
      <c r="F3350" s="1054"/>
      <c r="G3350" s="946"/>
      <c r="H3350" s="1031"/>
      <c r="I3350" s="948"/>
    </row>
    <row r="3351" spans="2:9" ht="15.75">
      <c r="C3351" s="949" t="s">
        <v>1550</v>
      </c>
      <c r="D3351" s="946">
        <v>0.13</v>
      </c>
      <c r="E3351" s="947" t="s">
        <v>1183</v>
      </c>
      <c r="F3351" s="1068">
        <f>'Basic (equilibrio) (2)'!$D$322</f>
        <v>1895</v>
      </c>
      <c r="G3351" s="946">
        <f>F3351-(F3351/1.18)</f>
        <v>289.07</v>
      </c>
      <c r="H3351" s="1031"/>
      <c r="I3351" s="948">
        <f>D3351*F3351</f>
        <v>246.35</v>
      </c>
    </row>
    <row r="3352" spans="2:9" ht="15.75">
      <c r="C3352" s="949" t="s">
        <v>1209</v>
      </c>
      <c r="D3352" s="946">
        <f>+I3351</f>
        <v>246.35</v>
      </c>
      <c r="E3352" s="947" t="s">
        <v>1025</v>
      </c>
      <c r="F3352" s="1068">
        <v>0.2</v>
      </c>
      <c r="G3352" s="946">
        <f>F3352-(F3352/1.18)</f>
        <v>0.03</v>
      </c>
      <c r="H3352" s="1031"/>
      <c r="I3352" s="948">
        <f>D3352*F3352</f>
        <v>49.27</v>
      </c>
    </row>
    <row r="3353" spans="2:9" ht="15.75">
      <c r="C3353" s="951" t="s">
        <v>918</v>
      </c>
      <c r="D3353" s="946"/>
      <c r="E3353" s="947"/>
      <c r="F3353" s="1068"/>
      <c r="G3353" s="946"/>
      <c r="H3353" s="1031"/>
      <c r="I3353" s="952">
        <f>SUM(I3351:I3352)</f>
        <v>295.62</v>
      </c>
    </row>
    <row r="3354" spans="2:9" ht="15.75">
      <c r="C3354" s="949"/>
      <c r="D3354" s="946"/>
      <c r="E3354" s="947"/>
      <c r="F3354" s="1068"/>
      <c r="G3354" s="946"/>
      <c r="H3354" s="1031"/>
      <c r="I3354" s="948"/>
    </row>
    <row r="3355" spans="2:9" ht="15.75">
      <c r="C3355" s="945" t="s">
        <v>919</v>
      </c>
      <c r="D3355" s="946"/>
      <c r="E3355" s="947"/>
      <c r="F3355" s="1068"/>
      <c r="G3355" s="946"/>
      <c r="H3355" s="1031"/>
      <c r="I3355" s="948"/>
    </row>
    <row r="3356" spans="2:9" ht="15.75">
      <c r="C3356" s="949" t="s">
        <v>1140</v>
      </c>
      <c r="D3356" s="953">
        <v>1</v>
      </c>
      <c r="E3356" s="954" t="str">
        <f>+VLOOKUP(C3356,'Basic (equilibrio) (2)'!B:D,2,FALSE)</f>
        <v>m2</v>
      </c>
      <c r="F3356" s="1068">
        <f>'Basic (equilibrio) (2)'!$D$50</f>
        <v>86.8</v>
      </c>
      <c r="G3356" s="946">
        <v>0</v>
      </c>
      <c r="H3356" s="1031"/>
      <c r="I3356" s="948">
        <f>(D3356*F3356)</f>
        <v>86.8</v>
      </c>
    </row>
    <row r="3357" spans="2:9" ht="15.75">
      <c r="C3357" s="951" t="s">
        <v>918</v>
      </c>
      <c r="D3357" s="946"/>
      <c r="E3357" s="947"/>
      <c r="F3357" s="1054"/>
      <c r="G3357" s="946"/>
      <c r="H3357" s="1031"/>
      <c r="I3357" s="952">
        <f>SUM(I3356:I3356)</f>
        <v>86.8</v>
      </c>
    </row>
    <row r="3358" spans="2:9" ht="15.75">
      <c r="C3358" s="949"/>
      <c r="D3358" s="946"/>
      <c r="E3358" s="947"/>
      <c r="F3358" s="1054"/>
      <c r="G3358" s="946"/>
      <c r="H3358" s="1031"/>
      <c r="I3358" s="948"/>
    </row>
    <row r="3359" spans="2:9" ht="15.75">
      <c r="C3359" s="945" t="s">
        <v>923</v>
      </c>
      <c r="D3359" s="946"/>
      <c r="E3359" s="947"/>
      <c r="F3359" s="1054"/>
      <c r="G3359" s="946"/>
      <c r="H3359" s="1031"/>
      <c r="I3359" s="948"/>
    </row>
    <row r="3360" spans="2:9" ht="15.75">
      <c r="C3360" s="949" t="s">
        <v>924</v>
      </c>
      <c r="D3360" s="946"/>
      <c r="E3360" s="947" t="str">
        <f>+VLOOKUP(C3360,'Basic (equilibrio) (2)'!B:D,2,FALSE)</f>
        <v>n/a</v>
      </c>
      <c r="F3360" s="1054">
        <f>+VLOOKUP(C3360,'Basic (equilibrio) (2)'!B:D,3,FALSE)</f>
        <v>0</v>
      </c>
      <c r="G3360" s="946">
        <f>F3360-(F3360/1.18)</f>
        <v>0</v>
      </c>
      <c r="H3360" s="1039"/>
      <c r="I3360" s="955">
        <f>D3360*F3360</f>
        <v>0</v>
      </c>
    </row>
    <row r="3361" spans="2:9" ht="15.75">
      <c r="C3361" s="951" t="s">
        <v>918</v>
      </c>
      <c r="D3361" s="946"/>
      <c r="E3361" s="947"/>
      <c r="F3361" s="1054"/>
      <c r="G3361" s="946"/>
      <c r="H3361" s="1031"/>
      <c r="I3361" s="952">
        <f>SUM(I3360:I3360)</f>
        <v>0</v>
      </c>
    </row>
    <row r="3362" spans="2:9" ht="15.75">
      <c r="C3362" s="949"/>
      <c r="D3362" s="946"/>
      <c r="E3362" s="947"/>
      <c r="F3362" s="1054"/>
      <c r="G3362" s="946"/>
      <c r="H3362" s="1031"/>
      <c r="I3362" s="948"/>
    </row>
    <row r="3363" spans="2:9" ht="15.75">
      <c r="C3363" s="945" t="s">
        <v>925</v>
      </c>
      <c r="D3363" s="946"/>
      <c r="E3363" s="947"/>
      <c r="F3363" s="1054"/>
      <c r="G3363" s="946"/>
      <c r="H3363" s="1031"/>
      <c r="I3363" s="948"/>
    </row>
    <row r="3364" spans="2:9" ht="15.75">
      <c r="C3364" s="949" t="s">
        <v>924</v>
      </c>
      <c r="D3364" s="946"/>
      <c r="E3364" s="947" t="str">
        <f>+VLOOKUP(C3364,'Basic (equilibrio) (2)'!B:D,2,FALSE)</f>
        <v>n/a</v>
      </c>
      <c r="F3364" s="1054">
        <f>+VLOOKUP(C3364,'Basic (equilibrio) (2)'!B:D,3,FALSE)</f>
        <v>0</v>
      </c>
      <c r="G3364" s="946"/>
      <c r="H3364" s="1031"/>
      <c r="I3364" s="948">
        <f>D3364*F3364</f>
        <v>0</v>
      </c>
    </row>
    <row r="3365" spans="2:9" ht="15.75">
      <c r="C3365" s="951" t="s">
        <v>918</v>
      </c>
      <c r="D3365" s="946"/>
      <c r="E3365" s="947"/>
      <c r="F3365" s="1054"/>
      <c r="G3365" s="946"/>
      <c r="H3365" s="1031"/>
      <c r="I3365" s="952">
        <f>SUM(I3364)</f>
        <v>0</v>
      </c>
    </row>
    <row r="3366" spans="2:9" ht="15.75">
      <c r="C3366" s="951"/>
      <c r="D3366" s="946"/>
      <c r="E3366" s="947"/>
      <c r="F3366" s="1054"/>
      <c r="G3366" s="946"/>
      <c r="H3366" s="1031"/>
      <c r="I3366" s="952"/>
    </row>
    <row r="3367" spans="2:9" ht="15.75">
      <c r="C3367" s="956" t="s">
        <v>926</v>
      </c>
      <c r="D3367" s="957"/>
      <c r="E3367" s="958"/>
      <c r="F3367" s="1069"/>
      <c r="G3367" s="957"/>
      <c r="H3367" s="1032"/>
      <c r="I3367" s="959">
        <f>+I3353</f>
        <v>295.62</v>
      </c>
    </row>
    <row r="3368" spans="2:9" ht="15.75">
      <c r="C3368" s="956" t="s">
        <v>927</v>
      </c>
      <c r="D3368" s="957"/>
      <c r="E3368" s="958"/>
      <c r="F3368" s="1069"/>
      <c r="G3368" s="957"/>
      <c r="H3368" s="1032"/>
      <c r="I3368" s="959">
        <f>+I3357</f>
        <v>86.8</v>
      </c>
    </row>
    <row r="3369" spans="2:9" ht="15.75">
      <c r="C3369" s="956" t="s">
        <v>928</v>
      </c>
      <c r="D3369" s="957"/>
      <c r="E3369" s="958"/>
      <c r="F3369" s="1069"/>
      <c r="G3369" s="957"/>
      <c r="H3369" s="1032"/>
      <c r="I3369" s="959">
        <f>+I3361</f>
        <v>0</v>
      </c>
    </row>
    <row r="3370" spans="2:9" ht="15.75">
      <c r="C3370" s="956" t="s">
        <v>929</v>
      </c>
      <c r="D3370" s="957"/>
      <c r="E3370" s="958"/>
      <c r="F3370" s="1069"/>
      <c r="G3370" s="957"/>
      <c r="H3370" s="1032"/>
      <c r="I3370" s="959">
        <f>+I3365</f>
        <v>0</v>
      </c>
    </row>
    <row r="3371" spans="2:9" ht="15.75">
      <c r="C3371" s="949"/>
      <c r="D3371" s="946"/>
      <c r="E3371" s="947"/>
      <c r="F3371" s="1054"/>
      <c r="G3371" s="946"/>
      <c r="H3371" s="1031"/>
      <c r="I3371" s="948"/>
    </row>
    <row r="3372" spans="2:9" ht="15.75">
      <c r="C3372" s="951" t="s">
        <v>930</v>
      </c>
      <c r="D3372" s="960"/>
      <c r="E3372" s="975" t="str">
        <f>+E3348</f>
        <v>M2</v>
      </c>
      <c r="F3372" s="1070"/>
      <c r="G3372" s="960"/>
      <c r="H3372" s="1033"/>
      <c r="I3372" s="952">
        <f>SUM(I3367:I3370)</f>
        <v>382.42</v>
      </c>
    </row>
    <row r="3373" spans="2:9" ht="15.75">
      <c r="C3373" s="951"/>
      <c r="D3373" s="960"/>
      <c r="E3373" s="943"/>
      <c r="F3373" s="1070"/>
      <c r="G3373" s="960"/>
      <c r="H3373" s="1033"/>
      <c r="I3373" s="952"/>
    </row>
    <row r="3374" spans="2:9" ht="15.75">
      <c r="C3374" s="951"/>
      <c r="D3374" s="960"/>
      <c r="E3374" s="943"/>
      <c r="F3374" s="1070"/>
      <c r="G3374" s="960"/>
      <c r="H3374" s="1033"/>
      <c r="I3374" s="952"/>
    </row>
    <row r="3375" spans="2:9" ht="33.75" customHeight="1">
      <c r="B3375" s="1026">
        <v>8.4</v>
      </c>
      <c r="C3375" s="937" t="str">
        <f>+Presupuesto!B204</f>
        <v>Pintura a base de aceite especial antideslizante para piso de canchas, color azul</v>
      </c>
      <c r="D3375" s="938"/>
      <c r="E3375" s="962" t="s">
        <v>20</v>
      </c>
      <c r="F3375" s="1066"/>
      <c r="G3375" s="938"/>
      <c r="H3375" s="1029"/>
      <c r="I3375" s="940">
        <f>+I3399</f>
        <v>382.42</v>
      </c>
    </row>
    <row r="3376" spans="2:9" ht="15.75">
      <c r="C3376" s="941" t="s">
        <v>908</v>
      </c>
      <c r="D3376" s="942" t="s">
        <v>9</v>
      </c>
      <c r="E3376" s="943" t="s">
        <v>10</v>
      </c>
      <c r="F3376" s="1067" t="s">
        <v>909</v>
      </c>
      <c r="G3376" s="942" t="s">
        <v>910</v>
      </c>
      <c r="H3376" s="1030" t="s">
        <v>911</v>
      </c>
      <c r="I3376" s="944" t="s">
        <v>912</v>
      </c>
    </row>
    <row r="3377" spans="3:9" ht="15.75">
      <c r="C3377" s="945" t="s">
        <v>913</v>
      </c>
      <c r="D3377" s="946"/>
      <c r="E3377" s="947"/>
      <c r="F3377" s="1054"/>
      <c r="G3377" s="946"/>
      <c r="H3377" s="1031"/>
      <c r="I3377" s="948"/>
    </row>
    <row r="3378" spans="3:9" ht="15.75">
      <c r="C3378" s="949" t="s">
        <v>1552</v>
      </c>
      <c r="D3378" s="946">
        <v>0.13</v>
      </c>
      <c r="E3378" s="947" t="s">
        <v>1183</v>
      </c>
      <c r="F3378" s="1068">
        <f>'Basic (equilibrio) (2)'!$D$324</f>
        <v>1895</v>
      </c>
      <c r="G3378" s="946">
        <f>F3378-(F3378/1.18)</f>
        <v>289.07</v>
      </c>
      <c r="H3378" s="1031"/>
      <c r="I3378" s="948">
        <f>D3378*F3378</f>
        <v>246.35</v>
      </c>
    </row>
    <row r="3379" spans="3:9" ht="15.75">
      <c r="C3379" s="949" t="s">
        <v>1209</v>
      </c>
      <c r="D3379" s="946">
        <f>+I3378</f>
        <v>246.35</v>
      </c>
      <c r="E3379" s="947" t="s">
        <v>1025</v>
      </c>
      <c r="F3379" s="1068">
        <v>0.2</v>
      </c>
      <c r="G3379" s="946">
        <f>F3379-(F3379/1.18)</f>
        <v>0.03</v>
      </c>
      <c r="H3379" s="1031"/>
      <c r="I3379" s="948">
        <f>D3379*F3379</f>
        <v>49.27</v>
      </c>
    </row>
    <row r="3380" spans="3:9" ht="15.75">
      <c r="C3380" s="951" t="s">
        <v>918</v>
      </c>
      <c r="D3380" s="946"/>
      <c r="E3380" s="947"/>
      <c r="F3380" s="1068"/>
      <c r="G3380" s="946"/>
      <c r="H3380" s="1031"/>
      <c r="I3380" s="952">
        <f>SUM(I3378:I3379)</f>
        <v>295.62</v>
      </c>
    </row>
    <row r="3381" spans="3:9" ht="15.75">
      <c r="C3381" s="949"/>
      <c r="D3381" s="946"/>
      <c r="E3381" s="947"/>
      <c r="F3381" s="1068"/>
      <c r="G3381" s="946"/>
      <c r="H3381" s="1031"/>
      <c r="I3381" s="948"/>
    </row>
    <row r="3382" spans="3:9" ht="15.75">
      <c r="C3382" s="945" t="s">
        <v>919</v>
      </c>
      <c r="D3382" s="946"/>
      <c r="E3382" s="947"/>
      <c r="F3382" s="1068"/>
      <c r="G3382" s="946"/>
      <c r="H3382" s="1031"/>
      <c r="I3382" s="948"/>
    </row>
    <row r="3383" spans="3:9" ht="15.75">
      <c r="C3383" s="949" t="s">
        <v>1140</v>
      </c>
      <c r="D3383" s="953">
        <v>1</v>
      </c>
      <c r="E3383" s="954" t="str">
        <f>+VLOOKUP(C3383,'Basic (equilibrio) (2)'!B:D,2,FALSE)</f>
        <v>m2</v>
      </c>
      <c r="F3383" s="1068">
        <f>'Basic (equilibrio) (2)'!$D$50</f>
        <v>86.8</v>
      </c>
      <c r="G3383" s="946">
        <v>0</v>
      </c>
      <c r="H3383" s="1031"/>
      <c r="I3383" s="948">
        <f>(D3383*F3383)</f>
        <v>86.8</v>
      </c>
    </row>
    <row r="3384" spans="3:9" ht="15.75">
      <c r="C3384" s="951" t="s">
        <v>918</v>
      </c>
      <c r="D3384" s="946"/>
      <c r="E3384" s="947"/>
      <c r="F3384" s="1054"/>
      <c r="G3384" s="946"/>
      <c r="H3384" s="1031"/>
      <c r="I3384" s="952">
        <f>SUM(I3383:I3383)</f>
        <v>86.8</v>
      </c>
    </row>
    <row r="3385" spans="3:9" ht="15.75">
      <c r="C3385" s="949"/>
      <c r="D3385" s="946"/>
      <c r="E3385" s="947"/>
      <c r="F3385" s="1054"/>
      <c r="G3385" s="946"/>
      <c r="H3385" s="1031"/>
      <c r="I3385" s="948"/>
    </row>
    <row r="3386" spans="3:9" ht="15.75">
      <c r="C3386" s="945" t="s">
        <v>923</v>
      </c>
      <c r="D3386" s="946"/>
      <c r="E3386" s="947"/>
      <c r="F3386" s="1054"/>
      <c r="G3386" s="946"/>
      <c r="H3386" s="1031"/>
      <c r="I3386" s="948"/>
    </row>
    <row r="3387" spans="3:9" ht="15.75">
      <c r="C3387" s="949" t="s">
        <v>924</v>
      </c>
      <c r="D3387" s="946"/>
      <c r="E3387" s="947" t="str">
        <f>+VLOOKUP(C3387,'Basic (equilibrio) (2)'!B:D,2,FALSE)</f>
        <v>n/a</v>
      </c>
      <c r="F3387" s="1054">
        <f>+VLOOKUP(C3387,'Basic (equilibrio) (2)'!B:D,3,FALSE)</f>
        <v>0</v>
      </c>
      <c r="G3387" s="946">
        <f>F3387-(F3387/1.18)</f>
        <v>0</v>
      </c>
      <c r="H3387" s="1039"/>
      <c r="I3387" s="955">
        <f>D3387*F3387</f>
        <v>0</v>
      </c>
    </row>
    <row r="3388" spans="3:9" ht="15.75">
      <c r="C3388" s="951" t="s">
        <v>918</v>
      </c>
      <c r="D3388" s="946"/>
      <c r="E3388" s="947"/>
      <c r="F3388" s="1054"/>
      <c r="G3388" s="946"/>
      <c r="H3388" s="1031"/>
      <c r="I3388" s="952">
        <f>SUM(I3387:I3387)</f>
        <v>0</v>
      </c>
    </row>
    <row r="3389" spans="3:9" ht="15.75">
      <c r="C3389" s="949"/>
      <c r="D3389" s="946"/>
      <c r="E3389" s="947"/>
      <c r="F3389" s="1054"/>
      <c r="G3389" s="946"/>
      <c r="H3389" s="1031"/>
      <c r="I3389" s="948"/>
    </row>
    <row r="3390" spans="3:9" ht="15.75">
      <c r="C3390" s="945" t="s">
        <v>925</v>
      </c>
      <c r="D3390" s="946"/>
      <c r="E3390" s="947"/>
      <c r="F3390" s="1054"/>
      <c r="G3390" s="946"/>
      <c r="H3390" s="1031"/>
      <c r="I3390" s="948"/>
    </row>
    <row r="3391" spans="3:9" ht="15.75">
      <c r="C3391" s="949" t="s">
        <v>924</v>
      </c>
      <c r="D3391" s="946"/>
      <c r="E3391" s="947" t="str">
        <f>+VLOOKUP(C3391,'Basic (equilibrio) (2)'!B:D,2,FALSE)</f>
        <v>n/a</v>
      </c>
      <c r="F3391" s="1054">
        <f>+VLOOKUP(C3391,'Basic (equilibrio) (2)'!B:D,3,FALSE)</f>
        <v>0</v>
      </c>
      <c r="G3391" s="946"/>
      <c r="H3391" s="1031"/>
      <c r="I3391" s="948">
        <f>D3391*F3391</f>
        <v>0</v>
      </c>
    </row>
    <row r="3392" spans="3:9" ht="15.75">
      <c r="C3392" s="951" t="s">
        <v>918</v>
      </c>
      <c r="D3392" s="946"/>
      <c r="E3392" s="947"/>
      <c r="F3392" s="1054"/>
      <c r="G3392" s="946"/>
      <c r="H3392" s="1031"/>
      <c r="I3392" s="952">
        <f>SUM(I3391)</f>
        <v>0</v>
      </c>
    </row>
    <row r="3393" spans="2:9" ht="15.75">
      <c r="C3393" s="951"/>
      <c r="D3393" s="946"/>
      <c r="E3393" s="947"/>
      <c r="F3393" s="1054"/>
      <c r="G3393" s="946"/>
      <c r="H3393" s="1031"/>
      <c r="I3393" s="952"/>
    </row>
    <row r="3394" spans="2:9" ht="15.75">
      <c r="C3394" s="956" t="s">
        <v>926</v>
      </c>
      <c r="D3394" s="957"/>
      <c r="E3394" s="958"/>
      <c r="F3394" s="1069"/>
      <c r="G3394" s="957"/>
      <c r="H3394" s="1032"/>
      <c r="I3394" s="959">
        <f>+I3380</f>
        <v>295.62</v>
      </c>
    </row>
    <row r="3395" spans="2:9" ht="15.75">
      <c r="C3395" s="956" t="s">
        <v>927</v>
      </c>
      <c r="D3395" s="957"/>
      <c r="E3395" s="958"/>
      <c r="F3395" s="1069"/>
      <c r="G3395" s="957"/>
      <c r="H3395" s="1032"/>
      <c r="I3395" s="959">
        <f>+I3384</f>
        <v>86.8</v>
      </c>
    </row>
    <row r="3396" spans="2:9" ht="15.75">
      <c r="C3396" s="956" t="s">
        <v>928</v>
      </c>
      <c r="D3396" s="957"/>
      <c r="E3396" s="958"/>
      <c r="F3396" s="1069"/>
      <c r="G3396" s="957"/>
      <c r="H3396" s="1032"/>
      <c r="I3396" s="959">
        <f>+I3388</f>
        <v>0</v>
      </c>
    </row>
    <row r="3397" spans="2:9" ht="15.75">
      <c r="C3397" s="956" t="s">
        <v>929</v>
      </c>
      <c r="D3397" s="957"/>
      <c r="E3397" s="958"/>
      <c r="F3397" s="1069"/>
      <c r="G3397" s="957"/>
      <c r="H3397" s="1032"/>
      <c r="I3397" s="959">
        <f>+I3392</f>
        <v>0</v>
      </c>
    </row>
    <row r="3398" spans="2:9" ht="15.75">
      <c r="C3398" s="949"/>
      <c r="D3398" s="946"/>
      <c r="E3398" s="947"/>
      <c r="F3398" s="1054"/>
      <c r="G3398" s="946"/>
      <c r="H3398" s="1031"/>
      <c r="I3398" s="948"/>
    </row>
    <row r="3399" spans="2:9" ht="15.75">
      <c r="C3399" s="951" t="s">
        <v>930</v>
      </c>
      <c r="D3399" s="960"/>
      <c r="E3399" s="975" t="str">
        <f>+E3375</f>
        <v>M2</v>
      </c>
      <c r="F3399" s="1070"/>
      <c r="G3399" s="960"/>
      <c r="H3399" s="1033"/>
      <c r="I3399" s="952">
        <f>SUM(I3394:I3397)</f>
        <v>382.42</v>
      </c>
    </row>
    <row r="3400" spans="2:9" ht="15.75">
      <c r="C3400" s="951"/>
      <c r="D3400" s="960"/>
      <c r="E3400" s="943"/>
      <c r="F3400" s="1070"/>
      <c r="G3400" s="960"/>
      <c r="H3400" s="1033"/>
      <c r="I3400" s="952"/>
    </row>
    <row r="3401" spans="2:9" ht="15.75">
      <c r="C3401" s="951"/>
      <c r="D3401" s="960"/>
      <c r="E3401" s="943"/>
      <c r="F3401" s="1070"/>
      <c r="G3401" s="960"/>
      <c r="H3401" s="1033"/>
      <c r="I3401" s="952"/>
    </row>
    <row r="3402" spans="2:9" ht="33.75" customHeight="1">
      <c r="B3402" s="1026">
        <v>8.5</v>
      </c>
      <c r="C3402" s="937" t="str">
        <f>+Presupuesto!B205</f>
        <v>Señalización en cancha con líneas 5 cm, color blanco</v>
      </c>
      <c r="D3402" s="938"/>
      <c r="E3402" s="962" t="s">
        <v>20</v>
      </c>
      <c r="F3402" s="1066"/>
      <c r="G3402" s="938"/>
      <c r="H3402" s="1029"/>
      <c r="I3402" s="940">
        <f>+I3426</f>
        <v>3927.33</v>
      </c>
    </row>
    <row r="3403" spans="2:9" ht="15.75">
      <c r="C3403" s="941" t="s">
        <v>908</v>
      </c>
      <c r="D3403" s="942" t="s">
        <v>9</v>
      </c>
      <c r="E3403" s="943" t="s">
        <v>10</v>
      </c>
      <c r="F3403" s="1067" t="s">
        <v>909</v>
      </c>
      <c r="G3403" s="942" t="s">
        <v>910</v>
      </c>
      <c r="H3403" s="1030" t="s">
        <v>911</v>
      </c>
      <c r="I3403" s="944" t="s">
        <v>912</v>
      </c>
    </row>
    <row r="3404" spans="2:9" ht="15.75">
      <c r="C3404" s="945" t="s">
        <v>913</v>
      </c>
      <c r="D3404" s="946"/>
      <c r="E3404" s="947"/>
      <c r="F3404" s="1054"/>
      <c r="G3404" s="946"/>
      <c r="H3404" s="1031"/>
      <c r="I3404" s="948"/>
    </row>
    <row r="3405" spans="2:9" ht="15.75">
      <c r="C3405" s="949" t="s">
        <v>1552</v>
      </c>
      <c r="D3405" s="946">
        <v>2</v>
      </c>
      <c r="E3405" s="947" t="s">
        <v>1183</v>
      </c>
      <c r="F3405" s="1068">
        <f>'Basic (equilibrio) (2)'!$D$324</f>
        <v>1895</v>
      </c>
      <c r="G3405" s="946">
        <f>F3405-(F3405/1.18)</f>
        <v>289.07</v>
      </c>
      <c r="H3405" s="1031"/>
      <c r="I3405" s="948">
        <f>D3405*F3405</f>
        <v>3790</v>
      </c>
    </row>
    <row r="3406" spans="2:9" ht="15.75">
      <c r="C3406" s="949" t="s">
        <v>1209</v>
      </c>
      <c r="D3406" s="946">
        <v>252.67</v>
      </c>
      <c r="E3406" s="947" t="s">
        <v>1025</v>
      </c>
      <c r="F3406" s="1068">
        <v>0.2</v>
      </c>
      <c r="G3406" s="946">
        <f>F3406-(F3406/1.18)</f>
        <v>0.03</v>
      </c>
      <c r="H3406" s="1031"/>
      <c r="I3406" s="948">
        <f>D3406*F3406</f>
        <v>50.53</v>
      </c>
    </row>
    <row r="3407" spans="2:9" ht="15.75">
      <c r="C3407" s="951" t="s">
        <v>918</v>
      </c>
      <c r="D3407" s="946"/>
      <c r="E3407" s="947"/>
      <c r="F3407" s="1068"/>
      <c r="G3407" s="946"/>
      <c r="H3407" s="1031"/>
      <c r="I3407" s="952">
        <f>SUM(I3405:I3406)</f>
        <v>3840.53</v>
      </c>
    </row>
    <row r="3408" spans="2:9" ht="15.75">
      <c r="C3408" s="949"/>
      <c r="D3408" s="946"/>
      <c r="E3408" s="947"/>
      <c r="F3408" s="1068"/>
      <c r="G3408" s="946"/>
      <c r="H3408" s="1031"/>
      <c r="I3408" s="948"/>
    </row>
    <row r="3409" spans="3:9" ht="15.75">
      <c r="C3409" s="945" t="s">
        <v>919</v>
      </c>
      <c r="D3409" s="946"/>
      <c r="E3409" s="947"/>
      <c r="F3409" s="1068"/>
      <c r="G3409" s="946"/>
      <c r="H3409" s="1031"/>
      <c r="I3409" s="948"/>
    </row>
    <row r="3410" spans="3:9" ht="15.75">
      <c r="C3410" s="949" t="s">
        <v>1140</v>
      </c>
      <c r="D3410" s="953">
        <v>1</v>
      </c>
      <c r="E3410" s="954" t="str">
        <f>+VLOOKUP(C3410,'Basic (equilibrio) (2)'!B:D,2,FALSE)</f>
        <v>m2</v>
      </c>
      <c r="F3410" s="1068">
        <f>'Basic (equilibrio) (2)'!$D$50</f>
        <v>86.8</v>
      </c>
      <c r="G3410" s="946">
        <v>0</v>
      </c>
      <c r="H3410" s="1031"/>
      <c r="I3410" s="948">
        <f>(D3410*F3410)</f>
        <v>86.8</v>
      </c>
    </row>
    <row r="3411" spans="3:9" ht="15.75">
      <c r="C3411" s="951" t="s">
        <v>918</v>
      </c>
      <c r="D3411" s="946"/>
      <c r="E3411" s="947"/>
      <c r="F3411" s="1054"/>
      <c r="G3411" s="946"/>
      <c r="H3411" s="1031"/>
      <c r="I3411" s="952">
        <f>SUM(I3410:I3410)</f>
        <v>86.8</v>
      </c>
    </row>
    <row r="3412" spans="3:9" ht="15.75">
      <c r="C3412" s="949"/>
      <c r="D3412" s="946"/>
      <c r="E3412" s="947"/>
      <c r="F3412" s="1054"/>
      <c r="G3412" s="946"/>
      <c r="H3412" s="1031"/>
      <c r="I3412" s="948"/>
    </row>
    <row r="3413" spans="3:9" ht="15.75">
      <c r="C3413" s="945" t="s">
        <v>923</v>
      </c>
      <c r="D3413" s="946"/>
      <c r="E3413" s="947"/>
      <c r="F3413" s="1054"/>
      <c r="G3413" s="946"/>
      <c r="H3413" s="1031"/>
      <c r="I3413" s="948"/>
    </row>
    <row r="3414" spans="3:9" ht="15.75">
      <c r="C3414" s="949" t="s">
        <v>924</v>
      </c>
      <c r="D3414" s="946"/>
      <c r="E3414" s="947" t="str">
        <f>+VLOOKUP(C3414,'Basic (equilibrio) (2)'!B:D,2,FALSE)</f>
        <v>n/a</v>
      </c>
      <c r="F3414" s="1054">
        <f>+VLOOKUP(C3414,'Basic (equilibrio) (2)'!B:D,3,FALSE)</f>
        <v>0</v>
      </c>
      <c r="G3414" s="946">
        <f>F3414-(F3414/1.18)</f>
        <v>0</v>
      </c>
      <c r="H3414" s="1039"/>
      <c r="I3414" s="955">
        <f>D3414*F3414</f>
        <v>0</v>
      </c>
    </row>
    <row r="3415" spans="3:9" ht="15.75">
      <c r="C3415" s="951" t="s">
        <v>918</v>
      </c>
      <c r="D3415" s="946"/>
      <c r="E3415" s="947"/>
      <c r="F3415" s="1054"/>
      <c r="G3415" s="946"/>
      <c r="H3415" s="1031"/>
      <c r="I3415" s="952">
        <f>SUM(I3414:I3414)</f>
        <v>0</v>
      </c>
    </row>
    <row r="3416" spans="3:9" ht="15.75">
      <c r="C3416" s="949"/>
      <c r="D3416" s="946"/>
      <c r="E3416" s="947"/>
      <c r="F3416" s="1054"/>
      <c r="G3416" s="946"/>
      <c r="H3416" s="1031"/>
      <c r="I3416" s="948"/>
    </row>
    <row r="3417" spans="3:9" ht="15.75">
      <c r="C3417" s="945" t="s">
        <v>925</v>
      </c>
      <c r="D3417" s="946"/>
      <c r="E3417" s="947"/>
      <c r="F3417" s="1054"/>
      <c r="G3417" s="946"/>
      <c r="H3417" s="1031"/>
      <c r="I3417" s="948"/>
    </row>
    <row r="3418" spans="3:9" ht="15.75">
      <c r="C3418" s="949" t="s">
        <v>924</v>
      </c>
      <c r="D3418" s="946"/>
      <c r="E3418" s="947" t="str">
        <f>+VLOOKUP(C3418,'Basic (equilibrio) (2)'!B:D,2,FALSE)</f>
        <v>n/a</v>
      </c>
      <c r="F3418" s="1054">
        <f>+VLOOKUP(C3418,'Basic (equilibrio) (2)'!B:D,3,FALSE)</f>
        <v>0</v>
      </c>
      <c r="G3418" s="946"/>
      <c r="H3418" s="1031"/>
      <c r="I3418" s="948">
        <f>D3418*F3418</f>
        <v>0</v>
      </c>
    </row>
    <row r="3419" spans="3:9" ht="15.75">
      <c r="C3419" s="951" t="s">
        <v>918</v>
      </c>
      <c r="D3419" s="946"/>
      <c r="E3419" s="947"/>
      <c r="F3419" s="1054"/>
      <c r="G3419" s="946"/>
      <c r="H3419" s="1031"/>
      <c r="I3419" s="952">
        <f>SUM(I3418)</f>
        <v>0</v>
      </c>
    </row>
    <row r="3420" spans="3:9" ht="15.75">
      <c r="C3420" s="951"/>
      <c r="D3420" s="946"/>
      <c r="E3420" s="947"/>
      <c r="F3420" s="1054"/>
      <c r="G3420" s="946"/>
      <c r="H3420" s="1031"/>
      <c r="I3420" s="952"/>
    </row>
    <row r="3421" spans="3:9" ht="15.75">
      <c r="C3421" s="956" t="s">
        <v>926</v>
      </c>
      <c r="D3421" s="957"/>
      <c r="E3421" s="958"/>
      <c r="F3421" s="1069"/>
      <c r="G3421" s="957"/>
      <c r="H3421" s="1032"/>
      <c r="I3421" s="959">
        <f>+I3407</f>
        <v>3840.53</v>
      </c>
    </row>
    <row r="3422" spans="3:9" ht="15.75">
      <c r="C3422" s="956" t="s">
        <v>927</v>
      </c>
      <c r="D3422" s="957"/>
      <c r="E3422" s="958"/>
      <c r="F3422" s="1069"/>
      <c r="G3422" s="957"/>
      <c r="H3422" s="1032"/>
      <c r="I3422" s="959">
        <f>+I3411</f>
        <v>86.8</v>
      </c>
    </row>
    <row r="3423" spans="3:9" ht="15.75">
      <c r="C3423" s="956" t="s">
        <v>928</v>
      </c>
      <c r="D3423" s="957"/>
      <c r="E3423" s="958"/>
      <c r="F3423" s="1069"/>
      <c r="G3423" s="957"/>
      <c r="H3423" s="1032"/>
      <c r="I3423" s="959">
        <f>+I3415</f>
        <v>0</v>
      </c>
    </row>
    <row r="3424" spans="3:9" ht="15.75">
      <c r="C3424" s="956" t="s">
        <v>929</v>
      </c>
      <c r="D3424" s="957"/>
      <c r="E3424" s="958"/>
      <c r="F3424" s="1069"/>
      <c r="G3424" s="957"/>
      <c r="H3424" s="1032"/>
      <c r="I3424" s="959">
        <f>+I3419</f>
        <v>0</v>
      </c>
    </row>
    <row r="3425" spans="2:9" ht="15.75">
      <c r="C3425" s="949"/>
      <c r="D3425" s="946"/>
      <c r="E3425" s="947"/>
      <c r="F3425" s="1054"/>
      <c r="G3425" s="946"/>
      <c r="H3425" s="1031"/>
      <c r="I3425" s="948"/>
    </row>
    <row r="3426" spans="2:9" ht="15.75">
      <c r="C3426" s="951" t="s">
        <v>930</v>
      </c>
      <c r="D3426" s="960"/>
      <c r="E3426" s="975" t="str">
        <f>+E3402</f>
        <v>M2</v>
      </c>
      <c r="F3426" s="1070"/>
      <c r="G3426" s="960"/>
      <c r="H3426" s="1033"/>
      <c r="I3426" s="952">
        <f>SUM(I3421:I3424)</f>
        <v>3927.33</v>
      </c>
    </row>
    <row r="3427" spans="2:9" ht="15.75">
      <c r="C3427" s="951"/>
      <c r="D3427" s="960"/>
      <c r="E3427" s="943"/>
      <c r="F3427" s="1070"/>
      <c r="G3427" s="960"/>
      <c r="H3427" s="1033"/>
      <c r="I3427" s="952"/>
    </row>
    <row r="3428" spans="2:9" ht="18.75" customHeight="1">
      <c r="B3428" s="1435" t="s">
        <v>1553</v>
      </c>
      <c r="C3428" s="1435"/>
      <c r="D3428" s="1435"/>
      <c r="E3428" s="1435"/>
      <c r="F3428" s="1435"/>
      <c r="G3428" s="1435"/>
      <c r="H3428" s="1435"/>
      <c r="I3428" s="1436"/>
    </row>
    <row r="3429" spans="2:9" ht="15.75">
      <c r="C3429" s="951"/>
      <c r="D3429" s="960"/>
      <c r="E3429" s="943"/>
      <c r="F3429" s="1070"/>
      <c r="G3429" s="960"/>
      <c r="H3429" s="1033"/>
      <c r="I3429" s="952"/>
    </row>
    <row r="3430" spans="2:9" ht="15.75">
      <c r="B3430" s="1024">
        <v>1.1000000000000001</v>
      </c>
      <c r="C3430" s="937" t="str">
        <f>+Presupuesto!B211</f>
        <v xml:space="preserve">Replanteo </v>
      </c>
      <c r="D3430" s="938"/>
      <c r="E3430" s="939" t="s">
        <v>140</v>
      </c>
      <c r="F3430" s="1066"/>
      <c r="G3430" s="938"/>
      <c r="H3430" s="1029"/>
      <c r="I3430" s="940">
        <f>I3459</f>
        <v>32457.25</v>
      </c>
    </row>
    <row r="3431" spans="2:9" ht="15.75">
      <c r="C3431" s="941" t="s">
        <v>908</v>
      </c>
      <c r="D3431" s="942" t="s">
        <v>9</v>
      </c>
      <c r="E3431" s="943" t="s">
        <v>10</v>
      </c>
      <c r="F3431" s="1067" t="s">
        <v>909</v>
      </c>
      <c r="G3431" s="942" t="s">
        <v>910</v>
      </c>
      <c r="H3431" s="1030" t="s">
        <v>911</v>
      </c>
      <c r="I3431" s="944" t="s">
        <v>912</v>
      </c>
    </row>
    <row r="3432" spans="2:9" ht="15.75">
      <c r="C3432" s="945" t="s">
        <v>913</v>
      </c>
      <c r="D3432" s="946"/>
      <c r="E3432" s="947"/>
      <c r="F3432" s="1054"/>
      <c r="G3432" s="946"/>
      <c r="H3432" s="1031"/>
      <c r="I3432" s="948"/>
    </row>
    <row r="3433" spans="2:9" ht="15.75">
      <c r="C3433" s="949" t="s">
        <v>914</v>
      </c>
      <c r="D3433" s="946">
        <f>33.94/28.83</f>
        <v>1.18</v>
      </c>
      <c r="E3433" s="947" t="str">
        <f>+VLOOKUP(C3433,'Basic (equilibrio) (2)'!B:D,2,FALSE)</f>
        <v>lb</v>
      </c>
      <c r="F3433" s="1068">
        <f>'Basic (equilibrio) (2)'!$D$326</f>
        <v>78.2</v>
      </c>
      <c r="G3433" s="946">
        <f>F3433-(F3433/1.18)</f>
        <v>11.93</v>
      </c>
      <c r="H3433" s="1031"/>
      <c r="I3433" s="948">
        <f>D3433*F3433</f>
        <v>92.28</v>
      </c>
    </row>
    <row r="3434" spans="2:9" ht="15.75">
      <c r="C3434" s="949" t="s">
        <v>915</v>
      </c>
      <c r="D3434" s="946">
        <f>22/28.83</f>
        <v>0.76</v>
      </c>
      <c r="E3434" s="950" t="str">
        <f>+VLOOKUP(C3434,'Basic (equilibrio) (2)'!B:D,2,FALSE)</f>
        <v>fda</v>
      </c>
      <c r="F3434" s="1068">
        <f>'Basic (equilibrio) (2)'!$D$327</f>
        <v>153.6</v>
      </c>
      <c r="G3434" s="946">
        <f>F3434-(F3434/1.18)</f>
        <v>23.43</v>
      </c>
      <c r="H3434" s="1031"/>
      <c r="I3434" s="948">
        <f>D3434*F3434</f>
        <v>116.74</v>
      </c>
    </row>
    <row r="3435" spans="2:9" ht="15.75">
      <c r="C3435" s="949" t="s">
        <v>916</v>
      </c>
      <c r="D3435" s="946">
        <f>160.42/28.83</f>
        <v>5.56</v>
      </c>
      <c r="E3435" s="947" t="str">
        <f>+VLOOKUP(C3435,'Basic (equilibrio) (2)'!B:D,2,FALSE)</f>
        <v>pt</v>
      </c>
      <c r="F3435" s="1068">
        <f>'Basic (equilibrio) (2)'!$D$194</f>
        <v>107.7</v>
      </c>
      <c r="G3435" s="946">
        <f>F3435-(F3435/1.18)</f>
        <v>16.43</v>
      </c>
      <c r="H3435" s="1031"/>
      <c r="I3435" s="948">
        <f>D3435*F3435</f>
        <v>598.80999999999995</v>
      </c>
    </row>
    <row r="3436" spans="2:9" ht="15.75">
      <c r="C3436" s="949" t="s">
        <v>917</v>
      </c>
      <c r="D3436" s="946">
        <f>3/28.83</f>
        <v>0.1</v>
      </c>
      <c r="E3436" s="950" t="str">
        <f>+VLOOKUP(C3436,'Basic (equilibrio) (2)'!B:D,2,FALSE)</f>
        <v>u</v>
      </c>
      <c r="F3436" s="1068">
        <f>'Basic (equilibrio) (2)'!$D$329</f>
        <v>139.19999999999999</v>
      </c>
      <c r="G3436" s="946">
        <f>F3436-(F3436/1.18)</f>
        <v>21.23</v>
      </c>
      <c r="H3436" s="1031"/>
      <c r="I3436" s="948">
        <f>D3436*F3436</f>
        <v>13.92</v>
      </c>
    </row>
    <row r="3437" spans="2:9" ht="15.75">
      <c r="C3437" s="951" t="s">
        <v>918</v>
      </c>
      <c r="D3437" s="946"/>
      <c r="E3437" s="947"/>
      <c r="F3437" s="1068"/>
      <c r="G3437" s="946"/>
      <c r="H3437" s="1031"/>
      <c r="I3437" s="952">
        <f>SUM(I3433:I3436)</f>
        <v>821.75</v>
      </c>
    </row>
    <row r="3438" spans="2:9" ht="15.75">
      <c r="C3438" s="949"/>
      <c r="D3438" s="946"/>
      <c r="E3438" s="947"/>
      <c r="F3438" s="1068"/>
      <c r="G3438" s="946"/>
      <c r="H3438" s="1031"/>
      <c r="I3438" s="948"/>
    </row>
    <row r="3439" spans="2:9" ht="15.75">
      <c r="C3439" s="945" t="s">
        <v>919</v>
      </c>
      <c r="D3439" s="946"/>
      <c r="E3439" s="947"/>
      <c r="F3439" s="1068"/>
      <c r="G3439" s="946"/>
      <c r="H3439" s="1031"/>
      <c r="I3439" s="948"/>
    </row>
    <row r="3440" spans="2:9" ht="15.75">
      <c r="C3440" s="949" t="s">
        <v>920</v>
      </c>
      <c r="D3440" s="953">
        <v>1</v>
      </c>
      <c r="E3440" s="954" t="str">
        <f>+VLOOKUP(C3440,'Basic (equilibrio) (2)'!B:D,2,FALSE)</f>
        <v>dia</v>
      </c>
      <c r="F3440" s="1068">
        <f>+'Basic (equilibrio) (2)'!$D$18</f>
        <v>28535.5</v>
      </c>
      <c r="G3440" s="946">
        <v>0</v>
      </c>
      <c r="H3440" s="1031"/>
      <c r="I3440" s="948">
        <f>D3440*F3440</f>
        <v>28535.5</v>
      </c>
    </row>
    <row r="3441" spans="3:9" ht="15.75">
      <c r="C3441" s="949" t="s">
        <v>921</v>
      </c>
      <c r="D3441" s="946">
        <v>1</v>
      </c>
      <c r="E3441" s="954" t="str">
        <f>+VLOOKUP(C3441,'Basic (equilibrio) (2)'!B:D,2,FALSE)</f>
        <v>dia</v>
      </c>
      <c r="F3441" s="1054">
        <f>'Basic (equilibrio) (2)'!$D$12</f>
        <v>1900</v>
      </c>
      <c r="G3441" s="946">
        <v>0</v>
      </c>
      <c r="H3441" s="1031"/>
      <c r="I3441" s="948">
        <f>D3441*F3441</f>
        <v>1900</v>
      </c>
    </row>
    <row r="3442" spans="3:9" ht="15.75">
      <c r="C3442" s="949" t="s">
        <v>922</v>
      </c>
      <c r="D3442" s="946">
        <v>1</v>
      </c>
      <c r="E3442" s="954" t="str">
        <f>+VLOOKUP(C3442,'Basic (equilibrio) (2)'!B:D,2,FALSE)</f>
        <v>dia</v>
      </c>
      <c r="F3442" s="1054">
        <f>'Basic (equilibrio) (2)'!$D$13</f>
        <v>1200</v>
      </c>
      <c r="G3442" s="946">
        <v>0</v>
      </c>
      <c r="H3442" s="1031"/>
      <c r="I3442" s="948">
        <f>D3442*F3442</f>
        <v>1200</v>
      </c>
    </row>
    <row r="3443" spans="3:9" ht="15.75">
      <c r="C3443" s="951" t="s">
        <v>918</v>
      </c>
      <c r="D3443" s="946"/>
      <c r="E3443" s="947"/>
      <c r="F3443" s="1054"/>
      <c r="G3443" s="946"/>
      <c r="H3443" s="1031"/>
      <c r="I3443" s="952">
        <f>SUM(I3440:I3442)</f>
        <v>31635.5</v>
      </c>
    </row>
    <row r="3444" spans="3:9" ht="15.75">
      <c r="C3444" s="949"/>
      <c r="D3444" s="946"/>
      <c r="E3444" s="947"/>
      <c r="F3444" s="1054"/>
      <c r="G3444" s="946"/>
      <c r="H3444" s="1031"/>
      <c r="I3444" s="948"/>
    </row>
    <row r="3445" spans="3:9" ht="15.75">
      <c r="C3445" s="945" t="s">
        <v>923</v>
      </c>
      <c r="D3445" s="946"/>
      <c r="E3445" s="947"/>
      <c r="F3445" s="1054"/>
      <c r="G3445" s="946"/>
      <c r="H3445" s="1031"/>
      <c r="I3445" s="948"/>
    </row>
    <row r="3446" spans="3:9" ht="15.75">
      <c r="C3446" s="949" t="s">
        <v>924</v>
      </c>
      <c r="D3446" s="946"/>
      <c r="E3446" s="947"/>
      <c r="F3446" s="1054">
        <f>+VLOOKUP(C3446,[49]BASICS!B:E,3,FALSE)</f>
        <v>0</v>
      </c>
      <c r="G3446" s="946">
        <f>F3446-(F3446/1.18)</f>
        <v>0</v>
      </c>
      <c r="H3446" s="1039"/>
      <c r="I3446" s="955">
        <f>D3446*F3446</f>
        <v>0</v>
      </c>
    </row>
    <row r="3447" spans="3:9" ht="15.75">
      <c r="C3447" s="951" t="s">
        <v>918</v>
      </c>
      <c r="D3447" s="946"/>
      <c r="E3447" s="947"/>
      <c r="F3447" s="1054"/>
      <c r="G3447" s="946"/>
      <c r="H3447" s="1031"/>
      <c r="I3447" s="952">
        <f>SUM(I3446)</f>
        <v>0</v>
      </c>
    </row>
    <row r="3448" spans="3:9" ht="15.75">
      <c r="C3448" s="949"/>
      <c r="D3448" s="946"/>
      <c r="E3448" s="947"/>
      <c r="F3448" s="1054"/>
      <c r="G3448" s="946"/>
      <c r="H3448" s="1031"/>
      <c r="I3448" s="948"/>
    </row>
    <row r="3449" spans="3:9" ht="15.75">
      <c r="C3449" s="945" t="s">
        <v>925</v>
      </c>
      <c r="D3449" s="946"/>
      <c r="E3449" s="947"/>
      <c r="F3449" s="1054"/>
      <c r="G3449" s="946"/>
      <c r="H3449" s="1031"/>
      <c r="I3449" s="948"/>
    </row>
    <row r="3450" spans="3:9" ht="15.75">
      <c r="C3450" s="949" t="s">
        <v>924</v>
      </c>
      <c r="D3450" s="946"/>
      <c r="E3450" s="947" t="str">
        <f>+VLOOKUP(C3450,'Basic (equilibrio) (2)'!B:D,2,FALSE)</f>
        <v>n/a</v>
      </c>
      <c r="F3450" s="1054">
        <f>+VLOOKUP(C3450,'Basic (equilibrio) (2)'!B:D,3,FALSE)</f>
        <v>0</v>
      </c>
      <c r="G3450" s="946">
        <f>F3450-(F3450/1.18)</f>
        <v>0</v>
      </c>
      <c r="H3450" s="1031"/>
      <c r="I3450" s="948">
        <f>D3450*F3450</f>
        <v>0</v>
      </c>
    </row>
    <row r="3451" spans="3:9" ht="15.75">
      <c r="C3451" s="951" t="s">
        <v>918</v>
      </c>
      <c r="D3451" s="946"/>
      <c r="E3451" s="947"/>
      <c r="F3451" s="1054"/>
      <c r="G3451" s="946"/>
      <c r="H3451" s="1031"/>
      <c r="I3451" s="952">
        <f>SUM(I3450)</f>
        <v>0</v>
      </c>
    </row>
    <row r="3452" spans="3:9" ht="15.75">
      <c r="C3452" s="951"/>
      <c r="D3452" s="946"/>
      <c r="E3452" s="947"/>
      <c r="F3452" s="1054"/>
      <c r="G3452" s="946"/>
      <c r="H3452" s="1031"/>
      <c r="I3452" s="952"/>
    </row>
    <row r="3453" spans="3:9" ht="15.75">
      <c r="C3453" s="956" t="s">
        <v>926</v>
      </c>
      <c r="D3453" s="957"/>
      <c r="E3453" s="958"/>
      <c r="F3453" s="1069"/>
      <c r="G3453" s="957"/>
      <c r="H3453" s="1032"/>
      <c r="I3453" s="959">
        <f>+I3437</f>
        <v>821.75</v>
      </c>
    </row>
    <row r="3454" spans="3:9" ht="15.75">
      <c r="C3454" s="956" t="s">
        <v>927</v>
      </c>
      <c r="D3454" s="957"/>
      <c r="E3454" s="958"/>
      <c r="F3454" s="1069"/>
      <c r="G3454" s="957"/>
      <c r="H3454" s="1032"/>
      <c r="I3454" s="959">
        <f>+I3443</f>
        <v>31635.5</v>
      </c>
    </row>
    <row r="3455" spans="3:9" ht="15.75">
      <c r="C3455" s="956" t="s">
        <v>928</v>
      </c>
      <c r="D3455" s="957"/>
      <c r="E3455" s="958"/>
      <c r="F3455" s="1069"/>
      <c r="G3455" s="957"/>
      <c r="H3455" s="1032"/>
      <c r="I3455" s="959">
        <f>+I3447</f>
        <v>0</v>
      </c>
    </row>
    <row r="3456" spans="3:9" ht="15.75">
      <c r="C3456" s="956" t="s">
        <v>929</v>
      </c>
      <c r="D3456" s="957"/>
      <c r="E3456" s="958"/>
      <c r="F3456" s="1069"/>
      <c r="G3456" s="957"/>
      <c r="H3456" s="1032"/>
      <c r="I3456" s="959">
        <f>+I3451</f>
        <v>0</v>
      </c>
    </row>
    <row r="3457" spans="2:9" ht="15.75">
      <c r="C3457" s="949"/>
      <c r="D3457" s="946"/>
      <c r="E3457" s="947"/>
      <c r="F3457" s="1054"/>
      <c r="G3457" s="946"/>
      <c r="H3457" s="1031"/>
      <c r="I3457" s="948"/>
    </row>
    <row r="3458" spans="2:9" ht="15.75">
      <c r="C3458" s="949"/>
      <c r="D3458" s="946"/>
      <c r="E3458" s="947"/>
      <c r="F3458" s="1054"/>
      <c r="G3458" s="946"/>
      <c r="H3458" s="1031"/>
      <c r="I3458" s="948"/>
    </row>
    <row r="3459" spans="2:9" ht="15.75">
      <c r="C3459" s="951" t="s">
        <v>930</v>
      </c>
      <c r="D3459" s="960"/>
      <c r="E3459" s="943" t="str">
        <f>+E3430</f>
        <v>P.A</v>
      </c>
      <c r="F3459" s="1070"/>
      <c r="G3459" s="960"/>
      <c r="H3459" s="1033"/>
      <c r="I3459" s="952">
        <f>SUM(I3453:I3456)</f>
        <v>32457.25</v>
      </c>
    </row>
    <row r="3460" spans="2:9" ht="15.75">
      <c r="C3460" s="951"/>
      <c r="D3460" s="960"/>
      <c r="E3460" s="943"/>
      <c r="F3460" s="1070"/>
      <c r="G3460" s="960"/>
      <c r="H3460" s="1033"/>
      <c r="I3460" s="952"/>
    </row>
    <row r="3461" spans="2:9" ht="15.75">
      <c r="B3461" s="1026">
        <v>2.1</v>
      </c>
      <c r="C3461" s="937" t="str">
        <f>+Presupuesto!B214</f>
        <v>Excavación de material no clasificado c/equipo</v>
      </c>
      <c r="D3461" s="938"/>
      <c r="E3461" s="962" t="s">
        <v>1554</v>
      </c>
      <c r="F3461" s="1066"/>
      <c r="G3461" s="938"/>
      <c r="H3461" s="1029"/>
      <c r="I3461" s="940">
        <f>I3486</f>
        <v>118.09</v>
      </c>
    </row>
    <row r="3462" spans="2:9" ht="15.75">
      <c r="C3462" s="941" t="s">
        <v>908</v>
      </c>
      <c r="D3462" s="942" t="s">
        <v>9</v>
      </c>
      <c r="E3462" s="943" t="s">
        <v>10</v>
      </c>
      <c r="F3462" s="1067" t="s">
        <v>909</v>
      </c>
      <c r="G3462" s="942" t="s">
        <v>910</v>
      </c>
      <c r="H3462" s="1030" t="s">
        <v>911</v>
      </c>
      <c r="I3462" s="944" t="s">
        <v>912</v>
      </c>
    </row>
    <row r="3463" spans="2:9" ht="15.75">
      <c r="C3463" s="945" t="s">
        <v>913</v>
      </c>
      <c r="D3463" s="946"/>
      <c r="E3463" s="947"/>
      <c r="F3463" s="1054"/>
      <c r="G3463" s="946"/>
      <c r="H3463" s="1031"/>
      <c r="I3463" s="948"/>
    </row>
    <row r="3464" spans="2:9" ht="15.75">
      <c r="C3464" s="949" t="s">
        <v>924</v>
      </c>
      <c r="D3464" s="946"/>
      <c r="E3464" s="947" t="str">
        <f>+VLOOKUP(C3464,'Basic (equilibrio) (2)'!B:D,2,FALSE)</f>
        <v>n/a</v>
      </c>
      <c r="F3464" s="1068">
        <f>+VLOOKUP(C3464,'Basic (equilibrio) (2)'!B:D,3,FALSE)</f>
        <v>0</v>
      </c>
      <c r="G3464" s="946">
        <f>F3464-(F3464/1.18)</f>
        <v>0</v>
      </c>
      <c r="H3464" s="1031"/>
      <c r="I3464" s="948">
        <f>D3464*F3464</f>
        <v>0</v>
      </c>
    </row>
    <row r="3465" spans="2:9" ht="15.75">
      <c r="C3465" s="951" t="s">
        <v>918</v>
      </c>
      <c r="D3465" s="946"/>
      <c r="E3465" s="947"/>
      <c r="F3465" s="1068"/>
      <c r="G3465" s="946"/>
      <c r="H3465" s="1031"/>
      <c r="I3465" s="952">
        <f>SUM(I3464:I3464)</f>
        <v>0</v>
      </c>
    </row>
    <row r="3466" spans="2:9" ht="15.75">
      <c r="C3466" s="949"/>
      <c r="D3466" s="946"/>
      <c r="E3466" s="947"/>
      <c r="F3466" s="1068"/>
      <c r="G3466" s="946"/>
      <c r="H3466" s="1031"/>
      <c r="I3466" s="948"/>
    </row>
    <row r="3467" spans="2:9" ht="15.75">
      <c r="C3467" s="945" t="s">
        <v>919</v>
      </c>
      <c r="D3467" s="946"/>
      <c r="E3467" s="947"/>
      <c r="F3467" s="1068"/>
      <c r="G3467" s="946"/>
      <c r="H3467" s="1031"/>
      <c r="I3467" s="948"/>
    </row>
    <row r="3468" spans="2:9" ht="15.75">
      <c r="C3468" s="949" t="s">
        <v>931</v>
      </c>
      <c r="D3468" s="953">
        <v>0.13</v>
      </c>
      <c r="E3468" s="954" t="str">
        <f>+VLOOKUP(C3468,'Basic (equilibrio) (2)'!B:D,2,FALSE)</f>
        <v>dia</v>
      </c>
      <c r="F3468" s="1068">
        <f>'Basic (equilibrio) (2)'!$D$14</f>
        <v>900</v>
      </c>
      <c r="G3468" s="946">
        <v>0</v>
      </c>
      <c r="H3468" s="1031">
        <v>70</v>
      </c>
      <c r="I3468" s="948">
        <f>(D3468*F3468)/H3468</f>
        <v>1.67</v>
      </c>
    </row>
    <row r="3469" spans="2:9" ht="15.75">
      <c r="C3469" s="951" t="s">
        <v>918</v>
      </c>
      <c r="D3469" s="946"/>
      <c r="E3469" s="947"/>
      <c r="F3469" s="1054"/>
      <c r="G3469" s="946"/>
      <c r="H3469" s="1031"/>
      <c r="I3469" s="952">
        <f>SUM(I3468:I3468)</f>
        <v>1.67</v>
      </c>
    </row>
    <row r="3470" spans="2:9" ht="15.75">
      <c r="C3470" s="949"/>
      <c r="D3470" s="946"/>
      <c r="E3470" s="947"/>
      <c r="F3470" s="1054"/>
      <c r="G3470" s="946"/>
      <c r="H3470" s="1031"/>
      <c r="I3470" s="948"/>
    </row>
    <row r="3471" spans="2:9" ht="15.75">
      <c r="C3471" s="945" t="s">
        <v>923</v>
      </c>
      <c r="D3471" s="946"/>
      <c r="E3471" s="947"/>
      <c r="F3471" s="1054"/>
      <c r="G3471" s="946"/>
      <c r="H3471" s="1031"/>
      <c r="I3471" s="948"/>
    </row>
    <row r="3472" spans="2:9" ht="31.5">
      <c r="C3472" s="949" t="s">
        <v>932</v>
      </c>
      <c r="D3472" s="946">
        <v>1</v>
      </c>
      <c r="E3472" s="947" t="str">
        <f>+VLOOKUP(C3472,'Basic (equilibrio) (2)'!B:D,2,FALSE)</f>
        <v>hr</v>
      </c>
      <c r="F3472" s="1054">
        <f>'Basic (equilibrio) (2)'!$D$690</f>
        <v>3900</v>
      </c>
      <c r="G3472" s="946">
        <f>F3472-(F3472/1.18)</f>
        <v>594.91999999999996</v>
      </c>
      <c r="H3472" s="1039">
        <v>70</v>
      </c>
      <c r="I3472" s="955">
        <f>D3472*F3472/H3472</f>
        <v>55.71</v>
      </c>
    </row>
    <row r="3473" spans="2:9" ht="15.75">
      <c r="C3473" s="949" t="s">
        <v>933</v>
      </c>
      <c r="D3473" s="946">
        <v>1</v>
      </c>
      <c r="E3473" s="947" t="str">
        <f>+VLOOKUP(C3473,'Basic (equilibrio) (2)'!B:D,2,FALSE)</f>
        <v>hr</v>
      </c>
      <c r="F3473" s="1054">
        <f>'Basic (equilibrio) (2)'!$D$682</f>
        <v>4250</v>
      </c>
      <c r="G3473" s="946">
        <f>F3473-(F3473/1.18)</f>
        <v>648.30999999999995</v>
      </c>
      <c r="H3473" s="1039">
        <v>70</v>
      </c>
      <c r="I3473" s="955">
        <f>D3473*F3473/H3473</f>
        <v>60.71</v>
      </c>
    </row>
    <row r="3474" spans="2:9" ht="15.75">
      <c r="C3474" s="951" t="s">
        <v>918</v>
      </c>
      <c r="D3474" s="946"/>
      <c r="E3474" s="947"/>
      <c r="F3474" s="1054"/>
      <c r="G3474" s="946"/>
      <c r="H3474" s="1031"/>
      <c r="I3474" s="952">
        <f>SUM(I3472:I3473)</f>
        <v>116.42</v>
      </c>
    </row>
    <row r="3475" spans="2:9" ht="15.75">
      <c r="C3475" s="949"/>
      <c r="D3475" s="946"/>
      <c r="E3475" s="947"/>
      <c r="F3475" s="1054"/>
      <c r="G3475" s="946"/>
      <c r="H3475" s="1031"/>
      <c r="I3475" s="948"/>
    </row>
    <row r="3476" spans="2:9" ht="15.75">
      <c r="C3476" s="945" t="s">
        <v>925</v>
      </c>
      <c r="D3476" s="946"/>
      <c r="E3476" s="947"/>
      <c r="F3476" s="1054"/>
      <c r="G3476" s="946"/>
      <c r="H3476" s="1031"/>
      <c r="I3476" s="948"/>
    </row>
    <row r="3477" spans="2:9" ht="15.75">
      <c r="C3477" s="949" t="s">
        <v>925</v>
      </c>
      <c r="D3477" s="946">
        <f>+I3474</f>
        <v>116.42</v>
      </c>
      <c r="E3477" s="947" t="str">
        <f>+VLOOKUP(C3477,'Basic (equilibrio) (2)'!B:D,2,FALSE)</f>
        <v>Pa</v>
      </c>
      <c r="F3477" s="1054">
        <f>+VLOOKUP(C3477,'Basic (equilibrio) (2)'!B:D,3,FALSE)</f>
        <v>0</v>
      </c>
      <c r="G3477" s="946"/>
      <c r="H3477" s="1031"/>
      <c r="I3477" s="948">
        <f>D3477*F3477</f>
        <v>0</v>
      </c>
    </row>
    <row r="3478" spans="2:9" ht="15.75">
      <c r="C3478" s="951" t="s">
        <v>918</v>
      </c>
      <c r="D3478" s="946"/>
      <c r="E3478" s="947"/>
      <c r="F3478" s="1054"/>
      <c r="G3478" s="946"/>
      <c r="H3478" s="1031"/>
      <c r="I3478" s="952">
        <f>SUM(I3477)</f>
        <v>0</v>
      </c>
    </row>
    <row r="3479" spans="2:9" ht="15.75">
      <c r="C3479" s="951"/>
      <c r="D3479" s="946"/>
      <c r="E3479" s="947"/>
      <c r="F3479" s="1054"/>
      <c r="G3479" s="946"/>
      <c r="H3479" s="1031"/>
      <c r="I3479" s="952"/>
    </row>
    <row r="3480" spans="2:9" ht="15.75">
      <c r="C3480" s="956" t="s">
        <v>926</v>
      </c>
      <c r="D3480" s="957"/>
      <c r="E3480" s="958"/>
      <c r="F3480" s="1069"/>
      <c r="G3480" s="957"/>
      <c r="H3480" s="1032"/>
      <c r="I3480" s="959">
        <f>+I3465</f>
        <v>0</v>
      </c>
    </row>
    <row r="3481" spans="2:9" ht="15.75">
      <c r="C3481" s="956" t="s">
        <v>927</v>
      </c>
      <c r="D3481" s="957"/>
      <c r="E3481" s="958"/>
      <c r="F3481" s="1069"/>
      <c r="G3481" s="957"/>
      <c r="H3481" s="1032"/>
      <c r="I3481" s="959">
        <f>+I3469</f>
        <v>1.67</v>
      </c>
    </row>
    <row r="3482" spans="2:9" ht="15.75">
      <c r="C3482" s="956" t="s">
        <v>928</v>
      </c>
      <c r="D3482" s="957"/>
      <c r="E3482" s="958"/>
      <c r="F3482" s="1069"/>
      <c r="G3482" s="957"/>
      <c r="H3482" s="1032"/>
      <c r="I3482" s="959">
        <f>+I3474</f>
        <v>116.42</v>
      </c>
    </row>
    <row r="3483" spans="2:9" ht="15.75">
      <c r="C3483" s="956" t="s">
        <v>929</v>
      </c>
      <c r="D3483" s="957"/>
      <c r="E3483" s="958"/>
      <c r="F3483" s="1069"/>
      <c r="G3483" s="957"/>
      <c r="H3483" s="1032"/>
      <c r="I3483" s="959">
        <f>+I3478</f>
        <v>0</v>
      </c>
    </row>
    <row r="3484" spans="2:9" ht="15.75">
      <c r="C3484" s="949"/>
      <c r="D3484" s="946"/>
      <c r="E3484" s="947"/>
      <c r="F3484" s="1054"/>
      <c r="G3484" s="946"/>
      <c r="H3484" s="1031"/>
      <c r="I3484" s="948"/>
    </row>
    <row r="3485" spans="2:9" ht="15.75">
      <c r="C3485" s="949"/>
      <c r="D3485" s="946"/>
      <c r="E3485" s="947"/>
      <c r="F3485" s="1054"/>
      <c r="G3485" s="946"/>
      <c r="H3485" s="1031"/>
      <c r="I3485" s="948"/>
    </row>
    <row r="3486" spans="2:9" ht="15.75">
      <c r="C3486" s="951" t="s">
        <v>930</v>
      </c>
      <c r="D3486" s="960"/>
      <c r="E3486" s="943" t="str">
        <f>+E3461</f>
        <v>M3N</v>
      </c>
      <c r="F3486" s="1070"/>
      <c r="G3486" s="960"/>
      <c r="H3486" s="1033"/>
      <c r="I3486" s="952">
        <f>SUM(I3480:I3483)</f>
        <v>118.09</v>
      </c>
    </row>
    <row r="3487" spans="2:9" ht="15.75">
      <c r="C3487" s="951"/>
      <c r="D3487" s="960"/>
      <c r="E3487" s="943"/>
      <c r="F3487" s="1070"/>
      <c r="G3487" s="960"/>
      <c r="H3487" s="1033"/>
      <c r="I3487" s="952"/>
    </row>
    <row r="3488" spans="2:9" ht="15.75">
      <c r="B3488" s="1026">
        <v>2.2000000000000002</v>
      </c>
      <c r="C3488" s="937" t="str">
        <f>+Presupuesto!B215</f>
        <v>Relleno de material compactado c/compactador mecánico</v>
      </c>
      <c r="D3488" s="938"/>
      <c r="E3488" s="962" t="s">
        <v>219</v>
      </c>
      <c r="F3488" s="1066"/>
      <c r="G3488" s="938"/>
      <c r="H3488" s="1029"/>
      <c r="I3488" s="940">
        <f>I3514</f>
        <v>87.49</v>
      </c>
    </row>
    <row r="3489" spans="3:9" ht="15.75">
      <c r="C3489" s="941" t="s">
        <v>908</v>
      </c>
      <c r="D3489" s="942" t="s">
        <v>9</v>
      </c>
      <c r="E3489" s="943" t="s">
        <v>10</v>
      </c>
      <c r="F3489" s="1067" t="s">
        <v>909</v>
      </c>
      <c r="G3489" s="942" t="s">
        <v>910</v>
      </c>
      <c r="H3489" s="1030" t="s">
        <v>911</v>
      </c>
      <c r="I3489" s="944" t="s">
        <v>912</v>
      </c>
    </row>
    <row r="3490" spans="3:9" ht="15.75">
      <c r="C3490" s="945" t="s">
        <v>913</v>
      </c>
      <c r="D3490" s="946"/>
      <c r="E3490" s="947"/>
      <c r="F3490" s="1054"/>
      <c r="G3490" s="946"/>
      <c r="H3490" s="1031"/>
      <c r="I3490" s="948"/>
    </row>
    <row r="3491" spans="3:9" ht="15.75">
      <c r="C3491" s="949" t="s">
        <v>924</v>
      </c>
      <c r="D3491" s="946">
        <v>1.3</v>
      </c>
      <c r="E3491" s="947" t="str">
        <f>+VLOOKUP(C3491,'Basic (equilibrio) (2)'!B:D,2,FALSE)</f>
        <v>n/a</v>
      </c>
      <c r="F3491" s="1068">
        <f>+VLOOKUP(C3491,'Basic (equilibrio) (2)'!B:D,3,FALSE)</f>
        <v>0</v>
      </c>
      <c r="G3491" s="946">
        <f>F3491-(F3491/1.18)</f>
        <v>0</v>
      </c>
      <c r="H3491" s="1031"/>
      <c r="I3491" s="948">
        <f>D3491*F3491</f>
        <v>0</v>
      </c>
    </row>
    <row r="3492" spans="3:9" ht="15.75">
      <c r="C3492" s="951" t="s">
        <v>918</v>
      </c>
      <c r="D3492" s="946"/>
      <c r="E3492" s="947"/>
      <c r="F3492" s="1068"/>
      <c r="G3492" s="946"/>
      <c r="H3492" s="1031"/>
      <c r="I3492" s="952">
        <f>SUM(I3491:I3491)</f>
        <v>0</v>
      </c>
    </row>
    <row r="3493" spans="3:9" ht="15.75">
      <c r="C3493" s="949"/>
      <c r="D3493" s="946"/>
      <c r="E3493" s="947"/>
      <c r="F3493" s="1068"/>
      <c r="G3493" s="946"/>
      <c r="H3493" s="1031"/>
      <c r="I3493" s="948"/>
    </row>
    <row r="3494" spans="3:9" ht="15.75">
      <c r="C3494" s="945" t="s">
        <v>919</v>
      </c>
      <c r="D3494" s="946"/>
      <c r="E3494" s="947"/>
      <c r="F3494" s="1068"/>
      <c r="G3494" s="946"/>
      <c r="H3494" s="1031"/>
      <c r="I3494" s="948"/>
    </row>
    <row r="3495" spans="3:9" ht="15.75">
      <c r="C3495" s="949" t="s">
        <v>931</v>
      </c>
      <c r="D3495" s="953">
        <v>0.25</v>
      </c>
      <c r="E3495" s="954" t="str">
        <f>+VLOOKUP(C3495,'Basic (equilibrio) (2)'!B:D,2,FALSE)</f>
        <v>dia</v>
      </c>
      <c r="F3495" s="1068">
        <f>'Basic (equilibrio) (2)'!$D$14</f>
        <v>900</v>
      </c>
      <c r="G3495" s="946">
        <v>0</v>
      </c>
      <c r="H3495" s="1031">
        <v>70</v>
      </c>
      <c r="I3495" s="948">
        <f>(D3495*F3495)/H3495</f>
        <v>3.21</v>
      </c>
    </row>
    <row r="3496" spans="3:9" ht="15.75">
      <c r="C3496" s="951" t="s">
        <v>918</v>
      </c>
      <c r="D3496" s="946"/>
      <c r="E3496" s="947"/>
      <c r="F3496" s="1054"/>
      <c r="G3496" s="946"/>
      <c r="H3496" s="1031"/>
      <c r="I3496" s="952">
        <f>SUM(I3495:I3495)</f>
        <v>3.21</v>
      </c>
    </row>
    <row r="3497" spans="3:9" ht="15.75">
      <c r="C3497" s="949"/>
      <c r="D3497" s="946"/>
      <c r="E3497" s="947"/>
      <c r="F3497" s="1054"/>
      <c r="G3497" s="946"/>
      <c r="H3497" s="1031"/>
      <c r="I3497" s="948"/>
    </row>
    <row r="3498" spans="3:9" ht="15.75">
      <c r="C3498" s="945" t="s">
        <v>923</v>
      </c>
      <c r="D3498" s="946"/>
      <c r="E3498" s="947"/>
      <c r="F3498" s="1054"/>
      <c r="G3498" s="946"/>
      <c r="H3498" s="1031"/>
      <c r="I3498" s="948"/>
    </row>
    <row r="3499" spans="3:9" ht="15.75">
      <c r="C3499" s="949" t="s">
        <v>938</v>
      </c>
      <c r="D3499" s="946">
        <v>1</v>
      </c>
      <c r="E3499" s="947" t="str">
        <f>+VLOOKUP(C3499,'Basic (equilibrio) (2)'!B:D,2,FALSE)</f>
        <v>hr</v>
      </c>
      <c r="F3499" s="1054">
        <f>'Basic (equilibrio) (2)'!$D$683</f>
        <v>2500</v>
      </c>
      <c r="G3499" s="946">
        <f>F3499-(F3499/1.18)</f>
        <v>381.36</v>
      </c>
      <c r="H3499" s="1039">
        <v>70</v>
      </c>
      <c r="I3499" s="955">
        <f>D3499*F3499/H3499</f>
        <v>35.71</v>
      </c>
    </row>
    <row r="3500" spans="3:9" ht="15.75">
      <c r="C3500" s="949" t="s">
        <v>935</v>
      </c>
      <c r="D3500" s="946">
        <v>1</v>
      </c>
      <c r="E3500" s="947" t="str">
        <f>+VLOOKUP(C3500,'Basic (equilibrio) (2)'!B:D,2,FALSE)</f>
        <v>hr</v>
      </c>
      <c r="F3500" s="1054">
        <f>'Basic (equilibrio) (2)'!$D$684</f>
        <v>3000</v>
      </c>
      <c r="G3500" s="946">
        <f>F3500-(F3500/1.18)</f>
        <v>457.63</v>
      </c>
      <c r="H3500" s="1039">
        <v>70</v>
      </c>
      <c r="I3500" s="955">
        <f t="shared" ref="I3500:I3501" si="17">D3500*F3500/H3500</f>
        <v>42.86</v>
      </c>
    </row>
    <row r="3501" spans="3:9" ht="15.75">
      <c r="C3501" s="949" t="s">
        <v>939</v>
      </c>
      <c r="D3501" s="946">
        <v>1</v>
      </c>
      <c r="E3501" s="947" t="str">
        <f>+VLOOKUP(C3501,'Basic (equilibrio) (2)'!B:D,2,FALSE)</f>
        <v>hr</v>
      </c>
      <c r="F3501" s="1054">
        <f>'Basic (equilibrio) (2)'!$D$688</f>
        <v>400</v>
      </c>
      <c r="G3501" s="946">
        <f>F3501-(F3501/1.18)</f>
        <v>61.02</v>
      </c>
      <c r="H3501" s="1039">
        <v>70</v>
      </c>
      <c r="I3501" s="955">
        <f t="shared" si="17"/>
        <v>5.71</v>
      </c>
    </row>
    <row r="3502" spans="3:9" ht="15.75">
      <c r="C3502" s="951" t="s">
        <v>918</v>
      </c>
      <c r="D3502" s="946"/>
      <c r="E3502" s="947"/>
      <c r="F3502" s="1054"/>
      <c r="G3502" s="946"/>
      <c r="H3502" s="1031"/>
      <c r="I3502" s="952">
        <f>SUM(I3499:I3501)</f>
        <v>84.28</v>
      </c>
    </row>
    <row r="3503" spans="3:9" ht="15.75">
      <c r="C3503" s="949"/>
      <c r="D3503" s="946"/>
      <c r="E3503" s="947"/>
      <c r="F3503" s="1054"/>
      <c r="G3503" s="946"/>
      <c r="H3503" s="1031"/>
      <c r="I3503" s="948"/>
    </row>
    <row r="3504" spans="3:9" ht="15.75">
      <c r="C3504" s="945" t="s">
        <v>925</v>
      </c>
      <c r="D3504" s="946"/>
      <c r="E3504" s="947"/>
      <c r="F3504" s="1054"/>
      <c r="G3504" s="946"/>
      <c r="H3504" s="1031"/>
      <c r="I3504" s="948"/>
    </row>
    <row r="3505" spans="2:9" ht="15.75">
      <c r="C3505" s="949" t="s">
        <v>924</v>
      </c>
      <c r="D3505" s="946"/>
      <c r="E3505" s="947" t="str">
        <f>+VLOOKUP(C3505,'Basic (equilibrio) (2)'!B:D,2,FALSE)</f>
        <v>n/a</v>
      </c>
      <c r="F3505" s="1054">
        <f>+VLOOKUP(C3505,'Basic (equilibrio) (2)'!B:D,3,FALSE)</f>
        <v>0</v>
      </c>
      <c r="G3505" s="946"/>
      <c r="H3505" s="1031"/>
      <c r="I3505" s="948">
        <f>D3505*F3505</f>
        <v>0</v>
      </c>
    </row>
    <row r="3506" spans="2:9" ht="15.75">
      <c r="C3506" s="951" t="s">
        <v>918</v>
      </c>
      <c r="D3506" s="946"/>
      <c r="E3506" s="947"/>
      <c r="F3506" s="1054"/>
      <c r="G3506" s="946"/>
      <c r="H3506" s="1031"/>
      <c r="I3506" s="952">
        <f>SUM(I3505)</f>
        <v>0</v>
      </c>
    </row>
    <row r="3507" spans="2:9" ht="15.75">
      <c r="C3507" s="951"/>
      <c r="D3507" s="946"/>
      <c r="E3507" s="947"/>
      <c r="F3507" s="1054"/>
      <c r="G3507" s="946"/>
      <c r="H3507" s="1031"/>
      <c r="I3507" s="952"/>
    </row>
    <row r="3508" spans="2:9" ht="15.75">
      <c r="C3508" s="956" t="s">
        <v>926</v>
      </c>
      <c r="D3508" s="957"/>
      <c r="E3508" s="958"/>
      <c r="F3508" s="1069"/>
      <c r="G3508" s="957"/>
      <c r="H3508" s="1032"/>
      <c r="I3508" s="959">
        <f>+I3492</f>
        <v>0</v>
      </c>
    </row>
    <row r="3509" spans="2:9" ht="15.75">
      <c r="C3509" s="956" t="s">
        <v>927</v>
      </c>
      <c r="D3509" s="957"/>
      <c r="E3509" s="958"/>
      <c r="F3509" s="1069"/>
      <c r="G3509" s="957"/>
      <c r="H3509" s="1032"/>
      <c r="I3509" s="959">
        <f>+I3496</f>
        <v>3.21</v>
      </c>
    </row>
    <row r="3510" spans="2:9" ht="15.75">
      <c r="C3510" s="956" t="s">
        <v>928</v>
      </c>
      <c r="D3510" s="957"/>
      <c r="E3510" s="958"/>
      <c r="F3510" s="1069"/>
      <c r="G3510" s="957"/>
      <c r="H3510" s="1032"/>
      <c r="I3510" s="959">
        <f>+I3502</f>
        <v>84.28</v>
      </c>
    </row>
    <row r="3511" spans="2:9" ht="15.75">
      <c r="C3511" s="956" t="s">
        <v>929</v>
      </c>
      <c r="D3511" s="957"/>
      <c r="E3511" s="958"/>
      <c r="F3511" s="1069"/>
      <c r="G3511" s="957"/>
      <c r="H3511" s="1032"/>
      <c r="I3511" s="959">
        <f>+I3506</f>
        <v>0</v>
      </c>
    </row>
    <row r="3512" spans="2:9" ht="15.75">
      <c r="C3512" s="949"/>
      <c r="D3512" s="946"/>
      <c r="E3512" s="947"/>
      <c r="F3512" s="1054"/>
      <c r="G3512" s="946"/>
      <c r="H3512" s="1031"/>
      <c r="I3512" s="948"/>
    </row>
    <row r="3513" spans="2:9" ht="15.75">
      <c r="C3513" s="949"/>
      <c r="D3513" s="946"/>
      <c r="E3513" s="947"/>
      <c r="F3513" s="1054"/>
      <c r="G3513" s="946"/>
      <c r="H3513" s="1031"/>
      <c r="I3513" s="948"/>
    </row>
    <row r="3514" spans="2:9" ht="15.75">
      <c r="C3514" s="951" t="s">
        <v>930</v>
      </c>
      <c r="D3514" s="960"/>
      <c r="E3514" s="943" t="str">
        <f>+E3488</f>
        <v>M3C</v>
      </c>
      <c r="F3514" s="1070"/>
      <c r="G3514" s="960"/>
      <c r="H3514" s="1033"/>
      <c r="I3514" s="952">
        <f>SUM(I3508:I3511)</f>
        <v>87.49</v>
      </c>
    </row>
    <row r="3515" spans="2:9" ht="15.75">
      <c r="C3515" s="951"/>
      <c r="D3515" s="960"/>
      <c r="E3515" s="943"/>
      <c r="F3515" s="1070"/>
      <c r="G3515" s="960"/>
      <c r="H3515" s="1033"/>
      <c r="I3515" s="952"/>
    </row>
    <row r="3516" spans="2:9" ht="31.5">
      <c r="B3516" s="1026">
        <v>2.2999999999999998</v>
      </c>
      <c r="C3516" s="937" t="str">
        <f>+Presupuesto!B216</f>
        <v>Bote de material sobrante c/camión (Incluye esparcimiento en botadero)</v>
      </c>
      <c r="D3516" s="938"/>
      <c r="E3516" s="962" t="s">
        <v>213</v>
      </c>
      <c r="F3516" s="1066"/>
      <c r="G3516" s="938"/>
      <c r="H3516" s="1029"/>
      <c r="I3516" s="940" t="e">
        <f>#REF!</f>
        <v>#REF!</v>
      </c>
    </row>
    <row r="3517" spans="2:9" ht="15.75">
      <c r="C3517" s="941" t="s">
        <v>908</v>
      </c>
      <c r="D3517" s="942" t="s">
        <v>9</v>
      </c>
      <c r="E3517" s="943" t="s">
        <v>10</v>
      </c>
      <c r="F3517" s="1067" t="s">
        <v>909</v>
      </c>
      <c r="G3517" s="942" t="s">
        <v>910</v>
      </c>
      <c r="H3517" s="1030" t="s">
        <v>911</v>
      </c>
      <c r="I3517" s="944" t="s">
        <v>912</v>
      </c>
    </row>
    <row r="3518" spans="2:9" ht="15.75">
      <c r="C3518" s="945" t="s">
        <v>913</v>
      </c>
      <c r="D3518" s="946"/>
      <c r="E3518" s="947"/>
      <c r="F3518" s="1054"/>
      <c r="G3518" s="946"/>
      <c r="H3518" s="1031"/>
      <c r="I3518" s="948"/>
    </row>
    <row r="3519" spans="2:9" ht="15.75">
      <c r="C3519" s="949" t="s">
        <v>924</v>
      </c>
      <c r="D3519" s="946"/>
      <c r="E3519" s="947" t="str">
        <f>+VLOOKUP(C3519,'Basic (equilibrio) (2)'!B:D,2,FALSE)</f>
        <v>n/a</v>
      </c>
      <c r="F3519" s="1068">
        <f>+VLOOKUP(C3519,'Basic (equilibrio) (2)'!B:D,3,FALSE)</f>
        <v>0</v>
      </c>
      <c r="G3519" s="946">
        <f>F3519-(F3519/1.18)</f>
        <v>0</v>
      </c>
      <c r="H3519" s="1031"/>
      <c r="I3519" s="948">
        <f>D3519*F3519</f>
        <v>0</v>
      </c>
    </row>
    <row r="3520" spans="2:9" ht="15.75">
      <c r="C3520" s="951" t="s">
        <v>918</v>
      </c>
      <c r="D3520" s="946"/>
      <c r="E3520" s="947"/>
      <c r="F3520" s="1068"/>
      <c r="G3520" s="946"/>
      <c r="H3520" s="1031"/>
      <c r="I3520" s="952">
        <f>SUM(I3519:I3519)</f>
        <v>0</v>
      </c>
    </row>
    <row r="3521" spans="3:9" ht="15.75">
      <c r="C3521" s="949"/>
      <c r="D3521" s="946"/>
      <c r="E3521" s="947"/>
      <c r="F3521" s="1068"/>
      <c r="G3521" s="946"/>
      <c r="H3521" s="1031"/>
      <c r="I3521" s="948"/>
    </row>
    <row r="3522" spans="3:9" ht="15.75">
      <c r="C3522" s="945" t="s">
        <v>919</v>
      </c>
      <c r="D3522" s="946"/>
      <c r="E3522" s="947"/>
      <c r="F3522" s="1068"/>
      <c r="G3522" s="946"/>
      <c r="H3522" s="1031"/>
      <c r="I3522" s="948"/>
    </row>
    <row r="3523" spans="3:9" ht="15.75">
      <c r="C3523" s="949" t="s">
        <v>931</v>
      </c>
      <c r="D3523" s="953">
        <v>0.13</v>
      </c>
      <c r="E3523" s="954" t="str">
        <f>+VLOOKUP(C3523,'Basic (equilibrio) (2)'!B:D,2,FALSE)</f>
        <v>dia</v>
      </c>
      <c r="F3523" s="1068">
        <f>'Basic (equilibrio) (2)'!$D$14</f>
        <v>900</v>
      </c>
      <c r="G3523" s="946">
        <v>0</v>
      </c>
      <c r="H3523" s="1031">
        <v>70</v>
      </c>
      <c r="I3523" s="948">
        <f>(D3523*F3523)/H3523</f>
        <v>1.67</v>
      </c>
    </row>
    <row r="3524" spans="3:9" ht="15.75">
      <c r="C3524" s="951" t="s">
        <v>918</v>
      </c>
      <c r="D3524" s="946"/>
      <c r="E3524" s="947"/>
      <c r="F3524" s="1054"/>
      <c r="G3524" s="946"/>
      <c r="H3524" s="1031"/>
      <c r="I3524" s="952">
        <f>SUM(I3523:I3523)</f>
        <v>1.67</v>
      </c>
    </row>
    <row r="3525" spans="3:9" ht="15.75">
      <c r="C3525" s="949"/>
      <c r="D3525" s="946"/>
      <c r="E3525" s="947"/>
      <c r="F3525" s="1054"/>
      <c r="G3525" s="946"/>
      <c r="H3525" s="1031"/>
      <c r="I3525" s="948"/>
    </row>
    <row r="3526" spans="3:9" ht="15.75">
      <c r="C3526" s="945" t="s">
        <v>923</v>
      </c>
      <c r="D3526" s="946"/>
      <c r="E3526" s="947"/>
      <c r="F3526" s="1054"/>
      <c r="G3526" s="946"/>
      <c r="H3526" s="1031"/>
      <c r="I3526" s="948"/>
    </row>
    <row r="3527" spans="3:9" ht="15.75">
      <c r="C3527" s="949" t="s">
        <v>934</v>
      </c>
      <c r="D3527" s="946">
        <v>1</v>
      </c>
      <c r="E3527" s="947" t="str">
        <f>+VLOOKUP(C3527,'Basic (equilibrio) (2)'!B:D,2,FALSE)</f>
        <v>m3e</v>
      </c>
      <c r="F3527" s="1054">
        <f>'Basic (equilibrio) (2)'!$D$685</f>
        <v>350</v>
      </c>
      <c r="G3527" s="946">
        <f>F3527-(F3527/1.18)</f>
        <v>53.39</v>
      </c>
      <c r="H3527" s="1039"/>
      <c r="I3527" s="955">
        <f>D3527*F3527</f>
        <v>350</v>
      </c>
    </row>
    <row r="3528" spans="3:9" ht="15.75">
      <c r="C3528" s="949" t="s">
        <v>933</v>
      </c>
      <c r="D3528" s="946">
        <v>1</v>
      </c>
      <c r="E3528" s="947" t="str">
        <f>+VLOOKUP(C3528,'Basic (equilibrio) (2)'!B:D,2,FALSE)</f>
        <v>hr</v>
      </c>
      <c r="F3528" s="1054">
        <f>'Basic (equilibrio) (2)'!$D$682</f>
        <v>4250</v>
      </c>
      <c r="G3528" s="946">
        <f>F3528-(F3528/1.18)</f>
        <v>648.30999999999995</v>
      </c>
      <c r="H3528" s="1039">
        <v>70</v>
      </c>
      <c r="I3528" s="955">
        <f t="shared" ref="I3528:I3529" si="18">D3528*F3528/H3528</f>
        <v>60.71</v>
      </c>
    </row>
    <row r="3529" spans="3:9" ht="15.75">
      <c r="C3529" s="949" t="s">
        <v>935</v>
      </c>
      <c r="D3529" s="946">
        <v>1</v>
      </c>
      <c r="E3529" s="947" t="str">
        <f>+VLOOKUP(C3529,'Basic (equilibrio) (2)'!B:D,2,FALSE)</f>
        <v>hr</v>
      </c>
      <c r="F3529" s="1054">
        <f>'Basic (equilibrio) (2)'!$D$684</f>
        <v>3000</v>
      </c>
      <c r="G3529" s="946">
        <f>F3529-(F3529/1.18)</f>
        <v>457.63</v>
      </c>
      <c r="H3529" s="1039">
        <v>70</v>
      </c>
      <c r="I3529" s="955">
        <f t="shared" si="18"/>
        <v>42.86</v>
      </c>
    </row>
    <row r="3530" spans="3:9" ht="15.75">
      <c r="C3530" s="951" t="s">
        <v>918</v>
      </c>
      <c r="D3530" s="946"/>
      <c r="E3530" s="947"/>
      <c r="F3530" s="1054"/>
      <c r="G3530" s="946"/>
      <c r="H3530" s="1031"/>
      <c r="I3530" s="952">
        <f>SUM(I3527:I3529)</f>
        <v>453.57</v>
      </c>
    </row>
    <row r="3531" spans="3:9" ht="15.75">
      <c r="C3531" s="949"/>
      <c r="D3531" s="946"/>
      <c r="E3531" s="947"/>
      <c r="F3531" s="1054"/>
      <c r="G3531" s="946"/>
      <c r="H3531" s="1031"/>
      <c r="I3531" s="948"/>
    </row>
    <row r="3532" spans="3:9" ht="15.75">
      <c r="C3532" s="945" t="s">
        <v>925</v>
      </c>
      <c r="D3532" s="946"/>
      <c r="E3532" s="947"/>
      <c r="F3532" s="1054"/>
      <c r="G3532" s="946"/>
      <c r="H3532" s="1031"/>
      <c r="I3532" s="948"/>
    </row>
    <row r="3533" spans="3:9" ht="15.75">
      <c r="C3533" s="949" t="s">
        <v>924</v>
      </c>
      <c r="D3533" s="946">
        <f>+I3530</f>
        <v>453.57</v>
      </c>
      <c r="E3533" s="947" t="str">
        <f>+VLOOKUP(C3533,'Basic (equilibrio) (2)'!B:D,2,FALSE)</f>
        <v>n/a</v>
      </c>
      <c r="F3533" s="1054">
        <f>+VLOOKUP(C3533,'Basic (equilibrio) (2)'!B:D,3,FALSE)</f>
        <v>0</v>
      </c>
      <c r="G3533" s="946"/>
      <c r="H3533" s="1031"/>
      <c r="I3533" s="948">
        <f>D3533*F3533</f>
        <v>0</v>
      </c>
    </row>
    <row r="3534" spans="3:9" ht="15.75">
      <c r="C3534" s="951" t="s">
        <v>918</v>
      </c>
      <c r="D3534" s="946"/>
      <c r="E3534" s="947"/>
      <c r="F3534" s="1054"/>
      <c r="G3534" s="946"/>
      <c r="H3534" s="1031"/>
      <c r="I3534" s="952">
        <f>SUM(I3533)</f>
        <v>0</v>
      </c>
    </row>
    <row r="3535" spans="3:9" ht="15.75">
      <c r="C3535" s="951"/>
      <c r="D3535" s="946"/>
      <c r="E3535" s="947"/>
      <c r="F3535" s="1054"/>
      <c r="G3535" s="946"/>
      <c r="H3535" s="1031"/>
      <c r="I3535" s="952"/>
    </row>
    <row r="3536" spans="3:9" ht="15.75">
      <c r="C3536" s="956" t="s">
        <v>926</v>
      </c>
      <c r="D3536" s="957"/>
      <c r="E3536" s="958"/>
      <c r="F3536" s="1069"/>
      <c r="G3536" s="957"/>
      <c r="H3536" s="1032"/>
      <c r="I3536" s="959">
        <f>+I3520</f>
        <v>0</v>
      </c>
    </row>
    <row r="3537" spans="2:9" ht="15.75">
      <c r="C3537" s="956" t="s">
        <v>927</v>
      </c>
      <c r="D3537" s="957"/>
      <c r="E3537" s="958"/>
      <c r="F3537" s="1069"/>
      <c r="G3537" s="957"/>
      <c r="H3537" s="1032"/>
      <c r="I3537" s="959">
        <f>+I3524</f>
        <v>1.67</v>
      </c>
    </row>
    <row r="3538" spans="2:9" ht="15.75">
      <c r="C3538" s="956" t="s">
        <v>928</v>
      </c>
      <c r="D3538" s="957"/>
      <c r="E3538" s="958"/>
      <c r="F3538" s="1069"/>
      <c r="G3538" s="957"/>
      <c r="H3538" s="1032"/>
      <c r="I3538" s="959">
        <f>+I3530</f>
        <v>453.57</v>
      </c>
    </row>
    <row r="3539" spans="2:9" ht="15.75">
      <c r="C3539" s="956" t="s">
        <v>929</v>
      </c>
      <c r="D3539" s="957"/>
      <c r="E3539" s="958"/>
      <c r="F3539" s="1069"/>
      <c r="G3539" s="957"/>
      <c r="H3539" s="1032"/>
      <c r="I3539" s="959">
        <f>+I3534</f>
        <v>0</v>
      </c>
    </row>
    <row r="3540" spans="2:9" ht="15.75">
      <c r="C3540" s="949"/>
      <c r="D3540" s="946"/>
      <c r="E3540" s="947"/>
      <c r="F3540" s="1054"/>
      <c r="G3540" s="946"/>
      <c r="H3540" s="1031"/>
      <c r="I3540" s="948"/>
    </row>
    <row r="3541" spans="2:9" ht="15.75">
      <c r="C3541" s="949"/>
      <c r="D3541" s="946"/>
      <c r="E3541" s="947"/>
      <c r="F3541" s="1054"/>
      <c r="G3541" s="946"/>
      <c r="H3541" s="1031"/>
      <c r="I3541" s="948"/>
    </row>
    <row r="3542" spans="2:9" ht="15.75">
      <c r="C3542" s="951" t="s">
        <v>930</v>
      </c>
      <c r="D3542" s="960"/>
      <c r="E3542" s="943" t="str">
        <f>+E3516</f>
        <v>M3E</v>
      </c>
      <c r="F3542" s="1070"/>
      <c r="G3542" s="960"/>
      <c r="H3542" s="1033"/>
      <c r="I3542" s="952">
        <f>SUM(I3536:I3539)</f>
        <v>455.24</v>
      </c>
    </row>
    <row r="3543" spans="2:9" ht="15.75">
      <c r="C3543" s="951"/>
      <c r="D3543" s="960"/>
      <c r="E3543" s="943"/>
      <c r="F3543" s="1070"/>
      <c r="G3543" s="960"/>
      <c r="H3543" s="1033"/>
      <c r="I3543" s="952"/>
    </row>
    <row r="3544" spans="2:9" ht="15.75">
      <c r="B3544" s="1026">
        <v>3.1</v>
      </c>
      <c r="C3544" s="937" t="str">
        <f>+Presupuesto!B219</f>
        <v>Zapata de muro de 6" (0.45m x 0.25m)</v>
      </c>
      <c r="D3544" s="938"/>
      <c r="E3544" s="962" t="s">
        <v>22</v>
      </c>
      <c r="F3544" s="1066"/>
      <c r="G3544" s="938"/>
      <c r="H3544" s="1029"/>
      <c r="I3544" s="940">
        <f>I3570</f>
        <v>10106.879999999999</v>
      </c>
    </row>
    <row r="3545" spans="2:9" ht="15.75">
      <c r="C3545" s="941" t="s">
        <v>908</v>
      </c>
      <c r="D3545" s="942" t="s">
        <v>9</v>
      </c>
      <c r="E3545" s="943" t="s">
        <v>10</v>
      </c>
      <c r="F3545" s="1067" t="s">
        <v>909</v>
      </c>
      <c r="G3545" s="942" t="s">
        <v>910</v>
      </c>
      <c r="H3545" s="1030" t="s">
        <v>911</v>
      </c>
      <c r="I3545" s="944" t="s">
        <v>912</v>
      </c>
    </row>
    <row r="3546" spans="2:9" ht="15.75">
      <c r="C3546" s="945" t="s">
        <v>913</v>
      </c>
      <c r="D3546" s="946"/>
      <c r="E3546" s="947"/>
      <c r="F3546" s="1054"/>
      <c r="G3546" s="946"/>
      <c r="H3546" s="1031"/>
      <c r="I3546" s="948"/>
    </row>
    <row r="3547" spans="2:9" ht="15.75">
      <c r="C3547" s="949" t="s">
        <v>994</v>
      </c>
      <c r="D3547" s="946">
        <v>1.02</v>
      </c>
      <c r="E3547" s="947" t="str">
        <f>+VLOOKUP(C3547,'Basic (equilibrio) (2)'!B:D,2,FALSE)</f>
        <v>m3</v>
      </c>
      <c r="F3547" s="1068">
        <f>'Basic (equilibrio) (2)'!$D$179</f>
        <v>7600</v>
      </c>
      <c r="G3547" s="946">
        <f>F3547-(F3547/1.18)</f>
        <v>1159.32</v>
      </c>
      <c r="H3547" s="1031"/>
      <c r="I3547" s="948">
        <f>D3547*F3547</f>
        <v>7752</v>
      </c>
    </row>
    <row r="3548" spans="2:9" ht="15.75">
      <c r="C3548" s="949" t="s">
        <v>1188</v>
      </c>
      <c r="D3548" s="946">
        <v>0.65</v>
      </c>
      <c r="E3548" s="947" t="str">
        <f>+VLOOKUP(C3548,'Basic (equilibrio) (2)'!B:D,2,FALSE)</f>
        <v>qq</v>
      </c>
      <c r="F3548" s="1068">
        <f>'Basic (equilibrio) (2)'!$D$183</f>
        <v>3600</v>
      </c>
      <c r="G3548" s="946">
        <f>F3548-(F3548/1.18)</f>
        <v>549.15</v>
      </c>
      <c r="H3548" s="1031"/>
      <c r="I3548" s="948">
        <f>D3548*F3548</f>
        <v>2340</v>
      </c>
    </row>
    <row r="3549" spans="2:9" ht="15.75">
      <c r="C3549" s="949" t="s">
        <v>1328</v>
      </c>
      <c r="D3549" s="946">
        <v>1.3</v>
      </c>
      <c r="E3549" s="947" t="str">
        <f>+VLOOKUP(C3549,'Basic (equilibrio) (2)'!B:D,2,FALSE)</f>
        <v>lb</v>
      </c>
      <c r="F3549" s="1068">
        <f>'Basic (equilibrio) (2)'!$D$334</f>
        <v>31.1</v>
      </c>
      <c r="G3549" s="946">
        <f>F3550-(F3550/1.18)</f>
        <v>0</v>
      </c>
      <c r="H3549" s="1031"/>
      <c r="I3549" s="948">
        <f>D3549*F3550</f>
        <v>0</v>
      </c>
    </row>
    <row r="3550" spans="2:9" ht="15.75">
      <c r="C3550" s="951" t="s">
        <v>918</v>
      </c>
      <c r="D3550" s="946"/>
      <c r="E3550" s="947"/>
      <c r="F3550" s="1068"/>
      <c r="G3550" s="946"/>
      <c r="H3550" s="1031"/>
      <c r="I3550" s="952">
        <f>SUM(I3547:I3549)</f>
        <v>10092</v>
      </c>
    </row>
    <row r="3551" spans="2:9" ht="15.75">
      <c r="C3551" s="949"/>
      <c r="D3551" s="946"/>
      <c r="E3551" s="947"/>
      <c r="F3551" s="1068"/>
      <c r="G3551" s="946"/>
      <c r="H3551" s="1031"/>
      <c r="I3551" s="948"/>
    </row>
    <row r="3552" spans="2:9" ht="15.75">
      <c r="C3552" s="945" t="s">
        <v>919</v>
      </c>
      <c r="D3552" s="946"/>
      <c r="E3552" s="947"/>
      <c r="F3552" s="1068"/>
      <c r="G3552" s="946"/>
      <c r="H3552" s="1031"/>
      <c r="I3552" s="948"/>
    </row>
    <row r="3553" spans="3:9" ht="15.75">
      <c r="C3553" s="949" t="s">
        <v>1067</v>
      </c>
      <c r="D3553" s="953">
        <v>8.33</v>
      </c>
      <c r="E3553" s="954" t="str">
        <f>+VLOOKUP(C3553,'Basic (equilibrio) (2)'!B:D,2,FALSE)</f>
        <v>ml</v>
      </c>
      <c r="F3553" s="1068">
        <f>'Basic (equilibrio) (2)'!$D$21</f>
        <v>125</v>
      </c>
      <c r="G3553" s="946">
        <v>0</v>
      </c>
      <c r="H3553" s="1031">
        <v>70</v>
      </c>
      <c r="I3553" s="948">
        <f>(D3553*F3553)/H3553</f>
        <v>14.88</v>
      </c>
    </row>
    <row r="3554" spans="3:9" ht="15.75">
      <c r="C3554" s="951" t="s">
        <v>918</v>
      </c>
      <c r="D3554" s="946"/>
      <c r="E3554" s="947"/>
      <c r="G3554" s="946"/>
      <c r="H3554" s="1031"/>
      <c r="I3554" s="952">
        <f>SUM(I3553:I3553)</f>
        <v>14.88</v>
      </c>
    </row>
    <row r="3555" spans="3:9" ht="15.75">
      <c r="C3555" s="949"/>
      <c r="D3555" s="946"/>
      <c r="E3555" s="947"/>
      <c r="F3555" s="1054"/>
      <c r="G3555" s="946"/>
      <c r="H3555" s="1031"/>
      <c r="I3555" s="948"/>
    </row>
    <row r="3556" spans="3:9" ht="15.75">
      <c r="C3556" s="945" t="s">
        <v>923</v>
      </c>
      <c r="D3556" s="946"/>
      <c r="E3556" s="947"/>
      <c r="F3556" s="1054"/>
      <c r="G3556" s="946"/>
      <c r="H3556" s="1031"/>
      <c r="I3556" s="948"/>
    </row>
    <row r="3557" spans="3:9" ht="15.75">
      <c r="C3557" s="949" t="s">
        <v>924</v>
      </c>
      <c r="D3557" s="946"/>
      <c r="E3557" s="947" t="str">
        <f>+VLOOKUP(C3557,'Basic (equilibrio) (2)'!B:D,2,FALSE)</f>
        <v>n/a</v>
      </c>
      <c r="F3557" s="1054">
        <f>+VLOOKUP(C3557,'Basic (equilibrio) (2)'!B:D,3,FALSE)</f>
        <v>0</v>
      </c>
      <c r="G3557" s="946">
        <f>F3557-(F3557/1.18)</f>
        <v>0</v>
      </c>
      <c r="H3557" s="1039"/>
      <c r="I3557" s="955">
        <f>D3557*F3557</f>
        <v>0</v>
      </c>
    </row>
    <row r="3558" spans="3:9" ht="15.75">
      <c r="C3558" s="951" t="s">
        <v>918</v>
      </c>
      <c r="D3558" s="946"/>
      <c r="E3558" s="947"/>
      <c r="F3558" s="1054"/>
      <c r="G3558" s="946"/>
      <c r="H3558" s="1031"/>
      <c r="I3558" s="952">
        <f>SUM(I3557:I3557)</f>
        <v>0</v>
      </c>
    </row>
    <row r="3559" spans="3:9" ht="15.75">
      <c r="C3559" s="949"/>
      <c r="D3559" s="946"/>
      <c r="E3559" s="947"/>
      <c r="F3559" s="1054"/>
      <c r="G3559" s="946"/>
      <c r="H3559" s="1031"/>
      <c r="I3559" s="948"/>
    </row>
    <row r="3560" spans="3:9" ht="15.75">
      <c r="C3560" s="945" t="s">
        <v>925</v>
      </c>
      <c r="D3560" s="946"/>
      <c r="E3560" s="947"/>
      <c r="F3560" s="1054"/>
      <c r="G3560" s="946"/>
      <c r="H3560" s="1031"/>
      <c r="I3560" s="948"/>
    </row>
    <row r="3561" spans="3:9" ht="15.75">
      <c r="C3561" s="949" t="s">
        <v>924</v>
      </c>
      <c r="D3561" s="946"/>
      <c r="E3561" s="947" t="str">
        <f>+VLOOKUP(C3561,'Basic (equilibrio) (2)'!B:D,2,FALSE)</f>
        <v>n/a</v>
      </c>
      <c r="F3561" s="1054">
        <f>+VLOOKUP(C3561,'Basic (equilibrio) (2)'!B:D,3,FALSE)</f>
        <v>0</v>
      </c>
      <c r="G3561" s="946"/>
      <c r="H3561" s="1031"/>
      <c r="I3561" s="948">
        <f>D3561*F3561</f>
        <v>0</v>
      </c>
    </row>
    <row r="3562" spans="3:9" ht="15.75">
      <c r="C3562" s="951" t="s">
        <v>918</v>
      </c>
      <c r="D3562" s="946"/>
      <c r="E3562" s="947"/>
      <c r="F3562" s="1054"/>
      <c r="G3562" s="946"/>
      <c r="H3562" s="1031"/>
      <c r="I3562" s="952">
        <f>SUM(I3561)</f>
        <v>0</v>
      </c>
    </row>
    <row r="3563" spans="3:9" ht="15.75">
      <c r="C3563" s="951"/>
      <c r="D3563" s="946"/>
      <c r="E3563" s="947"/>
      <c r="F3563" s="1054"/>
      <c r="G3563" s="946"/>
      <c r="H3563" s="1031"/>
      <c r="I3563" s="952"/>
    </row>
    <row r="3564" spans="3:9" ht="15.75">
      <c r="C3564" s="956" t="s">
        <v>926</v>
      </c>
      <c r="D3564" s="957"/>
      <c r="E3564" s="958"/>
      <c r="F3564" s="1069"/>
      <c r="G3564" s="957"/>
      <c r="H3564" s="1032"/>
      <c r="I3564" s="959">
        <f>+I3550</f>
        <v>10092</v>
      </c>
    </row>
    <row r="3565" spans="3:9" ht="15.75">
      <c r="C3565" s="956" t="s">
        <v>927</v>
      </c>
      <c r="D3565" s="957"/>
      <c r="E3565" s="958"/>
      <c r="F3565" s="1069"/>
      <c r="G3565" s="957"/>
      <c r="H3565" s="1032"/>
      <c r="I3565" s="959">
        <f>+I3554</f>
        <v>14.88</v>
      </c>
    </row>
    <row r="3566" spans="3:9" ht="15.75">
      <c r="C3566" s="956" t="s">
        <v>928</v>
      </c>
      <c r="D3566" s="957"/>
      <c r="E3566" s="958"/>
      <c r="F3566" s="1069"/>
      <c r="G3566" s="957"/>
      <c r="H3566" s="1032"/>
      <c r="I3566" s="959">
        <f>+I3558</f>
        <v>0</v>
      </c>
    </row>
    <row r="3567" spans="3:9" ht="15.75">
      <c r="C3567" s="956" t="s">
        <v>929</v>
      </c>
      <c r="D3567" s="957"/>
      <c r="E3567" s="958"/>
      <c r="F3567" s="1069"/>
      <c r="G3567" s="957"/>
      <c r="H3567" s="1032"/>
      <c r="I3567" s="959">
        <f>+I3562</f>
        <v>0</v>
      </c>
    </row>
    <row r="3568" spans="3:9" ht="15.75">
      <c r="C3568" s="949"/>
      <c r="D3568" s="946"/>
      <c r="E3568" s="947"/>
      <c r="F3568" s="1054"/>
      <c r="G3568" s="946"/>
      <c r="H3568" s="1031"/>
      <c r="I3568" s="948"/>
    </row>
    <row r="3569" spans="2:9" ht="15.75">
      <c r="C3569" s="949"/>
      <c r="D3569" s="946"/>
      <c r="E3569" s="947"/>
      <c r="F3569" s="1054"/>
      <c r="G3569" s="946"/>
      <c r="H3569" s="1031"/>
      <c r="I3569" s="948"/>
    </row>
    <row r="3570" spans="2:9" ht="15.75">
      <c r="C3570" s="951" t="s">
        <v>930</v>
      </c>
      <c r="D3570" s="960"/>
      <c r="E3570" s="943" t="str">
        <f>+E3544</f>
        <v>M3</v>
      </c>
      <c r="F3570" s="1070"/>
      <c r="G3570" s="960"/>
      <c r="H3570" s="1033"/>
      <c r="I3570" s="952">
        <f>SUM(I3564:I3567)</f>
        <v>10106.879999999999</v>
      </c>
    </row>
    <row r="3571" spans="2:9" ht="15.75">
      <c r="C3571" s="951"/>
      <c r="D3571" s="960"/>
      <c r="E3571" s="943"/>
      <c r="F3571" s="1070"/>
      <c r="G3571" s="960"/>
      <c r="H3571" s="1033"/>
      <c r="I3571" s="952"/>
    </row>
    <row r="3572" spans="2:9" ht="15.75">
      <c r="B3572" s="1026">
        <v>3.2</v>
      </c>
      <c r="C3572" s="937" t="str">
        <f>+Presupuesto!B220</f>
        <v>Viga V1</v>
      </c>
      <c r="D3572" s="938"/>
      <c r="E3572" s="962" t="s">
        <v>22</v>
      </c>
      <c r="F3572" s="1066"/>
      <c r="G3572" s="938"/>
      <c r="H3572" s="1029"/>
      <c r="I3572" s="940">
        <f>I3599</f>
        <v>26980.560000000001</v>
      </c>
    </row>
    <row r="3573" spans="2:9" ht="15.75">
      <c r="C3573" s="941" t="s">
        <v>908</v>
      </c>
      <c r="D3573" s="942" t="s">
        <v>9</v>
      </c>
      <c r="E3573" s="943" t="s">
        <v>10</v>
      </c>
      <c r="F3573" s="1067" t="s">
        <v>909</v>
      </c>
      <c r="G3573" s="942" t="s">
        <v>910</v>
      </c>
      <c r="H3573" s="1030" t="s">
        <v>911</v>
      </c>
      <c r="I3573" s="944" t="s">
        <v>912</v>
      </c>
    </row>
    <row r="3574" spans="2:9" ht="15.75">
      <c r="C3574" s="945" t="s">
        <v>913</v>
      </c>
      <c r="D3574" s="946"/>
      <c r="E3574" s="947"/>
      <c r="F3574" s="1054"/>
      <c r="G3574" s="946"/>
      <c r="H3574" s="1031"/>
      <c r="I3574" s="948"/>
    </row>
    <row r="3575" spans="2:9" ht="15.75">
      <c r="C3575" s="949" t="s">
        <v>994</v>
      </c>
      <c r="D3575" s="946">
        <v>1.05</v>
      </c>
      <c r="E3575" s="947" t="str">
        <f>+VLOOKUP(C3575,'Basic (equilibrio) (2)'!B:D,2,FALSE)</f>
        <v>m3</v>
      </c>
      <c r="F3575" s="1068">
        <f>'Basic (equilibrio) (2)'!$D$179</f>
        <v>7600</v>
      </c>
      <c r="G3575" s="946">
        <f>F3575-(F3575/1.18)</f>
        <v>1159.32</v>
      </c>
      <c r="H3575" s="1031"/>
      <c r="I3575" s="948">
        <f>D3575*F3575</f>
        <v>7980</v>
      </c>
    </row>
    <row r="3576" spans="2:9" ht="15.75">
      <c r="C3576" s="949" t="s">
        <v>1188</v>
      </c>
      <c r="D3576" s="946">
        <v>2.78</v>
      </c>
      <c r="E3576" s="947" t="str">
        <f>+VLOOKUP(C3576,'Basic (equilibrio) (2)'!B:D,2,FALSE)</f>
        <v>qq</v>
      </c>
      <c r="F3576" s="1068">
        <f>'Basic (equilibrio) (2)'!$D$183</f>
        <v>3600</v>
      </c>
      <c r="G3576" s="946">
        <f>F3576-(F3576/1.18)</f>
        <v>549.15</v>
      </c>
      <c r="H3576" s="1031"/>
      <c r="I3576" s="948">
        <f>D3576*F3576</f>
        <v>10008</v>
      </c>
    </row>
    <row r="3577" spans="2:9" ht="15.75">
      <c r="C3577" s="949" t="s">
        <v>1328</v>
      </c>
      <c r="D3577" s="946">
        <v>5.56</v>
      </c>
      <c r="E3577" s="947" t="str">
        <f>+VLOOKUP(C3577,'Basic (equilibrio) (2)'!B:D,2,FALSE)</f>
        <v>lb</v>
      </c>
      <c r="F3577" s="1068">
        <f>'Basic (equilibrio) (2)'!$D$334</f>
        <v>31.1</v>
      </c>
      <c r="G3577" s="946">
        <f>F3577-(F3577/1.18)</f>
        <v>4.74</v>
      </c>
      <c r="H3577" s="1031"/>
      <c r="I3577" s="948">
        <f>D3577*F3577</f>
        <v>172.92</v>
      </c>
    </row>
    <row r="3578" spans="2:9" ht="15.75">
      <c r="C3578" s="949" t="s">
        <v>1072</v>
      </c>
      <c r="D3578" s="946">
        <v>25</v>
      </c>
      <c r="E3578" s="947" t="str">
        <f>+VLOOKUP(C3578,'Basic (equilibrio) (2)'!B:D,2,FALSE)</f>
        <v>ml</v>
      </c>
      <c r="F3578" s="1068">
        <f>'Basic (equilibrio) (2)'!$D$22</f>
        <v>351</v>
      </c>
      <c r="G3578" s="946">
        <f>F3578-(F3578/1.18)</f>
        <v>53.54</v>
      </c>
      <c r="H3578" s="1031"/>
      <c r="I3578" s="948">
        <f>D3578*F3578</f>
        <v>8775</v>
      </c>
    </row>
    <row r="3579" spans="2:9" ht="15.75">
      <c r="C3579" s="951" t="s">
        <v>918</v>
      </c>
      <c r="D3579" s="946"/>
      <c r="E3579" s="947"/>
      <c r="F3579" s="1068"/>
      <c r="G3579" s="946"/>
      <c r="H3579" s="1031"/>
      <c r="I3579" s="952">
        <f>SUM(I3575:I3578)</f>
        <v>26935.919999999998</v>
      </c>
    </row>
    <row r="3580" spans="2:9" ht="15.75">
      <c r="C3580" s="949"/>
      <c r="D3580" s="946"/>
      <c r="E3580" s="947"/>
      <c r="F3580" s="1068"/>
      <c r="G3580" s="946"/>
      <c r="H3580" s="1031"/>
      <c r="I3580" s="948"/>
    </row>
    <row r="3581" spans="2:9" ht="15.75">
      <c r="C3581" s="945" t="s">
        <v>919</v>
      </c>
      <c r="D3581" s="946"/>
      <c r="E3581" s="947"/>
      <c r="F3581" s="1068"/>
      <c r="G3581" s="946"/>
      <c r="H3581" s="1031"/>
      <c r="I3581" s="948"/>
    </row>
    <row r="3582" spans="2:9" ht="15.75">
      <c r="C3582" s="949" t="s">
        <v>1073</v>
      </c>
      <c r="D3582" s="953">
        <v>25</v>
      </c>
      <c r="E3582" s="954" t="str">
        <f>+VLOOKUP(C3582,'Basic (equilibrio) (2)'!B:D,2,FALSE)</f>
        <v>ml</v>
      </c>
      <c r="F3582" s="1068">
        <f>'Basic (equilibrio) (2)'!$D$25</f>
        <v>125</v>
      </c>
      <c r="G3582" s="946">
        <v>0</v>
      </c>
      <c r="H3582" s="1031">
        <v>70</v>
      </c>
      <c r="I3582" s="948">
        <f>(D3582*F3582)/H3582</f>
        <v>44.64</v>
      </c>
    </row>
    <row r="3583" spans="2:9" ht="15.75">
      <c r="C3583" s="951" t="s">
        <v>918</v>
      </c>
      <c r="D3583" s="946"/>
      <c r="E3583" s="947"/>
      <c r="F3583" s="1054"/>
      <c r="G3583" s="946"/>
      <c r="H3583" s="1031"/>
      <c r="I3583" s="952">
        <f>SUM(I3582:I3582)</f>
        <v>44.64</v>
      </c>
    </row>
    <row r="3584" spans="2:9" ht="15.75">
      <c r="C3584" s="949"/>
      <c r="D3584" s="946"/>
      <c r="E3584" s="947"/>
      <c r="F3584" s="1054"/>
      <c r="G3584" s="946"/>
      <c r="H3584" s="1031"/>
      <c r="I3584" s="948"/>
    </row>
    <row r="3585" spans="3:9" ht="15.75">
      <c r="C3585" s="945" t="s">
        <v>923</v>
      </c>
      <c r="D3585" s="946"/>
      <c r="E3585" s="947"/>
      <c r="F3585" s="1054"/>
      <c r="G3585" s="946"/>
      <c r="H3585" s="1031"/>
      <c r="I3585" s="948"/>
    </row>
    <row r="3586" spans="3:9" ht="15.75">
      <c r="C3586" s="949" t="s">
        <v>924</v>
      </c>
      <c r="D3586" s="946"/>
      <c r="E3586" s="947" t="str">
        <f>+VLOOKUP(C3586,'Basic (equilibrio) (2)'!B:D,2,FALSE)</f>
        <v>n/a</v>
      </c>
      <c r="F3586" s="1054">
        <f>+VLOOKUP(C3586,'Basic (equilibrio) (2)'!B:D,3,FALSE)</f>
        <v>0</v>
      </c>
      <c r="G3586" s="946">
        <f>F3586-(F3586/1.18)</f>
        <v>0</v>
      </c>
      <c r="H3586" s="1039"/>
      <c r="I3586" s="955">
        <f>D3586*F3586</f>
        <v>0</v>
      </c>
    </row>
    <row r="3587" spans="3:9" ht="15.75">
      <c r="C3587" s="951" t="s">
        <v>918</v>
      </c>
      <c r="D3587" s="946"/>
      <c r="E3587" s="947"/>
      <c r="F3587" s="1054"/>
      <c r="G3587" s="946"/>
      <c r="H3587" s="1031"/>
      <c r="I3587" s="952">
        <f>SUM(I3586:I3586)</f>
        <v>0</v>
      </c>
    </row>
    <row r="3588" spans="3:9" ht="15.75">
      <c r="C3588" s="949"/>
      <c r="D3588" s="946"/>
      <c r="E3588" s="947"/>
      <c r="F3588" s="1054"/>
      <c r="G3588" s="946"/>
      <c r="H3588" s="1031"/>
      <c r="I3588" s="948"/>
    </row>
    <row r="3589" spans="3:9" ht="15.75">
      <c r="C3589" s="945" t="s">
        <v>925</v>
      </c>
      <c r="D3589" s="946"/>
      <c r="E3589" s="947"/>
      <c r="F3589" s="1054"/>
      <c r="G3589" s="946"/>
      <c r="H3589" s="1031"/>
      <c r="I3589" s="948"/>
    </row>
    <row r="3590" spans="3:9" ht="15.75">
      <c r="C3590" s="949" t="s">
        <v>924</v>
      </c>
      <c r="D3590" s="946"/>
      <c r="E3590" s="947" t="str">
        <f>+VLOOKUP(C3590,'Basic (equilibrio) (2)'!B:D,2,FALSE)</f>
        <v>n/a</v>
      </c>
      <c r="F3590" s="1054">
        <f>+VLOOKUP(C3590,'Basic (equilibrio) (2)'!B:D,3,FALSE)</f>
        <v>0</v>
      </c>
      <c r="G3590" s="946"/>
      <c r="H3590" s="1031"/>
      <c r="I3590" s="948">
        <f>D3590*F3590</f>
        <v>0</v>
      </c>
    </row>
    <row r="3591" spans="3:9" ht="15.75">
      <c r="C3591" s="951" t="s">
        <v>918</v>
      </c>
      <c r="D3591" s="946"/>
      <c r="E3591" s="947"/>
      <c r="F3591" s="1054"/>
      <c r="G3591" s="946"/>
      <c r="H3591" s="1031"/>
      <c r="I3591" s="952">
        <f>SUM(I3590)</f>
        <v>0</v>
      </c>
    </row>
    <row r="3592" spans="3:9" ht="15.75">
      <c r="C3592" s="951"/>
      <c r="D3592" s="946"/>
      <c r="E3592" s="947"/>
      <c r="F3592" s="1054"/>
      <c r="G3592" s="946"/>
      <c r="H3592" s="1031"/>
      <c r="I3592" s="952"/>
    </row>
    <row r="3593" spans="3:9" ht="15.75">
      <c r="C3593" s="956" t="s">
        <v>926</v>
      </c>
      <c r="D3593" s="957"/>
      <c r="E3593" s="958"/>
      <c r="F3593" s="1069"/>
      <c r="G3593" s="957"/>
      <c r="H3593" s="1032"/>
      <c r="I3593" s="959">
        <f>+I3579</f>
        <v>26935.919999999998</v>
      </c>
    </row>
    <row r="3594" spans="3:9" ht="15.75">
      <c r="C3594" s="956" t="s">
        <v>927</v>
      </c>
      <c r="D3594" s="957"/>
      <c r="E3594" s="958"/>
      <c r="F3594" s="1069"/>
      <c r="G3594" s="957"/>
      <c r="H3594" s="1032"/>
      <c r="I3594" s="959">
        <f>+I3583</f>
        <v>44.64</v>
      </c>
    </row>
    <row r="3595" spans="3:9" ht="15.75">
      <c r="C3595" s="956" t="s">
        <v>928</v>
      </c>
      <c r="D3595" s="957"/>
      <c r="E3595" s="958"/>
      <c r="F3595" s="1069"/>
      <c r="G3595" s="957"/>
      <c r="H3595" s="1032"/>
      <c r="I3595" s="959">
        <f>+I3587</f>
        <v>0</v>
      </c>
    </row>
    <row r="3596" spans="3:9" ht="15.75">
      <c r="C3596" s="956" t="s">
        <v>929</v>
      </c>
      <c r="D3596" s="957"/>
      <c r="E3596" s="958"/>
      <c r="F3596" s="1069"/>
      <c r="G3596" s="957"/>
      <c r="H3596" s="1032"/>
      <c r="I3596" s="959">
        <f>+I3591</f>
        <v>0</v>
      </c>
    </row>
    <row r="3597" spans="3:9" ht="15.75">
      <c r="C3597" s="949"/>
      <c r="D3597" s="946"/>
      <c r="E3597" s="947"/>
      <c r="F3597" s="1054"/>
      <c r="G3597" s="946"/>
      <c r="H3597" s="1031"/>
      <c r="I3597" s="948"/>
    </row>
    <row r="3598" spans="3:9" ht="15.75">
      <c r="C3598" s="949"/>
      <c r="D3598" s="946"/>
      <c r="E3598" s="947"/>
      <c r="F3598" s="1054"/>
      <c r="G3598" s="946"/>
      <c r="H3598" s="1031"/>
      <c r="I3598" s="948"/>
    </row>
    <row r="3599" spans="3:9" ht="15.75">
      <c r="C3599" s="951" t="s">
        <v>930</v>
      </c>
      <c r="D3599" s="960"/>
      <c r="E3599" s="943" t="str">
        <f>+E3572</f>
        <v>M3</v>
      </c>
      <c r="F3599" s="1070"/>
      <c r="G3599" s="960"/>
      <c r="H3599" s="1033"/>
      <c r="I3599" s="952">
        <f>SUM(I3593:I3596)</f>
        <v>26980.560000000001</v>
      </c>
    </row>
    <row r="3600" spans="3:9" ht="15.75">
      <c r="C3600" s="951"/>
      <c r="D3600" s="960"/>
      <c r="E3600" s="943"/>
      <c r="F3600" s="1070"/>
      <c r="G3600" s="960"/>
      <c r="H3600" s="1033"/>
      <c r="I3600" s="952"/>
    </row>
    <row r="3601" spans="2:9" ht="15.75">
      <c r="B3601" s="1026">
        <v>3.3</v>
      </c>
      <c r="C3601" s="937" t="str">
        <f>+Presupuesto!B221</f>
        <v>Losa de asiento e=0.13 m</v>
      </c>
      <c r="D3601" s="938"/>
      <c r="E3601" s="962" t="s">
        <v>22</v>
      </c>
      <c r="F3601" s="1066"/>
      <c r="G3601" s="938"/>
      <c r="H3601" s="1029"/>
      <c r="I3601" s="940">
        <f>I3628</f>
        <v>12026.09</v>
      </c>
    </row>
    <row r="3602" spans="2:9" ht="15.75">
      <c r="C3602" s="941" t="s">
        <v>908</v>
      </c>
      <c r="D3602" s="942" t="s">
        <v>9</v>
      </c>
      <c r="E3602" s="943" t="s">
        <v>10</v>
      </c>
      <c r="F3602" s="1067" t="s">
        <v>909</v>
      </c>
      <c r="G3602" s="942" t="s">
        <v>910</v>
      </c>
      <c r="H3602" s="1030" t="s">
        <v>911</v>
      </c>
      <c r="I3602" s="944" t="s">
        <v>912</v>
      </c>
    </row>
    <row r="3603" spans="2:9" ht="15.75">
      <c r="C3603" s="945" t="s">
        <v>913</v>
      </c>
      <c r="D3603" s="946"/>
      <c r="E3603" s="947"/>
      <c r="F3603" s="1054"/>
      <c r="G3603" s="946"/>
      <c r="H3603" s="1031"/>
      <c r="I3603" s="948"/>
    </row>
    <row r="3604" spans="2:9" ht="15.75">
      <c r="C3604" s="949" t="s">
        <v>994</v>
      </c>
      <c r="D3604" s="946">
        <v>1.02</v>
      </c>
      <c r="E3604" s="947" t="str">
        <f>+VLOOKUP(C3604,'Basic (equilibrio) (2)'!B:D,2,FALSE)</f>
        <v>m3</v>
      </c>
      <c r="F3604" s="1068">
        <f>'Basic (equilibrio) (2)'!$D$179</f>
        <v>7600</v>
      </c>
      <c r="G3604" s="946">
        <f>F3604-(F3604/1.18)</f>
        <v>1159.32</v>
      </c>
      <c r="H3604" s="1031"/>
      <c r="I3604" s="948">
        <f>D3604*F3604</f>
        <v>7752</v>
      </c>
    </row>
    <row r="3605" spans="2:9" ht="15.75">
      <c r="C3605" s="949" t="s">
        <v>956</v>
      </c>
      <c r="D3605" s="946">
        <v>0.11</v>
      </c>
      <c r="E3605" s="947" t="str">
        <f>+VLOOKUP(C3605,'Basic (equilibrio) (2)'!B:D,2,FALSE)</f>
        <v>rollo</v>
      </c>
      <c r="F3605" s="1068">
        <f>'Basic (equilibrio) (2)'!$D$330</f>
        <v>22294</v>
      </c>
      <c r="G3605" s="946">
        <f>F3605-(F3605/1.18)</f>
        <v>3400.78</v>
      </c>
      <c r="H3605" s="1031"/>
      <c r="I3605" s="948">
        <f>D3605*F3605</f>
        <v>2452.34</v>
      </c>
    </row>
    <row r="3606" spans="2:9" ht="15.75">
      <c r="C3606" s="949" t="s">
        <v>1066</v>
      </c>
      <c r="D3606" s="946">
        <v>1.07</v>
      </c>
      <c r="E3606" s="947" t="str">
        <f>+VLOOKUP(C3606,'Basic (equilibrio) (2)'!B:D,2,FALSE)</f>
        <v>ml</v>
      </c>
      <c r="F3606" s="1068">
        <f>'Basic (equilibrio) (2)'!$D$20</f>
        <v>144</v>
      </c>
      <c r="G3606" s="946">
        <f>F3606-(F3606/1.18)</f>
        <v>21.97</v>
      </c>
      <c r="H3606" s="1031"/>
      <c r="I3606" s="948">
        <f>D3606*F3606</f>
        <v>154.08000000000001</v>
      </c>
    </row>
    <row r="3607" spans="2:9" ht="15.75">
      <c r="C3607" s="951" t="s">
        <v>918</v>
      </c>
      <c r="D3607" s="946"/>
      <c r="E3607" s="947"/>
      <c r="F3607" s="1068"/>
      <c r="G3607" s="946"/>
      <c r="H3607" s="1031"/>
      <c r="I3607" s="952">
        <f>SUM(I3604:I3606)</f>
        <v>10358.42</v>
      </c>
    </row>
    <row r="3608" spans="2:9" ht="15.75">
      <c r="C3608" s="949"/>
      <c r="D3608" s="946"/>
      <c r="E3608" s="947"/>
      <c r="F3608" s="1068"/>
      <c r="G3608" s="946"/>
      <c r="H3608" s="1031"/>
      <c r="I3608" s="948"/>
    </row>
    <row r="3609" spans="2:9" ht="15.75">
      <c r="C3609" s="945" t="s">
        <v>919</v>
      </c>
      <c r="D3609" s="946"/>
      <c r="E3609" s="947"/>
      <c r="F3609" s="1068"/>
      <c r="G3609" s="946"/>
      <c r="H3609" s="1031"/>
      <c r="I3609" s="948"/>
    </row>
    <row r="3610" spans="2:9" ht="15.75">
      <c r="C3610" s="949" t="s">
        <v>961</v>
      </c>
      <c r="D3610" s="953">
        <v>8.33</v>
      </c>
      <c r="E3610" s="954" t="str">
        <f>+VLOOKUP(C3610,'Basic (equilibrio) (2)'!B:D,2,FALSE)</f>
        <v>m2</v>
      </c>
      <c r="F3610" s="1068">
        <f>'Basic (equilibrio) (2)'!$D$47</f>
        <v>86.2</v>
      </c>
      <c r="G3610" s="946">
        <v>0</v>
      </c>
      <c r="H3610" s="1031"/>
      <c r="I3610" s="948">
        <f>(D3610*F3610)</f>
        <v>718.05</v>
      </c>
    </row>
    <row r="3611" spans="2:9" ht="15.75">
      <c r="C3611" s="949" t="s">
        <v>1064</v>
      </c>
      <c r="D3611" s="953">
        <v>8.33</v>
      </c>
      <c r="E3611" s="954" t="str">
        <f>+VLOOKUP(C3611,'Basic (equilibrio) (2)'!B:D,2,FALSE)</f>
        <v>m2</v>
      </c>
      <c r="F3611" s="1068">
        <f>'Basic (equilibrio) (2)'!$D$19</f>
        <v>114</v>
      </c>
      <c r="G3611" s="946">
        <v>0</v>
      </c>
      <c r="H3611" s="1031"/>
      <c r="I3611" s="948">
        <f>(D3611*F3611)</f>
        <v>949.62</v>
      </c>
    </row>
    <row r="3612" spans="2:9" ht="15.75">
      <c r="C3612" s="951" t="s">
        <v>918</v>
      </c>
      <c r="D3612" s="946"/>
      <c r="E3612" s="947"/>
      <c r="F3612" s="1054"/>
      <c r="G3612" s="946"/>
      <c r="H3612" s="1031"/>
      <c r="I3612" s="952">
        <f>SUM(I3610:I3611)</f>
        <v>1667.67</v>
      </c>
    </row>
    <row r="3613" spans="2:9" ht="15.75">
      <c r="C3613" s="949"/>
      <c r="D3613" s="946"/>
      <c r="E3613" s="947"/>
      <c r="F3613" s="1054"/>
      <c r="G3613" s="946"/>
      <c r="H3613" s="1031"/>
      <c r="I3613" s="948"/>
    </row>
    <row r="3614" spans="2:9" ht="15.75">
      <c r="C3614" s="945" t="s">
        <v>923</v>
      </c>
      <c r="D3614" s="946"/>
      <c r="E3614" s="947"/>
      <c r="F3614" s="1054"/>
      <c r="G3614" s="946"/>
      <c r="H3614" s="1031"/>
      <c r="I3614" s="948"/>
    </row>
    <row r="3615" spans="2:9" ht="15.75">
      <c r="C3615" s="949" t="s">
        <v>924</v>
      </c>
      <c r="D3615" s="946"/>
      <c r="E3615" s="947" t="str">
        <f>+VLOOKUP(C3615,'Basic (equilibrio) (2)'!B:D,2,FALSE)</f>
        <v>n/a</v>
      </c>
      <c r="F3615" s="1054">
        <f>+VLOOKUP(C3615,'Basic (equilibrio) (2)'!B:D,3,FALSE)</f>
        <v>0</v>
      </c>
      <c r="G3615" s="946">
        <f>F3615-(F3615/1.18)</f>
        <v>0</v>
      </c>
      <c r="H3615" s="1039"/>
      <c r="I3615" s="955">
        <f>D3615*F3615</f>
        <v>0</v>
      </c>
    </row>
    <row r="3616" spans="2:9" ht="15.75">
      <c r="C3616" s="951" t="s">
        <v>918</v>
      </c>
      <c r="D3616" s="946"/>
      <c r="E3616" s="947"/>
      <c r="F3616" s="1054"/>
      <c r="G3616" s="946"/>
      <c r="H3616" s="1031"/>
      <c r="I3616" s="952">
        <f>SUM(I3615:I3615)</f>
        <v>0</v>
      </c>
    </row>
    <row r="3617" spans="2:9" ht="15.75">
      <c r="C3617" s="949"/>
      <c r="D3617" s="946"/>
      <c r="E3617" s="947"/>
      <c r="F3617" s="1054"/>
      <c r="G3617" s="946"/>
      <c r="H3617" s="1031"/>
      <c r="I3617" s="948"/>
    </row>
    <row r="3618" spans="2:9" ht="15.75">
      <c r="C3618" s="945" t="s">
        <v>925</v>
      </c>
      <c r="D3618" s="946"/>
      <c r="E3618" s="947"/>
      <c r="F3618" s="1054"/>
      <c r="G3618" s="946"/>
      <c r="H3618" s="1031"/>
      <c r="I3618" s="948"/>
    </row>
    <row r="3619" spans="2:9" ht="15.75">
      <c r="C3619" s="949" t="s">
        <v>924</v>
      </c>
      <c r="D3619" s="946"/>
      <c r="E3619" s="947" t="str">
        <f>+VLOOKUP(C3619,'Basic (equilibrio) (2)'!B:D,2,FALSE)</f>
        <v>n/a</v>
      </c>
      <c r="F3619" s="1054">
        <f>+VLOOKUP(C3619,'Basic (equilibrio) (2)'!B:D,3,FALSE)</f>
        <v>0</v>
      </c>
      <c r="G3619" s="946"/>
      <c r="H3619" s="1031"/>
      <c r="I3619" s="948">
        <f>D3619*F3619</f>
        <v>0</v>
      </c>
    </row>
    <row r="3620" spans="2:9" ht="15.75">
      <c r="C3620" s="951" t="s">
        <v>918</v>
      </c>
      <c r="D3620" s="946"/>
      <c r="E3620" s="947"/>
      <c r="F3620" s="1054"/>
      <c r="G3620" s="946"/>
      <c r="H3620" s="1031"/>
      <c r="I3620" s="952">
        <f>SUM(I3619)</f>
        <v>0</v>
      </c>
    </row>
    <row r="3621" spans="2:9" ht="15.75">
      <c r="C3621" s="951"/>
      <c r="D3621" s="946"/>
      <c r="E3621" s="947"/>
      <c r="F3621" s="1054"/>
      <c r="G3621" s="946"/>
      <c r="H3621" s="1031"/>
      <c r="I3621" s="952"/>
    </row>
    <row r="3622" spans="2:9" ht="15.75">
      <c r="C3622" s="956" t="s">
        <v>926</v>
      </c>
      <c r="D3622" s="957"/>
      <c r="E3622" s="958"/>
      <c r="F3622" s="1069"/>
      <c r="G3622" s="957"/>
      <c r="H3622" s="1032"/>
      <c r="I3622" s="959">
        <f>+I3607</f>
        <v>10358.42</v>
      </c>
    </row>
    <row r="3623" spans="2:9" ht="15.75">
      <c r="C3623" s="956" t="s">
        <v>927</v>
      </c>
      <c r="D3623" s="957"/>
      <c r="E3623" s="958"/>
      <c r="F3623" s="1069"/>
      <c r="G3623" s="957"/>
      <c r="H3623" s="1032"/>
      <c r="I3623" s="959">
        <f>+I3612</f>
        <v>1667.67</v>
      </c>
    </row>
    <row r="3624" spans="2:9" ht="15.75">
      <c r="C3624" s="956" t="s">
        <v>928</v>
      </c>
      <c r="D3624" s="957"/>
      <c r="E3624" s="958"/>
      <c r="F3624" s="1069"/>
      <c r="G3624" s="957"/>
      <c r="H3624" s="1032"/>
      <c r="I3624" s="959">
        <f>+I3616</f>
        <v>0</v>
      </c>
    </row>
    <row r="3625" spans="2:9" ht="15.75">
      <c r="C3625" s="956" t="s">
        <v>929</v>
      </c>
      <c r="D3625" s="957"/>
      <c r="E3625" s="958"/>
      <c r="F3625" s="1069"/>
      <c r="G3625" s="957"/>
      <c r="H3625" s="1032"/>
      <c r="I3625" s="959">
        <f>+I3620</f>
        <v>0</v>
      </c>
    </row>
    <row r="3626" spans="2:9" ht="15.75">
      <c r="C3626" s="949"/>
      <c r="D3626" s="946"/>
      <c r="E3626" s="947"/>
      <c r="F3626" s="1054"/>
      <c r="G3626" s="946"/>
      <c r="H3626" s="1031"/>
      <c r="I3626" s="948"/>
    </row>
    <row r="3627" spans="2:9" ht="15.75">
      <c r="C3627" s="949"/>
      <c r="D3627" s="946"/>
      <c r="E3627" s="947"/>
      <c r="F3627" s="1054"/>
      <c r="G3627" s="946"/>
      <c r="H3627" s="1031"/>
      <c r="I3627" s="948"/>
    </row>
    <row r="3628" spans="2:9" ht="15.75">
      <c r="C3628" s="951" t="s">
        <v>930</v>
      </c>
      <c r="D3628" s="960"/>
      <c r="E3628" s="943" t="str">
        <f>+E3601</f>
        <v>M3</v>
      </c>
      <c r="F3628" s="1070"/>
      <c r="G3628" s="960"/>
      <c r="H3628" s="1033"/>
      <c r="I3628" s="952">
        <f>SUM(I3622:I3625)</f>
        <v>12026.09</v>
      </c>
    </row>
    <row r="3629" spans="2:9" ht="15.75">
      <c r="C3629" s="951"/>
      <c r="D3629" s="960"/>
      <c r="E3629" s="943"/>
      <c r="F3629" s="1070"/>
      <c r="G3629" s="960"/>
      <c r="H3629" s="1033"/>
      <c r="I3629" s="952"/>
    </row>
    <row r="3630" spans="2:9" ht="15.75">
      <c r="B3630" s="1026">
        <v>4.0999999999999996</v>
      </c>
      <c r="C3630" s="937" t="str">
        <f>+Presupuesto!B224</f>
        <v>Bloque de muro de 6" B.N.P.</v>
      </c>
      <c r="D3630" s="938"/>
      <c r="E3630" s="962" t="s">
        <v>20</v>
      </c>
      <c r="F3630" s="1066"/>
      <c r="G3630" s="938"/>
      <c r="H3630" s="1029"/>
      <c r="I3630" s="940">
        <f>I3661</f>
        <v>1523.06</v>
      </c>
    </row>
    <row r="3631" spans="2:9" ht="15.75">
      <c r="C3631" s="941" t="s">
        <v>908</v>
      </c>
      <c r="D3631" s="942" t="s">
        <v>9</v>
      </c>
      <c r="E3631" s="943" t="s">
        <v>10</v>
      </c>
      <c r="F3631" s="1067" t="s">
        <v>909</v>
      </c>
      <c r="G3631" s="942" t="s">
        <v>910</v>
      </c>
      <c r="H3631" s="1030" t="s">
        <v>911</v>
      </c>
      <c r="I3631" s="944" t="s">
        <v>912</v>
      </c>
    </row>
    <row r="3632" spans="2:9" ht="15.75">
      <c r="C3632" s="945" t="s">
        <v>913</v>
      </c>
      <c r="D3632" s="946"/>
      <c r="E3632" s="947"/>
      <c r="F3632" s="1054"/>
      <c r="G3632" s="946"/>
      <c r="H3632" s="1031"/>
      <c r="I3632" s="948"/>
    </row>
    <row r="3633" spans="3:9" ht="15.75">
      <c r="C3633" s="949" t="s">
        <v>1201</v>
      </c>
      <c r="D3633" s="946">
        <v>11.61</v>
      </c>
      <c r="E3633" s="947" t="str">
        <f>+VLOOKUP(C3633,'Basic (equilibrio) (2)'!B:D,2,FALSE)</f>
        <v>ud</v>
      </c>
      <c r="F3633" s="1068">
        <f>'Basic (equilibrio) (2)'!$D$300</f>
        <v>35</v>
      </c>
      <c r="G3633" s="946">
        <f t="shared" ref="G3633:G3638" si="19">F3633-(F3633/1.18)</f>
        <v>5.34</v>
      </c>
      <c r="H3633" s="1031"/>
      <c r="I3633" s="948">
        <f t="shared" ref="I3633:I3638" si="20">D3633*F3633</f>
        <v>406.35</v>
      </c>
    </row>
    <row r="3634" spans="3:9" ht="15.75">
      <c r="C3634" s="949" t="s">
        <v>1203</v>
      </c>
      <c r="D3634" s="946">
        <v>11.61</v>
      </c>
      <c r="E3634" s="947" t="str">
        <f>+VLOOKUP(C3634,'Basic (equilibrio) (2)'!B:D,2,FALSE)</f>
        <v>ud</v>
      </c>
      <c r="F3634" s="1068">
        <f>'Basic (equilibrio) (2)'!$D$303</f>
        <v>3.3</v>
      </c>
      <c r="G3634" s="946">
        <f t="shared" si="19"/>
        <v>0.5</v>
      </c>
      <c r="H3634" s="1031"/>
      <c r="I3634" s="948">
        <f t="shared" si="20"/>
        <v>38.31</v>
      </c>
    </row>
    <row r="3635" spans="3:9" ht="15.75">
      <c r="C3635" s="949" t="s">
        <v>1204</v>
      </c>
      <c r="D3635" s="946">
        <v>0.04</v>
      </c>
      <c r="E3635" s="947" t="str">
        <f>+VLOOKUP(C3635,'Basic (equilibrio) (2)'!B:D,2,FALSE)</f>
        <v>m3</v>
      </c>
      <c r="F3635" s="1068">
        <f>'Basic (equilibrio) (2)'!$D$307</f>
        <v>6174</v>
      </c>
      <c r="G3635" s="946">
        <f t="shared" si="19"/>
        <v>941.8</v>
      </c>
      <c r="H3635" s="1031"/>
      <c r="I3635" s="948">
        <f t="shared" si="20"/>
        <v>246.96</v>
      </c>
    </row>
    <row r="3636" spans="3:9" ht="15.75">
      <c r="C3636" s="949" t="s">
        <v>1205</v>
      </c>
      <c r="D3636" s="946">
        <v>0.04</v>
      </c>
      <c r="E3636" s="947" t="str">
        <f>+VLOOKUP(C3636,'Basic (equilibrio) (2)'!B:D,2,FALSE)</f>
        <v>m3</v>
      </c>
      <c r="F3636" s="1068">
        <f>'Basic (equilibrio) (2)'!$D$308</f>
        <v>5985</v>
      </c>
      <c r="G3636" s="946">
        <f t="shared" si="19"/>
        <v>912.97</v>
      </c>
      <c r="H3636" s="1031"/>
      <c r="I3636" s="948">
        <f t="shared" si="20"/>
        <v>239.4</v>
      </c>
    </row>
    <row r="3637" spans="3:9" ht="15.75">
      <c r="C3637" s="949" t="s">
        <v>1188</v>
      </c>
      <c r="D3637" s="946">
        <v>0.08</v>
      </c>
      <c r="E3637" s="947" t="str">
        <f>+VLOOKUP(C3637,'Basic (equilibrio) (2)'!B:D,2,FALSE)</f>
        <v>qq</v>
      </c>
      <c r="F3637" s="1068">
        <f>'Basic (equilibrio) (2)'!$D$183</f>
        <v>3600</v>
      </c>
      <c r="G3637" s="946">
        <f t="shared" si="19"/>
        <v>549.15</v>
      </c>
      <c r="H3637" s="1031"/>
      <c r="I3637" s="948">
        <f t="shared" si="20"/>
        <v>288</v>
      </c>
    </row>
    <row r="3638" spans="3:9" ht="15.75">
      <c r="C3638" s="949" t="s">
        <v>1328</v>
      </c>
      <c r="D3638" s="946">
        <v>7.0000000000000007E-2</v>
      </c>
      <c r="E3638" s="947" t="str">
        <f>+VLOOKUP(C3638,'Basic (equilibrio) (2)'!B:D,2,FALSE)</f>
        <v>lb</v>
      </c>
      <c r="F3638" s="1068">
        <f>'Basic (equilibrio) (2)'!$D$334</f>
        <v>31.1</v>
      </c>
      <c r="G3638" s="946">
        <f t="shared" si="19"/>
        <v>4.74</v>
      </c>
      <c r="H3638" s="1031"/>
      <c r="I3638" s="948">
        <f t="shared" si="20"/>
        <v>2.1800000000000002</v>
      </c>
    </row>
    <row r="3639" spans="3:9" ht="15.75">
      <c r="C3639" s="951" t="s">
        <v>918</v>
      </c>
      <c r="D3639" s="946"/>
      <c r="E3639" s="947"/>
      <c r="F3639" s="1068"/>
      <c r="G3639" s="946"/>
      <c r="H3639" s="1031"/>
      <c r="I3639" s="952">
        <f>SUM(I3633:I3638)</f>
        <v>1221.2</v>
      </c>
    </row>
    <row r="3640" spans="3:9" ht="15.75">
      <c r="C3640" s="949"/>
      <c r="D3640" s="946"/>
      <c r="E3640" s="947"/>
      <c r="F3640" s="1068"/>
      <c r="G3640" s="946"/>
      <c r="H3640" s="1031"/>
      <c r="I3640" s="948"/>
    </row>
    <row r="3641" spans="3:9" ht="15.75">
      <c r="C3641" s="945" t="s">
        <v>919</v>
      </c>
      <c r="D3641" s="946"/>
      <c r="E3641" s="947"/>
      <c r="F3641" s="1068"/>
      <c r="G3641" s="946"/>
      <c r="H3641" s="1031"/>
      <c r="I3641" s="948"/>
    </row>
    <row r="3642" spans="3:9" ht="15.75">
      <c r="C3642" s="949" t="s">
        <v>1074</v>
      </c>
      <c r="D3642" s="953">
        <v>11.61</v>
      </c>
      <c r="E3642" s="954" t="str">
        <f>+VLOOKUP(C3642,'Basic (equilibrio) (2)'!B:D,2,FALSE)</f>
        <v>ud</v>
      </c>
      <c r="F3642" s="1068">
        <f>'Basic (equilibrio) (2)'!$D$26</f>
        <v>1</v>
      </c>
      <c r="G3642" s="946">
        <v>0</v>
      </c>
      <c r="H3642" s="1031"/>
      <c r="I3642" s="948">
        <f>(D3642*F3642)</f>
        <v>11.61</v>
      </c>
    </row>
    <row r="3643" spans="3:9" ht="15.75">
      <c r="C3643" s="949" t="s">
        <v>1075</v>
      </c>
      <c r="D3643" s="953">
        <v>11.61</v>
      </c>
      <c r="E3643" s="954" t="str">
        <f>+VLOOKUP(C3643,'Basic (equilibrio) (2)'!B:D,2,FALSE)</f>
        <v>ud</v>
      </c>
      <c r="F3643" s="1068">
        <f>'Basic (equilibrio) (2)'!$D$27</f>
        <v>3</v>
      </c>
      <c r="G3643" s="946">
        <v>0</v>
      </c>
      <c r="H3643" s="1031"/>
      <c r="I3643" s="948">
        <f>(D3643*F3643)</f>
        <v>34.83</v>
      </c>
    </row>
    <row r="3644" spans="3:9" ht="15.75">
      <c r="C3644" s="949" t="s">
        <v>1077</v>
      </c>
      <c r="D3644" s="953">
        <v>11.61</v>
      </c>
      <c r="E3644" s="954" t="str">
        <f>+VLOOKUP(C3644,'Basic (equilibrio) (2)'!B:D,2,FALSE)</f>
        <v>ud</v>
      </c>
      <c r="F3644" s="1068">
        <f>'Basic (equilibrio) (2)'!$D$29</f>
        <v>22</v>
      </c>
      <c r="G3644" s="946">
        <v>0</v>
      </c>
      <c r="H3644" s="1031"/>
      <c r="I3644" s="948">
        <f>(D3644*F3644)</f>
        <v>255.42</v>
      </c>
    </row>
    <row r="3645" spans="3:9" ht="15.75">
      <c r="C3645" s="951" t="s">
        <v>918</v>
      </c>
      <c r="D3645" s="946"/>
      <c r="E3645" s="947"/>
      <c r="F3645" s="1054"/>
      <c r="G3645" s="946"/>
      <c r="H3645" s="1031"/>
      <c r="I3645" s="952">
        <f>SUM(I3642:I3644)</f>
        <v>301.86</v>
      </c>
    </row>
    <row r="3646" spans="3:9" ht="15.75">
      <c r="C3646" s="949"/>
      <c r="D3646" s="946"/>
      <c r="E3646" s="947"/>
      <c r="F3646" s="1054"/>
      <c r="G3646" s="946"/>
      <c r="H3646" s="1031"/>
      <c r="I3646" s="948"/>
    </row>
    <row r="3647" spans="3:9" ht="15.75">
      <c r="C3647" s="945" t="s">
        <v>923</v>
      </c>
      <c r="D3647" s="946"/>
      <c r="E3647" s="947"/>
      <c r="F3647" s="1054"/>
      <c r="G3647" s="946"/>
      <c r="H3647" s="1031"/>
      <c r="I3647" s="948"/>
    </row>
    <row r="3648" spans="3:9" ht="15.75">
      <c r="C3648" s="949" t="s">
        <v>924</v>
      </c>
      <c r="D3648" s="946"/>
      <c r="E3648" s="947" t="str">
        <f>+VLOOKUP(C3648,'Basic (equilibrio) (2)'!B:D,2,FALSE)</f>
        <v>n/a</v>
      </c>
      <c r="F3648" s="1054">
        <f>+VLOOKUP(C3648,'Basic (equilibrio) (2)'!B:D,3,FALSE)</f>
        <v>0</v>
      </c>
      <c r="G3648" s="946">
        <f>F3648-(F3648/1.18)</f>
        <v>0</v>
      </c>
      <c r="H3648" s="1039"/>
      <c r="I3648" s="955">
        <f>D3648*F3648</f>
        <v>0</v>
      </c>
    </row>
    <row r="3649" spans="2:9" ht="15.75">
      <c r="C3649" s="951" t="s">
        <v>918</v>
      </c>
      <c r="D3649" s="946"/>
      <c r="E3649" s="947"/>
      <c r="F3649" s="1054"/>
      <c r="G3649" s="946"/>
      <c r="H3649" s="1031"/>
      <c r="I3649" s="952">
        <f>SUM(I3648:I3648)</f>
        <v>0</v>
      </c>
    </row>
    <row r="3650" spans="2:9" ht="15.75">
      <c r="C3650" s="949"/>
      <c r="D3650" s="946"/>
      <c r="E3650" s="947"/>
      <c r="F3650" s="1054"/>
      <c r="G3650" s="946"/>
      <c r="H3650" s="1031"/>
      <c r="I3650" s="948"/>
    </row>
    <row r="3651" spans="2:9" ht="15.75">
      <c r="C3651" s="945" t="s">
        <v>925</v>
      </c>
      <c r="D3651" s="946"/>
      <c r="E3651" s="947"/>
      <c r="F3651" s="1054"/>
      <c r="G3651" s="946"/>
      <c r="H3651" s="1031"/>
      <c r="I3651" s="948"/>
    </row>
    <row r="3652" spans="2:9" ht="15.75">
      <c r="C3652" s="949" t="s">
        <v>924</v>
      </c>
      <c r="D3652" s="946"/>
      <c r="E3652" s="947" t="str">
        <f>+VLOOKUP(C3652,'Basic (equilibrio) (2)'!B:D,2,FALSE)</f>
        <v>n/a</v>
      </c>
      <c r="F3652" s="1054">
        <f>+VLOOKUP(C3652,'Basic (equilibrio) (2)'!B:D,3,FALSE)</f>
        <v>0</v>
      </c>
      <c r="G3652" s="946"/>
      <c r="H3652" s="1031"/>
      <c r="I3652" s="948">
        <f>D3652*F3652</f>
        <v>0</v>
      </c>
    </row>
    <row r="3653" spans="2:9" ht="15.75">
      <c r="C3653" s="951" t="s">
        <v>918</v>
      </c>
      <c r="D3653" s="946"/>
      <c r="E3653" s="947"/>
      <c r="F3653" s="1054"/>
      <c r="G3653" s="946"/>
      <c r="H3653" s="1031"/>
      <c r="I3653" s="952">
        <f>SUM(I3652)</f>
        <v>0</v>
      </c>
    </row>
    <row r="3654" spans="2:9" ht="15.75">
      <c r="C3654" s="951"/>
      <c r="D3654" s="946"/>
      <c r="E3654" s="947"/>
      <c r="F3654" s="1054"/>
      <c r="G3654" s="946"/>
      <c r="H3654" s="1031"/>
      <c r="I3654" s="952"/>
    </row>
    <row r="3655" spans="2:9" ht="15.75">
      <c r="C3655" s="956" t="s">
        <v>926</v>
      </c>
      <c r="D3655" s="957"/>
      <c r="E3655" s="958"/>
      <c r="F3655" s="1069"/>
      <c r="G3655" s="957"/>
      <c r="H3655" s="1032"/>
      <c r="I3655" s="959">
        <f>+I3639</f>
        <v>1221.2</v>
      </c>
    </row>
    <row r="3656" spans="2:9" ht="15.75">
      <c r="C3656" s="956" t="s">
        <v>927</v>
      </c>
      <c r="D3656" s="957"/>
      <c r="E3656" s="958"/>
      <c r="F3656" s="1069"/>
      <c r="G3656" s="957"/>
      <c r="H3656" s="1032"/>
      <c r="I3656" s="959">
        <f>+I3645</f>
        <v>301.86</v>
      </c>
    </row>
    <row r="3657" spans="2:9" ht="15.75">
      <c r="C3657" s="956" t="s">
        <v>928</v>
      </c>
      <c r="D3657" s="957"/>
      <c r="E3657" s="958"/>
      <c r="F3657" s="1069"/>
      <c r="G3657" s="957"/>
      <c r="H3657" s="1032"/>
      <c r="I3657" s="959">
        <f>+I3649</f>
        <v>0</v>
      </c>
    </row>
    <row r="3658" spans="2:9" ht="15.75">
      <c r="C3658" s="956" t="s">
        <v>929</v>
      </c>
      <c r="D3658" s="957"/>
      <c r="E3658" s="958"/>
      <c r="F3658" s="1069"/>
      <c r="G3658" s="957"/>
      <c r="H3658" s="1032"/>
      <c r="I3658" s="959">
        <f>+I3653</f>
        <v>0</v>
      </c>
    </row>
    <row r="3659" spans="2:9" ht="15.75">
      <c r="C3659" s="949"/>
      <c r="D3659" s="946"/>
      <c r="E3659" s="947"/>
      <c r="F3659" s="1054"/>
      <c r="G3659" s="946"/>
      <c r="H3659" s="1031"/>
      <c r="I3659" s="948"/>
    </row>
    <row r="3660" spans="2:9" ht="15.75">
      <c r="C3660" s="949"/>
      <c r="D3660" s="946"/>
      <c r="E3660" s="947"/>
      <c r="F3660" s="1054"/>
      <c r="G3660" s="946"/>
      <c r="H3660" s="1031"/>
      <c r="I3660" s="948"/>
    </row>
    <row r="3661" spans="2:9" ht="15.75">
      <c r="C3661" s="951" t="s">
        <v>930</v>
      </c>
      <c r="D3661" s="960"/>
      <c r="E3661" s="943" t="str">
        <f>+E3630</f>
        <v>M2</v>
      </c>
      <c r="F3661" s="1070"/>
      <c r="G3661" s="960"/>
      <c r="H3661" s="1033"/>
      <c r="I3661" s="952">
        <f>SUM(I3655:I3658)</f>
        <v>1523.06</v>
      </c>
    </row>
    <row r="3662" spans="2:9" ht="15.75">
      <c r="C3662" s="951"/>
      <c r="D3662" s="960"/>
      <c r="E3662" s="943"/>
      <c r="F3662" s="1070"/>
      <c r="G3662" s="960"/>
      <c r="H3662" s="1033"/>
      <c r="I3662" s="952"/>
    </row>
    <row r="3663" spans="2:9" ht="15.75">
      <c r="B3663" s="1026">
        <v>4.2</v>
      </c>
      <c r="C3663" s="937" t="str">
        <f>+Presupuesto!B225</f>
        <v>Bloque de muro de 6" S.N.P.</v>
      </c>
      <c r="D3663" s="938"/>
      <c r="E3663" s="962" t="s">
        <v>20</v>
      </c>
      <c r="F3663" s="1066"/>
      <c r="G3663" s="938"/>
      <c r="H3663" s="1029"/>
      <c r="I3663" s="940">
        <f>I3694</f>
        <v>1379.06</v>
      </c>
    </row>
    <row r="3664" spans="2:9" ht="15.75">
      <c r="C3664" s="941" t="s">
        <v>908</v>
      </c>
      <c r="D3664" s="942" t="s">
        <v>9</v>
      </c>
      <c r="E3664" s="943" t="s">
        <v>10</v>
      </c>
      <c r="F3664" s="1067" t="s">
        <v>909</v>
      </c>
      <c r="G3664" s="942" t="s">
        <v>910</v>
      </c>
      <c r="H3664" s="1030" t="s">
        <v>911</v>
      </c>
      <c r="I3664" s="944" t="s">
        <v>912</v>
      </c>
    </row>
    <row r="3665" spans="3:9" ht="15.75">
      <c r="C3665" s="945" t="s">
        <v>913</v>
      </c>
      <c r="D3665" s="946"/>
      <c r="E3665" s="947"/>
      <c r="F3665" s="1054"/>
      <c r="G3665" s="946"/>
      <c r="H3665" s="1031"/>
      <c r="I3665" s="948"/>
    </row>
    <row r="3666" spans="3:9" ht="15.75">
      <c r="C3666" s="949" t="s">
        <v>1201</v>
      </c>
      <c r="D3666" s="946">
        <v>11.61</v>
      </c>
      <c r="E3666" s="947" t="str">
        <f>+VLOOKUP(C3666,'Basic (equilibrio) (2)'!B:D,2,FALSE)</f>
        <v>ud</v>
      </c>
      <c r="F3666" s="1068">
        <f>'Basic (equilibrio) (2)'!$D$300</f>
        <v>35</v>
      </c>
      <c r="G3666" s="946">
        <f t="shared" ref="G3666:G3671" si="21">F3666-(F3666/1.18)</f>
        <v>5.34</v>
      </c>
      <c r="H3666" s="1031"/>
      <c r="I3666" s="948">
        <f t="shared" ref="I3666:I3671" si="22">D3666*F3666</f>
        <v>406.35</v>
      </c>
    </row>
    <row r="3667" spans="3:9" ht="15.75">
      <c r="C3667" s="949" t="s">
        <v>1203</v>
      </c>
      <c r="D3667" s="946">
        <v>11.61</v>
      </c>
      <c r="E3667" s="947" t="str">
        <f>+VLOOKUP(C3667,'Basic (equilibrio) (2)'!B:D,2,FALSE)</f>
        <v>ud</v>
      </c>
      <c r="F3667" s="1068">
        <f>'Basic (equilibrio) (2)'!$D$303</f>
        <v>3.3</v>
      </c>
      <c r="G3667" s="946">
        <f t="shared" si="21"/>
        <v>0.5</v>
      </c>
      <c r="H3667" s="1031"/>
      <c r="I3667" s="948">
        <f t="shared" si="22"/>
        <v>38.31</v>
      </c>
    </row>
    <row r="3668" spans="3:9" ht="15.75">
      <c r="C3668" s="949" t="s">
        <v>1204</v>
      </c>
      <c r="D3668" s="946">
        <v>0.04</v>
      </c>
      <c r="E3668" s="947" t="str">
        <f>+VLOOKUP(C3668,'Basic (equilibrio) (2)'!B:D,2,FALSE)</f>
        <v>m3</v>
      </c>
      <c r="F3668" s="1068">
        <f>'Basic (equilibrio) (2)'!$D$307</f>
        <v>6174</v>
      </c>
      <c r="G3668" s="946">
        <f t="shared" si="21"/>
        <v>941.8</v>
      </c>
      <c r="H3668" s="1031"/>
      <c r="I3668" s="948">
        <f t="shared" si="22"/>
        <v>246.96</v>
      </c>
    </row>
    <row r="3669" spans="3:9" ht="15.75">
      <c r="C3669" s="949" t="s">
        <v>1205</v>
      </c>
      <c r="D3669" s="946">
        <v>0.04</v>
      </c>
      <c r="E3669" s="947" t="str">
        <f>+VLOOKUP(C3669,'Basic (equilibrio) (2)'!B:D,2,FALSE)</f>
        <v>m3</v>
      </c>
      <c r="F3669" s="1068">
        <f>'Basic (equilibrio) (2)'!$D$308</f>
        <v>5985</v>
      </c>
      <c r="G3669" s="946">
        <f t="shared" si="21"/>
        <v>912.97</v>
      </c>
      <c r="H3669" s="1031"/>
      <c r="I3669" s="948">
        <f t="shared" si="22"/>
        <v>239.4</v>
      </c>
    </row>
    <row r="3670" spans="3:9" ht="15.75">
      <c r="C3670" s="949" t="s">
        <v>1188</v>
      </c>
      <c r="D3670" s="946">
        <v>0.04</v>
      </c>
      <c r="E3670" s="947" t="str">
        <f>+VLOOKUP(C3670,'Basic (equilibrio) (2)'!B:D,2,FALSE)</f>
        <v>qq</v>
      </c>
      <c r="F3670" s="1068">
        <f>'Basic (equilibrio) (2)'!$D$183</f>
        <v>3600</v>
      </c>
      <c r="G3670" s="946">
        <f t="shared" si="21"/>
        <v>549.15</v>
      </c>
      <c r="H3670" s="1031"/>
      <c r="I3670" s="948">
        <f t="shared" si="22"/>
        <v>144</v>
      </c>
    </row>
    <row r="3671" spans="3:9" ht="15.75">
      <c r="C3671" s="949" t="s">
        <v>1328</v>
      </c>
      <c r="D3671" s="946">
        <v>7.0000000000000007E-2</v>
      </c>
      <c r="E3671" s="947" t="str">
        <f>+VLOOKUP(C3671,'Basic (equilibrio) (2)'!B:D,2,FALSE)</f>
        <v>lb</v>
      </c>
      <c r="F3671" s="1068">
        <f>'Basic (equilibrio) (2)'!$D$334</f>
        <v>31.1</v>
      </c>
      <c r="G3671" s="946">
        <f t="shared" si="21"/>
        <v>4.74</v>
      </c>
      <c r="H3671" s="1031"/>
      <c r="I3671" s="948">
        <f t="shared" si="22"/>
        <v>2.1800000000000002</v>
      </c>
    </row>
    <row r="3672" spans="3:9" ht="15.75">
      <c r="C3672" s="951" t="s">
        <v>918</v>
      </c>
      <c r="D3672" s="946"/>
      <c r="E3672" s="947"/>
      <c r="F3672" s="1068"/>
      <c r="G3672" s="946"/>
      <c r="H3672" s="1031"/>
      <c r="I3672" s="952">
        <f>SUM(I3666:I3671)</f>
        <v>1077.2</v>
      </c>
    </row>
    <row r="3673" spans="3:9" ht="15.75">
      <c r="C3673" s="949"/>
      <c r="D3673" s="946"/>
      <c r="E3673" s="947"/>
      <c r="F3673" s="1068"/>
      <c r="G3673" s="946"/>
      <c r="H3673" s="1031"/>
      <c r="I3673" s="948"/>
    </row>
    <row r="3674" spans="3:9" ht="15.75">
      <c r="C3674" s="945" t="s">
        <v>919</v>
      </c>
      <c r="D3674" s="946"/>
      <c r="E3674" s="947"/>
      <c r="F3674" s="1068"/>
      <c r="G3674" s="946"/>
      <c r="H3674" s="1031"/>
      <c r="I3674" s="948"/>
    </row>
    <row r="3675" spans="3:9" ht="15.75">
      <c r="C3675" s="949" t="s">
        <v>1074</v>
      </c>
      <c r="D3675" s="953">
        <v>11.61</v>
      </c>
      <c r="E3675" s="954" t="str">
        <f>+VLOOKUP(C3675,'Basic (equilibrio) (2)'!B:D,2,FALSE)</f>
        <v>ud</v>
      </c>
      <c r="F3675" s="1068">
        <f>'Basic (equilibrio) (2)'!$D$26</f>
        <v>1</v>
      </c>
      <c r="G3675" s="946">
        <v>0</v>
      </c>
      <c r="H3675" s="1031"/>
      <c r="I3675" s="948">
        <f>(D3675*F3675)</f>
        <v>11.61</v>
      </c>
    </row>
    <row r="3676" spans="3:9" ht="15.75">
      <c r="C3676" s="949" t="s">
        <v>1075</v>
      </c>
      <c r="D3676" s="953">
        <v>11.61</v>
      </c>
      <c r="E3676" s="954" t="str">
        <f>+VLOOKUP(C3676,'Basic (equilibrio) (2)'!B:D,2,FALSE)</f>
        <v>ud</v>
      </c>
      <c r="F3676" s="1068">
        <f>'Basic (equilibrio) (2)'!$D$27</f>
        <v>3</v>
      </c>
      <c r="G3676" s="946">
        <v>0</v>
      </c>
      <c r="H3676" s="1031"/>
      <c r="I3676" s="948">
        <f>(D3676*F3676)</f>
        <v>34.83</v>
      </c>
    </row>
    <row r="3677" spans="3:9" ht="15.75">
      <c r="C3677" s="949" t="s">
        <v>1077</v>
      </c>
      <c r="D3677" s="953">
        <v>11.61</v>
      </c>
      <c r="E3677" s="954" t="str">
        <f>+VLOOKUP(C3677,'Basic (equilibrio) (2)'!B:D,2,FALSE)</f>
        <v>ud</v>
      </c>
      <c r="F3677" s="1068">
        <f>'Basic (equilibrio) (2)'!$D$29</f>
        <v>22</v>
      </c>
      <c r="G3677" s="946">
        <v>0</v>
      </c>
      <c r="H3677" s="1031"/>
      <c r="I3677" s="948">
        <f>(D3677*F3677)</f>
        <v>255.42</v>
      </c>
    </row>
    <row r="3678" spans="3:9" ht="15.75">
      <c r="C3678" s="951" t="s">
        <v>918</v>
      </c>
      <c r="D3678" s="946"/>
      <c r="E3678" s="947"/>
      <c r="F3678" s="1054"/>
      <c r="G3678" s="946"/>
      <c r="H3678" s="1031"/>
      <c r="I3678" s="952">
        <f>SUM(I3675:I3677)</f>
        <v>301.86</v>
      </c>
    </row>
    <row r="3679" spans="3:9" ht="15.75">
      <c r="C3679" s="949"/>
      <c r="D3679" s="946"/>
      <c r="E3679" s="947"/>
      <c r="F3679" s="1054"/>
      <c r="G3679" s="946"/>
      <c r="H3679" s="1031"/>
      <c r="I3679" s="948"/>
    </row>
    <row r="3680" spans="3:9" ht="15.75">
      <c r="C3680" s="945" t="s">
        <v>923</v>
      </c>
      <c r="D3680" s="946"/>
      <c r="E3680" s="947"/>
      <c r="F3680" s="1054"/>
      <c r="G3680" s="946"/>
      <c r="H3680" s="1031"/>
      <c r="I3680" s="948"/>
    </row>
    <row r="3681" spans="2:9" ht="15.75">
      <c r="C3681" s="949" t="s">
        <v>924</v>
      </c>
      <c r="D3681" s="946"/>
      <c r="E3681" s="947" t="str">
        <f>+VLOOKUP(C3681,'Basic (equilibrio) (2)'!B:D,2,FALSE)</f>
        <v>n/a</v>
      </c>
      <c r="F3681" s="1054">
        <f>+VLOOKUP(C3681,'Basic (equilibrio) (2)'!B:D,3,FALSE)</f>
        <v>0</v>
      </c>
      <c r="G3681" s="946">
        <f>F3681-(F3681/1.18)</f>
        <v>0</v>
      </c>
      <c r="H3681" s="1039"/>
      <c r="I3681" s="955">
        <f>D3681*F3681</f>
        <v>0</v>
      </c>
    </row>
    <row r="3682" spans="2:9" ht="15.75">
      <c r="C3682" s="951" t="s">
        <v>918</v>
      </c>
      <c r="D3682" s="946"/>
      <c r="E3682" s="947"/>
      <c r="F3682" s="1054"/>
      <c r="G3682" s="946"/>
      <c r="H3682" s="1031"/>
      <c r="I3682" s="952">
        <f>SUM(I3681:I3681)</f>
        <v>0</v>
      </c>
    </row>
    <row r="3683" spans="2:9" ht="15.75">
      <c r="C3683" s="949"/>
      <c r="D3683" s="946"/>
      <c r="E3683" s="947"/>
      <c r="F3683" s="1054"/>
      <c r="G3683" s="946"/>
      <c r="H3683" s="1031"/>
      <c r="I3683" s="948"/>
    </row>
    <row r="3684" spans="2:9" ht="15.75">
      <c r="C3684" s="945" t="s">
        <v>925</v>
      </c>
      <c r="D3684" s="946"/>
      <c r="E3684" s="947"/>
      <c r="F3684" s="1054"/>
      <c r="G3684" s="946"/>
      <c r="H3684" s="1031"/>
      <c r="I3684" s="948"/>
    </row>
    <row r="3685" spans="2:9" ht="15.75">
      <c r="C3685" s="949" t="s">
        <v>924</v>
      </c>
      <c r="D3685" s="946"/>
      <c r="E3685" s="947" t="str">
        <f>+VLOOKUP(C3685,'Basic (equilibrio) (2)'!B:D,2,FALSE)</f>
        <v>n/a</v>
      </c>
      <c r="F3685" s="1054">
        <f>+VLOOKUP(C3685,'Basic (equilibrio) (2)'!B:D,3,FALSE)</f>
        <v>0</v>
      </c>
      <c r="G3685" s="946"/>
      <c r="H3685" s="1031"/>
      <c r="I3685" s="948">
        <f>D3685*F3685</f>
        <v>0</v>
      </c>
    </row>
    <row r="3686" spans="2:9" ht="15.75">
      <c r="C3686" s="951" t="s">
        <v>918</v>
      </c>
      <c r="D3686" s="946"/>
      <c r="E3686" s="947"/>
      <c r="F3686" s="1054"/>
      <c r="G3686" s="946"/>
      <c r="H3686" s="1031"/>
      <c r="I3686" s="952">
        <f>SUM(I3685)</f>
        <v>0</v>
      </c>
    </row>
    <row r="3687" spans="2:9" ht="15.75">
      <c r="C3687" s="951"/>
      <c r="D3687" s="946"/>
      <c r="E3687" s="947"/>
      <c r="F3687" s="1054"/>
      <c r="G3687" s="946"/>
      <c r="H3687" s="1031"/>
      <c r="I3687" s="952"/>
    </row>
    <row r="3688" spans="2:9" ht="15.75">
      <c r="C3688" s="956" t="s">
        <v>926</v>
      </c>
      <c r="D3688" s="957"/>
      <c r="E3688" s="958"/>
      <c r="F3688" s="1069"/>
      <c r="G3688" s="957"/>
      <c r="H3688" s="1032"/>
      <c r="I3688" s="959">
        <f>+I3672</f>
        <v>1077.2</v>
      </c>
    </row>
    <row r="3689" spans="2:9" ht="15.75">
      <c r="C3689" s="956" t="s">
        <v>927</v>
      </c>
      <c r="D3689" s="957"/>
      <c r="E3689" s="958"/>
      <c r="F3689" s="1069"/>
      <c r="G3689" s="957"/>
      <c r="H3689" s="1032"/>
      <c r="I3689" s="959">
        <f>+I3678</f>
        <v>301.86</v>
      </c>
    </row>
    <row r="3690" spans="2:9" ht="15.75">
      <c r="C3690" s="956" t="s">
        <v>928</v>
      </c>
      <c r="D3690" s="957"/>
      <c r="E3690" s="958"/>
      <c r="F3690" s="1069"/>
      <c r="G3690" s="957"/>
      <c r="H3690" s="1032"/>
      <c r="I3690" s="959">
        <f>+I3682</f>
        <v>0</v>
      </c>
    </row>
    <row r="3691" spans="2:9" ht="15.75">
      <c r="C3691" s="956" t="s">
        <v>929</v>
      </c>
      <c r="D3691" s="957"/>
      <c r="E3691" s="958"/>
      <c r="F3691" s="1069"/>
      <c r="G3691" s="957"/>
      <c r="H3691" s="1032"/>
      <c r="I3691" s="959">
        <f>+I3686</f>
        <v>0</v>
      </c>
    </row>
    <row r="3692" spans="2:9" ht="15.75">
      <c r="C3692" s="949"/>
      <c r="D3692" s="946"/>
      <c r="E3692" s="947"/>
      <c r="F3692" s="1054"/>
      <c r="G3692" s="946"/>
      <c r="H3692" s="1031"/>
      <c r="I3692" s="948"/>
    </row>
    <row r="3693" spans="2:9" ht="15.75">
      <c r="C3693" s="949"/>
      <c r="D3693" s="946"/>
      <c r="E3693" s="947"/>
      <c r="F3693" s="1054"/>
      <c r="G3693" s="946"/>
      <c r="H3693" s="1031"/>
      <c r="I3693" s="948"/>
    </row>
    <row r="3694" spans="2:9" ht="15.75">
      <c r="C3694" s="951" t="s">
        <v>930</v>
      </c>
      <c r="D3694" s="960"/>
      <c r="E3694" s="943" t="str">
        <f>+E3663</f>
        <v>M2</v>
      </c>
      <c r="F3694" s="1070"/>
      <c r="G3694" s="960"/>
      <c r="H3694" s="1033"/>
      <c r="I3694" s="952">
        <f>SUM(I3688:I3691)</f>
        <v>1379.06</v>
      </c>
    </row>
    <row r="3695" spans="2:9" ht="15.75">
      <c r="C3695" s="951"/>
      <c r="D3695" s="960"/>
      <c r="E3695" s="943"/>
      <c r="F3695" s="1070"/>
      <c r="G3695" s="960"/>
      <c r="H3695" s="1033"/>
      <c r="I3695" s="952"/>
    </row>
    <row r="3696" spans="2:9" ht="15.75">
      <c r="B3696" s="1026">
        <v>5.0999999999999996</v>
      </c>
      <c r="C3696" s="937" t="str">
        <f>+Presupuesto!B228</f>
        <v xml:space="preserve">Pañete en muros </v>
      </c>
      <c r="D3696" s="938"/>
      <c r="E3696" s="962" t="s">
        <v>20</v>
      </c>
      <c r="F3696" s="1066"/>
      <c r="G3696" s="938"/>
      <c r="H3696" s="1029"/>
      <c r="I3696" s="940">
        <f>I3721</f>
        <v>453.5</v>
      </c>
    </row>
    <row r="3697" spans="3:9" ht="15.75">
      <c r="C3697" s="941" t="s">
        <v>908</v>
      </c>
      <c r="D3697" s="942" t="s">
        <v>9</v>
      </c>
      <c r="E3697" s="943" t="s">
        <v>10</v>
      </c>
      <c r="F3697" s="1067" t="s">
        <v>909</v>
      </c>
      <c r="G3697" s="942" t="s">
        <v>910</v>
      </c>
      <c r="H3697" s="1030" t="s">
        <v>911</v>
      </c>
      <c r="I3697" s="944" t="s">
        <v>912</v>
      </c>
    </row>
    <row r="3698" spans="3:9" ht="15.75">
      <c r="C3698" s="945" t="s">
        <v>913</v>
      </c>
      <c r="D3698" s="946"/>
      <c r="E3698" s="947"/>
      <c r="F3698" s="1054"/>
      <c r="G3698" s="946"/>
      <c r="H3698" s="1031"/>
      <c r="I3698" s="948"/>
    </row>
    <row r="3699" spans="3:9" ht="15.75">
      <c r="C3699" s="949" t="s">
        <v>958</v>
      </c>
      <c r="D3699" s="946">
        <v>0.03</v>
      </c>
      <c r="E3699" s="947" t="str">
        <f>+VLOOKUP(C3699,'Basic (equilibrio) (2)'!B:D,2,FALSE)</f>
        <v>m3</v>
      </c>
      <c r="F3699" s="1068">
        <f>'Basic (equilibrio) (2)'!$D$309</f>
        <v>6820</v>
      </c>
      <c r="G3699" s="946">
        <f>F3699-(F3699/1.18)</f>
        <v>1040.3399999999999</v>
      </c>
      <c r="H3699" s="1031"/>
      <c r="I3699" s="948">
        <f>D3699*F3699</f>
        <v>204.6</v>
      </c>
    </row>
    <row r="3700" spans="3:9" ht="15.75">
      <c r="C3700" s="949" t="s">
        <v>1206</v>
      </c>
      <c r="D3700" s="946">
        <v>0.03</v>
      </c>
      <c r="E3700" s="947" t="str">
        <f>+VLOOKUP(C3700,'Basic (equilibrio) (2)'!B:D,2,FALSE)</f>
        <v>pt</v>
      </c>
      <c r="F3700" s="1068">
        <f>'Basic (equilibrio) (2)'!$D$310</f>
        <v>230</v>
      </c>
      <c r="G3700" s="946">
        <f>F3700-(F3700/1.18)</f>
        <v>35.08</v>
      </c>
      <c r="H3700" s="1031"/>
      <c r="I3700" s="948">
        <f>D3700*F3700</f>
        <v>6.9</v>
      </c>
    </row>
    <row r="3701" spans="3:9" ht="15.75">
      <c r="C3701" s="949" t="s">
        <v>1079</v>
      </c>
      <c r="D3701" s="946">
        <v>1</v>
      </c>
      <c r="E3701" s="947" t="str">
        <f>+VLOOKUP(C3701,'Basic (equilibrio) (2)'!B:D,2,FALSE)</f>
        <v>m2</v>
      </c>
      <c r="F3701" s="1068">
        <f>'Basic (equilibrio) (2)'!$D$31</f>
        <v>52</v>
      </c>
      <c r="G3701" s="946">
        <f>F3701-(F3701/1.18)</f>
        <v>7.93</v>
      </c>
      <c r="H3701" s="1031"/>
      <c r="I3701" s="948">
        <f>D3701*F3701</f>
        <v>52</v>
      </c>
    </row>
    <row r="3702" spans="3:9" ht="15.75">
      <c r="C3702" s="951" t="s">
        <v>918</v>
      </c>
      <c r="D3702" s="946"/>
      <c r="E3702" s="947"/>
      <c r="F3702" s="1068"/>
      <c r="G3702" s="946"/>
      <c r="H3702" s="1031"/>
      <c r="I3702" s="952">
        <f>SUM(I3699:I3701)</f>
        <v>263.5</v>
      </c>
    </row>
    <row r="3703" spans="3:9" ht="15.75">
      <c r="C3703" s="949"/>
      <c r="D3703" s="946"/>
      <c r="E3703" s="947"/>
      <c r="F3703" s="1068"/>
      <c r="G3703" s="946"/>
      <c r="H3703" s="1031"/>
      <c r="I3703" s="948"/>
    </row>
    <row r="3704" spans="3:9" ht="15.75">
      <c r="C3704" s="945" t="s">
        <v>919</v>
      </c>
      <c r="D3704" s="946"/>
      <c r="E3704" s="947"/>
      <c r="F3704" s="1068"/>
      <c r="G3704" s="946"/>
      <c r="H3704" s="1031"/>
      <c r="I3704" s="948"/>
    </row>
    <row r="3705" spans="3:9" ht="15.75">
      <c r="C3705" s="949" t="s">
        <v>1078</v>
      </c>
      <c r="D3705" s="953">
        <v>1</v>
      </c>
      <c r="E3705" s="954" t="str">
        <f>+VLOOKUP(C3705,'Basic (equilibrio) (2)'!B:D,2,FALSE)</f>
        <v>m2</v>
      </c>
      <c r="F3705" s="1068">
        <f>'Basic (equilibrio) (2)'!$D$30</f>
        <v>190</v>
      </c>
      <c r="G3705" s="946">
        <v>0</v>
      </c>
      <c r="H3705" s="1031"/>
      <c r="I3705" s="948">
        <f>(D3705*F3705)</f>
        <v>190</v>
      </c>
    </row>
    <row r="3706" spans="3:9" ht="15.75">
      <c r="C3706" s="951" t="s">
        <v>918</v>
      </c>
      <c r="D3706" s="946"/>
      <c r="E3706" s="947"/>
      <c r="F3706" s="1054"/>
      <c r="G3706" s="946"/>
      <c r="H3706" s="1031"/>
      <c r="I3706" s="952">
        <f>SUM(I3705:I3705)</f>
        <v>190</v>
      </c>
    </row>
    <row r="3707" spans="3:9" ht="15.75">
      <c r="C3707" s="949"/>
      <c r="D3707" s="946"/>
      <c r="E3707" s="947"/>
      <c r="F3707" s="1054"/>
      <c r="G3707" s="946"/>
      <c r="H3707" s="1031"/>
      <c r="I3707" s="948"/>
    </row>
    <row r="3708" spans="3:9" ht="15.75">
      <c r="C3708" s="945" t="s">
        <v>923</v>
      </c>
      <c r="D3708" s="946"/>
      <c r="E3708" s="947"/>
      <c r="F3708" s="1054"/>
      <c r="G3708" s="946"/>
      <c r="H3708" s="1031"/>
      <c r="I3708" s="948"/>
    </row>
    <row r="3709" spans="3:9" ht="15.75">
      <c r="C3709" s="949" t="s">
        <v>924</v>
      </c>
      <c r="D3709" s="946"/>
      <c r="E3709" s="947" t="str">
        <f>+VLOOKUP(C3709,'Basic (equilibrio) (2)'!B:D,2,FALSE)</f>
        <v>n/a</v>
      </c>
      <c r="F3709" s="1054">
        <f>+VLOOKUP(C3709,'Basic (equilibrio) (2)'!B:D,3,FALSE)</f>
        <v>0</v>
      </c>
      <c r="G3709" s="946">
        <f>F3709-(F3709/1.18)</f>
        <v>0</v>
      </c>
      <c r="H3709" s="1039"/>
      <c r="I3709" s="955">
        <f>D3709*F3709</f>
        <v>0</v>
      </c>
    </row>
    <row r="3710" spans="3:9" ht="15.75">
      <c r="C3710" s="951" t="s">
        <v>918</v>
      </c>
      <c r="D3710" s="946"/>
      <c r="E3710" s="947"/>
      <c r="F3710" s="1054"/>
      <c r="G3710" s="946"/>
      <c r="H3710" s="1031"/>
      <c r="I3710" s="952">
        <f>SUM(I3709:I3709)</f>
        <v>0</v>
      </c>
    </row>
    <row r="3711" spans="3:9" ht="15.75">
      <c r="C3711" s="949"/>
      <c r="D3711" s="946"/>
      <c r="E3711" s="947"/>
      <c r="F3711" s="1054"/>
      <c r="G3711" s="946"/>
      <c r="H3711" s="1031"/>
      <c r="I3711" s="948"/>
    </row>
    <row r="3712" spans="3:9" ht="15.75">
      <c r="C3712" s="945" t="s">
        <v>925</v>
      </c>
      <c r="D3712" s="946"/>
      <c r="E3712" s="947"/>
      <c r="F3712" s="1054"/>
      <c r="G3712" s="946"/>
      <c r="H3712" s="1031"/>
      <c r="I3712" s="948"/>
    </row>
    <row r="3713" spans="2:9" ht="15.75">
      <c r="C3713" s="949" t="s">
        <v>924</v>
      </c>
      <c r="D3713" s="946"/>
      <c r="E3713" s="947" t="str">
        <f>+VLOOKUP(C3713,'Basic (equilibrio) (2)'!B:D,2,FALSE)</f>
        <v>n/a</v>
      </c>
      <c r="F3713" s="1054">
        <f>+VLOOKUP(C3713,'Basic (equilibrio) (2)'!B:D,3,FALSE)</f>
        <v>0</v>
      </c>
      <c r="G3713" s="946"/>
      <c r="H3713" s="1031"/>
      <c r="I3713" s="948">
        <f>D3713*F3713</f>
        <v>0</v>
      </c>
    </row>
    <row r="3714" spans="2:9" ht="15.75">
      <c r="C3714" s="951" t="s">
        <v>918</v>
      </c>
      <c r="D3714" s="946"/>
      <c r="E3714" s="947"/>
      <c r="F3714" s="1054"/>
      <c r="G3714" s="946"/>
      <c r="H3714" s="1031"/>
      <c r="I3714" s="952">
        <f>SUM(I3713)</f>
        <v>0</v>
      </c>
    </row>
    <row r="3715" spans="2:9" ht="15.75">
      <c r="C3715" s="951"/>
      <c r="D3715" s="946"/>
      <c r="E3715" s="947"/>
      <c r="F3715" s="1054"/>
      <c r="G3715" s="946"/>
      <c r="H3715" s="1031"/>
      <c r="I3715" s="952"/>
    </row>
    <row r="3716" spans="2:9" ht="15.75">
      <c r="C3716" s="956" t="s">
        <v>926</v>
      </c>
      <c r="D3716" s="957"/>
      <c r="E3716" s="958"/>
      <c r="F3716" s="1069"/>
      <c r="G3716" s="957"/>
      <c r="H3716" s="1032"/>
      <c r="I3716" s="959">
        <f>+I3702</f>
        <v>263.5</v>
      </c>
    </row>
    <row r="3717" spans="2:9" ht="15.75">
      <c r="C3717" s="956" t="s">
        <v>927</v>
      </c>
      <c r="D3717" s="957"/>
      <c r="E3717" s="958"/>
      <c r="F3717" s="1069"/>
      <c r="G3717" s="957"/>
      <c r="H3717" s="1032"/>
      <c r="I3717" s="959">
        <f>+I3706</f>
        <v>190</v>
      </c>
    </row>
    <row r="3718" spans="2:9" ht="15.75">
      <c r="C3718" s="956" t="s">
        <v>928</v>
      </c>
      <c r="D3718" s="957"/>
      <c r="E3718" s="958"/>
      <c r="F3718" s="1069"/>
      <c r="G3718" s="957"/>
      <c r="H3718" s="1032"/>
      <c r="I3718" s="959">
        <f>+I3710</f>
        <v>0</v>
      </c>
    </row>
    <row r="3719" spans="2:9" ht="15.75">
      <c r="C3719" s="956" t="s">
        <v>929</v>
      </c>
      <c r="D3719" s="957"/>
      <c r="E3719" s="958"/>
      <c r="F3719" s="1069"/>
      <c r="G3719" s="957"/>
      <c r="H3719" s="1032"/>
      <c r="I3719" s="959">
        <f>+I3714</f>
        <v>0</v>
      </c>
    </row>
    <row r="3720" spans="2:9" ht="15.75">
      <c r="C3720" s="949"/>
      <c r="D3720" s="946"/>
      <c r="E3720" s="947"/>
      <c r="F3720" s="1054"/>
      <c r="G3720" s="946"/>
      <c r="H3720" s="1031"/>
      <c r="I3720" s="948"/>
    </row>
    <row r="3721" spans="2:9" ht="15.75">
      <c r="C3721" s="951" t="s">
        <v>930</v>
      </c>
      <c r="D3721" s="960"/>
      <c r="E3721" s="943" t="str">
        <f>+E3696</f>
        <v>M2</v>
      </c>
      <c r="F3721" s="1070"/>
      <c r="G3721" s="960"/>
      <c r="H3721" s="1033"/>
      <c r="I3721" s="952">
        <f>SUM(I3716:I3719)</f>
        <v>453.5</v>
      </c>
    </row>
    <row r="3722" spans="2:9" ht="15.75">
      <c r="C3722" s="951"/>
      <c r="D3722" s="960"/>
      <c r="E3722" s="943"/>
      <c r="F3722" s="1070"/>
      <c r="G3722" s="960"/>
      <c r="H3722" s="1033"/>
      <c r="I3722" s="952"/>
    </row>
    <row r="3723" spans="2:9" ht="15.75">
      <c r="B3723" s="1026">
        <v>5.2</v>
      </c>
      <c r="C3723" s="937" t="str">
        <f>+Presupuesto!B229</f>
        <v xml:space="preserve">Pañete en  vigas </v>
      </c>
      <c r="D3723" s="938"/>
      <c r="E3723" s="962" t="s">
        <v>20</v>
      </c>
      <c r="F3723" s="1066"/>
      <c r="G3723" s="938"/>
      <c r="H3723" s="1029"/>
      <c r="I3723" s="940">
        <f>I3748</f>
        <v>453.5</v>
      </c>
    </row>
    <row r="3724" spans="2:9" ht="15.75">
      <c r="C3724" s="941" t="s">
        <v>908</v>
      </c>
      <c r="D3724" s="942" t="s">
        <v>9</v>
      </c>
      <c r="E3724" s="943" t="s">
        <v>10</v>
      </c>
      <c r="F3724" s="1067" t="s">
        <v>909</v>
      </c>
      <c r="G3724" s="942" t="s">
        <v>910</v>
      </c>
      <c r="H3724" s="1030" t="s">
        <v>911</v>
      </c>
      <c r="I3724" s="944" t="s">
        <v>912</v>
      </c>
    </row>
    <row r="3725" spans="2:9" ht="15.75">
      <c r="C3725" s="945" t="s">
        <v>913</v>
      </c>
      <c r="D3725" s="946"/>
      <c r="E3725" s="947"/>
      <c r="F3725" s="1054"/>
      <c r="G3725" s="946"/>
      <c r="H3725" s="1031"/>
      <c r="I3725" s="948"/>
    </row>
    <row r="3726" spans="2:9" ht="15.75">
      <c r="C3726" s="949" t="s">
        <v>958</v>
      </c>
      <c r="D3726" s="946">
        <v>0.03</v>
      </c>
      <c r="E3726" s="947" t="str">
        <f>+VLOOKUP(C3726,'Basic (equilibrio) (2)'!B:D,2,FALSE)</f>
        <v>m3</v>
      </c>
      <c r="F3726" s="1068">
        <f>'Basic (equilibrio) (2)'!$D$309</f>
        <v>6820</v>
      </c>
      <c r="G3726" s="946">
        <f>F3726-(F3726/1.18)</f>
        <v>1040.3399999999999</v>
      </c>
      <c r="H3726" s="1031"/>
      <c r="I3726" s="948">
        <f>D3726*F3726</f>
        <v>204.6</v>
      </c>
    </row>
    <row r="3727" spans="2:9" ht="15.75">
      <c r="C3727" s="949" t="s">
        <v>1206</v>
      </c>
      <c r="D3727" s="946">
        <v>0.03</v>
      </c>
      <c r="E3727" s="947" t="str">
        <f>+VLOOKUP(C3727,'Basic (equilibrio) (2)'!B:D,2,FALSE)</f>
        <v>pt</v>
      </c>
      <c r="F3727" s="1068">
        <f>'Basic (equilibrio) (2)'!$D$310</f>
        <v>230</v>
      </c>
      <c r="G3727" s="946">
        <f>F3727-(F3727/1.18)</f>
        <v>35.08</v>
      </c>
      <c r="H3727" s="1031"/>
      <c r="I3727" s="948">
        <f>D3727*F3727</f>
        <v>6.9</v>
      </c>
    </row>
    <row r="3728" spans="2:9" ht="15.75">
      <c r="C3728" s="949" t="s">
        <v>1079</v>
      </c>
      <c r="D3728" s="946">
        <v>1</v>
      </c>
      <c r="E3728" s="947" t="str">
        <f>+VLOOKUP(C3728,'Basic (equilibrio) (2)'!B:D,2,FALSE)</f>
        <v>m2</v>
      </c>
      <c r="F3728" s="1068">
        <f>'Basic (equilibrio) (2)'!$D$31</f>
        <v>52</v>
      </c>
      <c r="G3728" s="946">
        <f>F3728-(F3728/1.18)</f>
        <v>7.93</v>
      </c>
      <c r="H3728" s="1031"/>
      <c r="I3728" s="948">
        <f>D3728*F3728</f>
        <v>52</v>
      </c>
    </row>
    <row r="3729" spans="3:9" ht="15.75">
      <c r="C3729" s="951" t="s">
        <v>918</v>
      </c>
      <c r="D3729" s="946"/>
      <c r="E3729" s="947"/>
      <c r="F3729" s="1068"/>
      <c r="G3729" s="946"/>
      <c r="H3729" s="1031"/>
      <c r="I3729" s="952">
        <f>SUM(I3726:I3728)</f>
        <v>263.5</v>
      </c>
    </row>
    <row r="3730" spans="3:9" ht="15.75">
      <c r="C3730" s="949"/>
      <c r="D3730" s="946"/>
      <c r="E3730" s="947"/>
      <c r="F3730" s="1068"/>
      <c r="G3730" s="946"/>
      <c r="H3730" s="1031"/>
      <c r="I3730" s="948"/>
    </row>
    <row r="3731" spans="3:9" ht="15.75">
      <c r="C3731" s="945" t="s">
        <v>919</v>
      </c>
      <c r="D3731" s="946"/>
      <c r="E3731" s="947"/>
      <c r="F3731" s="1068"/>
      <c r="G3731" s="946"/>
      <c r="H3731" s="1031"/>
      <c r="I3731" s="948"/>
    </row>
    <row r="3732" spans="3:9" ht="15.75">
      <c r="C3732" s="949" t="s">
        <v>1078</v>
      </c>
      <c r="D3732" s="953">
        <v>1</v>
      </c>
      <c r="E3732" s="954" t="str">
        <f>+VLOOKUP(C3732,'Basic (equilibrio) (2)'!B:D,2,FALSE)</f>
        <v>m2</v>
      </c>
      <c r="F3732" s="1068">
        <f>'Basic (equilibrio) (2)'!$D$30</f>
        <v>190</v>
      </c>
      <c r="G3732" s="946">
        <v>0</v>
      </c>
      <c r="H3732" s="1031"/>
      <c r="I3732" s="948">
        <f>(D3732*F3732)</f>
        <v>190</v>
      </c>
    </row>
    <row r="3733" spans="3:9" ht="15.75">
      <c r="C3733" s="951" t="s">
        <v>918</v>
      </c>
      <c r="D3733" s="946"/>
      <c r="E3733" s="947"/>
      <c r="F3733" s="1054"/>
      <c r="G3733" s="946"/>
      <c r="H3733" s="1031"/>
      <c r="I3733" s="952">
        <f>SUM(I3732:I3732)</f>
        <v>190</v>
      </c>
    </row>
    <row r="3734" spans="3:9" ht="15.75">
      <c r="C3734" s="949"/>
      <c r="D3734" s="946"/>
      <c r="E3734" s="947"/>
      <c r="F3734" s="1054"/>
      <c r="G3734" s="946"/>
      <c r="H3734" s="1031"/>
      <c r="I3734" s="948"/>
    </row>
    <row r="3735" spans="3:9" ht="15.75">
      <c r="C3735" s="945" t="s">
        <v>923</v>
      </c>
      <c r="D3735" s="946"/>
      <c r="E3735" s="947"/>
      <c r="F3735" s="1054"/>
      <c r="G3735" s="946"/>
      <c r="H3735" s="1031"/>
      <c r="I3735" s="948"/>
    </row>
    <row r="3736" spans="3:9" ht="15.75">
      <c r="C3736" s="949" t="s">
        <v>924</v>
      </c>
      <c r="D3736" s="946"/>
      <c r="E3736" s="947" t="str">
        <f>+VLOOKUP(C3736,'Basic (equilibrio) (2)'!B:D,2,FALSE)</f>
        <v>n/a</v>
      </c>
      <c r="F3736" s="1054">
        <f>+VLOOKUP(C3736,'Basic (equilibrio) (2)'!B:D,3,FALSE)</f>
        <v>0</v>
      </c>
      <c r="G3736" s="946">
        <f>F3736-(F3736/1.18)</f>
        <v>0</v>
      </c>
      <c r="H3736" s="1039"/>
      <c r="I3736" s="955">
        <f>D3736*F3736</f>
        <v>0</v>
      </c>
    </row>
    <row r="3737" spans="3:9" ht="15.75">
      <c r="C3737" s="951" t="s">
        <v>918</v>
      </c>
      <c r="D3737" s="946"/>
      <c r="E3737" s="947"/>
      <c r="F3737" s="1054"/>
      <c r="G3737" s="946"/>
      <c r="H3737" s="1031"/>
      <c r="I3737" s="952">
        <f>SUM(I3736:I3736)</f>
        <v>0</v>
      </c>
    </row>
    <row r="3738" spans="3:9" ht="15.75">
      <c r="C3738" s="949"/>
      <c r="D3738" s="946"/>
      <c r="E3738" s="947"/>
      <c r="F3738" s="1054"/>
      <c r="G3738" s="946"/>
      <c r="H3738" s="1031"/>
      <c r="I3738" s="948"/>
    </row>
    <row r="3739" spans="3:9" ht="15.75">
      <c r="C3739" s="945" t="s">
        <v>925</v>
      </c>
      <c r="D3739" s="946"/>
      <c r="E3739" s="947"/>
      <c r="F3739" s="1054"/>
      <c r="G3739" s="946"/>
      <c r="H3739" s="1031"/>
      <c r="I3739" s="948"/>
    </row>
    <row r="3740" spans="3:9" ht="15.75">
      <c r="C3740" s="949" t="s">
        <v>924</v>
      </c>
      <c r="D3740" s="946"/>
      <c r="E3740" s="947" t="str">
        <f>+VLOOKUP(C3740,'Basic (equilibrio) (2)'!B:D,2,FALSE)</f>
        <v>n/a</v>
      </c>
      <c r="F3740" s="1054">
        <f>+VLOOKUP(C3740,'Basic (equilibrio) (2)'!B:D,3,FALSE)</f>
        <v>0</v>
      </c>
      <c r="G3740" s="946"/>
      <c r="H3740" s="1031"/>
      <c r="I3740" s="948">
        <f>D3740*F3740</f>
        <v>0</v>
      </c>
    </row>
    <row r="3741" spans="3:9" ht="15.75">
      <c r="C3741" s="951" t="s">
        <v>918</v>
      </c>
      <c r="D3741" s="946"/>
      <c r="E3741" s="947"/>
      <c r="F3741" s="1054"/>
      <c r="G3741" s="946"/>
      <c r="H3741" s="1031"/>
      <c r="I3741" s="952">
        <f>SUM(I3740)</f>
        <v>0</v>
      </c>
    </row>
    <row r="3742" spans="3:9" ht="15.75">
      <c r="C3742" s="951"/>
      <c r="D3742" s="946"/>
      <c r="E3742" s="947"/>
      <c r="F3742" s="1054"/>
      <c r="G3742" s="946"/>
      <c r="H3742" s="1031"/>
      <c r="I3742" s="952"/>
    </row>
    <row r="3743" spans="3:9" ht="15.75">
      <c r="C3743" s="956" t="s">
        <v>926</v>
      </c>
      <c r="D3743" s="957"/>
      <c r="E3743" s="958"/>
      <c r="F3743" s="1069"/>
      <c r="G3743" s="957"/>
      <c r="H3743" s="1032"/>
      <c r="I3743" s="959">
        <f>+I3729</f>
        <v>263.5</v>
      </c>
    </row>
    <row r="3744" spans="3:9" ht="15.75">
      <c r="C3744" s="956" t="s">
        <v>927</v>
      </c>
      <c r="D3744" s="957"/>
      <c r="E3744" s="958"/>
      <c r="F3744" s="1069"/>
      <c r="G3744" s="957"/>
      <c r="H3744" s="1032"/>
      <c r="I3744" s="959">
        <f>+I3733</f>
        <v>190</v>
      </c>
    </row>
    <row r="3745" spans="2:9" ht="15.75">
      <c r="C3745" s="956" t="s">
        <v>928</v>
      </c>
      <c r="D3745" s="957"/>
      <c r="E3745" s="958"/>
      <c r="F3745" s="1069"/>
      <c r="G3745" s="957"/>
      <c r="H3745" s="1032"/>
      <c r="I3745" s="959">
        <f>+I3737</f>
        <v>0</v>
      </c>
    </row>
    <row r="3746" spans="2:9" ht="15.75">
      <c r="C3746" s="956" t="s">
        <v>929</v>
      </c>
      <c r="D3746" s="957"/>
      <c r="E3746" s="958"/>
      <c r="F3746" s="1069"/>
      <c r="G3746" s="957"/>
      <c r="H3746" s="1032"/>
      <c r="I3746" s="959">
        <f>+I3741</f>
        <v>0</v>
      </c>
    </row>
    <row r="3747" spans="2:9" ht="15.75">
      <c r="C3747" s="949"/>
      <c r="D3747" s="946"/>
      <c r="E3747" s="947"/>
      <c r="F3747" s="1054"/>
      <c r="G3747" s="946"/>
      <c r="H3747" s="1031"/>
      <c r="I3747" s="948"/>
    </row>
    <row r="3748" spans="2:9" ht="15.75">
      <c r="C3748" s="951" t="s">
        <v>930</v>
      </c>
      <c r="D3748" s="960"/>
      <c r="E3748" s="943" t="str">
        <f>+E3723</f>
        <v>M2</v>
      </c>
      <c r="F3748" s="1070"/>
      <c r="G3748" s="960"/>
      <c r="H3748" s="1033"/>
      <c r="I3748" s="952">
        <f>SUM(I3743:I3746)</f>
        <v>453.5</v>
      </c>
    </row>
    <row r="3749" spans="2:9" ht="15.75">
      <c r="C3749" s="951"/>
      <c r="D3749" s="960"/>
      <c r="E3749" s="943"/>
      <c r="F3749" s="1070"/>
      <c r="G3749" s="960"/>
      <c r="H3749" s="1033"/>
      <c r="I3749" s="952"/>
    </row>
    <row r="3750" spans="2:9" ht="15.75">
      <c r="B3750" s="1026">
        <v>5.3</v>
      </c>
      <c r="C3750" s="937" t="str">
        <f>+Presupuesto!B230</f>
        <v xml:space="preserve">Pañete  pulido en asientos </v>
      </c>
      <c r="D3750" s="938"/>
      <c r="E3750" s="962" t="s">
        <v>20</v>
      </c>
      <c r="F3750" s="1066"/>
      <c r="G3750" s="938"/>
      <c r="H3750" s="1029"/>
      <c r="I3750" s="940">
        <f>I3776</f>
        <v>503.5</v>
      </c>
    </row>
    <row r="3751" spans="2:9" ht="15.75">
      <c r="C3751" s="941" t="s">
        <v>908</v>
      </c>
      <c r="D3751" s="942" t="s">
        <v>9</v>
      </c>
      <c r="E3751" s="943" t="s">
        <v>10</v>
      </c>
      <c r="F3751" s="1067" t="s">
        <v>909</v>
      </c>
      <c r="G3751" s="942" t="s">
        <v>910</v>
      </c>
      <c r="H3751" s="1030" t="s">
        <v>911</v>
      </c>
      <c r="I3751" s="944" t="s">
        <v>912</v>
      </c>
    </row>
    <row r="3752" spans="2:9" ht="15.75">
      <c r="C3752" s="945" t="s">
        <v>913</v>
      </c>
      <c r="D3752" s="946"/>
      <c r="E3752" s="947"/>
      <c r="F3752" s="1054"/>
      <c r="G3752" s="946"/>
      <c r="H3752" s="1031"/>
      <c r="I3752" s="948"/>
    </row>
    <row r="3753" spans="2:9" ht="15.75">
      <c r="C3753" s="949" t="s">
        <v>958</v>
      </c>
      <c r="D3753" s="946">
        <v>0.03</v>
      </c>
      <c r="E3753" s="947" t="str">
        <f>+VLOOKUP(C3753,'Basic (equilibrio) (2)'!B:D,2,FALSE)</f>
        <v>m3</v>
      </c>
      <c r="F3753" s="1068">
        <f>'Basic (equilibrio) (2)'!$D$309</f>
        <v>6820</v>
      </c>
      <c r="G3753" s="946">
        <f>F3753-(F3753/1.18)</f>
        <v>1040.3399999999999</v>
      </c>
      <c r="H3753" s="1031"/>
      <c r="I3753" s="948">
        <f>D3753*F3753</f>
        <v>204.6</v>
      </c>
    </row>
    <row r="3754" spans="2:9" ht="15.75">
      <c r="C3754" s="949" t="s">
        <v>1206</v>
      </c>
      <c r="D3754" s="946">
        <v>0.03</v>
      </c>
      <c r="E3754" s="947" t="str">
        <f>+VLOOKUP(C3754,'Basic (equilibrio) (2)'!B:D,2,FALSE)</f>
        <v>pt</v>
      </c>
      <c r="F3754" s="1068">
        <f>'Basic (equilibrio) (2)'!$D$310</f>
        <v>230</v>
      </c>
      <c r="G3754" s="946">
        <f>F3754-(F3754/1.18)</f>
        <v>35.08</v>
      </c>
      <c r="H3754" s="1031"/>
      <c r="I3754" s="948">
        <f>D3754*F3754</f>
        <v>6.9</v>
      </c>
    </row>
    <row r="3755" spans="2:9" ht="15.75">
      <c r="C3755" s="949" t="s">
        <v>1079</v>
      </c>
      <c r="D3755" s="946">
        <v>1</v>
      </c>
      <c r="E3755" s="947" t="str">
        <f>+VLOOKUP(C3755,'Basic (equilibrio) (2)'!B:D,2,FALSE)</f>
        <v>m2</v>
      </c>
      <c r="F3755" s="1068">
        <f>'Basic (equilibrio) (2)'!$D$31</f>
        <v>52</v>
      </c>
      <c r="G3755" s="946">
        <f>F3755-(F3755/1.18)</f>
        <v>7.93</v>
      </c>
      <c r="H3755" s="1031"/>
      <c r="I3755" s="948">
        <f>D3755*F3755</f>
        <v>52</v>
      </c>
    </row>
    <row r="3756" spans="2:9" ht="15.75">
      <c r="C3756" s="951" t="s">
        <v>918</v>
      </c>
      <c r="D3756" s="946"/>
      <c r="E3756" s="947"/>
      <c r="F3756" s="1068"/>
      <c r="G3756" s="946"/>
      <c r="H3756" s="1031"/>
      <c r="I3756" s="952">
        <f>SUM(I3753:I3755)</f>
        <v>263.5</v>
      </c>
    </row>
    <row r="3757" spans="2:9" ht="15.75">
      <c r="C3757" s="949"/>
      <c r="D3757" s="946"/>
      <c r="E3757" s="947"/>
      <c r="F3757" s="1068"/>
      <c r="G3757" s="946"/>
      <c r="H3757" s="1031"/>
      <c r="I3757" s="948"/>
    </row>
    <row r="3758" spans="2:9" ht="15.75">
      <c r="C3758" s="945" t="s">
        <v>919</v>
      </c>
      <c r="D3758" s="946"/>
      <c r="E3758" s="947"/>
      <c r="F3758" s="1068"/>
      <c r="G3758" s="946"/>
      <c r="H3758" s="1031"/>
      <c r="I3758" s="948"/>
    </row>
    <row r="3759" spans="2:9" ht="15.75">
      <c r="C3759" s="949" t="s">
        <v>1078</v>
      </c>
      <c r="D3759" s="953">
        <v>1</v>
      </c>
      <c r="E3759" s="954" t="str">
        <f>+VLOOKUP(C3759,'Basic (equilibrio) (2)'!B:D,2,FALSE)</f>
        <v>m2</v>
      </c>
      <c r="F3759" s="1068">
        <f>'Basic (equilibrio) (2)'!$D$30</f>
        <v>190</v>
      </c>
      <c r="G3759" s="946">
        <v>0</v>
      </c>
      <c r="H3759" s="1031"/>
      <c r="I3759" s="948">
        <f>(D3759*F3759)</f>
        <v>190</v>
      </c>
    </row>
    <row r="3760" spans="2:9" ht="15.75">
      <c r="C3760" s="949" t="s">
        <v>1555</v>
      </c>
      <c r="D3760" s="953">
        <v>1</v>
      </c>
      <c r="E3760" s="954" t="str">
        <f>+VLOOKUP(C3760,'Basic (equilibrio) (2)'!B:D,2,FALSE)</f>
        <v>m2</v>
      </c>
      <c r="F3760" s="1068">
        <f>'Basic (equilibrio) (2)'!$D$54</f>
        <v>50</v>
      </c>
      <c r="G3760" s="946">
        <v>0</v>
      </c>
      <c r="H3760" s="1031"/>
      <c r="I3760" s="948">
        <f>(D3760*F3760)</f>
        <v>50</v>
      </c>
    </row>
    <row r="3761" spans="3:9" ht="15.75">
      <c r="C3761" s="951" t="s">
        <v>918</v>
      </c>
      <c r="D3761" s="946"/>
      <c r="E3761" s="947"/>
      <c r="F3761" s="1054"/>
      <c r="G3761" s="946"/>
      <c r="H3761" s="1031"/>
      <c r="I3761" s="952">
        <f>SUM(I3759:I3760)</f>
        <v>240</v>
      </c>
    </row>
    <row r="3762" spans="3:9" ht="15.75">
      <c r="C3762" s="949"/>
      <c r="D3762" s="946"/>
      <c r="E3762" s="947"/>
      <c r="F3762" s="1054"/>
      <c r="G3762" s="946"/>
      <c r="H3762" s="1031"/>
      <c r="I3762" s="948"/>
    </row>
    <row r="3763" spans="3:9" ht="15.75">
      <c r="C3763" s="945" t="s">
        <v>923</v>
      </c>
      <c r="D3763" s="946"/>
      <c r="E3763" s="947"/>
      <c r="F3763" s="1054"/>
      <c r="G3763" s="946"/>
      <c r="H3763" s="1031"/>
      <c r="I3763" s="948"/>
    </row>
    <row r="3764" spans="3:9" ht="15.75">
      <c r="C3764" s="949" t="s">
        <v>924</v>
      </c>
      <c r="D3764" s="946"/>
      <c r="E3764" s="947" t="str">
        <f>+VLOOKUP(C3764,'Basic (equilibrio) (2)'!B:D,2,FALSE)</f>
        <v>n/a</v>
      </c>
      <c r="F3764" s="1054">
        <f>+VLOOKUP(C3764,'Basic (equilibrio) (2)'!B:D,3,FALSE)</f>
        <v>0</v>
      </c>
      <c r="G3764" s="946">
        <f>F3764-(F3764/1.18)</f>
        <v>0</v>
      </c>
      <c r="H3764" s="1039"/>
      <c r="I3764" s="955">
        <f>D3764*F3764</f>
        <v>0</v>
      </c>
    </row>
    <row r="3765" spans="3:9" ht="15.75">
      <c r="C3765" s="951" t="s">
        <v>918</v>
      </c>
      <c r="D3765" s="946"/>
      <c r="E3765" s="947"/>
      <c r="F3765" s="1054"/>
      <c r="G3765" s="946"/>
      <c r="H3765" s="1031"/>
      <c r="I3765" s="952">
        <f>SUM(I3764:I3764)</f>
        <v>0</v>
      </c>
    </row>
    <row r="3766" spans="3:9" ht="15.75">
      <c r="C3766" s="949"/>
      <c r="D3766" s="946"/>
      <c r="E3766" s="947"/>
      <c r="F3766" s="1054"/>
      <c r="G3766" s="946"/>
      <c r="H3766" s="1031"/>
      <c r="I3766" s="948"/>
    </row>
    <row r="3767" spans="3:9" ht="15.75">
      <c r="C3767" s="945" t="s">
        <v>925</v>
      </c>
      <c r="D3767" s="946"/>
      <c r="E3767" s="947"/>
      <c r="F3767" s="1054"/>
      <c r="G3767" s="946"/>
      <c r="H3767" s="1031"/>
      <c r="I3767" s="948"/>
    </row>
    <row r="3768" spans="3:9" ht="15.75">
      <c r="C3768" s="949" t="s">
        <v>924</v>
      </c>
      <c r="D3768" s="946"/>
      <c r="E3768" s="947" t="str">
        <f>+VLOOKUP(C3768,'Basic (equilibrio) (2)'!B:D,2,FALSE)</f>
        <v>n/a</v>
      </c>
      <c r="F3768" s="1054">
        <f>+VLOOKUP(C3768,'Basic (equilibrio) (2)'!B:D,3,FALSE)</f>
        <v>0</v>
      </c>
      <c r="G3768" s="946"/>
      <c r="H3768" s="1031"/>
      <c r="I3768" s="948">
        <f>D3768*F3768</f>
        <v>0</v>
      </c>
    </row>
    <row r="3769" spans="3:9" ht="15.75">
      <c r="C3769" s="951" t="s">
        <v>918</v>
      </c>
      <c r="D3769" s="946"/>
      <c r="E3769" s="947"/>
      <c r="F3769" s="1054"/>
      <c r="G3769" s="946"/>
      <c r="H3769" s="1031"/>
      <c r="I3769" s="952">
        <f>SUM(I3768)</f>
        <v>0</v>
      </c>
    </row>
    <row r="3770" spans="3:9" ht="15.75">
      <c r="C3770" s="951"/>
      <c r="D3770" s="946"/>
      <c r="E3770" s="947"/>
      <c r="F3770" s="1054"/>
      <c r="G3770" s="946"/>
      <c r="H3770" s="1031"/>
      <c r="I3770" s="952"/>
    </row>
    <row r="3771" spans="3:9" ht="15.75">
      <c r="C3771" s="956" t="s">
        <v>926</v>
      </c>
      <c r="D3771" s="957"/>
      <c r="E3771" s="958"/>
      <c r="F3771" s="1069"/>
      <c r="G3771" s="957"/>
      <c r="H3771" s="1032"/>
      <c r="I3771" s="959">
        <f>+I3756</f>
        <v>263.5</v>
      </c>
    </row>
    <row r="3772" spans="3:9" ht="15.75">
      <c r="C3772" s="956" t="s">
        <v>927</v>
      </c>
      <c r="D3772" s="957"/>
      <c r="E3772" s="958"/>
      <c r="F3772" s="1069"/>
      <c r="G3772" s="957"/>
      <c r="H3772" s="1032"/>
      <c r="I3772" s="959">
        <f>+I3761</f>
        <v>240</v>
      </c>
    </row>
    <row r="3773" spans="3:9" ht="15.75">
      <c r="C3773" s="956" t="s">
        <v>928</v>
      </c>
      <c r="D3773" s="957"/>
      <c r="E3773" s="958"/>
      <c r="F3773" s="1069"/>
      <c r="G3773" s="957"/>
      <c r="H3773" s="1032"/>
      <c r="I3773" s="959">
        <f>+I3765</f>
        <v>0</v>
      </c>
    </row>
    <row r="3774" spans="3:9" ht="15.75">
      <c r="C3774" s="956" t="s">
        <v>929</v>
      </c>
      <c r="D3774" s="957"/>
      <c r="E3774" s="958"/>
      <c r="F3774" s="1069"/>
      <c r="G3774" s="957"/>
      <c r="H3774" s="1032"/>
      <c r="I3774" s="959">
        <f>+I3769</f>
        <v>0</v>
      </c>
    </row>
    <row r="3775" spans="3:9" ht="15.75">
      <c r="C3775" s="949"/>
      <c r="D3775" s="946"/>
      <c r="E3775" s="947"/>
      <c r="F3775" s="1054"/>
      <c r="G3775" s="946"/>
      <c r="H3775" s="1031"/>
      <c r="I3775" s="948"/>
    </row>
    <row r="3776" spans="3:9" ht="15.75">
      <c r="C3776" s="951" t="s">
        <v>930</v>
      </c>
      <c r="D3776" s="960"/>
      <c r="E3776" s="943" t="str">
        <f>+E3750</f>
        <v>M2</v>
      </c>
      <c r="F3776" s="1070"/>
      <c r="G3776" s="960"/>
      <c r="H3776" s="1033"/>
      <c r="I3776" s="952">
        <f>SUM(I3771:I3774)</f>
        <v>503.5</v>
      </c>
    </row>
    <row r="3777" spans="2:9" ht="15.75">
      <c r="C3777" s="951"/>
      <c r="D3777" s="960"/>
      <c r="E3777" s="943"/>
      <c r="F3777" s="1070"/>
      <c r="G3777" s="960"/>
      <c r="H3777" s="1033"/>
      <c r="I3777" s="952"/>
    </row>
    <row r="3778" spans="2:9" ht="15.75">
      <c r="B3778" s="1026">
        <v>5.4</v>
      </c>
      <c r="C3778" s="937" t="str">
        <f>+Presupuesto!B231</f>
        <v>Fraguache</v>
      </c>
      <c r="D3778" s="938"/>
      <c r="E3778" s="962" t="s">
        <v>20</v>
      </c>
      <c r="F3778" s="1066"/>
      <c r="G3778" s="938"/>
      <c r="H3778" s="1029"/>
      <c r="I3778" s="940">
        <f>I3802</f>
        <v>101.1</v>
      </c>
    </row>
    <row r="3779" spans="2:9" ht="15.75">
      <c r="C3779" s="941" t="s">
        <v>908</v>
      </c>
      <c r="D3779" s="942" t="s">
        <v>9</v>
      </c>
      <c r="E3779" s="943" t="s">
        <v>10</v>
      </c>
      <c r="F3779" s="1067" t="s">
        <v>909</v>
      </c>
      <c r="G3779" s="942" t="s">
        <v>910</v>
      </c>
      <c r="H3779" s="1030" t="s">
        <v>911</v>
      </c>
      <c r="I3779" s="944" t="s">
        <v>912</v>
      </c>
    </row>
    <row r="3780" spans="2:9" ht="15.75">
      <c r="C3780" s="945" t="s">
        <v>913</v>
      </c>
      <c r="D3780" s="946"/>
      <c r="E3780" s="947"/>
      <c r="F3780" s="1054"/>
      <c r="G3780" s="946"/>
      <c r="H3780" s="1031"/>
      <c r="I3780" s="948"/>
    </row>
    <row r="3781" spans="2:9" ht="15.75">
      <c r="C3781" s="949" t="s">
        <v>958</v>
      </c>
      <c r="D3781" s="946">
        <v>0.01</v>
      </c>
      <c r="E3781" s="947" t="str">
        <f>+VLOOKUP(C3781,'Basic (equilibrio) (2)'!B:D,2,FALSE)</f>
        <v>m3</v>
      </c>
      <c r="F3781" s="1068">
        <f>'Basic (equilibrio) (2)'!$D$309</f>
        <v>6820</v>
      </c>
      <c r="G3781" s="946">
        <f>F3781-(F3781/1.18)</f>
        <v>1040.3399999999999</v>
      </c>
      <c r="H3781" s="1031"/>
      <c r="I3781" s="948">
        <f>D3781*F3781</f>
        <v>68.2</v>
      </c>
    </row>
    <row r="3782" spans="2:9" ht="15.75">
      <c r="C3782" s="949" t="s">
        <v>1206</v>
      </c>
      <c r="D3782" s="946">
        <v>0.03</v>
      </c>
      <c r="E3782" s="947" t="str">
        <f>+VLOOKUP(C3782,'Basic (equilibrio) (2)'!B:D,2,FALSE)</f>
        <v>pt</v>
      </c>
      <c r="F3782" s="1068">
        <f>'Basic (equilibrio) (2)'!$D$310</f>
        <v>230</v>
      </c>
      <c r="G3782" s="946">
        <f>F3782-(F3782/1.18)</f>
        <v>35.08</v>
      </c>
      <c r="H3782" s="1031"/>
      <c r="I3782" s="948">
        <f>D3782*F3782</f>
        <v>6.9</v>
      </c>
    </row>
    <row r="3783" spans="2:9" ht="15.75">
      <c r="C3783" s="951" t="s">
        <v>918</v>
      </c>
      <c r="D3783" s="946"/>
      <c r="E3783" s="947"/>
      <c r="F3783" s="1068"/>
      <c r="G3783" s="946"/>
      <c r="H3783" s="1031"/>
      <c r="I3783" s="952">
        <f>SUM(I3781:I3782)</f>
        <v>75.099999999999994</v>
      </c>
    </row>
    <row r="3784" spans="2:9" ht="15.75">
      <c r="C3784" s="949"/>
      <c r="D3784" s="946"/>
      <c r="E3784" s="947"/>
      <c r="F3784" s="1068"/>
      <c r="G3784" s="946"/>
      <c r="H3784" s="1031"/>
      <c r="I3784" s="948"/>
    </row>
    <row r="3785" spans="2:9" ht="15.75">
      <c r="C3785" s="945" t="s">
        <v>919</v>
      </c>
      <c r="D3785" s="946"/>
      <c r="E3785" s="947"/>
      <c r="F3785" s="1068"/>
      <c r="G3785" s="946"/>
      <c r="H3785" s="1031"/>
      <c r="I3785" s="948"/>
    </row>
    <row r="3786" spans="2:9" ht="15.75">
      <c r="C3786" s="949" t="s">
        <v>1080</v>
      </c>
      <c r="D3786" s="953">
        <v>1</v>
      </c>
      <c r="E3786" s="954" t="str">
        <f>+VLOOKUP(C3786,'Basic (equilibrio) (2)'!B:D,2,FALSE)</f>
        <v>m2</v>
      </c>
      <c r="F3786" s="1068">
        <f>'Basic (equilibrio) (2)'!$D$32</f>
        <v>26</v>
      </c>
      <c r="G3786" s="946">
        <v>0</v>
      </c>
      <c r="H3786" s="1031"/>
      <c r="I3786" s="948">
        <f>(D3786*F3786)</f>
        <v>26</v>
      </c>
    </row>
    <row r="3787" spans="2:9" ht="15.75">
      <c r="C3787" s="951" t="s">
        <v>918</v>
      </c>
      <c r="D3787" s="946"/>
      <c r="E3787" s="947"/>
      <c r="F3787" s="1054"/>
      <c r="G3787" s="946"/>
      <c r="H3787" s="1031"/>
      <c r="I3787" s="952">
        <f>SUM(I3786:I3786)</f>
        <v>26</v>
      </c>
    </row>
    <row r="3788" spans="2:9" ht="15.75">
      <c r="C3788" s="949"/>
      <c r="D3788" s="946"/>
      <c r="E3788" s="947"/>
      <c r="F3788" s="1054"/>
      <c r="G3788" s="946"/>
      <c r="H3788" s="1031"/>
      <c r="I3788" s="948"/>
    </row>
    <row r="3789" spans="2:9" ht="15.75">
      <c r="C3789" s="945" t="s">
        <v>923</v>
      </c>
      <c r="D3789" s="946"/>
      <c r="E3789" s="947"/>
      <c r="F3789" s="1054"/>
      <c r="G3789" s="946"/>
      <c r="H3789" s="1031"/>
      <c r="I3789" s="948"/>
    </row>
    <row r="3790" spans="2:9" ht="15.75">
      <c r="C3790" s="949" t="s">
        <v>924</v>
      </c>
      <c r="D3790" s="946"/>
      <c r="E3790" s="947" t="str">
        <f>+VLOOKUP(C3790,'Basic (equilibrio) (2)'!B:D,2,FALSE)</f>
        <v>n/a</v>
      </c>
      <c r="F3790" s="1054">
        <f>+VLOOKUP(C3790,'Basic (equilibrio) (2)'!B:D,3,FALSE)</f>
        <v>0</v>
      </c>
      <c r="G3790" s="946">
        <f>F3790-(F3790/1.18)</f>
        <v>0</v>
      </c>
      <c r="H3790" s="1039"/>
      <c r="I3790" s="955">
        <f>D3790*F3790</f>
        <v>0</v>
      </c>
    </row>
    <row r="3791" spans="2:9" ht="15.75">
      <c r="C3791" s="951" t="s">
        <v>918</v>
      </c>
      <c r="D3791" s="946"/>
      <c r="E3791" s="947"/>
      <c r="F3791" s="1054"/>
      <c r="G3791" s="946"/>
      <c r="H3791" s="1031"/>
      <c r="I3791" s="952">
        <f>SUM(I3790:I3790)</f>
        <v>0</v>
      </c>
    </row>
    <row r="3792" spans="2:9" ht="15.75">
      <c r="C3792" s="949"/>
      <c r="D3792" s="946"/>
      <c r="E3792" s="947"/>
      <c r="F3792" s="1054"/>
      <c r="G3792" s="946"/>
      <c r="H3792" s="1031"/>
      <c r="I3792" s="948"/>
    </row>
    <row r="3793" spans="2:9" ht="15.75">
      <c r="C3793" s="945" t="s">
        <v>925</v>
      </c>
      <c r="D3793" s="946"/>
      <c r="E3793" s="947"/>
      <c r="F3793" s="1054"/>
      <c r="G3793" s="946"/>
      <c r="H3793" s="1031"/>
      <c r="I3793" s="948"/>
    </row>
    <row r="3794" spans="2:9" ht="15.75">
      <c r="C3794" s="949" t="s">
        <v>924</v>
      </c>
      <c r="D3794" s="946"/>
      <c r="E3794" s="947" t="str">
        <f>+VLOOKUP(C3794,'Basic (equilibrio) (2)'!B:D,2,FALSE)</f>
        <v>n/a</v>
      </c>
      <c r="F3794" s="1054">
        <f>+VLOOKUP(C3794,'Basic (equilibrio) (2)'!B:D,3,FALSE)</f>
        <v>0</v>
      </c>
      <c r="G3794" s="946"/>
      <c r="H3794" s="1031"/>
      <c r="I3794" s="948">
        <f>D3794*F3794</f>
        <v>0</v>
      </c>
    </row>
    <row r="3795" spans="2:9" ht="15.75">
      <c r="C3795" s="951" t="s">
        <v>918</v>
      </c>
      <c r="D3795" s="946"/>
      <c r="E3795" s="947"/>
      <c r="F3795" s="1054"/>
      <c r="G3795" s="946"/>
      <c r="H3795" s="1031"/>
      <c r="I3795" s="952">
        <f>SUM(I3794)</f>
        <v>0</v>
      </c>
    </row>
    <row r="3796" spans="2:9" ht="15.75">
      <c r="C3796" s="951"/>
      <c r="D3796" s="946"/>
      <c r="E3796" s="947"/>
      <c r="F3796" s="1054"/>
      <c r="G3796" s="946"/>
      <c r="H3796" s="1031"/>
      <c r="I3796" s="952"/>
    </row>
    <row r="3797" spans="2:9" ht="15.75">
      <c r="C3797" s="956" t="s">
        <v>926</v>
      </c>
      <c r="D3797" s="957"/>
      <c r="E3797" s="958"/>
      <c r="F3797" s="1069"/>
      <c r="G3797" s="957"/>
      <c r="H3797" s="1032"/>
      <c r="I3797" s="959">
        <f>+I3783</f>
        <v>75.099999999999994</v>
      </c>
    </row>
    <row r="3798" spans="2:9" ht="15.75">
      <c r="C3798" s="956" t="s">
        <v>927</v>
      </c>
      <c r="D3798" s="957"/>
      <c r="E3798" s="958"/>
      <c r="F3798" s="1069"/>
      <c r="G3798" s="957"/>
      <c r="H3798" s="1032"/>
      <c r="I3798" s="959">
        <f>+I3787</f>
        <v>26</v>
      </c>
    </row>
    <row r="3799" spans="2:9" ht="15.75">
      <c r="C3799" s="956" t="s">
        <v>928</v>
      </c>
      <c r="D3799" s="957"/>
      <c r="E3799" s="958"/>
      <c r="F3799" s="1069"/>
      <c r="G3799" s="957"/>
      <c r="H3799" s="1032"/>
      <c r="I3799" s="959">
        <f>+I3791</f>
        <v>0</v>
      </c>
    </row>
    <row r="3800" spans="2:9" ht="15.75">
      <c r="C3800" s="956" t="s">
        <v>929</v>
      </c>
      <c r="D3800" s="957"/>
      <c r="E3800" s="958"/>
      <c r="F3800" s="1069"/>
      <c r="G3800" s="957"/>
      <c r="H3800" s="1032"/>
      <c r="I3800" s="959">
        <f>+I3795</f>
        <v>0</v>
      </c>
    </row>
    <row r="3801" spans="2:9" ht="15.75">
      <c r="C3801" s="949"/>
      <c r="D3801" s="946"/>
      <c r="E3801" s="947"/>
      <c r="F3801" s="1054"/>
      <c r="G3801" s="946"/>
      <c r="H3801" s="1031"/>
      <c r="I3801" s="948"/>
    </row>
    <row r="3802" spans="2:9" ht="15.75">
      <c r="C3802" s="951" t="s">
        <v>930</v>
      </c>
      <c r="D3802" s="960"/>
      <c r="E3802" s="943" t="str">
        <f>+E3778</f>
        <v>M2</v>
      </c>
      <c r="F3802" s="1070"/>
      <c r="G3802" s="960"/>
      <c r="H3802" s="1033"/>
      <c r="I3802" s="952">
        <f>SUM(I3797:I3800)</f>
        <v>101.1</v>
      </c>
    </row>
    <row r="3803" spans="2:9" ht="15.75">
      <c r="C3803" s="951"/>
      <c r="D3803" s="960"/>
      <c r="E3803" s="943"/>
      <c r="F3803" s="1070"/>
      <c r="G3803" s="960"/>
      <c r="H3803" s="1033"/>
      <c r="I3803" s="952"/>
    </row>
    <row r="3804" spans="2:9" ht="15.75">
      <c r="C3804" s="951"/>
      <c r="D3804" s="960"/>
      <c r="E3804" s="943"/>
      <c r="F3804" s="1070"/>
      <c r="G3804" s="960"/>
      <c r="H3804" s="1033"/>
      <c r="I3804" s="952"/>
    </row>
    <row r="3805" spans="2:9" ht="15.75">
      <c r="B3805" s="1026">
        <v>5.5</v>
      </c>
      <c r="C3805" s="937" t="str">
        <f>+Presupuesto!B232</f>
        <v>Cantos</v>
      </c>
      <c r="D3805" s="938"/>
      <c r="E3805" s="962" t="s">
        <v>15</v>
      </c>
      <c r="F3805" s="1066"/>
      <c r="G3805" s="938"/>
      <c r="H3805" s="1029"/>
      <c r="I3805" s="940">
        <f>I3829</f>
        <v>158.5</v>
      </c>
    </row>
    <row r="3806" spans="2:9" ht="15.75">
      <c r="C3806" s="941" t="s">
        <v>908</v>
      </c>
      <c r="D3806" s="942" t="s">
        <v>9</v>
      </c>
      <c r="E3806" s="943" t="s">
        <v>10</v>
      </c>
      <c r="F3806" s="1067" t="s">
        <v>909</v>
      </c>
      <c r="G3806" s="942" t="s">
        <v>910</v>
      </c>
      <c r="H3806" s="1030" t="s">
        <v>911</v>
      </c>
      <c r="I3806" s="944" t="s">
        <v>912</v>
      </c>
    </row>
    <row r="3807" spans="2:9" ht="15.75">
      <c r="C3807" s="945" t="s">
        <v>913</v>
      </c>
      <c r="D3807" s="946"/>
      <c r="E3807" s="947"/>
      <c r="F3807" s="1054"/>
      <c r="G3807" s="946"/>
      <c r="H3807" s="1031"/>
      <c r="I3807" s="948"/>
    </row>
    <row r="3808" spans="2:9" ht="15.75">
      <c r="C3808" s="949" t="s">
        <v>958</v>
      </c>
      <c r="D3808" s="946">
        <v>0.01</v>
      </c>
      <c r="E3808" s="947" t="str">
        <f>+VLOOKUP(C3808,'Basic (equilibrio) (2)'!B:D,2,FALSE)</f>
        <v>m3</v>
      </c>
      <c r="F3808" s="1068">
        <f>'Basic (equilibrio) (2)'!$D$309</f>
        <v>6820</v>
      </c>
      <c r="G3808" s="946">
        <f>F3808-(F3808/1.18)</f>
        <v>1040.3399999999999</v>
      </c>
      <c r="H3808" s="1031"/>
      <c r="I3808" s="948">
        <f>D3808*F3808</f>
        <v>68.2</v>
      </c>
    </row>
    <row r="3809" spans="3:9" ht="15.75">
      <c r="C3809" s="949" t="s">
        <v>1206</v>
      </c>
      <c r="D3809" s="946">
        <v>0.11</v>
      </c>
      <c r="E3809" s="947" t="str">
        <f>+VLOOKUP(C3809,'Basic (equilibrio) (2)'!B:D,2,FALSE)</f>
        <v>pt</v>
      </c>
      <c r="F3809" s="1068">
        <f>'Basic (equilibrio) (2)'!$D$310</f>
        <v>230</v>
      </c>
      <c r="G3809" s="946">
        <f>F3809-(F3809/1.18)</f>
        <v>35.08</v>
      </c>
      <c r="H3809" s="1031"/>
      <c r="I3809" s="948">
        <f>D3809*F3809</f>
        <v>25.3</v>
      </c>
    </row>
    <row r="3810" spans="3:9" ht="15.75">
      <c r="C3810" s="951" t="s">
        <v>918</v>
      </c>
      <c r="D3810" s="946"/>
      <c r="E3810" s="947"/>
      <c r="F3810" s="1068"/>
      <c r="G3810" s="946"/>
      <c r="H3810" s="1031"/>
      <c r="I3810" s="952">
        <f>SUM(I3808:I3809)</f>
        <v>93.5</v>
      </c>
    </row>
    <row r="3811" spans="3:9" ht="15.75">
      <c r="C3811" s="949"/>
      <c r="D3811" s="946"/>
      <c r="E3811" s="947"/>
      <c r="F3811" s="1068"/>
      <c r="G3811" s="946"/>
      <c r="H3811" s="1031"/>
      <c r="I3811" s="948"/>
    </row>
    <row r="3812" spans="3:9" ht="15.75">
      <c r="C3812" s="945" t="s">
        <v>919</v>
      </c>
      <c r="D3812" s="946"/>
      <c r="E3812" s="947"/>
      <c r="F3812" s="1068"/>
      <c r="G3812" s="946"/>
      <c r="H3812" s="1031"/>
      <c r="I3812" s="948"/>
    </row>
    <row r="3813" spans="3:9" ht="15.75">
      <c r="C3813" s="949" t="s">
        <v>1081</v>
      </c>
      <c r="D3813" s="953">
        <v>1</v>
      </c>
      <c r="E3813" s="954" t="str">
        <f>+VLOOKUP(C3813,'Basic (equilibrio) (2)'!B:D,2,FALSE)</f>
        <v>ml</v>
      </c>
      <c r="F3813" s="1068">
        <f>'Basic (equilibrio) (2)'!$D$33</f>
        <v>65</v>
      </c>
      <c r="G3813" s="946">
        <v>0</v>
      </c>
      <c r="H3813" s="1031"/>
      <c r="I3813" s="948">
        <f>(D3813*F3813)</f>
        <v>65</v>
      </c>
    </row>
    <row r="3814" spans="3:9" ht="15.75">
      <c r="C3814" s="951" t="s">
        <v>918</v>
      </c>
      <c r="D3814" s="946"/>
      <c r="E3814" s="947"/>
      <c r="F3814" s="1054"/>
      <c r="G3814" s="946"/>
      <c r="H3814" s="1031"/>
      <c r="I3814" s="952">
        <f>SUM(I3813:I3813)</f>
        <v>65</v>
      </c>
    </row>
    <row r="3815" spans="3:9" ht="15.75">
      <c r="C3815" s="949"/>
      <c r="D3815" s="946"/>
      <c r="E3815" s="947"/>
      <c r="F3815" s="1054"/>
      <c r="G3815" s="946"/>
      <c r="H3815" s="1031"/>
      <c r="I3815" s="948"/>
    </row>
    <row r="3816" spans="3:9" ht="15.75">
      <c r="C3816" s="945" t="s">
        <v>923</v>
      </c>
      <c r="D3816" s="946"/>
      <c r="E3816" s="947"/>
      <c r="F3816" s="1054"/>
      <c r="G3816" s="946"/>
      <c r="H3816" s="1031"/>
      <c r="I3816" s="948"/>
    </row>
    <row r="3817" spans="3:9" ht="15.75">
      <c r="C3817" s="949" t="s">
        <v>924</v>
      </c>
      <c r="D3817" s="946"/>
      <c r="E3817" s="947" t="str">
        <f>+VLOOKUP(C3817,'Basic (equilibrio) (2)'!B:D,2,FALSE)</f>
        <v>n/a</v>
      </c>
      <c r="F3817" s="1054">
        <f>+VLOOKUP(C3817,'Basic (equilibrio) (2)'!B:D,3,FALSE)</f>
        <v>0</v>
      </c>
      <c r="G3817" s="946">
        <f>F3817-(F3817/1.18)</f>
        <v>0</v>
      </c>
      <c r="H3817" s="1039"/>
      <c r="I3817" s="955">
        <f>D3817*F3817</f>
        <v>0</v>
      </c>
    </row>
    <row r="3818" spans="3:9" ht="15.75">
      <c r="C3818" s="951" t="s">
        <v>918</v>
      </c>
      <c r="D3818" s="946"/>
      <c r="E3818" s="947"/>
      <c r="F3818" s="1054"/>
      <c r="G3818" s="946"/>
      <c r="H3818" s="1031"/>
      <c r="I3818" s="952">
        <f>SUM(I3817:I3817)</f>
        <v>0</v>
      </c>
    </row>
    <row r="3819" spans="3:9" ht="15.75">
      <c r="C3819" s="949"/>
      <c r="D3819" s="946"/>
      <c r="E3819" s="947"/>
      <c r="F3819" s="1054"/>
      <c r="G3819" s="946"/>
      <c r="H3819" s="1031"/>
      <c r="I3819" s="948"/>
    </row>
    <row r="3820" spans="3:9" ht="15.75">
      <c r="C3820" s="945" t="s">
        <v>925</v>
      </c>
      <c r="D3820" s="946"/>
      <c r="E3820" s="947"/>
      <c r="F3820" s="1054"/>
      <c r="G3820" s="946"/>
      <c r="H3820" s="1031"/>
      <c r="I3820" s="948"/>
    </row>
    <row r="3821" spans="3:9" ht="15.75">
      <c r="C3821" s="949" t="s">
        <v>924</v>
      </c>
      <c r="D3821" s="946"/>
      <c r="E3821" s="947" t="str">
        <f>+VLOOKUP(C3821,'Basic (equilibrio) (2)'!B:D,2,FALSE)</f>
        <v>n/a</v>
      </c>
      <c r="F3821" s="1054">
        <f>+VLOOKUP(C3821,'Basic (equilibrio) (2)'!B:D,3,FALSE)</f>
        <v>0</v>
      </c>
      <c r="G3821" s="946"/>
      <c r="H3821" s="1031"/>
      <c r="I3821" s="948">
        <f>D3821*F3821</f>
        <v>0</v>
      </c>
    </row>
    <row r="3822" spans="3:9" ht="15.75">
      <c r="C3822" s="951" t="s">
        <v>918</v>
      </c>
      <c r="D3822" s="946"/>
      <c r="E3822" s="947"/>
      <c r="F3822" s="1054"/>
      <c r="G3822" s="946"/>
      <c r="H3822" s="1031"/>
      <c r="I3822" s="952">
        <f>SUM(I3821)</f>
        <v>0</v>
      </c>
    </row>
    <row r="3823" spans="3:9" ht="15.75">
      <c r="C3823" s="951"/>
      <c r="D3823" s="946"/>
      <c r="E3823" s="947"/>
      <c r="F3823" s="1054"/>
      <c r="G3823" s="946"/>
      <c r="H3823" s="1031"/>
      <c r="I3823" s="952"/>
    </row>
    <row r="3824" spans="3:9" ht="15.75">
      <c r="C3824" s="956" t="s">
        <v>926</v>
      </c>
      <c r="D3824" s="957"/>
      <c r="E3824" s="958"/>
      <c r="F3824" s="1069"/>
      <c r="G3824" s="957"/>
      <c r="H3824" s="1032"/>
      <c r="I3824" s="959">
        <f>+I3810</f>
        <v>93.5</v>
      </c>
    </row>
    <row r="3825" spans="2:9" ht="15.75">
      <c r="C3825" s="956" t="s">
        <v>927</v>
      </c>
      <c r="D3825" s="957"/>
      <c r="E3825" s="958"/>
      <c r="F3825" s="1069"/>
      <c r="G3825" s="957"/>
      <c r="H3825" s="1032"/>
      <c r="I3825" s="959">
        <f>+I3814</f>
        <v>65</v>
      </c>
    </row>
    <row r="3826" spans="2:9" ht="15.75">
      <c r="C3826" s="956" t="s">
        <v>928</v>
      </c>
      <c r="D3826" s="957"/>
      <c r="E3826" s="958"/>
      <c r="F3826" s="1069"/>
      <c r="G3826" s="957"/>
      <c r="H3826" s="1032"/>
      <c r="I3826" s="959">
        <f>+I3818</f>
        <v>0</v>
      </c>
    </row>
    <row r="3827" spans="2:9" ht="15.75">
      <c r="C3827" s="956" t="s">
        <v>929</v>
      </c>
      <c r="D3827" s="957"/>
      <c r="E3827" s="958"/>
      <c r="F3827" s="1069"/>
      <c r="G3827" s="957"/>
      <c r="H3827" s="1032"/>
      <c r="I3827" s="959">
        <f>+I3822</f>
        <v>0</v>
      </c>
    </row>
    <row r="3828" spans="2:9" ht="15.75">
      <c r="C3828" s="949"/>
      <c r="D3828" s="946"/>
      <c r="E3828" s="947"/>
      <c r="F3828" s="1054"/>
      <c r="G3828" s="946"/>
      <c r="H3828" s="1031"/>
      <c r="I3828" s="948"/>
    </row>
    <row r="3829" spans="2:9" ht="15.75">
      <c r="C3829" s="951" t="s">
        <v>930</v>
      </c>
      <c r="D3829" s="960"/>
      <c r="E3829" s="943" t="str">
        <f>+E3805</f>
        <v>M</v>
      </c>
      <c r="F3829" s="1070"/>
      <c r="G3829" s="960"/>
      <c r="H3829" s="1033"/>
      <c r="I3829" s="952">
        <f>SUM(I3824:I3827)</f>
        <v>158.5</v>
      </c>
    </row>
    <row r="3830" spans="2:9" ht="15.75">
      <c r="C3830" s="951"/>
      <c r="D3830" s="960"/>
      <c r="E3830" s="943"/>
      <c r="F3830" s="1070"/>
      <c r="G3830" s="960"/>
      <c r="H3830" s="1033"/>
      <c r="I3830" s="952"/>
    </row>
    <row r="3831" spans="2:9" ht="15.75">
      <c r="B3831" s="1026">
        <v>6.1</v>
      </c>
      <c r="C3831" s="937" t="str">
        <f>+Presupuesto!B235</f>
        <v>Pintura de base en muros</v>
      </c>
      <c r="D3831" s="938"/>
      <c r="E3831" s="962" t="s">
        <v>20</v>
      </c>
      <c r="F3831" s="1066"/>
      <c r="G3831" s="938"/>
      <c r="H3831" s="1029"/>
      <c r="I3831" s="940">
        <f>+I3856</f>
        <v>168.48</v>
      </c>
    </row>
    <row r="3832" spans="2:9" ht="15.75">
      <c r="C3832" s="941" t="s">
        <v>908</v>
      </c>
      <c r="D3832" s="942" t="s">
        <v>9</v>
      </c>
      <c r="E3832" s="943" t="s">
        <v>10</v>
      </c>
      <c r="F3832" s="1067" t="s">
        <v>909</v>
      </c>
      <c r="G3832" s="942" t="s">
        <v>910</v>
      </c>
      <c r="H3832" s="1030" t="s">
        <v>911</v>
      </c>
      <c r="I3832" s="944" t="s">
        <v>912</v>
      </c>
    </row>
    <row r="3833" spans="2:9" ht="15.75">
      <c r="C3833" s="945" t="s">
        <v>913</v>
      </c>
      <c r="D3833" s="946"/>
      <c r="E3833" s="947"/>
      <c r="F3833" s="1054"/>
      <c r="G3833" s="946"/>
      <c r="H3833" s="1031"/>
      <c r="I3833" s="948"/>
    </row>
    <row r="3834" spans="2:9" ht="15.75">
      <c r="C3834" s="949" t="s">
        <v>1208</v>
      </c>
      <c r="D3834" s="946">
        <v>0.08</v>
      </c>
      <c r="E3834" s="947" t="s">
        <v>1183</v>
      </c>
      <c r="F3834" s="1068">
        <f>'Basic (equilibrio) (2)'!$D$311</f>
        <v>963.5</v>
      </c>
      <c r="G3834" s="946">
        <f>F3834-(F3834/1.18)</f>
        <v>146.97</v>
      </c>
      <c r="H3834" s="1031"/>
      <c r="I3834" s="948">
        <f>D3834*F3834</f>
        <v>77.08</v>
      </c>
    </row>
    <row r="3835" spans="2:9" ht="15.75">
      <c r="C3835" s="949" t="s">
        <v>1209</v>
      </c>
      <c r="D3835" s="946">
        <v>82</v>
      </c>
      <c r="E3835" s="947" t="s">
        <v>1025</v>
      </c>
      <c r="F3835" s="1068">
        <v>0.2</v>
      </c>
      <c r="G3835" s="946">
        <f>F3835-(F3835/1.18)</f>
        <v>0.03</v>
      </c>
      <c r="H3835" s="1031"/>
      <c r="I3835" s="948">
        <f>D3835*F3835</f>
        <v>16.399999999999999</v>
      </c>
    </row>
    <row r="3836" spans="2:9" ht="15.75">
      <c r="C3836" s="951" t="s">
        <v>918</v>
      </c>
      <c r="D3836" s="946"/>
      <c r="E3836" s="947"/>
      <c r="F3836" s="1068"/>
      <c r="G3836" s="946"/>
      <c r="H3836" s="1031"/>
      <c r="I3836" s="952">
        <f>SUM(I3834:I3835)</f>
        <v>93.48</v>
      </c>
    </row>
    <row r="3837" spans="2:9" ht="15.75">
      <c r="C3837" s="949"/>
      <c r="D3837" s="946"/>
      <c r="E3837" s="947"/>
      <c r="F3837" s="1068"/>
      <c r="G3837" s="946"/>
      <c r="H3837" s="1031"/>
      <c r="I3837" s="948"/>
    </row>
    <row r="3838" spans="2:9" ht="15.75">
      <c r="C3838" s="945" t="s">
        <v>919</v>
      </c>
      <c r="D3838" s="946"/>
      <c r="E3838" s="947"/>
      <c r="F3838" s="1068"/>
      <c r="G3838" s="946"/>
      <c r="H3838" s="1031"/>
      <c r="I3838" s="948"/>
    </row>
    <row r="3839" spans="2:9" ht="15.75">
      <c r="C3839" s="949" t="s">
        <v>1083</v>
      </c>
      <c r="D3839" s="953">
        <v>1</v>
      </c>
      <c r="E3839" s="954" t="str">
        <f>+VLOOKUP(C3839,'Basic (equilibrio) (2)'!B:D,2,FALSE)</f>
        <v>m2</v>
      </c>
      <c r="F3839" s="1068">
        <f>'Basic (equilibrio) (2)'!$D$34</f>
        <v>10</v>
      </c>
      <c r="G3839" s="946">
        <v>0</v>
      </c>
      <c r="H3839" s="1031"/>
      <c r="I3839" s="948">
        <f>(D3839*F3839)</f>
        <v>10</v>
      </c>
    </row>
    <row r="3840" spans="2:9" ht="15.75">
      <c r="C3840" s="949" t="s">
        <v>1084</v>
      </c>
      <c r="D3840" s="953">
        <v>1</v>
      </c>
      <c r="E3840" s="954" t="str">
        <f>+VLOOKUP(C3840,'Basic (equilibrio) (2)'!B:D,2,FALSE)</f>
        <v>m2</v>
      </c>
      <c r="F3840" s="1068">
        <f>'Basic (equilibrio) (2)'!$D$35</f>
        <v>65</v>
      </c>
      <c r="G3840" s="946">
        <v>0</v>
      </c>
      <c r="H3840" s="1031"/>
      <c r="I3840" s="948">
        <f>(D3840*F3840)</f>
        <v>65</v>
      </c>
    </row>
    <row r="3841" spans="3:9" ht="15.75">
      <c r="C3841" s="951" t="s">
        <v>918</v>
      </c>
      <c r="D3841" s="946"/>
      <c r="E3841" s="947"/>
      <c r="F3841" s="1054"/>
      <c r="G3841" s="946"/>
      <c r="H3841" s="1031"/>
      <c r="I3841" s="952">
        <f>SUM(I3839:I3840)</f>
        <v>75</v>
      </c>
    </row>
    <row r="3842" spans="3:9" ht="15.75">
      <c r="C3842" s="949"/>
      <c r="D3842" s="946"/>
      <c r="E3842" s="947"/>
      <c r="F3842" s="1054"/>
      <c r="G3842" s="946"/>
      <c r="H3842" s="1031"/>
      <c r="I3842" s="948"/>
    </row>
    <row r="3843" spans="3:9" ht="15.75">
      <c r="C3843" s="945" t="s">
        <v>923</v>
      </c>
      <c r="D3843" s="946"/>
      <c r="E3843" s="947"/>
      <c r="F3843" s="1054"/>
      <c r="G3843" s="946"/>
      <c r="H3843" s="1031"/>
      <c r="I3843" s="948"/>
    </row>
    <row r="3844" spans="3:9" ht="15.75">
      <c r="C3844" s="949" t="s">
        <v>924</v>
      </c>
      <c r="D3844" s="946"/>
      <c r="E3844" s="947" t="str">
        <f>+VLOOKUP(C3844,'Basic (equilibrio) (2)'!B:D,2,FALSE)</f>
        <v>n/a</v>
      </c>
      <c r="F3844" s="1054">
        <f>+VLOOKUP(C3844,'Basic (equilibrio) (2)'!B:D,3,FALSE)</f>
        <v>0</v>
      </c>
      <c r="G3844" s="946">
        <f>F3844-(F3844/1.18)</f>
        <v>0</v>
      </c>
      <c r="H3844" s="1039"/>
      <c r="I3844" s="955">
        <f>D3844*F3844</f>
        <v>0</v>
      </c>
    </row>
    <row r="3845" spans="3:9" ht="15.75">
      <c r="C3845" s="951" t="s">
        <v>918</v>
      </c>
      <c r="D3845" s="946"/>
      <c r="E3845" s="947"/>
      <c r="F3845" s="1054"/>
      <c r="G3845" s="946"/>
      <c r="H3845" s="1031"/>
      <c r="I3845" s="952">
        <f>SUM(I3844:I3844)</f>
        <v>0</v>
      </c>
    </row>
    <row r="3846" spans="3:9" ht="15.75">
      <c r="C3846" s="949"/>
      <c r="D3846" s="946"/>
      <c r="E3846" s="947"/>
      <c r="F3846" s="1054"/>
      <c r="G3846" s="946"/>
      <c r="H3846" s="1031"/>
      <c r="I3846" s="948"/>
    </row>
    <row r="3847" spans="3:9" ht="15.75">
      <c r="C3847" s="945" t="s">
        <v>925</v>
      </c>
      <c r="D3847" s="946"/>
      <c r="E3847" s="947"/>
      <c r="F3847" s="1054"/>
      <c r="G3847" s="946"/>
      <c r="H3847" s="1031"/>
      <c r="I3847" s="948"/>
    </row>
    <row r="3848" spans="3:9" ht="15.75">
      <c r="C3848" s="949" t="s">
        <v>924</v>
      </c>
      <c r="D3848" s="946"/>
      <c r="E3848" s="947" t="str">
        <f>+VLOOKUP(C3848,'Basic (equilibrio) (2)'!B:D,2,FALSE)</f>
        <v>n/a</v>
      </c>
      <c r="F3848" s="1054">
        <f>+VLOOKUP(C3848,'Basic (equilibrio) (2)'!B:D,3,FALSE)</f>
        <v>0</v>
      </c>
      <c r="G3848" s="946"/>
      <c r="H3848" s="1031"/>
      <c r="I3848" s="948">
        <f>D3848*F3848</f>
        <v>0</v>
      </c>
    </row>
    <row r="3849" spans="3:9" ht="15.75">
      <c r="C3849" s="951" t="s">
        <v>918</v>
      </c>
      <c r="D3849" s="946"/>
      <c r="E3849" s="947"/>
      <c r="F3849" s="1054"/>
      <c r="G3849" s="946"/>
      <c r="H3849" s="1031"/>
      <c r="I3849" s="952">
        <f>SUM(I3848)</f>
        <v>0</v>
      </c>
    </row>
    <row r="3850" spans="3:9" ht="15.75">
      <c r="C3850" s="951"/>
      <c r="D3850" s="946"/>
      <c r="E3850" s="947"/>
      <c r="F3850" s="1054"/>
      <c r="G3850" s="946"/>
      <c r="H3850" s="1031"/>
      <c r="I3850" s="952"/>
    </row>
    <row r="3851" spans="3:9" ht="15.75">
      <c r="C3851" s="956" t="s">
        <v>926</v>
      </c>
      <c r="D3851" s="957"/>
      <c r="E3851" s="958"/>
      <c r="F3851" s="1069"/>
      <c r="G3851" s="957"/>
      <c r="H3851" s="1032"/>
      <c r="I3851" s="959">
        <f>+I3836</f>
        <v>93.48</v>
      </c>
    </row>
    <row r="3852" spans="3:9" ht="15.75">
      <c r="C3852" s="956" t="s">
        <v>927</v>
      </c>
      <c r="D3852" s="957"/>
      <c r="E3852" s="958"/>
      <c r="F3852" s="1069"/>
      <c r="G3852" s="957"/>
      <c r="H3852" s="1032"/>
      <c r="I3852" s="959">
        <f>+I3841</f>
        <v>75</v>
      </c>
    </row>
    <row r="3853" spans="3:9" ht="15.75">
      <c r="C3853" s="956" t="s">
        <v>928</v>
      </c>
      <c r="D3853" s="957"/>
      <c r="E3853" s="958"/>
      <c r="F3853" s="1069"/>
      <c r="G3853" s="957"/>
      <c r="H3853" s="1032"/>
      <c r="I3853" s="959">
        <f>+I3845</f>
        <v>0</v>
      </c>
    </row>
    <row r="3854" spans="3:9" ht="15.75">
      <c r="C3854" s="956" t="s">
        <v>929</v>
      </c>
      <c r="D3854" s="957"/>
      <c r="E3854" s="958"/>
      <c r="F3854" s="1069"/>
      <c r="G3854" s="957"/>
      <c r="H3854" s="1032"/>
      <c r="I3854" s="959">
        <f>+I3849</f>
        <v>0</v>
      </c>
    </row>
    <row r="3855" spans="3:9" ht="15.75">
      <c r="C3855" s="949"/>
      <c r="D3855" s="946"/>
      <c r="E3855" s="947"/>
      <c r="F3855" s="1054"/>
      <c r="G3855" s="946"/>
      <c r="H3855" s="1031"/>
      <c r="I3855" s="948"/>
    </row>
    <row r="3856" spans="3:9" ht="15.75">
      <c r="C3856" s="951" t="s">
        <v>930</v>
      </c>
      <c r="D3856" s="960"/>
      <c r="E3856" s="975" t="str">
        <f>+E3831</f>
        <v>M2</v>
      </c>
      <c r="F3856" s="1070"/>
      <c r="G3856" s="960"/>
      <c r="H3856" s="1033"/>
      <c r="I3856" s="952">
        <f>SUM(I3851:I3854)</f>
        <v>168.48</v>
      </c>
    </row>
    <row r="3857" spans="2:9" ht="15.75">
      <c r="C3857" s="951"/>
      <c r="D3857" s="960"/>
      <c r="E3857" s="943"/>
      <c r="F3857" s="1070"/>
      <c r="G3857" s="960"/>
      <c r="H3857" s="1033"/>
      <c r="I3857" s="952"/>
    </row>
    <row r="3858" spans="2:9" ht="15.75">
      <c r="C3858" s="951"/>
      <c r="D3858" s="960"/>
      <c r="E3858" s="943"/>
      <c r="F3858" s="1070"/>
      <c r="G3858" s="960"/>
      <c r="H3858" s="1033"/>
      <c r="I3858" s="952"/>
    </row>
    <row r="3859" spans="2:9" ht="15.75">
      <c r="B3859" s="1026">
        <v>6.2</v>
      </c>
      <c r="C3859" s="937" t="str">
        <f>+Presupuesto!B236</f>
        <v>Pintura acrílica en muros</v>
      </c>
      <c r="D3859" s="938"/>
      <c r="E3859" s="962" t="s">
        <v>20</v>
      </c>
      <c r="F3859" s="1066"/>
      <c r="G3859" s="938"/>
      <c r="H3859" s="1029"/>
      <c r="I3859" s="940">
        <f>+I3884</f>
        <v>168.48</v>
      </c>
    </row>
    <row r="3860" spans="2:9" ht="15.75">
      <c r="C3860" s="941" t="s">
        <v>908</v>
      </c>
      <c r="D3860" s="942" t="s">
        <v>9</v>
      </c>
      <c r="E3860" s="943" t="s">
        <v>10</v>
      </c>
      <c r="F3860" s="1067" t="s">
        <v>909</v>
      </c>
      <c r="G3860" s="942" t="s">
        <v>910</v>
      </c>
      <c r="H3860" s="1030" t="s">
        <v>911</v>
      </c>
      <c r="I3860" s="944" t="s">
        <v>912</v>
      </c>
    </row>
    <row r="3861" spans="2:9" ht="15.75">
      <c r="C3861" s="945" t="s">
        <v>913</v>
      </c>
      <c r="D3861" s="946"/>
      <c r="E3861" s="947"/>
      <c r="F3861" s="1054"/>
      <c r="G3861" s="946"/>
      <c r="H3861" s="1031"/>
      <c r="I3861" s="948"/>
    </row>
    <row r="3862" spans="2:9" ht="15.75">
      <c r="C3862" s="949" t="s">
        <v>1208</v>
      </c>
      <c r="D3862" s="946">
        <v>0.08</v>
      </c>
      <c r="E3862" s="947" t="s">
        <v>1183</v>
      </c>
      <c r="F3862" s="1068">
        <f>'Basic (equilibrio) (2)'!$D$311</f>
        <v>963.5</v>
      </c>
      <c r="G3862" s="946">
        <f>F3862-(F3862/1.18)</f>
        <v>146.97</v>
      </c>
      <c r="H3862" s="1031"/>
      <c r="I3862" s="948">
        <f>D3862*F3862</f>
        <v>77.08</v>
      </c>
    </row>
    <row r="3863" spans="2:9" ht="15.75">
      <c r="C3863" s="949" t="s">
        <v>1209</v>
      </c>
      <c r="D3863" s="946">
        <v>82</v>
      </c>
      <c r="E3863" s="947" t="s">
        <v>1025</v>
      </c>
      <c r="F3863" s="1068">
        <v>0.2</v>
      </c>
      <c r="G3863" s="946">
        <f>F3863-(F3863/1.18)</f>
        <v>0.03</v>
      </c>
      <c r="H3863" s="1031"/>
      <c r="I3863" s="948">
        <f>D3863*F3863</f>
        <v>16.399999999999999</v>
      </c>
    </row>
    <row r="3864" spans="2:9" ht="15.75">
      <c r="C3864" s="951" t="s">
        <v>918</v>
      </c>
      <c r="D3864" s="946"/>
      <c r="E3864" s="947"/>
      <c r="F3864" s="1068"/>
      <c r="G3864" s="946"/>
      <c r="H3864" s="1031"/>
      <c r="I3864" s="952">
        <f>SUM(I3862:I3863)</f>
        <v>93.48</v>
      </c>
    </row>
    <row r="3865" spans="2:9" ht="15.75">
      <c r="C3865" s="949"/>
      <c r="D3865" s="946"/>
      <c r="E3865" s="947"/>
      <c r="F3865" s="1068"/>
      <c r="G3865" s="946"/>
      <c r="H3865" s="1031"/>
      <c r="I3865" s="948"/>
    </row>
    <row r="3866" spans="2:9" ht="15.75">
      <c r="C3866" s="945" t="s">
        <v>919</v>
      </c>
      <c r="D3866" s="946"/>
      <c r="E3866" s="947"/>
      <c r="F3866" s="1068"/>
      <c r="G3866" s="946"/>
      <c r="H3866" s="1031"/>
      <c r="I3866" s="948"/>
    </row>
    <row r="3867" spans="2:9" ht="15.75">
      <c r="C3867" s="949" t="s">
        <v>1083</v>
      </c>
      <c r="D3867" s="953">
        <v>1</v>
      </c>
      <c r="E3867" s="954" t="str">
        <f>+VLOOKUP(C3867,'Basic (equilibrio) (2)'!B:D,2,FALSE)</f>
        <v>m2</v>
      </c>
      <c r="F3867" s="1068">
        <f>'Basic (equilibrio) (2)'!$D$34</f>
        <v>10</v>
      </c>
      <c r="G3867" s="946">
        <v>0</v>
      </c>
      <c r="H3867" s="1031"/>
      <c r="I3867" s="948">
        <f>(D3867*F3867)</f>
        <v>10</v>
      </c>
    </row>
    <row r="3868" spans="2:9" ht="15.75">
      <c r="C3868" s="949" t="s">
        <v>1084</v>
      </c>
      <c r="D3868" s="953">
        <v>1</v>
      </c>
      <c r="E3868" s="954" t="str">
        <f>+VLOOKUP(C3868,'Basic (equilibrio) (2)'!B:D,2,FALSE)</f>
        <v>m2</v>
      </c>
      <c r="F3868" s="1068">
        <f>'Basic (equilibrio) (2)'!$D$35</f>
        <v>65</v>
      </c>
      <c r="G3868" s="946">
        <v>0</v>
      </c>
      <c r="H3868" s="1031"/>
      <c r="I3868" s="948">
        <f>(D3868*F3868)</f>
        <v>65</v>
      </c>
    </row>
    <row r="3869" spans="2:9" ht="15.75">
      <c r="C3869" s="951" t="s">
        <v>918</v>
      </c>
      <c r="D3869" s="946"/>
      <c r="E3869" s="947"/>
      <c r="F3869" s="1054"/>
      <c r="G3869" s="946"/>
      <c r="H3869" s="1031"/>
      <c r="I3869" s="952">
        <f>SUM(I3867:I3868)</f>
        <v>75</v>
      </c>
    </row>
    <row r="3870" spans="2:9" ht="15.75">
      <c r="C3870" s="949"/>
      <c r="D3870" s="946"/>
      <c r="E3870" s="947"/>
      <c r="F3870" s="1054"/>
      <c r="G3870" s="946"/>
      <c r="H3870" s="1031"/>
      <c r="I3870" s="948"/>
    </row>
    <row r="3871" spans="2:9" ht="15.75">
      <c r="C3871" s="945" t="s">
        <v>923</v>
      </c>
      <c r="D3871" s="946"/>
      <c r="E3871" s="947"/>
      <c r="F3871" s="1054"/>
      <c r="G3871" s="946"/>
      <c r="H3871" s="1031"/>
      <c r="I3871" s="948"/>
    </row>
    <row r="3872" spans="2:9" ht="15.75">
      <c r="C3872" s="949" t="s">
        <v>924</v>
      </c>
      <c r="D3872" s="946"/>
      <c r="E3872" s="947" t="str">
        <f>+VLOOKUP(C3872,'Basic (equilibrio) (2)'!B:D,2,FALSE)</f>
        <v>n/a</v>
      </c>
      <c r="F3872" s="1054">
        <f>+VLOOKUP(C3872,'Basic (equilibrio) (2)'!B:D,3,FALSE)</f>
        <v>0</v>
      </c>
      <c r="G3872" s="946">
        <f>F3872-(F3872/1.18)</f>
        <v>0</v>
      </c>
      <c r="H3872" s="1039"/>
      <c r="I3872" s="955">
        <f>D3872*F3872</f>
        <v>0</v>
      </c>
    </row>
    <row r="3873" spans="2:9" ht="15.75">
      <c r="C3873" s="951" t="s">
        <v>918</v>
      </c>
      <c r="D3873" s="946"/>
      <c r="E3873" s="947"/>
      <c r="F3873" s="1054"/>
      <c r="G3873" s="946"/>
      <c r="H3873" s="1031"/>
      <c r="I3873" s="952">
        <f>SUM(I3872:I3872)</f>
        <v>0</v>
      </c>
    </row>
    <row r="3874" spans="2:9" ht="15.75">
      <c r="C3874" s="949"/>
      <c r="D3874" s="946"/>
      <c r="E3874" s="947"/>
      <c r="F3874" s="1054"/>
      <c r="G3874" s="946"/>
      <c r="H3874" s="1031"/>
      <c r="I3874" s="948"/>
    </row>
    <row r="3875" spans="2:9" ht="15.75">
      <c r="C3875" s="945" t="s">
        <v>925</v>
      </c>
      <c r="D3875" s="946"/>
      <c r="E3875" s="947"/>
      <c r="F3875" s="1054"/>
      <c r="G3875" s="946"/>
      <c r="H3875" s="1031"/>
      <c r="I3875" s="948"/>
    </row>
    <row r="3876" spans="2:9" ht="15.75">
      <c r="C3876" s="949" t="s">
        <v>924</v>
      </c>
      <c r="D3876" s="946"/>
      <c r="E3876" s="947" t="str">
        <f>+VLOOKUP(C3876,'Basic (equilibrio) (2)'!B:D,2,FALSE)</f>
        <v>n/a</v>
      </c>
      <c r="F3876" s="1054">
        <f>+VLOOKUP(C3876,'Basic (equilibrio) (2)'!B:D,3,FALSE)</f>
        <v>0</v>
      </c>
      <c r="G3876" s="946"/>
      <c r="H3876" s="1031"/>
      <c r="I3876" s="948">
        <f>D3876*F3876</f>
        <v>0</v>
      </c>
    </row>
    <row r="3877" spans="2:9" ht="15.75">
      <c r="C3877" s="951" t="s">
        <v>918</v>
      </c>
      <c r="D3877" s="946"/>
      <c r="E3877" s="947"/>
      <c r="F3877" s="1054"/>
      <c r="G3877" s="946"/>
      <c r="H3877" s="1031"/>
      <c r="I3877" s="952">
        <f>SUM(I3876)</f>
        <v>0</v>
      </c>
    </row>
    <row r="3878" spans="2:9" ht="15.75">
      <c r="C3878" s="951"/>
      <c r="D3878" s="946"/>
      <c r="E3878" s="947"/>
      <c r="F3878" s="1054"/>
      <c r="G3878" s="946"/>
      <c r="H3878" s="1031"/>
      <c r="I3878" s="952"/>
    </row>
    <row r="3879" spans="2:9" ht="15.75">
      <c r="C3879" s="956" t="s">
        <v>926</v>
      </c>
      <c r="D3879" s="957"/>
      <c r="E3879" s="958"/>
      <c r="F3879" s="1069"/>
      <c r="G3879" s="957"/>
      <c r="H3879" s="1032"/>
      <c r="I3879" s="959">
        <f>+I3864</f>
        <v>93.48</v>
      </c>
    </row>
    <row r="3880" spans="2:9" ht="15.75">
      <c r="C3880" s="956" t="s">
        <v>927</v>
      </c>
      <c r="D3880" s="957"/>
      <c r="E3880" s="958"/>
      <c r="F3880" s="1069"/>
      <c r="G3880" s="957"/>
      <c r="H3880" s="1032"/>
      <c r="I3880" s="959">
        <f>+I3869</f>
        <v>75</v>
      </c>
    </row>
    <row r="3881" spans="2:9" ht="15.75">
      <c r="C3881" s="956" t="s">
        <v>928</v>
      </c>
      <c r="D3881" s="957"/>
      <c r="E3881" s="958"/>
      <c r="F3881" s="1069"/>
      <c r="G3881" s="957"/>
      <c r="H3881" s="1032"/>
      <c r="I3881" s="959">
        <f>+I3873</f>
        <v>0</v>
      </c>
    </row>
    <row r="3882" spans="2:9" ht="15.75">
      <c r="C3882" s="956" t="s">
        <v>929</v>
      </c>
      <c r="D3882" s="957"/>
      <c r="E3882" s="958"/>
      <c r="F3882" s="1069"/>
      <c r="G3882" s="957"/>
      <c r="H3882" s="1032"/>
      <c r="I3882" s="959">
        <f>+I3877</f>
        <v>0</v>
      </c>
    </row>
    <row r="3883" spans="2:9" ht="15.75">
      <c r="C3883" s="949"/>
      <c r="D3883" s="946"/>
      <c r="E3883" s="947"/>
      <c r="F3883" s="1054"/>
      <c r="G3883" s="946"/>
      <c r="H3883" s="1031"/>
      <c r="I3883" s="948"/>
    </row>
    <row r="3884" spans="2:9" ht="15.75">
      <c r="C3884" s="951" t="s">
        <v>930</v>
      </c>
      <c r="D3884" s="960"/>
      <c r="E3884" s="975" t="str">
        <f>+E3859</f>
        <v>M2</v>
      </c>
      <c r="F3884" s="1070"/>
      <c r="G3884" s="960"/>
      <c r="H3884" s="1033"/>
      <c r="I3884" s="952">
        <f>SUM(I3879:I3882)</f>
        <v>168.48</v>
      </c>
    </row>
    <row r="3885" spans="2:9" ht="15.75">
      <c r="C3885" s="951"/>
      <c r="D3885" s="960"/>
      <c r="E3885" s="943"/>
      <c r="F3885" s="1070"/>
      <c r="G3885" s="960"/>
      <c r="H3885" s="1033"/>
      <c r="I3885" s="952"/>
    </row>
    <row r="3886" spans="2:9" ht="15.75">
      <c r="B3886" s="1038">
        <v>3.4</v>
      </c>
      <c r="C3886" s="937" t="str">
        <f>+Presupuesto!B239</f>
        <v>Barandas de H.G. sobre muros de bloques</v>
      </c>
      <c r="D3886" s="938"/>
      <c r="E3886" s="962" t="str">
        <f>+Presupuesto!D239</f>
        <v>M</v>
      </c>
      <c r="F3886" s="1066"/>
      <c r="G3886" s="938"/>
      <c r="H3886" s="1029"/>
      <c r="I3886" s="940">
        <f>I3910</f>
        <v>3830.56</v>
      </c>
    </row>
    <row r="3887" spans="2:9" ht="15.75">
      <c r="C3887" s="941" t="s">
        <v>908</v>
      </c>
      <c r="D3887" s="942" t="s">
        <v>9</v>
      </c>
      <c r="E3887" s="943" t="s">
        <v>10</v>
      </c>
      <c r="F3887" s="1067" t="s">
        <v>909</v>
      </c>
      <c r="G3887" s="942" t="s">
        <v>910</v>
      </c>
      <c r="H3887" s="1030" t="s">
        <v>911</v>
      </c>
      <c r="I3887" s="944" t="s">
        <v>912</v>
      </c>
    </row>
    <row r="3888" spans="2:9" ht="15.75">
      <c r="C3888" s="945" t="s">
        <v>913</v>
      </c>
      <c r="D3888" s="946"/>
      <c r="E3888" s="947"/>
      <c r="F3888" s="1054"/>
      <c r="G3888" s="946"/>
      <c r="H3888" s="1031"/>
      <c r="I3888" s="948"/>
    </row>
    <row r="3889" spans="3:9" ht="63">
      <c r="C3889" s="949" t="s">
        <v>966</v>
      </c>
      <c r="D3889" s="946">
        <v>10.76</v>
      </c>
      <c r="E3889" s="947" t="s">
        <v>1557</v>
      </c>
      <c r="F3889" s="1068">
        <f>'Basic (equilibrio) (2)'!$D$454</f>
        <v>356</v>
      </c>
      <c r="G3889" s="946">
        <f>F3889-(F3889/1.18)</f>
        <v>54.31</v>
      </c>
      <c r="H3889" s="1031"/>
      <c r="I3889" s="948">
        <f>D3889*F3889</f>
        <v>3830.56</v>
      </c>
    </row>
    <row r="3890" spans="3:9" ht="15.75">
      <c r="C3890" s="951" t="s">
        <v>918</v>
      </c>
      <c r="D3890" s="946"/>
      <c r="E3890" s="947"/>
      <c r="F3890" s="1068"/>
      <c r="G3890" s="946"/>
      <c r="H3890" s="1031"/>
      <c r="I3890" s="952">
        <f>SUM(I3889:I3889)</f>
        <v>3830.56</v>
      </c>
    </row>
    <row r="3891" spans="3:9" ht="15.75">
      <c r="C3891" s="949"/>
      <c r="D3891" s="946"/>
      <c r="E3891" s="947"/>
      <c r="F3891" s="1068"/>
      <c r="G3891" s="946"/>
      <c r="H3891" s="1031"/>
      <c r="I3891" s="948"/>
    </row>
    <row r="3892" spans="3:9" ht="15.75">
      <c r="C3892" s="945" t="s">
        <v>919</v>
      </c>
      <c r="D3892" s="946"/>
      <c r="E3892" s="947"/>
      <c r="F3892" s="1068"/>
      <c r="G3892" s="946"/>
      <c r="H3892" s="1031"/>
      <c r="I3892" s="948"/>
    </row>
    <row r="3893" spans="3:9" ht="15.75">
      <c r="C3893" s="949" t="s">
        <v>924</v>
      </c>
      <c r="D3893" s="953"/>
      <c r="E3893" s="954"/>
      <c r="F3893" s="1068">
        <f>+VLOOKUP(C3893,'Basic (equilibrio) (2)'!B:D,3,FALSE)</f>
        <v>0</v>
      </c>
      <c r="G3893" s="946">
        <f>F3893-(F3893/1.18)</f>
        <v>0</v>
      </c>
      <c r="H3893" s="1031"/>
      <c r="I3893" s="948">
        <f>D3893*F3893</f>
        <v>0</v>
      </c>
    </row>
    <row r="3894" spans="3:9" ht="15.75">
      <c r="C3894" s="951" t="s">
        <v>918</v>
      </c>
      <c r="D3894" s="946"/>
      <c r="E3894" s="947"/>
      <c r="F3894" s="1054"/>
      <c r="G3894" s="946"/>
      <c r="H3894" s="1031"/>
      <c r="I3894" s="952">
        <f>SUM(I3893:I3893)</f>
        <v>0</v>
      </c>
    </row>
    <row r="3895" spans="3:9" ht="15.75">
      <c r="C3895" s="949"/>
      <c r="D3895" s="946"/>
      <c r="E3895" s="947"/>
      <c r="F3895" s="1054"/>
      <c r="G3895" s="946"/>
      <c r="H3895" s="1031"/>
      <c r="I3895" s="948"/>
    </row>
    <row r="3896" spans="3:9" ht="15.75">
      <c r="C3896" s="945" t="s">
        <v>923</v>
      </c>
      <c r="D3896" s="946"/>
      <c r="E3896" s="947"/>
      <c r="F3896" s="1054"/>
      <c r="G3896" s="946"/>
      <c r="H3896" s="1031"/>
      <c r="I3896" s="948"/>
    </row>
    <row r="3897" spans="3:9" ht="15.75">
      <c r="C3897" s="949" t="s">
        <v>924</v>
      </c>
      <c r="D3897" s="946"/>
      <c r="E3897" s="947"/>
      <c r="F3897" s="1068">
        <f>+VLOOKUP(C3897,'Basic (equilibrio) (2)'!B:D,3,FALSE)</f>
        <v>0</v>
      </c>
      <c r="G3897" s="946">
        <f>F3897-(F3897/1.18)</f>
        <v>0</v>
      </c>
      <c r="H3897" s="1031"/>
      <c r="I3897" s="948">
        <f>D3897*F3897</f>
        <v>0</v>
      </c>
    </row>
    <row r="3898" spans="3:9" ht="15.75">
      <c r="C3898" s="951" t="s">
        <v>918</v>
      </c>
      <c r="D3898" s="946"/>
      <c r="E3898" s="947"/>
      <c r="F3898" s="1054"/>
      <c r="G3898" s="946"/>
      <c r="H3898" s="1031"/>
      <c r="I3898" s="952">
        <f>SUM(I3897:I3897)</f>
        <v>0</v>
      </c>
    </row>
    <row r="3899" spans="3:9" ht="15.75">
      <c r="C3899" s="949"/>
      <c r="D3899" s="946"/>
      <c r="E3899" s="947"/>
      <c r="F3899" s="1054"/>
      <c r="G3899" s="946"/>
      <c r="H3899" s="1031"/>
      <c r="I3899" s="948"/>
    </row>
    <row r="3900" spans="3:9" ht="15.75">
      <c r="C3900" s="945" t="s">
        <v>925</v>
      </c>
      <c r="D3900" s="946"/>
      <c r="E3900" s="947"/>
      <c r="F3900" s="1054"/>
      <c r="G3900" s="946"/>
      <c r="H3900" s="1031"/>
      <c r="I3900" s="948"/>
    </row>
    <row r="3901" spans="3:9" ht="15.75">
      <c r="C3901" s="949" t="s">
        <v>924</v>
      </c>
      <c r="D3901" s="946"/>
      <c r="E3901" s="947" t="str">
        <f>VLOOKUP(C3901,[50]BASICS!B:D,2,FALSE)</f>
        <v>n/a</v>
      </c>
      <c r="F3901" s="1054">
        <f>+VLOOKUP(C3901,[49]BASICS!B:E,3,FALSE)</f>
        <v>0</v>
      </c>
      <c r="G3901" s="946"/>
      <c r="H3901" s="1031"/>
      <c r="I3901" s="948">
        <f>D3901*F3901</f>
        <v>0</v>
      </c>
    </row>
    <row r="3902" spans="3:9" ht="15.75">
      <c r="C3902" s="951" t="s">
        <v>918</v>
      </c>
      <c r="D3902" s="946"/>
      <c r="E3902" s="947"/>
      <c r="F3902" s="1054"/>
      <c r="G3902" s="946"/>
      <c r="H3902" s="1031"/>
      <c r="I3902" s="952">
        <f>SUM(I3901)</f>
        <v>0</v>
      </c>
    </row>
    <row r="3903" spans="3:9" ht="15.75">
      <c r="C3903" s="951"/>
      <c r="D3903" s="946"/>
      <c r="E3903" s="947"/>
      <c r="F3903" s="1054"/>
      <c r="G3903" s="946"/>
      <c r="H3903" s="1031"/>
      <c r="I3903" s="952"/>
    </row>
    <row r="3904" spans="3:9" ht="15.75">
      <c r="C3904" s="956" t="s">
        <v>926</v>
      </c>
      <c r="D3904" s="957"/>
      <c r="E3904" s="958"/>
      <c r="F3904" s="1069"/>
      <c r="G3904" s="957"/>
      <c r="H3904" s="1032"/>
      <c r="I3904" s="959">
        <f>+I3890</f>
        <v>3830.56</v>
      </c>
    </row>
    <row r="3905" spans="2:9" ht="15.75">
      <c r="C3905" s="956" t="s">
        <v>927</v>
      </c>
      <c r="D3905" s="957"/>
      <c r="E3905" s="958"/>
      <c r="F3905" s="1069"/>
      <c r="G3905" s="957"/>
      <c r="H3905" s="1032"/>
      <c r="I3905" s="959">
        <f>+I3894</f>
        <v>0</v>
      </c>
    </row>
    <row r="3906" spans="2:9" ht="15.75">
      <c r="C3906" s="956" t="s">
        <v>928</v>
      </c>
      <c r="D3906" s="957"/>
      <c r="E3906" s="958"/>
      <c r="F3906" s="1069"/>
      <c r="G3906" s="957"/>
      <c r="H3906" s="1032"/>
      <c r="I3906" s="959">
        <f>+I3898</f>
        <v>0</v>
      </c>
    </row>
    <row r="3907" spans="2:9" ht="15.75">
      <c r="C3907" s="956" t="s">
        <v>929</v>
      </c>
      <c r="D3907" s="957"/>
      <c r="E3907" s="958"/>
      <c r="F3907" s="1069"/>
      <c r="G3907" s="957"/>
      <c r="H3907" s="1032"/>
      <c r="I3907" s="959">
        <f>+I3902</f>
        <v>0</v>
      </c>
    </row>
    <row r="3908" spans="2:9" ht="15.75">
      <c r="C3908" s="949"/>
      <c r="D3908" s="946"/>
      <c r="E3908" s="947"/>
      <c r="F3908" s="1054"/>
      <c r="G3908" s="946"/>
      <c r="H3908" s="1031"/>
      <c r="I3908" s="948"/>
    </row>
    <row r="3909" spans="2:9" ht="15.75">
      <c r="C3909" s="949"/>
      <c r="D3909" s="946"/>
      <c r="E3909" s="947"/>
      <c r="F3909" s="1054"/>
      <c r="G3909" s="946"/>
      <c r="H3909" s="1031"/>
      <c r="I3909" s="948"/>
    </row>
    <row r="3910" spans="2:9" ht="15.75">
      <c r="C3910" s="951" t="s">
        <v>930</v>
      </c>
      <c r="D3910" s="960"/>
      <c r="E3910" s="943" t="str">
        <f>+E3886</f>
        <v>M</v>
      </c>
      <c r="F3910" s="1070"/>
      <c r="G3910" s="960"/>
      <c r="H3910" s="1033"/>
      <c r="I3910" s="952">
        <f>SUM(I3904:I3907)</f>
        <v>3830.56</v>
      </c>
    </row>
    <row r="3911" spans="2:9" ht="15.75">
      <c r="C3911" s="949"/>
      <c r="D3911" s="946"/>
      <c r="E3911" s="947"/>
      <c r="F3911" s="1054"/>
      <c r="G3911" s="946"/>
      <c r="H3911" s="1031"/>
      <c r="I3911" s="948"/>
    </row>
    <row r="3912" spans="2:9" ht="15.75">
      <c r="B3912" s="1026">
        <v>7.2</v>
      </c>
      <c r="C3912" s="937" t="str">
        <f>+Presupuesto!B240</f>
        <v>Escalones de cemento</v>
      </c>
      <c r="D3912" s="938"/>
      <c r="E3912" s="962" t="s">
        <v>22</v>
      </c>
      <c r="F3912" s="1066"/>
      <c r="G3912" s="938"/>
      <c r="H3912" s="1029"/>
      <c r="I3912" s="940">
        <f>+I3941</f>
        <v>1079.22</v>
      </c>
    </row>
    <row r="3913" spans="2:9" ht="15.75">
      <c r="C3913" s="941" t="s">
        <v>908</v>
      </c>
      <c r="D3913" s="942" t="s">
        <v>9</v>
      </c>
      <c r="E3913" s="943" t="s">
        <v>10</v>
      </c>
      <c r="F3913" s="1067" t="s">
        <v>909</v>
      </c>
      <c r="G3913" s="942" t="s">
        <v>910</v>
      </c>
      <c r="H3913" s="1030" t="s">
        <v>911</v>
      </c>
      <c r="I3913" s="944" t="s">
        <v>912</v>
      </c>
    </row>
    <row r="3914" spans="2:9" ht="15.75">
      <c r="C3914" s="945" t="s">
        <v>913</v>
      </c>
      <c r="D3914" s="946"/>
      <c r="E3914" s="947"/>
      <c r="F3914" s="1054"/>
      <c r="G3914" s="946"/>
      <c r="H3914" s="1031"/>
      <c r="I3914" s="948"/>
    </row>
    <row r="3915" spans="2:9" ht="15.75">
      <c r="C3915" s="949" t="s">
        <v>994</v>
      </c>
      <c r="D3915" s="946">
        <v>1.05</v>
      </c>
      <c r="E3915" s="947" t="str">
        <f>+VLOOKUP(C3915,'Basic (equilibrio) (2)'!B:D,2,FALSE)</f>
        <v>m3</v>
      </c>
      <c r="F3915" s="1068">
        <f>'Basic (equilibrio) (2)'!$D$179</f>
        <v>7600</v>
      </c>
      <c r="G3915" s="946">
        <f>F3915-(F3915/1.18)</f>
        <v>1159.32</v>
      </c>
      <c r="H3915" s="1031"/>
      <c r="I3915" s="948">
        <f>D3915*F3915</f>
        <v>7980</v>
      </c>
    </row>
    <row r="3916" spans="2:9" ht="15.75">
      <c r="C3916" s="949" t="s">
        <v>1188</v>
      </c>
      <c r="D3916" s="946">
        <v>2.78</v>
      </c>
      <c r="E3916" s="947" t="str">
        <f>+VLOOKUP(C3916,'Basic (equilibrio) (2)'!B:D,2,FALSE)</f>
        <v>qq</v>
      </c>
      <c r="F3916" s="1068">
        <f>'Basic (equilibrio) (2)'!$D$183</f>
        <v>3600</v>
      </c>
      <c r="G3916" s="946">
        <f>F3916-(F3916/1.18)</f>
        <v>549.15</v>
      </c>
      <c r="H3916" s="1031"/>
      <c r="I3916" s="948">
        <f>D3916*F3916</f>
        <v>10008</v>
      </c>
    </row>
    <row r="3917" spans="2:9" ht="15.75">
      <c r="C3917" s="949" t="s">
        <v>1328</v>
      </c>
      <c r="D3917" s="946">
        <v>5.56</v>
      </c>
      <c r="E3917" s="947" t="str">
        <f>+VLOOKUP(C3917,'Basic (equilibrio) (2)'!B:D,2,FALSE)</f>
        <v>lb</v>
      </c>
      <c r="F3917" s="1068">
        <f>'Basic (equilibrio) (2)'!$D$334</f>
        <v>31.1</v>
      </c>
      <c r="G3917" s="946">
        <f>F3917-(F3917/1.18)</f>
        <v>4.74</v>
      </c>
      <c r="H3917" s="1031"/>
      <c r="I3917" s="948">
        <f>D3917*F3917</f>
        <v>172.92</v>
      </c>
    </row>
    <row r="3918" spans="2:9" ht="15.75">
      <c r="C3918" s="949" t="s">
        <v>1072</v>
      </c>
      <c r="D3918" s="946">
        <v>25</v>
      </c>
      <c r="E3918" s="947" t="str">
        <f>+VLOOKUP(C3918,'Basic (equilibrio) (2)'!B:D,2,FALSE)</f>
        <v>ml</v>
      </c>
      <c r="F3918" s="1068">
        <f>'Basic (equilibrio) (2)'!$D$22</f>
        <v>351</v>
      </c>
      <c r="G3918" s="946">
        <f>F3918-(F3918/1.18)</f>
        <v>53.54</v>
      </c>
      <c r="H3918" s="1031"/>
      <c r="I3918" s="948">
        <f>D3918*F3918</f>
        <v>8775</v>
      </c>
    </row>
    <row r="3919" spans="2:9" ht="15.75">
      <c r="C3919" s="951" t="s">
        <v>918</v>
      </c>
      <c r="D3919" s="946"/>
      <c r="E3919" s="947"/>
      <c r="F3919" s="1068"/>
      <c r="G3919" s="946"/>
      <c r="H3919" s="1031"/>
      <c r="I3919" s="952">
        <f>SUM(I3915:I3918)</f>
        <v>26935.919999999998</v>
      </c>
    </row>
    <row r="3920" spans="2:9" ht="15.75">
      <c r="C3920" s="949"/>
      <c r="D3920" s="946"/>
      <c r="E3920" s="947"/>
      <c r="F3920" s="1068"/>
      <c r="G3920" s="946"/>
      <c r="H3920" s="1031"/>
      <c r="I3920" s="948"/>
    </row>
    <row r="3921" spans="3:9" ht="15.75">
      <c r="C3921" s="945" t="s">
        <v>919</v>
      </c>
      <c r="D3921" s="946"/>
      <c r="E3921" s="947"/>
      <c r="F3921" s="1068"/>
      <c r="G3921" s="946"/>
      <c r="H3921" s="1031"/>
      <c r="I3921" s="948"/>
    </row>
    <row r="3922" spans="3:9" ht="15.75">
      <c r="C3922" s="949" t="s">
        <v>1073</v>
      </c>
      <c r="D3922" s="953">
        <v>25</v>
      </c>
      <c r="E3922" s="954" t="str">
        <f>+VLOOKUP(C3922,'Basic (equilibrio) (2)'!B:D,2,FALSE)</f>
        <v>ml</v>
      </c>
      <c r="F3922" s="1068">
        <f>'Basic (equilibrio) (2)'!$D$25</f>
        <v>125</v>
      </c>
      <c r="G3922" s="946">
        <v>0</v>
      </c>
      <c r="H3922" s="1031">
        <v>70</v>
      </c>
      <c r="I3922" s="948">
        <f>(D3922*F3922)/H3922</f>
        <v>44.64</v>
      </c>
    </row>
    <row r="3923" spans="3:9" ht="15.75">
      <c r="C3923" s="951" t="s">
        <v>918</v>
      </c>
      <c r="D3923" s="946"/>
      <c r="E3923" s="947"/>
      <c r="F3923" s="1054"/>
      <c r="G3923" s="946"/>
      <c r="H3923" s="1031"/>
      <c r="I3923" s="952">
        <f>SUM(I3922:I3922)</f>
        <v>44.64</v>
      </c>
    </row>
    <row r="3924" spans="3:9" ht="15.75">
      <c r="C3924" s="949"/>
      <c r="D3924" s="946"/>
      <c r="E3924" s="947"/>
      <c r="F3924" s="1054"/>
      <c r="G3924" s="946"/>
      <c r="H3924" s="1031"/>
      <c r="I3924" s="948"/>
    </row>
    <row r="3925" spans="3:9" ht="15.75">
      <c r="C3925" s="945" t="s">
        <v>923</v>
      </c>
      <c r="D3925" s="946"/>
      <c r="E3925" s="947"/>
      <c r="F3925" s="1054"/>
      <c r="G3925" s="946"/>
      <c r="H3925" s="1031"/>
      <c r="I3925" s="948"/>
    </row>
    <row r="3926" spans="3:9" ht="15.75">
      <c r="C3926" s="949" t="s">
        <v>924</v>
      </c>
      <c r="D3926" s="946"/>
      <c r="E3926" s="947" t="str">
        <f>+VLOOKUP(C3926,'Basic (equilibrio) (2)'!B:D,2,FALSE)</f>
        <v>n/a</v>
      </c>
      <c r="F3926" s="1054">
        <f>+VLOOKUP(C3926,'Basic (equilibrio) (2)'!B:D,3,FALSE)</f>
        <v>0</v>
      </c>
      <c r="G3926" s="946">
        <f>F3926-(F3926/1.18)</f>
        <v>0</v>
      </c>
      <c r="H3926" s="1039"/>
      <c r="I3926" s="955">
        <f>D3926*F3926</f>
        <v>0</v>
      </c>
    </row>
    <row r="3927" spans="3:9" ht="15.75">
      <c r="C3927" s="951" t="s">
        <v>918</v>
      </c>
      <c r="D3927" s="946"/>
      <c r="E3927" s="947"/>
      <c r="F3927" s="1054"/>
      <c r="G3927" s="946"/>
      <c r="H3927" s="1031"/>
      <c r="I3927" s="952">
        <f>SUM(I3926:I3926)</f>
        <v>0</v>
      </c>
    </row>
    <row r="3928" spans="3:9" ht="15.75">
      <c r="C3928" s="949"/>
      <c r="D3928" s="946"/>
      <c r="E3928" s="947"/>
      <c r="F3928" s="1054"/>
      <c r="G3928" s="946"/>
      <c r="H3928" s="1031"/>
      <c r="I3928" s="948"/>
    </row>
    <row r="3929" spans="3:9" ht="15.75">
      <c r="C3929" s="945" t="s">
        <v>925</v>
      </c>
      <c r="D3929" s="946"/>
      <c r="E3929" s="947"/>
      <c r="F3929" s="1054"/>
      <c r="G3929" s="946"/>
      <c r="H3929" s="1031"/>
      <c r="I3929" s="948"/>
    </row>
    <row r="3930" spans="3:9" ht="15.75">
      <c r="C3930" s="949" t="s">
        <v>924</v>
      </c>
      <c r="D3930" s="946"/>
      <c r="E3930" s="947" t="str">
        <f>+VLOOKUP(C3930,'Basic (equilibrio) (2)'!B:D,2,FALSE)</f>
        <v>n/a</v>
      </c>
      <c r="F3930" s="1054">
        <f>+VLOOKUP(C3930,'Basic (equilibrio) (2)'!B:D,3,FALSE)</f>
        <v>0</v>
      </c>
      <c r="G3930" s="946"/>
      <c r="H3930" s="1031"/>
      <c r="I3930" s="948">
        <f>D3930*F3930</f>
        <v>0</v>
      </c>
    </row>
    <row r="3931" spans="3:9" ht="15.75">
      <c r="C3931" s="951" t="s">
        <v>918</v>
      </c>
      <c r="D3931" s="946"/>
      <c r="E3931" s="947"/>
      <c r="F3931" s="1054"/>
      <c r="G3931" s="946"/>
      <c r="H3931" s="1031"/>
      <c r="I3931" s="952">
        <f>SUM(I3930)</f>
        <v>0</v>
      </c>
    </row>
    <row r="3932" spans="3:9" ht="15.75">
      <c r="C3932" s="951"/>
      <c r="D3932" s="946"/>
      <c r="E3932" s="947"/>
      <c r="F3932" s="1054"/>
      <c r="G3932" s="946"/>
      <c r="H3932" s="1031"/>
      <c r="I3932" s="952"/>
    </row>
    <row r="3933" spans="3:9" ht="15.75">
      <c r="C3933" s="956" t="s">
        <v>926</v>
      </c>
      <c r="D3933" s="957"/>
      <c r="E3933" s="958"/>
      <c r="F3933" s="1069"/>
      <c r="G3933" s="957"/>
      <c r="H3933" s="1032"/>
      <c r="I3933" s="959">
        <f>+I3919</f>
        <v>26935.919999999998</v>
      </c>
    </row>
    <row r="3934" spans="3:9" ht="15.75">
      <c r="C3934" s="956" t="s">
        <v>927</v>
      </c>
      <c r="D3934" s="957"/>
      <c r="E3934" s="958"/>
      <c r="F3934" s="1069"/>
      <c r="G3934" s="957"/>
      <c r="H3934" s="1032"/>
      <c r="I3934" s="959">
        <f>+I3923</f>
        <v>44.64</v>
      </c>
    </row>
    <row r="3935" spans="3:9" ht="15.75">
      <c r="C3935" s="956" t="s">
        <v>928</v>
      </c>
      <c r="D3935" s="957"/>
      <c r="E3935" s="958"/>
      <c r="F3935" s="1069"/>
      <c r="G3935" s="957"/>
      <c r="H3935" s="1032"/>
      <c r="I3935" s="959">
        <f>+I3927</f>
        <v>0</v>
      </c>
    </row>
    <row r="3936" spans="3:9" ht="15.75">
      <c r="C3936" s="956" t="s">
        <v>929</v>
      </c>
      <c r="D3936" s="957"/>
      <c r="E3936" s="958"/>
      <c r="F3936" s="1069"/>
      <c r="G3936" s="957"/>
      <c r="H3936" s="1032"/>
      <c r="I3936" s="959">
        <f>+I3931</f>
        <v>0</v>
      </c>
    </row>
    <row r="3937" spans="1:9" ht="15.75">
      <c r="C3937" s="949"/>
      <c r="D3937" s="946"/>
      <c r="E3937" s="947"/>
      <c r="F3937" s="1054"/>
      <c r="G3937" s="946"/>
      <c r="H3937" s="1031"/>
      <c r="I3937" s="948"/>
    </row>
    <row r="3938" spans="1:9" ht="15.75">
      <c r="C3938" s="949"/>
      <c r="D3938" s="946"/>
      <c r="E3938" s="947"/>
      <c r="F3938" s="1054"/>
      <c r="G3938" s="946"/>
      <c r="H3938" s="1031"/>
      <c r="I3938" s="948"/>
    </row>
    <row r="3939" spans="1:9" ht="15.75">
      <c r="C3939" s="951" t="s">
        <v>930</v>
      </c>
      <c r="D3939" s="960"/>
      <c r="E3939" s="943" t="str">
        <f>+E3912</f>
        <v>M3</v>
      </c>
      <c r="F3939" s="1070"/>
      <c r="G3939" s="960"/>
      <c r="H3939" s="1033"/>
      <c r="I3939" s="952">
        <f>SUM(I3933:I3936)</f>
        <v>26980.560000000001</v>
      </c>
    </row>
    <row r="3940" spans="1:9" ht="15.75">
      <c r="C3940" s="951"/>
      <c r="D3940" s="960">
        <v>25</v>
      </c>
      <c r="E3940" s="943" t="s">
        <v>1558</v>
      </c>
      <c r="F3940" s="1070"/>
      <c r="G3940" s="960"/>
      <c r="H3940" s="1033"/>
      <c r="I3940" s="952"/>
    </row>
    <row r="3941" spans="1:9" ht="15.75">
      <c r="C3941" s="951"/>
      <c r="D3941" s="960"/>
      <c r="E3941" s="943" t="s">
        <v>15</v>
      </c>
      <c r="F3941" s="1070"/>
      <c r="G3941" s="960"/>
      <c r="H3941" s="1033"/>
      <c r="I3941" s="952">
        <f>+I3939/D3940</f>
        <v>1079.22</v>
      </c>
    </row>
    <row r="3942" spans="1:9" ht="15.75">
      <c r="C3942" s="951"/>
      <c r="D3942" s="960"/>
      <c r="E3942" s="943"/>
      <c r="F3942" s="1070"/>
      <c r="G3942" s="960"/>
      <c r="H3942" s="1033"/>
      <c r="I3942" s="952"/>
    </row>
    <row r="3943" spans="1:9" ht="15.75">
      <c r="A3943" s="1059"/>
      <c r="C3943" s="951"/>
      <c r="D3943" s="960"/>
      <c r="E3943" s="943"/>
      <c r="F3943" s="1070"/>
      <c r="G3943" s="960"/>
      <c r="H3943" s="1033"/>
      <c r="I3943" s="952"/>
    </row>
    <row r="3944" spans="1:9" ht="18.75" customHeight="1">
      <c r="B3944" s="1435" t="s">
        <v>1559</v>
      </c>
      <c r="C3944" s="1435"/>
      <c r="D3944" s="1435"/>
      <c r="E3944" s="1435"/>
      <c r="F3944" s="1435"/>
      <c r="G3944" s="1435"/>
      <c r="H3944" s="1435"/>
      <c r="I3944" s="1436"/>
    </row>
    <row r="3945" spans="1:9" ht="15.75">
      <c r="C3945" s="951"/>
      <c r="D3945" s="960"/>
      <c r="E3945" s="943"/>
      <c r="F3945" s="1070"/>
      <c r="G3945" s="960"/>
      <c r="H3945" s="1033"/>
      <c r="I3945" s="952"/>
    </row>
    <row r="3946" spans="1:9" ht="15.75">
      <c r="B3946" s="1024">
        <v>1.1000000000000001</v>
      </c>
      <c r="C3946" s="937" t="str">
        <f>+Presupuesto!B250</f>
        <v xml:space="preserve">Replanteo </v>
      </c>
      <c r="D3946" s="938"/>
      <c r="E3946" s="939" t="s">
        <v>140</v>
      </c>
      <c r="F3946" s="1066"/>
      <c r="G3946" s="938"/>
      <c r="H3946" s="1029"/>
      <c r="I3946" s="940">
        <f>I3975</f>
        <v>32457.25</v>
      </c>
    </row>
    <row r="3947" spans="1:9" ht="15.75">
      <c r="C3947" s="941" t="s">
        <v>908</v>
      </c>
      <c r="D3947" s="942" t="s">
        <v>9</v>
      </c>
      <c r="E3947" s="943" t="s">
        <v>10</v>
      </c>
      <c r="F3947" s="1067" t="s">
        <v>909</v>
      </c>
      <c r="G3947" s="942" t="s">
        <v>910</v>
      </c>
      <c r="H3947" s="1030" t="s">
        <v>911</v>
      </c>
      <c r="I3947" s="944" t="s">
        <v>912</v>
      </c>
    </row>
    <row r="3948" spans="1:9" ht="15.75">
      <c r="C3948" s="945" t="s">
        <v>913</v>
      </c>
      <c r="D3948" s="946"/>
      <c r="E3948" s="947"/>
      <c r="F3948" s="1054"/>
      <c r="G3948" s="946"/>
      <c r="H3948" s="1031"/>
      <c r="I3948" s="948"/>
    </row>
    <row r="3949" spans="1:9" ht="15.75">
      <c r="C3949" s="949" t="s">
        <v>914</v>
      </c>
      <c r="D3949" s="946">
        <f>33.94/28.83</f>
        <v>1.18</v>
      </c>
      <c r="E3949" s="947" t="str">
        <f>+VLOOKUP(C3949,'Basic (equilibrio) (2)'!B:D,2,FALSE)</f>
        <v>lb</v>
      </c>
      <c r="F3949" s="1068">
        <f>'Basic (equilibrio) (2)'!$D$326</f>
        <v>78.2</v>
      </c>
      <c r="G3949" s="946">
        <f>F3949-(F3949/1.18)</f>
        <v>11.93</v>
      </c>
      <c r="H3949" s="1031"/>
      <c r="I3949" s="948">
        <f>D3949*F3949</f>
        <v>92.28</v>
      </c>
    </row>
    <row r="3950" spans="1:9" ht="15.75">
      <c r="C3950" s="949" t="s">
        <v>915</v>
      </c>
      <c r="D3950" s="946">
        <f>22/28.83</f>
        <v>0.76</v>
      </c>
      <c r="E3950" s="950" t="str">
        <f>+VLOOKUP(C3950,'Basic (equilibrio) (2)'!B:D,2,FALSE)</f>
        <v>fda</v>
      </c>
      <c r="F3950" s="1068">
        <f>'Basic (equilibrio) (2)'!$D$327</f>
        <v>153.6</v>
      </c>
      <c r="G3950" s="946">
        <f>F3950-(F3950/1.18)</f>
        <v>23.43</v>
      </c>
      <c r="H3950" s="1031"/>
      <c r="I3950" s="948">
        <f>D3950*F3950</f>
        <v>116.74</v>
      </c>
    </row>
    <row r="3951" spans="1:9" ht="15.75">
      <c r="C3951" s="949" t="s">
        <v>916</v>
      </c>
      <c r="D3951" s="946">
        <f>160.42/28.83</f>
        <v>5.56</v>
      </c>
      <c r="E3951" s="947" t="str">
        <f>+VLOOKUP(C3951,'Basic (equilibrio) (2)'!B:D,2,FALSE)</f>
        <v>pt</v>
      </c>
      <c r="F3951" s="1068">
        <f>'Basic (equilibrio) (2)'!$D$194</f>
        <v>107.7</v>
      </c>
      <c r="G3951" s="946">
        <f>F3951-(F3951/1.18)</f>
        <v>16.43</v>
      </c>
      <c r="H3951" s="1031"/>
      <c r="I3951" s="948">
        <f>D3951*F3951</f>
        <v>598.80999999999995</v>
      </c>
    </row>
    <row r="3952" spans="1:9" ht="15.75">
      <c r="C3952" s="949" t="s">
        <v>917</v>
      </c>
      <c r="D3952" s="946">
        <f>3/28.83</f>
        <v>0.1</v>
      </c>
      <c r="E3952" s="950" t="str">
        <f>+VLOOKUP(C3952,'Basic (equilibrio) (2)'!B:D,2,FALSE)</f>
        <v>u</v>
      </c>
      <c r="F3952" s="1068">
        <f>'Basic (equilibrio) (2)'!$D$329</f>
        <v>139.19999999999999</v>
      </c>
      <c r="G3952" s="946">
        <f>F3952-(F3952/1.18)</f>
        <v>21.23</v>
      </c>
      <c r="H3952" s="1031"/>
      <c r="I3952" s="948">
        <f>D3952*F3952</f>
        <v>13.92</v>
      </c>
    </row>
    <row r="3953" spans="3:9" ht="15.75">
      <c r="C3953" s="951" t="s">
        <v>918</v>
      </c>
      <c r="D3953" s="946"/>
      <c r="E3953" s="947"/>
      <c r="F3953" s="1068"/>
      <c r="G3953" s="946"/>
      <c r="H3953" s="1031"/>
      <c r="I3953" s="952">
        <f>SUM(I3949:I3952)</f>
        <v>821.75</v>
      </c>
    </row>
    <row r="3954" spans="3:9" ht="15.75">
      <c r="C3954" s="949"/>
      <c r="D3954" s="946"/>
      <c r="E3954" s="947"/>
      <c r="F3954" s="1068"/>
      <c r="G3954" s="946"/>
      <c r="H3954" s="1031"/>
      <c r="I3954" s="948"/>
    </row>
    <row r="3955" spans="3:9" ht="15.75">
      <c r="C3955" s="945" t="s">
        <v>919</v>
      </c>
      <c r="D3955" s="946"/>
      <c r="E3955" s="947"/>
      <c r="F3955" s="1068"/>
      <c r="G3955" s="946"/>
      <c r="H3955" s="1031"/>
      <c r="I3955" s="948"/>
    </row>
    <row r="3956" spans="3:9" ht="15.75">
      <c r="C3956" s="949" t="s">
        <v>920</v>
      </c>
      <c r="D3956" s="953">
        <v>1</v>
      </c>
      <c r="E3956" s="954" t="str">
        <f>+VLOOKUP(C3956,'Basic (equilibrio) (2)'!B:D,2,FALSE)</f>
        <v>dia</v>
      </c>
      <c r="F3956" s="1068">
        <f>+'Basic (equilibrio) (2)'!$D$18</f>
        <v>28535.5</v>
      </c>
      <c r="G3956" s="946">
        <v>0</v>
      </c>
      <c r="H3956" s="1031"/>
      <c r="I3956" s="948">
        <f>D3956*F3956</f>
        <v>28535.5</v>
      </c>
    </row>
    <row r="3957" spans="3:9" ht="15.75">
      <c r="C3957" s="949" t="s">
        <v>921</v>
      </c>
      <c r="D3957" s="946">
        <v>1</v>
      </c>
      <c r="E3957" s="954" t="str">
        <f>+VLOOKUP(C3957,'Basic (equilibrio) (2)'!B:D,2,FALSE)</f>
        <v>dia</v>
      </c>
      <c r="F3957" s="1054">
        <f>'Basic (equilibrio) (2)'!$D$12</f>
        <v>1900</v>
      </c>
      <c r="G3957" s="946">
        <v>0</v>
      </c>
      <c r="H3957" s="1031"/>
      <c r="I3957" s="948">
        <f>D3957*F3957</f>
        <v>1900</v>
      </c>
    </row>
    <row r="3958" spans="3:9" ht="15.75">
      <c r="C3958" s="949" t="s">
        <v>922</v>
      </c>
      <c r="D3958" s="946">
        <v>1</v>
      </c>
      <c r="E3958" s="954" t="str">
        <f>+VLOOKUP(C3958,'Basic (equilibrio) (2)'!B:D,2,FALSE)</f>
        <v>dia</v>
      </c>
      <c r="F3958" s="1054">
        <f>'Basic (equilibrio) (2)'!$D$13</f>
        <v>1200</v>
      </c>
      <c r="G3958" s="946">
        <v>0</v>
      </c>
      <c r="H3958" s="1031"/>
      <c r="I3958" s="948">
        <f>D3958*F3958</f>
        <v>1200</v>
      </c>
    </row>
    <row r="3959" spans="3:9" ht="15.75">
      <c r="C3959" s="951" t="s">
        <v>918</v>
      </c>
      <c r="D3959" s="946"/>
      <c r="E3959" s="947"/>
      <c r="F3959" s="1054"/>
      <c r="G3959" s="946"/>
      <c r="H3959" s="1031"/>
      <c r="I3959" s="952">
        <f>SUM(I3956:I3958)</f>
        <v>31635.5</v>
      </c>
    </row>
    <row r="3960" spans="3:9" ht="15.75">
      <c r="C3960" s="949"/>
      <c r="D3960" s="946"/>
      <c r="E3960" s="947"/>
      <c r="F3960" s="1054"/>
      <c r="G3960" s="946"/>
      <c r="H3960" s="1031"/>
      <c r="I3960" s="948"/>
    </row>
    <row r="3961" spans="3:9" ht="15.75">
      <c r="C3961" s="945" t="s">
        <v>923</v>
      </c>
      <c r="D3961" s="946"/>
      <c r="E3961" s="947"/>
      <c r="F3961" s="1054"/>
      <c r="G3961" s="946"/>
      <c r="H3961" s="1031"/>
      <c r="I3961" s="948"/>
    </row>
    <row r="3962" spans="3:9" ht="15.75">
      <c r="C3962" s="949" t="s">
        <v>924</v>
      </c>
      <c r="D3962" s="946"/>
      <c r="E3962" s="947"/>
      <c r="F3962" s="1054">
        <f>+VLOOKUP(C3962,[49]BASICS!B:E,3,FALSE)</f>
        <v>0</v>
      </c>
      <c r="G3962" s="946">
        <f>F3962-(F3962/1.18)</f>
        <v>0</v>
      </c>
      <c r="H3962" s="1039"/>
      <c r="I3962" s="955">
        <f>D3962*F3962</f>
        <v>0</v>
      </c>
    </row>
    <row r="3963" spans="3:9" ht="15.75">
      <c r="C3963" s="951" t="s">
        <v>918</v>
      </c>
      <c r="D3963" s="946"/>
      <c r="E3963" s="947"/>
      <c r="F3963" s="1054"/>
      <c r="G3963" s="946"/>
      <c r="H3963" s="1031"/>
      <c r="I3963" s="952">
        <f>SUM(I3962)</f>
        <v>0</v>
      </c>
    </row>
    <row r="3964" spans="3:9" ht="15.75">
      <c r="C3964" s="949"/>
      <c r="D3964" s="946"/>
      <c r="E3964" s="947"/>
      <c r="F3964" s="1054"/>
      <c r="G3964" s="946"/>
      <c r="H3964" s="1031"/>
      <c r="I3964" s="948"/>
    </row>
    <row r="3965" spans="3:9" ht="15.75">
      <c r="C3965" s="945" t="s">
        <v>925</v>
      </c>
      <c r="D3965" s="946"/>
      <c r="E3965" s="947"/>
      <c r="F3965" s="1054"/>
      <c r="G3965" s="946"/>
      <c r="H3965" s="1031"/>
      <c r="I3965" s="948"/>
    </row>
    <row r="3966" spans="3:9" ht="15.75">
      <c r="C3966" s="949" t="s">
        <v>924</v>
      </c>
      <c r="D3966" s="946"/>
      <c r="E3966" s="947" t="str">
        <f>+VLOOKUP(C3966,'Basic (equilibrio) (2)'!B:D,2,FALSE)</f>
        <v>n/a</v>
      </c>
      <c r="F3966" s="1054">
        <f>+VLOOKUP(C3966,'Basic (equilibrio) (2)'!B:D,3,FALSE)</f>
        <v>0</v>
      </c>
      <c r="G3966" s="946">
        <f>F3966-(F3966/1.18)</f>
        <v>0</v>
      </c>
      <c r="H3966" s="1031"/>
      <c r="I3966" s="948">
        <f>D3966*F3966</f>
        <v>0</v>
      </c>
    </row>
    <row r="3967" spans="3:9" ht="15.75">
      <c r="C3967" s="951" t="s">
        <v>918</v>
      </c>
      <c r="D3967" s="946"/>
      <c r="E3967" s="947"/>
      <c r="F3967" s="1054"/>
      <c r="G3967" s="946"/>
      <c r="H3967" s="1031"/>
      <c r="I3967" s="952">
        <f>SUM(I3966)</f>
        <v>0</v>
      </c>
    </row>
    <row r="3968" spans="3:9" ht="15.75">
      <c r="C3968" s="951"/>
      <c r="D3968" s="946"/>
      <c r="E3968" s="947"/>
      <c r="F3968" s="1054"/>
      <c r="G3968" s="946"/>
      <c r="H3968" s="1031"/>
      <c r="I3968" s="952"/>
    </row>
    <row r="3969" spans="2:9" ht="15.75">
      <c r="C3969" s="956" t="s">
        <v>926</v>
      </c>
      <c r="D3969" s="957"/>
      <c r="E3969" s="958"/>
      <c r="F3969" s="1069"/>
      <c r="G3969" s="957"/>
      <c r="H3969" s="1032"/>
      <c r="I3969" s="959">
        <f>+I3953</f>
        <v>821.75</v>
      </c>
    </row>
    <row r="3970" spans="2:9" ht="15.75">
      <c r="C3970" s="956" t="s">
        <v>927</v>
      </c>
      <c r="D3970" s="957"/>
      <c r="E3970" s="958"/>
      <c r="F3970" s="1069"/>
      <c r="G3970" s="957"/>
      <c r="H3970" s="1032"/>
      <c r="I3970" s="959">
        <f>+I3959</f>
        <v>31635.5</v>
      </c>
    </row>
    <row r="3971" spans="2:9" ht="15.75">
      <c r="C3971" s="956" t="s">
        <v>928</v>
      </c>
      <c r="D3971" s="957"/>
      <c r="E3971" s="958"/>
      <c r="F3971" s="1069"/>
      <c r="G3971" s="957"/>
      <c r="H3971" s="1032"/>
      <c r="I3971" s="959">
        <f>+I3963</f>
        <v>0</v>
      </c>
    </row>
    <row r="3972" spans="2:9" ht="15.75">
      <c r="C3972" s="956" t="s">
        <v>929</v>
      </c>
      <c r="D3972" s="957"/>
      <c r="E3972" s="958"/>
      <c r="F3972" s="1069"/>
      <c r="G3972" s="957"/>
      <c r="H3972" s="1032"/>
      <c r="I3972" s="959">
        <f>+I3967</f>
        <v>0</v>
      </c>
    </row>
    <row r="3973" spans="2:9" ht="15.75">
      <c r="C3973" s="949"/>
      <c r="D3973" s="946"/>
      <c r="E3973" s="947"/>
      <c r="F3973" s="1054"/>
      <c r="G3973" s="946"/>
      <c r="H3973" s="1031"/>
      <c r="I3973" s="948"/>
    </row>
    <row r="3974" spans="2:9" ht="15.75">
      <c r="C3974" s="949"/>
      <c r="D3974" s="946"/>
      <c r="E3974" s="947"/>
      <c r="F3974" s="1054"/>
      <c r="G3974" s="946"/>
      <c r="H3974" s="1031"/>
      <c r="I3974" s="948"/>
    </row>
    <row r="3975" spans="2:9" ht="15.75">
      <c r="C3975" s="951" t="s">
        <v>930</v>
      </c>
      <c r="D3975" s="960"/>
      <c r="E3975" s="943" t="str">
        <f>+E3946</f>
        <v>P.A</v>
      </c>
      <c r="F3975" s="1070"/>
      <c r="G3975" s="960"/>
      <c r="H3975" s="1033"/>
      <c r="I3975" s="952">
        <f>SUM(I3969:I3972)</f>
        <v>32457.25</v>
      </c>
    </row>
    <row r="3976" spans="2:9" ht="15.75">
      <c r="C3976" s="949"/>
      <c r="D3976" s="946"/>
      <c r="E3976" s="947"/>
      <c r="F3976" s="1054"/>
      <c r="G3976" s="946"/>
      <c r="H3976" s="1031"/>
      <c r="I3976" s="948"/>
    </row>
    <row r="3977" spans="2:9" ht="15.75">
      <c r="B3977" s="1026">
        <v>2.1</v>
      </c>
      <c r="C3977" s="937" t="str">
        <f>+Presupuesto!B253</f>
        <v>Excavación de material no clasificado c/equipo</v>
      </c>
      <c r="D3977" s="938"/>
      <c r="E3977" s="962" t="s">
        <v>1554</v>
      </c>
      <c r="F3977" s="1066"/>
      <c r="G3977" s="938"/>
      <c r="H3977" s="1029"/>
      <c r="I3977" s="940">
        <f>I4002</f>
        <v>118.09</v>
      </c>
    </row>
    <row r="3978" spans="2:9" ht="15.75">
      <c r="C3978" s="941" t="s">
        <v>908</v>
      </c>
      <c r="D3978" s="942" t="s">
        <v>9</v>
      </c>
      <c r="E3978" s="943" t="s">
        <v>10</v>
      </c>
      <c r="F3978" s="1067" t="s">
        <v>909</v>
      </c>
      <c r="G3978" s="942" t="s">
        <v>910</v>
      </c>
      <c r="H3978" s="1030" t="s">
        <v>911</v>
      </c>
      <c r="I3978" s="944" t="s">
        <v>912</v>
      </c>
    </row>
    <row r="3979" spans="2:9" ht="15.75">
      <c r="C3979" s="945" t="s">
        <v>913</v>
      </c>
      <c r="D3979" s="946"/>
      <c r="E3979" s="947"/>
      <c r="F3979" s="1054"/>
      <c r="G3979" s="946"/>
      <c r="H3979" s="1031"/>
      <c r="I3979" s="948"/>
    </row>
    <row r="3980" spans="2:9" ht="15.75">
      <c r="C3980" s="949" t="s">
        <v>924</v>
      </c>
      <c r="D3980" s="946"/>
      <c r="E3980" s="947" t="str">
        <f>+VLOOKUP(C3980,'Basic (equilibrio) (2)'!B:D,2,FALSE)</f>
        <v>n/a</v>
      </c>
      <c r="F3980" s="1068">
        <f>+VLOOKUP(C3980,'Basic (equilibrio) (2)'!B:D,3,FALSE)</f>
        <v>0</v>
      </c>
      <c r="G3980" s="946">
        <f>F3980-(F3980/1.18)</f>
        <v>0</v>
      </c>
      <c r="H3980" s="1031"/>
      <c r="I3980" s="948">
        <f>D3980*F3980</f>
        <v>0</v>
      </c>
    </row>
    <row r="3981" spans="2:9" ht="15.75">
      <c r="C3981" s="951" t="s">
        <v>918</v>
      </c>
      <c r="D3981" s="946"/>
      <c r="E3981" s="947"/>
      <c r="F3981" s="1068"/>
      <c r="G3981" s="946"/>
      <c r="H3981" s="1031"/>
      <c r="I3981" s="952">
        <f>SUM(I3980:I3980)</f>
        <v>0</v>
      </c>
    </row>
    <row r="3982" spans="2:9" ht="15.75">
      <c r="C3982" s="949"/>
      <c r="D3982" s="946"/>
      <c r="E3982" s="947"/>
      <c r="F3982" s="1068"/>
      <c r="G3982" s="946"/>
      <c r="H3982" s="1031"/>
      <c r="I3982" s="948"/>
    </row>
    <row r="3983" spans="2:9" ht="15.75">
      <c r="C3983" s="945" t="s">
        <v>919</v>
      </c>
      <c r="D3983" s="946"/>
      <c r="E3983" s="947"/>
      <c r="F3983" s="1068"/>
      <c r="G3983" s="946"/>
      <c r="H3983" s="1031"/>
      <c r="I3983" s="948"/>
    </row>
    <row r="3984" spans="2:9" ht="15.75">
      <c r="C3984" s="949" t="s">
        <v>931</v>
      </c>
      <c r="D3984" s="953">
        <v>0.13</v>
      </c>
      <c r="E3984" s="954" t="str">
        <f>+VLOOKUP(C3984,'Basic (equilibrio) (2)'!B:D,2,FALSE)</f>
        <v>dia</v>
      </c>
      <c r="F3984" s="1068">
        <f>'Basic (equilibrio) (2)'!$D$14</f>
        <v>900</v>
      </c>
      <c r="G3984" s="946">
        <v>0</v>
      </c>
      <c r="H3984" s="1031">
        <v>70</v>
      </c>
      <c r="I3984" s="948">
        <f>(D3984*F3984)/H3984</f>
        <v>1.67</v>
      </c>
    </row>
    <row r="3985" spans="3:9" ht="15.75">
      <c r="C3985" s="951" t="s">
        <v>918</v>
      </c>
      <c r="D3985" s="946"/>
      <c r="E3985" s="947"/>
      <c r="F3985" s="1054"/>
      <c r="G3985" s="946"/>
      <c r="H3985" s="1031"/>
      <c r="I3985" s="952">
        <f>SUM(I3984:I3984)</f>
        <v>1.67</v>
      </c>
    </row>
    <row r="3986" spans="3:9" ht="15.75">
      <c r="C3986" s="949"/>
      <c r="D3986" s="946"/>
      <c r="E3986" s="947"/>
      <c r="F3986" s="1054"/>
      <c r="G3986" s="946"/>
      <c r="H3986" s="1031"/>
      <c r="I3986" s="948"/>
    </row>
    <row r="3987" spans="3:9" ht="15.75">
      <c r="C3987" s="945" t="s">
        <v>923</v>
      </c>
      <c r="D3987" s="946"/>
      <c r="E3987" s="947"/>
      <c r="F3987" s="1054"/>
      <c r="G3987" s="946"/>
      <c r="H3987" s="1031"/>
      <c r="I3987" s="948"/>
    </row>
    <row r="3988" spans="3:9" ht="31.5">
      <c r="C3988" s="949" t="s">
        <v>932</v>
      </c>
      <c r="D3988" s="946">
        <v>1</v>
      </c>
      <c r="E3988" s="947" t="str">
        <f>+VLOOKUP(C3988,'Basic (equilibrio) (2)'!B:D,2,FALSE)</f>
        <v>hr</v>
      </c>
      <c r="F3988" s="1054">
        <f>'Basic (equilibrio) (2)'!$D$690</f>
        <v>3900</v>
      </c>
      <c r="G3988" s="946">
        <f>F3988-(F3988/1.18)</f>
        <v>594.91999999999996</v>
      </c>
      <c r="H3988" s="1039">
        <v>70</v>
      </c>
      <c r="I3988" s="955">
        <f>D3988*F3988/H3988</f>
        <v>55.71</v>
      </c>
    </row>
    <row r="3989" spans="3:9" ht="15.75">
      <c r="C3989" s="949" t="s">
        <v>933</v>
      </c>
      <c r="D3989" s="946">
        <v>1</v>
      </c>
      <c r="E3989" s="947" t="str">
        <f>+VLOOKUP(C3989,'Basic (equilibrio) (2)'!B:D,2,FALSE)</f>
        <v>hr</v>
      </c>
      <c r="F3989" s="1054">
        <f>'Basic (equilibrio) (2)'!$D$682</f>
        <v>4250</v>
      </c>
      <c r="G3989" s="946">
        <f>F3989-(F3989/1.18)</f>
        <v>648.30999999999995</v>
      </c>
      <c r="H3989" s="1039">
        <v>70</v>
      </c>
      <c r="I3989" s="955">
        <f>D3989*F3989/H3989</f>
        <v>60.71</v>
      </c>
    </row>
    <row r="3990" spans="3:9" ht="15.75">
      <c r="C3990" s="951" t="s">
        <v>918</v>
      </c>
      <c r="D3990" s="946"/>
      <c r="E3990" s="947"/>
      <c r="G3990" s="1054"/>
      <c r="H3990" s="1031"/>
      <c r="I3990" s="952">
        <f>SUM(I3988:I3989)</f>
        <v>116.42</v>
      </c>
    </row>
    <row r="3991" spans="3:9" ht="15.75">
      <c r="C3991" s="949"/>
      <c r="D3991" s="946"/>
      <c r="E3991" s="947"/>
      <c r="F3991" s="1054"/>
      <c r="G3991" s="946"/>
      <c r="H3991" s="1031"/>
      <c r="I3991" s="948"/>
    </row>
    <row r="3992" spans="3:9" ht="15.75">
      <c r="C3992" s="945" t="s">
        <v>925</v>
      </c>
      <c r="D3992" s="946"/>
      <c r="E3992" s="947"/>
      <c r="F3992" s="1054"/>
      <c r="G3992" s="946"/>
      <c r="H3992" s="1031"/>
      <c r="I3992" s="948"/>
    </row>
    <row r="3993" spans="3:9" ht="15.75">
      <c r="C3993" s="949" t="s">
        <v>925</v>
      </c>
      <c r="D3993" s="946">
        <f>+I3990</f>
        <v>116.42</v>
      </c>
      <c r="E3993" s="947" t="str">
        <f>+VLOOKUP(C3993,'Basic (equilibrio) (2)'!B:D,2,FALSE)</f>
        <v>Pa</v>
      </c>
      <c r="F3993" s="1054">
        <f>+VLOOKUP(C3993,'Basic (equilibrio) (2)'!B:D,3,FALSE)</f>
        <v>0</v>
      </c>
      <c r="G3993" s="946"/>
      <c r="H3993" s="1031"/>
      <c r="I3993" s="948">
        <f>D3993*F3993</f>
        <v>0</v>
      </c>
    </row>
    <row r="3994" spans="3:9" ht="15.75">
      <c r="C3994" s="951" t="s">
        <v>918</v>
      </c>
      <c r="D3994" s="946"/>
      <c r="E3994" s="947"/>
      <c r="F3994" s="1054"/>
      <c r="G3994" s="946"/>
      <c r="H3994" s="1031"/>
      <c r="I3994" s="952">
        <f>SUM(I3993)</f>
        <v>0</v>
      </c>
    </row>
    <row r="3995" spans="3:9" ht="15.75">
      <c r="C3995" s="951"/>
      <c r="D3995" s="946"/>
      <c r="E3995" s="947"/>
      <c r="F3995" s="1054"/>
      <c r="G3995" s="946"/>
      <c r="H3995" s="1031"/>
      <c r="I3995" s="952"/>
    </row>
    <row r="3996" spans="3:9" ht="15.75">
      <c r="C3996" s="956" t="s">
        <v>926</v>
      </c>
      <c r="D3996" s="957"/>
      <c r="E3996" s="958"/>
      <c r="F3996" s="1069"/>
      <c r="G3996" s="957"/>
      <c r="H3996" s="1032"/>
      <c r="I3996" s="959">
        <f>+I3981</f>
        <v>0</v>
      </c>
    </row>
    <row r="3997" spans="3:9" ht="15.75">
      <c r="C3997" s="956" t="s">
        <v>927</v>
      </c>
      <c r="D3997" s="957"/>
      <c r="E3997" s="958"/>
      <c r="F3997" s="1069"/>
      <c r="G3997" s="957"/>
      <c r="H3997" s="1032"/>
      <c r="I3997" s="959">
        <f>+I3985</f>
        <v>1.67</v>
      </c>
    </row>
    <row r="3998" spans="3:9" ht="15.75">
      <c r="C3998" s="956" t="s">
        <v>928</v>
      </c>
      <c r="D3998" s="957"/>
      <c r="E3998" s="958"/>
      <c r="F3998" s="1069"/>
      <c r="G3998" s="957"/>
      <c r="H3998" s="1032"/>
      <c r="I3998" s="959">
        <f>+I3990</f>
        <v>116.42</v>
      </c>
    </row>
    <row r="3999" spans="3:9" ht="15.75">
      <c r="C3999" s="956" t="s">
        <v>929</v>
      </c>
      <c r="D3999" s="957"/>
      <c r="E3999" s="958"/>
      <c r="F3999" s="1069"/>
      <c r="G3999" s="957"/>
      <c r="H3999" s="1032"/>
      <c r="I3999" s="959">
        <f>+I3994</f>
        <v>0</v>
      </c>
    </row>
    <row r="4000" spans="3:9" ht="15.75">
      <c r="C4000" s="949"/>
      <c r="D4000" s="946"/>
      <c r="E4000" s="947"/>
      <c r="F4000" s="1054"/>
      <c r="G4000" s="946"/>
      <c r="H4000" s="1031"/>
      <c r="I4000" s="948"/>
    </row>
    <row r="4001" spans="2:9" ht="15.75">
      <c r="C4001" s="949"/>
      <c r="D4001" s="946"/>
      <c r="E4001" s="947"/>
      <c r="F4001" s="1054"/>
      <c r="G4001" s="946"/>
      <c r="H4001" s="1031"/>
      <c r="I4001" s="948"/>
    </row>
    <row r="4002" spans="2:9" ht="15.75">
      <c r="C4002" s="951" t="s">
        <v>930</v>
      </c>
      <c r="D4002" s="960"/>
      <c r="E4002" s="943" t="str">
        <f>+E3977</f>
        <v>M3N</v>
      </c>
      <c r="F4002" s="1070"/>
      <c r="G4002" s="960"/>
      <c r="H4002" s="1033"/>
      <c r="I4002" s="952">
        <f>SUM(I3996:I3999)</f>
        <v>118.09</v>
      </c>
    </row>
    <row r="4003" spans="2:9" ht="15.75">
      <c r="C4003" s="949"/>
      <c r="D4003" s="946"/>
      <c r="E4003" s="947"/>
      <c r="F4003" s="1054"/>
      <c r="G4003" s="946"/>
      <c r="H4003" s="1031"/>
      <c r="I4003" s="948"/>
    </row>
    <row r="4004" spans="2:9" ht="15.75">
      <c r="C4004" s="951"/>
      <c r="D4004" s="960"/>
      <c r="E4004" s="943"/>
      <c r="F4004" s="1070"/>
      <c r="G4004" s="960"/>
      <c r="H4004" s="1033"/>
      <c r="I4004" s="952"/>
    </row>
    <row r="4005" spans="2:9" ht="15.75">
      <c r="B4005" s="1026">
        <v>2.2000000000000002</v>
      </c>
      <c r="C4005" s="937" t="str">
        <f>+Presupuesto!B254</f>
        <v>Suministro de material de mina</v>
      </c>
      <c r="D4005" s="938"/>
      <c r="E4005" s="962" t="s">
        <v>22</v>
      </c>
      <c r="F4005" s="1066"/>
      <c r="G4005" s="938"/>
      <c r="H4005" s="1029"/>
      <c r="I4005" s="940">
        <f>I4029</f>
        <v>732</v>
      </c>
    </row>
    <row r="4006" spans="2:9" ht="15.75">
      <c r="C4006" s="941" t="s">
        <v>908</v>
      </c>
      <c r="D4006" s="942" t="s">
        <v>9</v>
      </c>
      <c r="E4006" s="943" t="s">
        <v>10</v>
      </c>
      <c r="F4006" s="1067" t="s">
        <v>909</v>
      </c>
      <c r="G4006" s="942" t="s">
        <v>910</v>
      </c>
      <c r="H4006" s="1030" t="s">
        <v>911</v>
      </c>
      <c r="I4006" s="944" t="s">
        <v>912</v>
      </c>
    </row>
    <row r="4007" spans="2:9" ht="15.75">
      <c r="C4007" s="945" t="s">
        <v>913</v>
      </c>
      <c r="D4007" s="946"/>
      <c r="E4007" s="947"/>
      <c r="F4007" s="1054"/>
      <c r="G4007" s="946"/>
      <c r="H4007" s="1031"/>
      <c r="I4007" s="948"/>
    </row>
    <row r="4008" spans="2:9" ht="15.75">
      <c r="C4008" s="949" t="s">
        <v>1176</v>
      </c>
      <c r="D4008" s="946">
        <v>1.3</v>
      </c>
      <c r="E4008" s="947" t="str">
        <f>+VLOOKUP(C4008,'Basic (equilibrio) (2)'!B:D,2,FALSE)</f>
        <v>m3e</v>
      </c>
      <c r="F4008" s="1068">
        <f>'Basic (equilibrio) (2)'!$D$176</f>
        <v>300</v>
      </c>
      <c r="G4008" s="946">
        <f>F4008-(F4008/1.18)</f>
        <v>45.76</v>
      </c>
      <c r="H4008" s="1031"/>
      <c r="I4008" s="948">
        <f>D4008*F4008</f>
        <v>390</v>
      </c>
    </row>
    <row r="4009" spans="2:9" ht="15.75">
      <c r="C4009" s="951" t="s">
        <v>918</v>
      </c>
      <c r="D4009" s="946"/>
      <c r="E4009" s="947"/>
      <c r="F4009" s="1068"/>
      <c r="G4009" s="946"/>
      <c r="H4009" s="1031"/>
      <c r="I4009" s="952">
        <f>SUM(I4008:I4008)</f>
        <v>390</v>
      </c>
    </row>
    <row r="4010" spans="2:9" ht="15.75">
      <c r="C4010" s="949"/>
      <c r="D4010" s="946"/>
      <c r="E4010" s="947"/>
      <c r="F4010" s="1068"/>
      <c r="G4010" s="946"/>
      <c r="H4010" s="1031"/>
      <c r="I4010" s="948"/>
    </row>
    <row r="4011" spans="2:9" ht="15.75">
      <c r="C4011" s="945" t="s">
        <v>919</v>
      </c>
      <c r="D4011" s="946"/>
      <c r="E4011" s="947"/>
      <c r="F4011" s="1068"/>
      <c r="G4011" s="946"/>
      <c r="H4011" s="1031"/>
      <c r="I4011" s="948"/>
    </row>
    <row r="4012" spans="2:9" ht="15.75">
      <c r="C4012" s="949" t="s">
        <v>924</v>
      </c>
      <c r="D4012" s="953"/>
      <c r="E4012" s="954" t="str">
        <f>+VLOOKUP(C4012,'Basic (equilibrio) (2)'!B:D,2,FALSE)</f>
        <v>n/a</v>
      </c>
      <c r="F4012" s="1068">
        <f>+VLOOKUP(C4012,'Basic (equilibrio) (2)'!B:D,3,FALSE)</f>
        <v>0</v>
      </c>
      <c r="G4012" s="946">
        <v>0</v>
      </c>
      <c r="H4012" s="1031"/>
      <c r="I4012" s="948">
        <f>(D4012*F4012)</f>
        <v>0</v>
      </c>
    </row>
    <row r="4013" spans="2:9" ht="15.75">
      <c r="C4013" s="951" t="s">
        <v>918</v>
      </c>
      <c r="D4013" s="946"/>
      <c r="E4013" s="947"/>
      <c r="F4013" s="1054"/>
      <c r="G4013" s="946"/>
      <c r="H4013" s="1031"/>
      <c r="I4013" s="952">
        <f>SUM(I4012:I4012)</f>
        <v>0</v>
      </c>
    </row>
    <row r="4014" spans="2:9" ht="15.75">
      <c r="C4014" s="949"/>
      <c r="D4014" s="946"/>
      <c r="E4014" s="947"/>
      <c r="F4014" s="1054"/>
      <c r="G4014" s="946"/>
      <c r="H4014" s="1031"/>
      <c r="I4014" s="948"/>
    </row>
    <row r="4015" spans="2:9" ht="15.75">
      <c r="C4015" s="945" t="s">
        <v>923</v>
      </c>
      <c r="D4015" s="946"/>
      <c r="E4015" s="947"/>
      <c r="F4015" s="1054"/>
      <c r="G4015" s="946"/>
      <c r="H4015" s="1031"/>
      <c r="I4015" s="948"/>
    </row>
    <row r="4016" spans="2:9" ht="15.75">
      <c r="C4016" s="949" t="s">
        <v>1177</v>
      </c>
      <c r="D4016" s="946">
        <v>1</v>
      </c>
      <c r="E4016" s="947" t="str">
        <f>+VLOOKUP(C4016,'Basic (equilibrio) (2)'!B:D,2,FALSE)</f>
        <v>m3e</v>
      </c>
      <c r="F4016" s="1054">
        <f>'Basic (equilibrio) (2)'!$D$177</f>
        <v>342</v>
      </c>
      <c r="G4016" s="946">
        <f>F4016-(F4016/1.18)</f>
        <v>52.17</v>
      </c>
      <c r="H4016" s="1039"/>
      <c r="I4016" s="955">
        <f>D4016*F4016</f>
        <v>342</v>
      </c>
    </row>
    <row r="4017" spans="2:9" ht="15.75">
      <c r="C4017" s="951" t="s">
        <v>918</v>
      </c>
      <c r="D4017" s="946"/>
      <c r="E4017" s="947"/>
      <c r="F4017" s="1054"/>
      <c r="G4017" s="946"/>
      <c r="H4017" s="1031"/>
      <c r="I4017" s="952">
        <f>SUM(I4016:I4016)</f>
        <v>342</v>
      </c>
    </row>
    <row r="4018" spans="2:9" ht="15.75">
      <c r="C4018" s="949"/>
      <c r="D4018" s="946"/>
      <c r="E4018" s="947"/>
      <c r="F4018" s="1054"/>
      <c r="G4018" s="946"/>
      <c r="H4018" s="1031"/>
      <c r="I4018" s="948"/>
    </row>
    <row r="4019" spans="2:9" ht="15.75">
      <c r="C4019" s="945" t="s">
        <v>925</v>
      </c>
      <c r="D4019" s="946"/>
      <c r="E4019" s="947"/>
      <c r="F4019" s="1054"/>
      <c r="G4019" s="946"/>
      <c r="H4019" s="1031"/>
      <c r="I4019" s="948"/>
    </row>
    <row r="4020" spans="2:9" ht="15.75">
      <c r="C4020" s="949" t="s">
        <v>924</v>
      </c>
      <c r="D4020" s="946"/>
      <c r="E4020" s="947" t="str">
        <f>+VLOOKUP(C4020,'Basic (equilibrio) (2)'!B:D,2,FALSE)</f>
        <v>n/a</v>
      </c>
      <c r="F4020" s="1054">
        <f>+VLOOKUP(C4020,'Basic (equilibrio) (2)'!B:D,3,FALSE)</f>
        <v>0</v>
      </c>
      <c r="G4020" s="946"/>
      <c r="H4020" s="1031"/>
      <c r="I4020" s="948">
        <f>D4020*F4020</f>
        <v>0</v>
      </c>
    </row>
    <row r="4021" spans="2:9" ht="15.75">
      <c r="C4021" s="951" t="s">
        <v>918</v>
      </c>
      <c r="D4021" s="946"/>
      <c r="E4021" s="947"/>
      <c r="F4021" s="1054"/>
      <c r="G4021" s="946"/>
      <c r="H4021" s="1031"/>
      <c r="I4021" s="952">
        <f>SUM(I4020)</f>
        <v>0</v>
      </c>
    </row>
    <row r="4022" spans="2:9" ht="15.75">
      <c r="C4022" s="951"/>
      <c r="D4022" s="946"/>
      <c r="E4022" s="947"/>
      <c r="F4022" s="1054"/>
      <c r="G4022" s="946"/>
      <c r="H4022" s="1031"/>
      <c r="I4022" s="952"/>
    </row>
    <row r="4023" spans="2:9" ht="15.75">
      <c r="C4023" s="956" t="s">
        <v>926</v>
      </c>
      <c r="D4023" s="957"/>
      <c r="E4023" s="958"/>
      <c r="F4023" s="1069"/>
      <c r="G4023" s="957"/>
      <c r="H4023" s="1032"/>
      <c r="I4023" s="959">
        <f>+I4009</f>
        <v>390</v>
      </c>
    </row>
    <row r="4024" spans="2:9" ht="15.75">
      <c r="C4024" s="956" t="s">
        <v>927</v>
      </c>
      <c r="D4024" s="957"/>
      <c r="E4024" s="958"/>
      <c r="F4024" s="1069"/>
      <c r="G4024" s="957"/>
      <c r="H4024" s="1032"/>
      <c r="I4024" s="959">
        <f>+I4013</f>
        <v>0</v>
      </c>
    </row>
    <row r="4025" spans="2:9" ht="15.75">
      <c r="C4025" s="956" t="s">
        <v>928</v>
      </c>
      <c r="D4025" s="957"/>
      <c r="E4025" s="958"/>
      <c r="F4025" s="1069"/>
      <c r="G4025" s="957"/>
      <c r="H4025" s="1032"/>
      <c r="I4025" s="959">
        <f>+I4017</f>
        <v>342</v>
      </c>
    </row>
    <row r="4026" spans="2:9" ht="15.75">
      <c r="C4026" s="956" t="s">
        <v>929</v>
      </c>
      <c r="D4026" s="957"/>
      <c r="E4026" s="958"/>
      <c r="F4026" s="1069"/>
      <c r="G4026" s="957"/>
      <c r="H4026" s="1032"/>
      <c r="I4026" s="959">
        <f>+I4021</f>
        <v>0</v>
      </c>
    </row>
    <row r="4027" spans="2:9" ht="15.75">
      <c r="C4027" s="949"/>
      <c r="D4027" s="946"/>
      <c r="E4027" s="947"/>
      <c r="F4027" s="1054"/>
      <c r="G4027" s="946"/>
      <c r="H4027" s="1031"/>
      <c r="I4027" s="948"/>
    </row>
    <row r="4028" spans="2:9" ht="15.75">
      <c r="C4028" s="949"/>
      <c r="D4028" s="946"/>
      <c r="E4028" s="947"/>
      <c r="F4028" s="1054"/>
      <c r="G4028" s="946"/>
      <c r="H4028" s="1031"/>
      <c r="I4028" s="948"/>
    </row>
    <row r="4029" spans="2:9" ht="15.75">
      <c r="C4029" s="951" t="s">
        <v>930</v>
      </c>
      <c r="D4029" s="960"/>
      <c r="E4029" s="943" t="str">
        <f>+E4005</f>
        <v>M3</v>
      </c>
      <c r="F4029" s="1070"/>
      <c r="G4029" s="960"/>
      <c r="H4029" s="1033"/>
      <c r="I4029" s="952">
        <f>SUM(I4023:I4026)</f>
        <v>732</v>
      </c>
    </row>
    <row r="4030" spans="2:9" ht="15.75">
      <c r="C4030" s="949"/>
      <c r="D4030" s="946"/>
      <c r="E4030" s="947"/>
      <c r="F4030" s="1054"/>
      <c r="G4030" s="946"/>
      <c r="H4030" s="1031"/>
      <c r="I4030" s="948"/>
    </row>
    <row r="4031" spans="2:9" ht="15.75">
      <c r="C4031" s="949"/>
      <c r="D4031" s="946"/>
      <c r="E4031" s="947"/>
      <c r="F4031" s="1054"/>
      <c r="G4031" s="946"/>
      <c r="H4031" s="1031"/>
      <c r="I4031" s="948"/>
    </row>
    <row r="4032" spans="2:9" ht="15.75">
      <c r="B4032" s="1026">
        <v>2.2999999999999998</v>
      </c>
      <c r="C4032" s="937" t="str">
        <f>+Presupuesto!B255</f>
        <v>Relleno de material compactado c/compactador mecánico</v>
      </c>
      <c r="D4032" s="938"/>
      <c r="E4032" s="962" t="s">
        <v>219</v>
      </c>
      <c r="F4032" s="1066"/>
      <c r="G4032" s="938"/>
      <c r="H4032" s="1029"/>
      <c r="I4032" s="940">
        <f>I4058</f>
        <v>87.49</v>
      </c>
    </row>
    <row r="4033" spans="3:9" ht="15.75">
      <c r="C4033" s="941" t="s">
        <v>908</v>
      </c>
      <c r="D4033" s="942" t="s">
        <v>9</v>
      </c>
      <c r="E4033" s="943" t="s">
        <v>10</v>
      </c>
      <c r="F4033" s="1067" t="s">
        <v>909</v>
      </c>
      <c r="G4033" s="942" t="s">
        <v>910</v>
      </c>
      <c r="H4033" s="1030" t="s">
        <v>911</v>
      </c>
      <c r="I4033" s="944" t="s">
        <v>912</v>
      </c>
    </row>
    <row r="4034" spans="3:9" ht="15.75">
      <c r="C4034" s="945" t="s">
        <v>913</v>
      </c>
      <c r="D4034" s="946"/>
      <c r="E4034" s="947"/>
      <c r="F4034" s="1054"/>
      <c r="G4034" s="946"/>
      <c r="H4034" s="1031"/>
      <c r="I4034" s="948"/>
    </row>
    <row r="4035" spans="3:9" ht="15.75">
      <c r="C4035" s="949" t="s">
        <v>924</v>
      </c>
      <c r="D4035" s="946">
        <v>1.3</v>
      </c>
      <c r="E4035" s="947" t="str">
        <f>+VLOOKUP(C4035,'Basic (equilibrio) (2)'!B:D,2,FALSE)</f>
        <v>n/a</v>
      </c>
      <c r="F4035" s="1068">
        <f>+VLOOKUP(C4035,'Basic (equilibrio) (2)'!B:D,3,FALSE)</f>
        <v>0</v>
      </c>
      <c r="G4035" s="946">
        <f>F4035-(F4035/1.18)</f>
        <v>0</v>
      </c>
      <c r="H4035" s="1031"/>
      <c r="I4035" s="948">
        <f>D4035*F4035</f>
        <v>0</v>
      </c>
    </row>
    <row r="4036" spans="3:9" ht="15.75">
      <c r="C4036" s="951" t="s">
        <v>918</v>
      </c>
      <c r="D4036" s="946"/>
      <c r="E4036" s="947"/>
      <c r="F4036" s="1068"/>
      <c r="G4036" s="946"/>
      <c r="H4036" s="1031"/>
      <c r="I4036" s="952">
        <f>SUM(I4035:I4035)</f>
        <v>0</v>
      </c>
    </row>
    <row r="4037" spans="3:9" ht="15.75">
      <c r="C4037" s="949"/>
      <c r="D4037" s="946"/>
      <c r="E4037" s="947"/>
      <c r="F4037" s="1068"/>
      <c r="G4037" s="946"/>
      <c r="H4037" s="1031"/>
      <c r="I4037" s="948"/>
    </row>
    <row r="4038" spans="3:9" ht="15.75">
      <c r="C4038" s="945" t="s">
        <v>919</v>
      </c>
      <c r="D4038" s="946"/>
      <c r="E4038" s="947"/>
      <c r="F4038" s="1068"/>
      <c r="G4038" s="946"/>
      <c r="H4038" s="1031"/>
      <c r="I4038" s="948"/>
    </row>
    <row r="4039" spans="3:9" ht="15.75">
      <c r="C4039" s="949" t="s">
        <v>931</v>
      </c>
      <c r="D4039" s="953">
        <v>0.25</v>
      </c>
      <c r="E4039" s="954" t="str">
        <f>+VLOOKUP(C4039,'Basic (equilibrio) (2)'!B:D,2,FALSE)</f>
        <v>dia</v>
      </c>
      <c r="F4039" s="1068">
        <f>'Basic (equilibrio) (2)'!$D$14</f>
        <v>900</v>
      </c>
      <c r="G4039" s="946">
        <v>0</v>
      </c>
      <c r="H4039" s="1031">
        <v>70</v>
      </c>
      <c r="I4039" s="948">
        <f>(D4039*F4039)/H4039</f>
        <v>3.21</v>
      </c>
    </row>
    <row r="4040" spans="3:9" ht="15.75">
      <c r="C4040" s="951" t="s">
        <v>918</v>
      </c>
      <c r="D4040" s="946"/>
      <c r="E4040" s="947"/>
      <c r="F4040" s="1054"/>
      <c r="G4040" s="946"/>
      <c r="H4040" s="1031"/>
      <c r="I4040" s="952">
        <f>SUM(I4039:I4039)</f>
        <v>3.21</v>
      </c>
    </row>
    <row r="4041" spans="3:9" ht="15.75">
      <c r="C4041" s="949"/>
      <c r="D4041" s="946"/>
      <c r="E4041" s="947"/>
      <c r="F4041" s="1054"/>
      <c r="G4041" s="946"/>
      <c r="H4041" s="1031"/>
      <c r="I4041" s="948"/>
    </row>
    <row r="4042" spans="3:9" ht="15.75">
      <c r="C4042" s="945" t="s">
        <v>923</v>
      </c>
      <c r="D4042" s="946"/>
      <c r="E4042" s="947"/>
      <c r="F4042" s="1054"/>
      <c r="G4042" s="946"/>
      <c r="H4042" s="1031"/>
      <c r="I4042" s="948"/>
    </row>
    <row r="4043" spans="3:9" ht="15.75">
      <c r="C4043" s="949" t="s">
        <v>938</v>
      </c>
      <c r="D4043" s="946">
        <v>1</v>
      </c>
      <c r="E4043" s="947" t="str">
        <f>+VLOOKUP(C4043,'Basic (equilibrio) (2)'!B:D,2,FALSE)</f>
        <v>hr</v>
      </c>
      <c r="F4043" s="1054">
        <f>'Basic (equilibrio) (2)'!$D$683</f>
        <v>2500</v>
      </c>
      <c r="G4043" s="946">
        <f>F4043-(F4043/1.18)</f>
        <v>381.36</v>
      </c>
      <c r="H4043" s="1039">
        <v>70</v>
      </c>
      <c r="I4043" s="955">
        <f>D4043*F4043/H4043</f>
        <v>35.71</v>
      </c>
    </row>
    <row r="4044" spans="3:9" ht="15.75">
      <c r="C4044" s="949" t="s">
        <v>935</v>
      </c>
      <c r="D4044" s="946">
        <v>1</v>
      </c>
      <c r="E4044" s="947" t="str">
        <f>+VLOOKUP(C4044,'Basic (equilibrio) (2)'!B:D,2,FALSE)</f>
        <v>hr</v>
      </c>
      <c r="F4044" s="1054">
        <f>'Basic (equilibrio) (2)'!$D$684</f>
        <v>3000</v>
      </c>
      <c r="G4044" s="946">
        <f>F4044-(F4044/1.18)</f>
        <v>457.63</v>
      </c>
      <c r="H4044" s="1039">
        <v>70</v>
      </c>
      <c r="I4044" s="955">
        <f t="shared" ref="I4044:I4045" si="23">D4044*F4044/H4044</f>
        <v>42.86</v>
      </c>
    </row>
    <row r="4045" spans="3:9" ht="15.75">
      <c r="C4045" s="949" t="s">
        <v>939</v>
      </c>
      <c r="D4045" s="946">
        <v>1</v>
      </c>
      <c r="E4045" s="947" t="str">
        <f>+VLOOKUP(C4045,'Basic (equilibrio) (2)'!B:D,2,FALSE)</f>
        <v>hr</v>
      </c>
      <c r="F4045" s="1054">
        <f>'Basic (equilibrio) (2)'!$D$688</f>
        <v>400</v>
      </c>
      <c r="G4045" s="946">
        <f>F4045-(F4045/1.18)</f>
        <v>61.02</v>
      </c>
      <c r="H4045" s="1039">
        <v>70</v>
      </c>
      <c r="I4045" s="955">
        <f t="shared" si="23"/>
        <v>5.71</v>
      </c>
    </row>
    <row r="4046" spans="3:9" ht="15.75">
      <c r="C4046" s="951" t="s">
        <v>918</v>
      </c>
      <c r="D4046" s="946"/>
      <c r="E4046" s="947"/>
      <c r="F4046" s="1054"/>
      <c r="G4046" s="946"/>
      <c r="H4046" s="1031"/>
      <c r="I4046" s="952">
        <f>SUM(I4043:I4045)</f>
        <v>84.28</v>
      </c>
    </row>
    <row r="4047" spans="3:9" ht="15.75">
      <c r="C4047" s="949"/>
      <c r="D4047" s="946"/>
      <c r="E4047" s="947"/>
      <c r="F4047" s="1054"/>
      <c r="G4047" s="946"/>
      <c r="H4047" s="1031"/>
      <c r="I4047" s="948"/>
    </row>
    <row r="4048" spans="3:9" ht="15.75">
      <c r="C4048" s="945" t="s">
        <v>925</v>
      </c>
      <c r="D4048" s="946"/>
      <c r="E4048" s="947"/>
      <c r="F4048" s="1054"/>
      <c r="G4048" s="946"/>
      <c r="H4048" s="1031"/>
      <c r="I4048" s="948"/>
    </row>
    <row r="4049" spans="2:9" ht="15.75">
      <c r="C4049" s="949" t="s">
        <v>924</v>
      </c>
      <c r="D4049" s="946"/>
      <c r="E4049" s="947" t="str">
        <f>+VLOOKUP(C4049,'Basic (equilibrio) (2)'!B:D,2,FALSE)</f>
        <v>n/a</v>
      </c>
      <c r="F4049" s="1054">
        <f>+VLOOKUP(C4049,'Basic (equilibrio) (2)'!B:D,3,FALSE)</f>
        <v>0</v>
      </c>
      <c r="G4049" s="946"/>
      <c r="H4049" s="1031"/>
      <c r="I4049" s="948">
        <f>D4049*F4049</f>
        <v>0</v>
      </c>
    </row>
    <row r="4050" spans="2:9" ht="15.75">
      <c r="C4050" s="951" t="s">
        <v>918</v>
      </c>
      <c r="D4050" s="946"/>
      <c r="E4050" s="947"/>
      <c r="F4050" s="1054"/>
      <c r="G4050" s="946"/>
      <c r="H4050" s="1031"/>
      <c r="I4050" s="952">
        <f>SUM(I4049)</f>
        <v>0</v>
      </c>
    </row>
    <row r="4051" spans="2:9" ht="15.75">
      <c r="C4051" s="951"/>
      <c r="D4051" s="946"/>
      <c r="E4051" s="947"/>
      <c r="F4051" s="1054"/>
      <c r="G4051" s="946"/>
      <c r="H4051" s="1031"/>
      <c r="I4051" s="952"/>
    </row>
    <row r="4052" spans="2:9" ht="15.75">
      <c r="C4052" s="956" t="s">
        <v>926</v>
      </c>
      <c r="D4052" s="957"/>
      <c r="E4052" s="958"/>
      <c r="F4052" s="1069"/>
      <c r="G4052" s="957"/>
      <c r="H4052" s="1032"/>
      <c r="I4052" s="959">
        <f>+I4036</f>
        <v>0</v>
      </c>
    </row>
    <row r="4053" spans="2:9" ht="15.75">
      <c r="C4053" s="956" t="s">
        <v>927</v>
      </c>
      <c r="D4053" s="957"/>
      <c r="E4053" s="958"/>
      <c r="F4053" s="1069"/>
      <c r="G4053" s="957"/>
      <c r="H4053" s="1032"/>
      <c r="I4053" s="959">
        <f>+I4040</f>
        <v>3.21</v>
      </c>
    </row>
    <row r="4054" spans="2:9" ht="15.75">
      <c r="C4054" s="956" t="s">
        <v>928</v>
      </c>
      <c r="D4054" s="957"/>
      <c r="E4054" s="958"/>
      <c r="F4054" s="1069"/>
      <c r="G4054" s="957"/>
      <c r="H4054" s="1032"/>
      <c r="I4054" s="959">
        <f>+I4046</f>
        <v>84.28</v>
      </c>
    </row>
    <row r="4055" spans="2:9" ht="15.75">
      <c r="C4055" s="956" t="s">
        <v>929</v>
      </c>
      <c r="D4055" s="957"/>
      <c r="E4055" s="958"/>
      <c r="F4055" s="1069"/>
      <c r="G4055" s="957"/>
      <c r="H4055" s="1032"/>
      <c r="I4055" s="959">
        <f>+I4050</f>
        <v>0</v>
      </c>
    </row>
    <row r="4056" spans="2:9" ht="15.75">
      <c r="C4056" s="949"/>
      <c r="D4056" s="946"/>
      <c r="E4056" s="947"/>
      <c r="F4056" s="1054"/>
      <c r="G4056" s="946"/>
      <c r="H4056" s="1031"/>
      <c r="I4056" s="948"/>
    </row>
    <row r="4057" spans="2:9" ht="15.75">
      <c r="C4057" s="949"/>
      <c r="D4057" s="946"/>
      <c r="E4057" s="947"/>
      <c r="F4057" s="1054"/>
      <c r="G4057" s="946"/>
      <c r="H4057" s="1031"/>
      <c r="I4057" s="948"/>
    </row>
    <row r="4058" spans="2:9" ht="15.75">
      <c r="C4058" s="951" t="s">
        <v>930</v>
      </c>
      <c r="D4058" s="960"/>
      <c r="E4058" s="943" t="str">
        <f>+E4032</f>
        <v>M3C</v>
      </c>
      <c r="F4058" s="1070"/>
      <c r="G4058" s="960"/>
      <c r="H4058" s="1033"/>
      <c r="I4058" s="952">
        <f>SUM(I4052:I4055)</f>
        <v>87.49</v>
      </c>
    </row>
    <row r="4059" spans="2:9" ht="15.75">
      <c r="C4059" s="949"/>
      <c r="D4059" s="946"/>
      <c r="E4059" s="947"/>
      <c r="F4059" s="1054"/>
      <c r="G4059" s="946"/>
      <c r="H4059" s="1031"/>
      <c r="I4059" s="948"/>
    </row>
    <row r="4060" spans="2:9" ht="31.5">
      <c r="B4060" s="1026">
        <v>2.4</v>
      </c>
      <c r="C4060" s="937" t="str">
        <f>+Presupuesto!B256</f>
        <v>Bote de material sobrante c/camión (Incluye esparcimiento en botadero)</v>
      </c>
      <c r="D4060" s="938"/>
      <c r="E4060" s="962" t="s">
        <v>213</v>
      </c>
      <c r="F4060" s="1066"/>
      <c r="G4060" s="938"/>
      <c r="H4060" s="1029"/>
      <c r="I4060" s="940">
        <f>I4086</f>
        <v>455.24</v>
      </c>
    </row>
    <row r="4061" spans="2:9" ht="15.75">
      <c r="C4061" s="941" t="s">
        <v>908</v>
      </c>
      <c r="D4061" s="942" t="s">
        <v>9</v>
      </c>
      <c r="E4061" s="943" t="s">
        <v>10</v>
      </c>
      <c r="F4061" s="1067" t="s">
        <v>909</v>
      </c>
      <c r="G4061" s="942" t="s">
        <v>910</v>
      </c>
      <c r="H4061" s="1030" t="s">
        <v>911</v>
      </c>
      <c r="I4061" s="944" t="s">
        <v>912</v>
      </c>
    </row>
    <row r="4062" spans="2:9" ht="15.75">
      <c r="C4062" s="945" t="s">
        <v>913</v>
      </c>
      <c r="D4062" s="946"/>
      <c r="E4062" s="947"/>
      <c r="F4062" s="1054"/>
      <c r="G4062" s="946"/>
      <c r="H4062" s="1031"/>
      <c r="I4062" s="948"/>
    </row>
    <row r="4063" spans="2:9" ht="15.75">
      <c r="C4063" s="949" t="s">
        <v>924</v>
      </c>
      <c r="D4063" s="946"/>
      <c r="E4063" s="947" t="str">
        <f>+VLOOKUP(C4063,'Basic (equilibrio) (2)'!B:D,2,FALSE)</f>
        <v>n/a</v>
      </c>
      <c r="F4063" s="1068">
        <f>+VLOOKUP(C4063,'Basic (equilibrio) (2)'!B:D,3,FALSE)</f>
        <v>0</v>
      </c>
      <c r="G4063" s="946">
        <f>F4063-(F4063/1.18)</f>
        <v>0</v>
      </c>
      <c r="H4063" s="1031"/>
      <c r="I4063" s="948">
        <f>D4063*F4063</f>
        <v>0</v>
      </c>
    </row>
    <row r="4064" spans="2:9" ht="15.75">
      <c r="C4064" s="951" t="s">
        <v>918</v>
      </c>
      <c r="D4064" s="946"/>
      <c r="E4064" s="947"/>
      <c r="F4064" s="1068"/>
      <c r="G4064" s="946"/>
      <c r="H4064" s="1031"/>
      <c r="I4064" s="952">
        <f>SUM(I4063:I4063)</f>
        <v>0</v>
      </c>
    </row>
    <row r="4065" spans="3:9" ht="15.75">
      <c r="C4065" s="949"/>
      <c r="D4065" s="946"/>
      <c r="E4065" s="947"/>
      <c r="F4065" s="1068"/>
      <c r="G4065" s="946"/>
      <c r="H4065" s="1031"/>
      <c r="I4065" s="948"/>
    </row>
    <row r="4066" spans="3:9" ht="15.75">
      <c r="C4066" s="945" t="s">
        <v>919</v>
      </c>
      <c r="D4066" s="946"/>
      <c r="E4066" s="947"/>
      <c r="F4066" s="1068"/>
      <c r="G4066" s="946"/>
      <c r="H4066" s="1031"/>
      <c r="I4066" s="948"/>
    </row>
    <row r="4067" spans="3:9" ht="15.75">
      <c r="C4067" s="949" t="s">
        <v>931</v>
      </c>
      <c r="D4067" s="953">
        <v>0.13</v>
      </c>
      <c r="E4067" s="954" t="str">
        <f>+VLOOKUP(C4067,'Basic (equilibrio) (2)'!B:D,2,FALSE)</f>
        <v>dia</v>
      </c>
      <c r="F4067" s="1068">
        <f>'Basic (equilibrio) (2)'!$D$14</f>
        <v>900</v>
      </c>
      <c r="G4067" s="946">
        <v>0</v>
      </c>
      <c r="H4067" s="1031">
        <v>70</v>
      </c>
      <c r="I4067" s="948">
        <f>(D4067*F4067)/H4067</f>
        <v>1.67</v>
      </c>
    </row>
    <row r="4068" spans="3:9" ht="15.75">
      <c r="C4068" s="951" t="s">
        <v>918</v>
      </c>
      <c r="D4068" s="946"/>
      <c r="E4068" s="947"/>
      <c r="F4068" s="1054"/>
      <c r="G4068" s="946"/>
      <c r="H4068" s="1031"/>
      <c r="I4068" s="952">
        <f>SUM(I4067:I4067)</f>
        <v>1.67</v>
      </c>
    </row>
    <row r="4069" spans="3:9" ht="15.75">
      <c r="C4069" s="949"/>
      <c r="D4069" s="946"/>
      <c r="E4069" s="947"/>
      <c r="F4069" s="1054"/>
      <c r="G4069" s="946"/>
      <c r="H4069" s="1031"/>
      <c r="I4069" s="948"/>
    </row>
    <row r="4070" spans="3:9" ht="15.75">
      <c r="C4070" s="945" t="s">
        <v>923</v>
      </c>
      <c r="D4070" s="946"/>
      <c r="E4070" s="947"/>
      <c r="F4070" s="1054"/>
      <c r="G4070" s="946"/>
      <c r="H4070" s="1031"/>
      <c r="I4070" s="948"/>
    </row>
    <row r="4071" spans="3:9" ht="15.75">
      <c r="C4071" s="949" t="s">
        <v>934</v>
      </c>
      <c r="D4071" s="946">
        <v>1</v>
      </c>
      <c r="E4071" s="947" t="str">
        <f>+VLOOKUP(C4071,'Basic (equilibrio) (2)'!B:D,2,FALSE)</f>
        <v>m3e</v>
      </c>
      <c r="F4071" s="1054">
        <f>'Basic (equilibrio) (2)'!$D$685</f>
        <v>350</v>
      </c>
      <c r="G4071" s="946">
        <f>F4071-(F4071/1.18)</f>
        <v>53.39</v>
      </c>
      <c r="H4071" s="1039"/>
      <c r="I4071" s="955">
        <f>D4071*F4071</f>
        <v>350</v>
      </c>
    </row>
    <row r="4072" spans="3:9" ht="15.75">
      <c r="C4072" s="949" t="s">
        <v>933</v>
      </c>
      <c r="D4072" s="946">
        <v>1</v>
      </c>
      <c r="E4072" s="947" t="str">
        <f>+VLOOKUP(C4072,'Basic (equilibrio) (2)'!B:D,2,FALSE)</f>
        <v>hr</v>
      </c>
      <c r="F4072" s="1054">
        <f>'Basic (equilibrio) (2)'!$D$682</f>
        <v>4250</v>
      </c>
      <c r="G4072" s="946">
        <f>F4072-(F4072/1.18)</f>
        <v>648.30999999999995</v>
      </c>
      <c r="H4072" s="1039">
        <v>70</v>
      </c>
      <c r="I4072" s="955">
        <f t="shared" ref="I4072:I4073" si="24">D4072*F4072/H4072</f>
        <v>60.71</v>
      </c>
    </row>
    <row r="4073" spans="3:9" ht="15.75">
      <c r="C4073" s="949" t="s">
        <v>935</v>
      </c>
      <c r="D4073" s="946">
        <v>1</v>
      </c>
      <c r="E4073" s="947" t="str">
        <f>+VLOOKUP(C4073,'Basic (equilibrio) (2)'!B:D,2,FALSE)</f>
        <v>hr</v>
      </c>
      <c r="F4073" s="1054">
        <f>'Basic (equilibrio) (2)'!$D$684</f>
        <v>3000</v>
      </c>
      <c r="G4073" s="946">
        <f>F4073-(F4073/1.18)</f>
        <v>457.63</v>
      </c>
      <c r="H4073" s="1039">
        <v>70</v>
      </c>
      <c r="I4073" s="955">
        <f t="shared" si="24"/>
        <v>42.86</v>
      </c>
    </row>
    <row r="4074" spans="3:9" ht="15.75">
      <c r="C4074" s="951" t="s">
        <v>918</v>
      </c>
      <c r="D4074" s="946"/>
      <c r="E4074" s="947"/>
      <c r="F4074" s="1054"/>
      <c r="G4074" s="946"/>
      <c r="H4074" s="1031"/>
      <c r="I4074" s="952">
        <f>SUM(I4071:I4073)</f>
        <v>453.57</v>
      </c>
    </row>
    <row r="4075" spans="3:9" ht="15.75">
      <c r="C4075" s="949"/>
      <c r="D4075" s="946"/>
      <c r="E4075" s="947"/>
      <c r="F4075" s="1054"/>
      <c r="G4075" s="946"/>
      <c r="H4075" s="1031"/>
      <c r="I4075" s="948"/>
    </row>
    <row r="4076" spans="3:9" ht="15.75">
      <c r="C4076" s="945" t="s">
        <v>925</v>
      </c>
      <c r="D4076" s="946"/>
      <c r="E4076" s="947"/>
      <c r="F4076" s="1054"/>
      <c r="G4076" s="946"/>
      <c r="H4076" s="1031"/>
      <c r="I4076" s="948"/>
    </row>
    <row r="4077" spans="3:9" ht="15.75">
      <c r="C4077" s="949" t="s">
        <v>924</v>
      </c>
      <c r="D4077" s="946">
        <f>+I4074</f>
        <v>453.57</v>
      </c>
      <c r="E4077" s="947" t="str">
        <f>+VLOOKUP(C4077,'Basic (equilibrio) (2)'!B:D,2,FALSE)</f>
        <v>n/a</v>
      </c>
      <c r="F4077" s="1054">
        <f>+VLOOKUP(C4077,'Basic (equilibrio) (2)'!B:D,3,FALSE)</f>
        <v>0</v>
      </c>
      <c r="G4077" s="946"/>
      <c r="H4077" s="1031"/>
      <c r="I4077" s="948">
        <f>D4077*F4077</f>
        <v>0</v>
      </c>
    </row>
    <row r="4078" spans="3:9" ht="15.75">
      <c r="C4078" s="951" t="s">
        <v>918</v>
      </c>
      <c r="D4078" s="946"/>
      <c r="E4078" s="947"/>
      <c r="F4078" s="1054"/>
      <c r="G4078" s="946"/>
      <c r="H4078" s="1031"/>
      <c r="I4078" s="952">
        <f>SUM(I4077)</f>
        <v>0</v>
      </c>
    </row>
    <row r="4079" spans="3:9" ht="15.75">
      <c r="C4079" s="951"/>
      <c r="D4079" s="946"/>
      <c r="E4079" s="947"/>
      <c r="F4079" s="1054"/>
      <c r="G4079" s="946"/>
      <c r="H4079" s="1031"/>
      <c r="I4079" s="952"/>
    </row>
    <row r="4080" spans="3:9" ht="15.75">
      <c r="C4080" s="956" t="s">
        <v>926</v>
      </c>
      <c r="D4080" s="957"/>
      <c r="E4080" s="958"/>
      <c r="F4080" s="1069"/>
      <c r="G4080" s="957"/>
      <c r="H4080" s="1032"/>
      <c r="I4080" s="959">
        <f>+I4064</f>
        <v>0</v>
      </c>
    </row>
    <row r="4081" spans="2:9" ht="15.75">
      <c r="C4081" s="956" t="s">
        <v>927</v>
      </c>
      <c r="D4081" s="957"/>
      <c r="E4081" s="958"/>
      <c r="F4081" s="1069"/>
      <c r="G4081" s="957"/>
      <c r="H4081" s="1032"/>
      <c r="I4081" s="959">
        <f>+I4068</f>
        <v>1.67</v>
      </c>
    </row>
    <row r="4082" spans="2:9" ht="15.75">
      <c r="C4082" s="956" t="s">
        <v>928</v>
      </c>
      <c r="D4082" s="957"/>
      <c r="E4082" s="958"/>
      <c r="F4082" s="1069"/>
      <c r="G4082" s="957"/>
      <c r="H4082" s="1032"/>
      <c r="I4082" s="959">
        <f>+I4074</f>
        <v>453.57</v>
      </c>
    </row>
    <row r="4083" spans="2:9" ht="15.75">
      <c r="C4083" s="956" t="s">
        <v>929</v>
      </c>
      <c r="D4083" s="957"/>
      <c r="E4083" s="958"/>
      <c r="F4083" s="1069"/>
      <c r="G4083" s="957"/>
      <c r="H4083" s="1032"/>
      <c r="I4083" s="959">
        <f>+I4078</f>
        <v>0</v>
      </c>
    </row>
    <row r="4084" spans="2:9" ht="15.75">
      <c r="C4084" s="949"/>
      <c r="D4084" s="946"/>
      <c r="E4084" s="947"/>
      <c r="F4084" s="1054"/>
      <c r="G4084" s="946"/>
      <c r="H4084" s="1031"/>
      <c r="I4084" s="948"/>
    </row>
    <row r="4085" spans="2:9" ht="15.75">
      <c r="C4085" s="949"/>
      <c r="D4085" s="946"/>
      <c r="E4085" s="947"/>
      <c r="F4085" s="1054"/>
      <c r="G4085" s="946"/>
      <c r="H4085" s="1031"/>
      <c r="I4085" s="948"/>
    </row>
    <row r="4086" spans="2:9" ht="15.75">
      <c r="C4086" s="951" t="s">
        <v>930</v>
      </c>
      <c r="D4086" s="960"/>
      <c r="E4086" s="943" t="str">
        <f>+E4060</f>
        <v>M3E</v>
      </c>
      <c r="F4086" s="1070"/>
      <c r="G4086" s="960"/>
      <c r="H4086" s="1033"/>
      <c r="I4086" s="952">
        <f>SUM(I4080:I4083)</f>
        <v>455.24</v>
      </c>
    </row>
    <row r="4087" spans="2:9" ht="15.75">
      <c r="C4087" s="951"/>
      <c r="D4087" s="960"/>
      <c r="E4087" s="943"/>
      <c r="F4087" s="1070"/>
      <c r="G4087" s="960"/>
      <c r="H4087" s="1033"/>
      <c r="I4087" s="952"/>
    </row>
    <row r="4088" spans="2:9" ht="15.75">
      <c r="C4088" s="951"/>
      <c r="D4088" s="960"/>
      <c r="E4088" s="943"/>
      <c r="F4088" s="1070"/>
      <c r="G4088" s="960"/>
      <c r="H4088" s="1033"/>
      <c r="I4088" s="952"/>
    </row>
    <row r="4089" spans="2:9" ht="15.75">
      <c r="B4089" s="1026">
        <v>3.1</v>
      </c>
      <c r="C4089" s="937" t="str">
        <f>+Presupuesto!B259</f>
        <v>Zapata de muros bordillo (0.45m x 0.20m)</v>
      </c>
      <c r="D4089" s="938"/>
      <c r="E4089" s="962" t="s">
        <v>22</v>
      </c>
      <c r="F4089" s="1066"/>
      <c r="G4089" s="938"/>
      <c r="H4089" s="1029"/>
      <c r="I4089" s="940">
        <f>I4115</f>
        <v>10147.31</v>
      </c>
    </row>
    <row r="4090" spans="2:9" ht="15.75">
      <c r="C4090" s="941" t="s">
        <v>908</v>
      </c>
      <c r="D4090" s="942" t="s">
        <v>9</v>
      </c>
      <c r="E4090" s="943" t="s">
        <v>10</v>
      </c>
      <c r="F4090" s="1067" t="s">
        <v>909</v>
      </c>
      <c r="G4090" s="942" t="s">
        <v>910</v>
      </c>
      <c r="H4090" s="1030" t="s">
        <v>911</v>
      </c>
      <c r="I4090" s="944" t="s">
        <v>912</v>
      </c>
    </row>
    <row r="4091" spans="2:9" ht="15.75">
      <c r="C4091" s="945" t="s">
        <v>913</v>
      </c>
      <c r="D4091" s="946"/>
      <c r="E4091" s="947"/>
      <c r="F4091" s="1054"/>
      <c r="G4091" s="946"/>
      <c r="H4091" s="1031"/>
      <c r="I4091" s="948"/>
    </row>
    <row r="4092" spans="2:9" ht="15.75">
      <c r="C4092" s="949" t="s">
        <v>994</v>
      </c>
      <c r="D4092" s="946">
        <v>1.02</v>
      </c>
      <c r="E4092" s="947" t="str">
        <f>+VLOOKUP(C4092,'Basic (equilibrio) (2)'!B:D,2,FALSE)</f>
        <v>m3</v>
      </c>
      <c r="F4092" s="1068">
        <f>'Basic (equilibrio) (2)'!$D$179</f>
        <v>7600</v>
      </c>
      <c r="G4092" s="946">
        <f>F4092-(F4092/1.18)</f>
        <v>1159.32</v>
      </c>
      <c r="H4092" s="1031"/>
      <c r="I4092" s="948">
        <f>D4092*F4092</f>
        <v>7752</v>
      </c>
    </row>
    <row r="4093" spans="2:9" ht="15.75">
      <c r="C4093" s="949" t="s">
        <v>1188</v>
      </c>
      <c r="D4093" s="946">
        <v>0.65</v>
      </c>
      <c r="E4093" s="947" t="str">
        <f>+VLOOKUP(C4093,'Basic (equilibrio) (2)'!B:D,2,FALSE)</f>
        <v>qq</v>
      </c>
      <c r="F4093" s="1068">
        <f>'Basic (equilibrio) (2)'!$D$183</f>
        <v>3600</v>
      </c>
      <c r="G4093" s="946">
        <f>F4093-(F4093/1.18)</f>
        <v>549.15</v>
      </c>
      <c r="H4093" s="1031"/>
      <c r="I4093" s="948">
        <f>D4093*F4093</f>
        <v>2340</v>
      </c>
    </row>
    <row r="4094" spans="2:9" ht="15.75">
      <c r="C4094" s="949" t="s">
        <v>1328</v>
      </c>
      <c r="D4094" s="946">
        <v>1.3</v>
      </c>
      <c r="E4094" s="947" t="str">
        <f>+VLOOKUP(C4094,'Basic (equilibrio) (2)'!B:D,2,FALSE)</f>
        <v>lb</v>
      </c>
      <c r="F4094" s="1068">
        <f>'Basic (equilibrio) (2)'!$D$334</f>
        <v>31.1</v>
      </c>
      <c r="G4094" s="946">
        <f>F4094-(F4094/1.18)</f>
        <v>4.74</v>
      </c>
      <c r="H4094" s="1031"/>
      <c r="I4094" s="948">
        <f>D4094*F4094</f>
        <v>40.43</v>
      </c>
    </row>
    <row r="4095" spans="2:9" ht="15.75">
      <c r="C4095" s="951" t="s">
        <v>918</v>
      </c>
      <c r="D4095" s="946"/>
      <c r="E4095" s="947"/>
      <c r="F4095" s="1068"/>
      <c r="G4095" s="946"/>
      <c r="H4095" s="1031"/>
      <c r="I4095" s="952">
        <f>SUM(I4092:I4094)</f>
        <v>10132.43</v>
      </c>
    </row>
    <row r="4096" spans="2:9" ht="15.75">
      <c r="C4096" s="949"/>
      <c r="D4096" s="946"/>
      <c r="E4096" s="947"/>
      <c r="F4096" s="1068"/>
      <c r="G4096" s="946"/>
      <c r="H4096" s="1031"/>
      <c r="I4096" s="948"/>
    </row>
    <row r="4097" spans="3:9" ht="15.75">
      <c r="C4097" s="945" t="s">
        <v>919</v>
      </c>
      <c r="D4097" s="946"/>
      <c r="E4097" s="947"/>
      <c r="F4097" s="1068"/>
      <c r="G4097" s="946"/>
      <c r="H4097" s="1031"/>
      <c r="I4097" s="948"/>
    </row>
    <row r="4098" spans="3:9" ht="15.75">
      <c r="C4098" s="949" t="s">
        <v>1067</v>
      </c>
      <c r="D4098" s="953">
        <v>8.33</v>
      </c>
      <c r="E4098" s="954" t="str">
        <f>+VLOOKUP(C4098,'Basic (equilibrio) (2)'!B:D,2,FALSE)</f>
        <v>ml</v>
      </c>
      <c r="F4098" s="1068">
        <f>'Basic (equilibrio) (2)'!$D$21</f>
        <v>125</v>
      </c>
      <c r="G4098" s="946">
        <v>0</v>
      </c>
      <c r="H4098" s="1031">
        <v>70</v>
      </c>
      <c r="I4098" s="948">
        <f>(D4098*F4098)/H4098</f>
        <v>14.88</v>
      </c>
    </row>
    <row r="4099" spans="3:9" ht="15.75">
      <c r="C4099" s="951" t="s">
        <v>918</v>
      </c>
      <c r="D4099" s="946"/>
      <c r="E4099" s="947"/>
      <c r="F4099" s="1054"/>
      <c r="G4099" s="946"/>
      <c r="H4099" s="1031"/>
      <c r="I4099" s="952">
        <f>SUM(I4098:I4098)</f>
        <v>14.88</v>
      </c>
    </row>
    <row r="4100" spans="3:9" ht="15.75">
      <c r="C4100" s="949"/>
      <c r="D4100" s="946"/>
      <c r="E4100" s="947"/>
      <c r="F4100" s="1054"/>
      <c r="G4100" s="946"/>
      <c r="H4100" s="1031"/>
      <c r="I4100" s="948"/>
    </row>
    <row r="4101" spans="3:9" ht="15.75">
      <c r="C4101" s="945" t="s">
        <v>923</v>
      </c>
      <c r="D4101" s="946"/>
      <c r="E4101" s="947"/>
      <c r="F4101" s="1054"/>
      <c r="G4101" s="946"/>
      <c r="H4101" s="1031"/>
      <c r="I4101" s="948"/>
    </row>
    <row r="4102" spans="3:9" ht="15.75">
      <c r="C4102" s="949" t="s">
        <v>924</v>
      </c>
      <c r="D4102" s="946"/>
      <c r="E4102" s="947" t="str">
        <f>+VLOOKUP(C4102,'Basic (equilibrio) (2)'!B:D,2,FALSE)</f>
        <v>n/a</v>
      </c>
      <c r="F4102" s="1054">
        <f>+VLOOKUP(C4102,'Basic (equilibrio) (2)'!B:D,3,FALSE)</f>
        <v>0</v>
      </c>
      <c r="G4102" s="946">
        <f>F4102-(F4102/1.18)</f>
        <v>0</v>
      </c>
      <c r="H4102" s="1039"/>
      <c r="I4102" s="955">
        <f>D4102*F4102</f>
        <v>0</v>
      </c>
    </row>
    <row r="4103" spans="3:9" ht="15.75">
      <c r="C4103" s="951" t="s">
        <v>918</v>
      </c>
      <c r="D4103" s="946"/>
      <c r="E4103" s="947"/>
      <c r="F4103" s="1054"/>
      <c r="G4103" s="946"/>
      <c r="H4103" s="1031"/>
      <c r="I4103" s="952">
        <f>SUM(I4102:I4102)</f>
        <v>0</v>
      </c>
    </row>
    <row r="4104" spans="3:9" ht="15.75">
      <c r="C4104" s="949"/>
      <c r="D4104" s="946"/>
      <c r="E4104" s="947"/>
      <c r="F4104" s="1054"/>
      <c r="G4104" s="946"/>
      <c r="H4104" s="1031"/>
      <c r="I4104" s="948"/>
    </row>
    <row r="4105" spans="3:9" ht="15.75">
      <c r="C4105" s="945" t="s">
        <v>925</v>
      </c>
      <c r="D4105" s="946"/>
      <c r="E4105" s="947"/>
      <c r="F4105" s="1054"/>
      <c r="G4105" s="946"/>
      <c r="H4105" s="1031"/>
      <c r="I4105" s="948"/>
    </row>
    <row r="4106" spans="3:9" ht="15.75">
      <c r="C4106" s="949" t="s">
        <v>924</v>
      </c>
      <c r="D4106" s="946"/>
      <c r="E4106" s="947" t="str">
        <f>+VLOOKUP(C4106,'Basic (equilibrio) (2)'!B:D,2,FALSE)</f>
        <v>n/a</v>
      </c>
      <c r="F4106" s="1054">
        <f>+VLOOKUP(C4106,'Basic (equilibrio) (2)'!B:D,3,FALSE)</f>
        <v>0</v>
      </c>
      <c r="G4106" s="946"/>
      <c r="H4106" s="1031"/>
      <c r="I4106" s="948">
        <f>D4106*F4106</f>
        <v>0</v>
      </c>
    </row>
    <row r="4107" spans="3:9" ht="15.75">
      <c r="C4107" s="951" t="s">
        <v>918</v>
      </c>
      <c r="D4107" s="946"/>
      <c r="E4107" s="947"/>
      <c r="F4107" s="1054"/>
      <c r="G4107" s="946"/>
      <c r="H4107" s="1031"/>
      <c r="I4107" s="952">
        <f>SUM(I4106)</f>
        <v>0</v>
      </c>
    </row>
    <row r="4108" spans="3:9" ht="15.75">
      <c r="C4108" s="951"/>
      <c r="D4108" s="946"/>
      <c r="E4108" s="947"/>
      <c r="F4108" s="1054"/>
      <c r="G4108" s="946"/>
      <c r="H4108" s="1031"/>
      <c r="I4108" s="952"/>
    </row>
    <row r="4109" spans="3:9" ht="15.75">
      <c r="C4109" s="956" t="s">
        <v>926</v>
      </c>
      <c r="D4109" s="957"/>
      <c r="E4109" s="958"/>
      <c r="F4109" s="1069"/>
      <c r="G4109" s="957"/>
      <c r="H4109" s="1032"/>
      <c r="I4109" s="959">
        <f>+I4095</f>
        <v>10132.43</v>
      </c>
    </row>
    <row r="4110" spans="3:9" ht="15.75">
      <c r="C4110" s="956" t="s">
        <v>927</v>
      </c>
      <c r="D4110" s="957"/>
      <c r="E4110" s="958"/>
      <c r="F4110" s="1069"/>
      <c r="G4110" s="957"/>
      <c r="H4110" s="1032"/>
      <c r="I4110" s="959">
        <f>+I4099</f>
        <v>14.88</v>
      </c>
    </row>
    <row r="4111" spans="3:9" ht="15.75">
      <c r="C4111" s="956" t="s">
        <v>928</v>
      </c>
      <c r="D4111" s="957"/>
      <c r="E4111" s="958"/>
      <c r="F4111" s="1069"/>
      <c r="G4111" s="957"/>
      <c r="H4111" s="1032"/>
      <c r="I4111" s="959">
        <f>+I4103</f>
        <v>0</v>
      </c>
    </row>
    <row r="4112" spans="3:9" ht="15.75">
      <c r="C4112" s="956" t="s">
        <v>929</v>
      </c>
      <c r="D4112" s="957"/>
      <c r="E4112" s="958"/>
      <c r="F4112" s="1069"/>
      <c r="G4112" s="957"/>
      <c r="H4112" s="1032"/>
      <c r="I4112" s="959">
        <f>+I4107</f>
        <v>0</v>
      </c>
    </row>
    <row r="4113" spans="2:9" ht="15.75">
      <c r="C4113" s="949"/>
      <c r="D4113" s="946"/>
      <c r="E4113" s="947"/>
      <c r="F4113" s="1054"/>
      <c r="G4113" s="946"/>
      <c r="H4113" s="1031"/>
      <c r="I4113" s="948"/>
    </row>
    <row r="4114" spans="2:9" ht="15.75">
      <c r="C4114" s="949"/>
      <c r="D4114" s="946"/>
      <c r="E4114" s="947"/>
      <c r="F4114" s="1054"/>
      <c r="G4114" s="946"/>
      <c r="H4114" s="1031"/>
      <c r="I4114" s="948"/>
    </row>
    <row r="4115" spans="2:9" ht="15.75">
      <c r="C4115" s="951" t="s">
        <v>930</v>
      </c>
      <c r="D4115" s="960"/>
      <c r="E4115" s="943" t="str">
        <f>+E4089</f>
        <v>M3</v>
      </c>
      <c r="F4115" s="1070"/>
      <c r="G4115" s="960"/>
      <c r="H4115" s="1033"/>
      <c r="I4115" s="952">
        <f>SUM(I4109:I4112)</f>
        <v>10147.31</v>
      </c>
    </row>
    <row r="4116" spans="2:9" ht="15.75">
      <c r="C4116" s="951"/>
      <c r="D4116" s="960"/>
      <c r="E4116" s="943"/>
      <c r="F4116" s="1070"/>
      <c r="G4116" s="960"/>
      <c r="H4116" s="1033"/>
      <c r="I4116" s="952"/>
    </row>
    <row r="4117" spans="2:9" ht="15.75">
      <c r="C4117" s="951"/>
      <c r="D4117" s="960"/>
      <c r="E4117" s="943"/>
      <c r="F4117" s="1070"/>
      <c r="G4117" s="960"/>
      <c r="H4117" s="1033"/>
      <c r="I4117" s="952"/>
    </row>
    <row r="4118" spans="2:9" ht="15.75">
      <c r="B4118" s="1026">
        <v>3.2</v>
      </c>
      <c r="C4118" s="937" t="str">
        <f>+Presupuesto!B262</f>
        <v>Bordillo de 0.15 m (B.N.P.)</v>
      </c>
      <c r="D4118" s="938"/>
      <c r="E4118" s="962" t="s">
        <v>20</v>
      </c>
      <c r="F4118" s="1066"/>
      <c r="G4118" s="938"/>
      <c r="H4118" s="1029"/>
      <c r="I4118" s="940">
        <f>I4144</f>
        <v>1449.69</v>
      </c>
    </row>
    <row r="4119" spans="2:9" ht="15.75">
      <c r="C4119" s="941" t="s">
        <v>908</v>
      </c>
      <c r="D4119" s="942" t="s">
        <v>9</v>
      </c>
      <c r="E4119" s="943" t="s">
        <v>10</v>
      </c>
      <c r="F4119" s="1067" t="s">
        <v>909</v>
      </c>
      <c r="G4119" s="942" t="s">
        <v>910</v>
      </c>
      <c r="H4119" s="1030" t="s">
        <v>911</v>
      </c>
      <c r="I4119" s="944" t="s">
        <v>912</v>
      </c>
    </row>
    <row r="4120" spans="2:9" ht="15.75">
      <c r="C4120" s="945" t="s">
        <v>913</v>
      </c>
      <c r="D4120" s="946"/>
      <c r="E4120" s="947"/>
      <c r="F4120" s="1054"/>
      <c r="G4120" s="946"/>
      <c r="H4120" s="1031"/>
      <c r="I4120" s="948"/>
    </row>
    <row r="4121" spans="2:9" ht="15.75">
      <c r="C4121" s="949" t="s">
        <v>998</v>
      </c>
      <c r="D4121" s="946">
        <v>0.1</v>
      </c>
      <c r="E4121" s="947" t="str">
        <f>+VLOOKUP(C4121,'Basic (equilibrio) (2)'!B:D,2,FALSE)</f>
        <v>m3</v>
      </c>
      <c r="F4121" s="1068">
        <f>'Basic (equilibrio) (2)'!$D$180</f>
        <v>7200</v>
      </c>
      <c r="G4121" s="946">
        <f>F4121-(F4121/1.18)</f>
        <v>1098.31</v>
      </c>
      <c r="H4121" s="1031"/>
      <c r="I4121" s="948">
        <f>D4121*F4121</f>
        <v>720</v>
      </c>
    </row>
    <row r="4122" spans="2:9" ht="15.75">
      <c r="C4122" s="949" t="s">
        <v>1188</v>
      </c>
      <c r="D4122" s="946">
        <v>0.05</v>
      </c>
      <c r="E4122" s="947" t="str">
        <f>+VLOOKUP(C4122,'Basic (equilibrio) (2)'!B:D,2,FALSE)</f>
        <v>qq</v>
      </c>
      <c r="F4122" s="1068">
        <f>'Basic (equilibrio) (2)'!$D$183</f>
        <v>3600</v>
      </c>
      <c r="G4122" s="946">
        <f>F4122-(F4122/1.18)</f>
        <v>549.15</v>
      </c>
      <c r="H4122" s="1031"/>
      <c r="I4122" s="948">
        <f>D4122*F4122</f>
        <v>180</v>
      </c>
    </row>
    <row r="4123" spans="2:9" ht="15.75">
      <c r="C4123" s="949" t="s">
        <v>1328</v>
      </c>
      <c r="D4123" s="946">
        <v>0.1</v>
      </c>
      <c r="E4123" s="947" t="str">
        <f>+VLOOKUP(C4123,'Basic (equilibrio) (2)'!B:D,2,FALSE)</f>
        <v>lb</v>
      </c>
      <c r="F4123" s="1068">
        <f>'Basic (equilibrio) (2)'!$D$334</f>
        <v>31.1</v>
      </c>
      <c r="G4123" s="946">
        <f>F4123-(F4123/1.18)</f>
        <v>4.74</v>
      </c>
      <c r="H4123" s="1031"/>
      <c r="I4123" s="948">
        <f>D4123*F4123</f>
        <v>3.11</v>
      </c>
    </row>
    <row r="4124" spans="2:9" ht="15.75">
      <c r="C4124" s="949" t="s">
        <v>1201</v>
      </c>
      <c r="D4124" s="1058">
        <v>13</v>
      </c>
      <c r="E4124" s="947" t="str">
        <f>+VLOOKUP(C4124,'Basic (equilibrio) (2)'!B:D,2,FALSE)</f>
        <v>ud</v>
      </c>
      <c r="F4124" s="1068">
        <f>'Basic (equilibrio) (2)'!$D$305</f>
        <v>38.200000000000003</v>
      </c>
      <c r="G4124" s="946">
        <f>F4124-(F4124/1.18)</f>
        <v>5.83</v>
      </c>
      <c r="H4124" s="1031"/>
      <c r="I4124" s="948">
        <f>D4124*F4124</f>
        <v>496.6</v>
      </c>
    </row>
    <row r="4125" spans="2:9" ht="15.75">
      <c r="C4125" s="949"/>
      <c r="D4125" s="946"/>
      <c r="E4125" s="947"/>
      <c r="F4125" s="1068"/>
      <c r="G4125" s="946"/>
      <c r="H4125" s="1031"/>
      <c r="I4125" s="952">
        <f>SUM(I4121:I4124)</f>
        <v>1399.71</v>
      </c>
    </row>
    <row r="4126" spans="2:9" ht="15.75">
      <c r="C4126" s="945" t="s">
        <v>919</v>
      </c>
      <c r="D4126" s="946"/>
      <c r="E4126" s="947"/>
      <c r="F4126" s="1068"/>
      <c r="G4126" s="946"/>
      <c r="H4126" s="1031"/>
      <c r="I4126" s="948"/>
    </row>
    <row r="4127" spans="2:9" ht="15.75">
      <c r="C4127" s="949" t="s">
        <v>1121</v>
      </c>
      <c r="D4127" s="953">
        <v>8.33</v>
      </c>
      <c r="E4127" s="954" t="str">
        <f>+VLOOKUP(C4127,'Basic (equilibrio) (2)'!B:D,2,FALSE)</f>
        <v>qq</v>
      </c>
      <c r="F4127" s="1068">
        <f>'Basic (equilibrio) (2)'!$D$45</f>
        <v>420</v>
      </c>
      <c r="G4127" s="946">
        <v>0</v>
      </c>
      <c r="H4127" s="1031">
        <v>70</v>
      </c>
      <c r="I4127" s="948">
        <f>(D4127*F4127)/H4127</f>
        <v>49.98</v>
      </c>
    </row>
    <row r="4128" spans="2:9" ht="15.75">
      <c r="C4128" s="951" t="s">
        <v>918</v>
      </c>
      <c r="D4128" s="946"/>
      <c r="E4128" s="947"/>
      <c r="F4128" s="1054"/>
      <c r="G4128" s="946"/>
      <c r="H4128" s="1031"/>
      <c r="I4128" s="952">
        <f>SUM(I4127:I4127)</f>
        <v>49.98</v>
      </c>
    </row>
    <row r="4129" spans="3:9" ht="15.75">
      <c r="C4129" s="949"/>
      <c r="D4129" s="946"/>
      <c r="E4129" s="947"/>
      <c r="F4129" s="1054"/>
      <c r="G4129" s="946"/>
      <c r="H4129" s="1031"/>
      <c r="I4129" s="948"/>
    </row>
    <row r="4130" spans="3:9" ht="15.75">
      <c r="C4130" s="945" t="s">
        <v>923</v>
      </c>
      <c r="D4130" s="946"/>
      <c r="E4130" s="947"/>
      <c r="F4130" s="1054"/>
      <c r="G4130" s="946"/>
      <c r="H4130" s="1031"/>
      <c r="I4130" s="948"/>
    </row>
    <row r="4131" spans="3:9" ht="15.75">
      <c r="C4131" s="949" t="s">
        <v>924</v>
      </c>
      <c r="D4131" s="946"/>
      <c r="E4131" s="947" t="str">
        <f>+VLOOKUP(C4131,'Basic (equilibrio) (2)'!B:D,2,FALSE)</f>
        <v>n/a</v>
      </c>
      <c r="F4131" s="1054">
        <f>+VLOOKUP(C4131,'Basic (equilibrio) (2)'!B:D,3,FALSE)</f>
        <v>0</v>
      </c>
      <c r="G4131" s="946">
        <f>F4131-(F4131/1.18)</f>
        <v>0</v>
      </c>
      <c r="H4131" s="1039"/>
      <c r="I4131" s="955">
        <f>D4131*F4131</f>
        <v>0</v>
      </c>
    </row>
    <row r="4132" spans="3:9" ht="15.75">
      <c r="C4132" s="951" t="s">
        <v>918</v>
      </c>
      <c r="D4132" s="946"/>
      <c r="E4132" s="947"/>
      <c r="F4132" s="1054"/>
      <c r="G4132" s="946"/>
      <c r="H4132" s="1031"/>
      <c r="I4132" s="952">
        <f>SUM(I4131:I4131)</f>
        <v>0</v>
      </c>
    </row>
    <row r="4133" spans="3:9" ht="15.75">
      <c r="C4133" s="949"/>
      <c r="D4133" s="946"/>
      <c r="E4133" s="947"/>
      <c r="F4133" s="1054"/>
      <c r="G4133" s="946"/>
      <c r="H4133" s="1031"/>
      <c r="I4133" s="948"/>
    </row>
    <row r="4134" spans="3:9" ht="15.75">
      <c r="C4134" s="945" t="s">
        <v>925</v>
      </c>
      <c r="D4134" s="946"/>
      <c r="E4134" s="947"/>
      <c r="F4134" s="1054"/>
      <c r="G4134" s="946"/>
      <c r="H4134" s="1031"/>
      <c r="I4134" s="948"/>
    </row>
    <row r="4135" spans="3:9" ht="15.75">
      <c r="C4135" s="949" t="s">
        <v>924</v>
      </c>
      <c r="D4135" s="946"/>
      <c r="E4135" s="947" t="str">
        <f>+VLOOKUP(C4135,'Basic (equilibrio) (2)'!B:D,2,FALSE)</f>
        <v>n/a</v>
      </c>
      <c r="F4135" s="1054">
        <f>+VLOOKUP(C4135,'Basic (equilibrio) (2)'!B:D,3,FALSE)</f>
        <v>0</v>
      </c>
      <c r="G4135" s="946"/>
      <c r="H4135" s="1031"/>
      <c r="I4135" s="948">
        <f>D4135*F4135</f>
        <v>0</v>
      </c>
    </row>
    <row r="4136" spans="3:9" ht="15.75">
      <c r="C4136" s="951" t="s">
        <v>918</v>
      </c>
      <c r="D4136" s="946"/>
      <c r="E4136" s="947"/>
      <c r="F4136" s="1054"/>
      <c r="G4136" s="946"/>
      <c r="H4136" s="1031"/>
      <c r="I4136" s="952">
        <f>SUM(I4135)</f>
        <v>0</v>
      </c>
    </row>
    <row r="4137" spans="3:9" ht="15.75">
      <c r="C4137" s="951"/>
      <c r="D4137" s="946"/>
      <c r="E4137" s="947"/>
      <c r="F4137" s="1054"/>
      <c r="G4137" s="946"/>
      <c r="H4137" s="1031"/>
      <c r="I4137" s="952"/>
    </row>
    <row r="4138" spans="3:9" ht="15.75">
      <c r="C4138" s="956" t="s">
        <v>926</v>
      </c>
      <c r="D4138" s="957"/>
      <c r="E4138" s="958"/>
      <c r="F4138" s="1069"/>
      <c r="G4138" s="957"/>
      <c r="H4138" s="1032"/>
      <c r="I4138" s="959">
        <f>+I4125</f>
        <v>1399.71</v>
      </c>
    </row>
    <row r="4139" spans="3:9" ht="15.75">
      <c r="C4139" s="956" t="s">
        <v>927</v>
      </c>
      <c r="D4139" s="957"/>
      <c r="E4139" s="958"/>
      <c r="F4139" s="1069"/>
      <c r="G4139" s="957"/>
      <c r="H4139" s="1032"/>
      <c r="I4139" s="959">
        <f>+I4128</f>
        <v>49.98</v>
      </c>
    </row>
    <row r="4140" spans="3:9" ht="15.75">
      <c r="C4140" s="956" t="s">
        <v>928</v>
      </c>
      <c r="D4140" s="957"/>
      <c r="E4140" s="958"/>
      <c r="F4140" s="1069"/>
      <c r="G4140" s="957"/>
      <c r="H4140" s="1032"/>
      <c r="I4140" s="959">
        <f>+I4132</f>
        <v>0</v>
      </c>
    </row>
    <row r="4141" spans="3:9" ht="15.75">
      <c r="C4141" s="956" t="s">
        <v>929</v>
      </c>
      <c r="D4141" s="957"/>
      <c r="E4141" s="958"/>
      <c r="F4141" s="1069"/>
      <c r="G4141" s="957"/>
      <c r="H4141" s="1032"/>
      <c r="I4141" s="959">
        <f>+I4136</f>
        <v>0</v>
      </c>
    </row>
    <row r="4142" spans="3:9" ht="15.75">
      <c r="C4142" s="949"/>
      <c r="D4142" s="946"/>
      <c r="E4142" s="947"/>
      <c r="F4142" s="1054"/>
      <c r="G4142" s="946"/>
      <c r="H4142" s="1031"/>
      <c r="I4142" s="948"/>
    </row>
    <row r="4143" spans="3:9" ht="15.75">
      <c r="C4143" s="949"/>
      <c r="D4143" s="946"/>
      <c r="E4143" s="947"/>
      <c r="F4143" s="1054"/>
      <c r="G4143" s="946"/>
      <c r="H4143" s="1031"/>
      <c r="I4143" s="948"/>
    </row>
    <row r="4144" spans="3:9" ht="15.75">
      <c r="C4144" s="951" t="s">
        <v>930</v>
      </c>
      <c r="D4144" s="960"/>
      <c r="E4144" s="943" t="str">
        <f>+E4118</f>
        <v>M2</v>
      </c>
      <c r="F4144" s="1070"/>
      <c r="G4144" s="960"/>
      <c r="H4144" s="1033"/>
      <c r="I4144" s="952">
        <f>SUM(I4138:I4141)</f>
        <v>1449.69</v>
      </c>
    </row>
    <row r="4145" spans="2:9" ht="15.75">
      <c r="C4145" s="951"/>
      <c r="D4145" s="960"/>
      <c r="E4145" s="943"/>
      <c r="F4145" s="1070"/>
      <c r="G4145" s="960"/>
      <c r="H4145" s="1033"/>
      <c r="I4145" s="952"/>
    </row>
    <row r="4146" spans="2:9" ht="15.75">
      <c r="B4146" s="1026">
        <v>5.0999999999999996</v>
      </c>
      <c r="C4146" s="937" t="str">
        <f>+Presupuesto!B265</f>
        <v>Pañete en exterior</v>
      </c>
      <c r="D4146" s="938"/>
      <c r="E4146" s="962" t="s">
        <v>20</v>
      </c>
      <c r="F4146" s="1066"/>
      <c r="G4146" s="938"/>
      <c r="H4146" s="1029"/>
      <c r="I4146" s="940">
        <f>I4171</f>
        <v>453.5</v>
      </c>
    </row>
    <row r="4147" spans="2:9" ht="15.75">
      <c r="C4147" s="941" t="s">
        <v>908</v>
      </c>
      <c r="D4147" s="942" t="s">
        <v>9</v>
      </c>
      <c r="E4147" s="943" t="s">
        <v>10</v>
      </c>
      <c r="F4147" s="1067" t="s">
        <v>909</v>
      </c>
      <c r="G4147" s="942" t="s">
        <v>910</v>
      </c>
      <c r="H4147" s="1030" t="s">
        <v>911</v>
      </c>
      <c r="I4147" s="944" t="s">
        <v>912</v>
      </c>
    </row>
    <row r="4148" spans="2:9" ht="15.75">
      <c r="C4148" s="945" t="s">
        <v>913</v>
      </c>
      <c r="D4148" s="946"/>
      <c r="E4148" s="947"/>
      <c r="F4148" s="1054"/>
      <c r="G4148" s="946"/>
      <c r="H4148" s="1031"/>
      <c r="I4148" s="948"/>
    </row>
    <row r="4149" spans="2:9" ht="15.75">
      <c r="C4149" s="949" t="s">
        <v>958</v>
      </c>
      <c r="D4149" s="946">
        <v>0.03</v>
      </c>
      <c r="E4149" s="947" t="str">
        <f>+VLOOKUP(C4149,'Basic (equilibrio) (2)'!B:D,2,FALSE)</f>
        <v>m3</v>
      </c>
      <c r="F4149" s="1068">
        <f>'Basic (equilibrio) (2)'!$D$309</f>
        <v>6820</v>
      </c>
      <c r="G4149" s="946">
        <f>F4149-(F4149/1.18)</f>
        <v>1040.3399999999999</v>
      </c>
      <c r="H4149" s="1031"/>
      <c r="I4149" s="948">
        <f>D4149*F4149</f>
        <v>204.6</v>
      </c>
    </row>
    <row r="4150" spans="2:9" ht="15.75">
      <c r="C4150" s="949" t="s">
        <v>1206</v>
      </c>
      <c r="D4150" s="946">
        <v>0.03</v>
      </c>
      <c r="E4150" s="947" t="str">
        <f>+VLOOKUP(C4150,'Basic (equilibrio) (2)'!B:D,2,FALSE)</f>
        <v>pt</v>
      </c>
      <c r="F4150" s="1068">
        <f>'Basic (equilibrio) (2)'!$D$310</f>
        <v>230</v>
      </c>
      <c r="G4150" s="946">
        <f>F4150-(F4150/1.18)</f>
        <v>35.08</v>
      </c>
      <c r="H4150" s="1031"/>
      <c r="I4150" s="948">
        <f>D4150*F4150</f>
        <v>6.9</v>
      </c>
    </row>
    <row r="4151" spans="2:9" ht="15.75">
      <c r="C4151" s="949" t="s">
        <v>1079</v>
      </c>
      <c r="D4151" s="946">
        <v>1</v>
      </c>
      <c r="E4151" s="947" t="str">
        <f>+VLOOKUP(C4151,'Basic (equilibrio) (2)'!B:D,2,FALSE)</f>
        <v>m2</v>
      </c>
      <c r="F4151" s="1068">
        <f>'Basic (equilibrio) (2)'!$D$31</f>
        <v>52</v>
      </c>
      <c r="G4151" s="946">
        <f>F4151-(F4151/1.18)</f>
        <v>7.93</v>
      </c>
      <c r="H4151" s="1031"/>
      <c r="I4151" s="948">
        <f>D4151*F4151</f>
        <v>52</v>
      </c>
    </row>
    <row r="4152" spans="2:9" ht="15.75">
      <c r="C4152" s="951" t="s">
        <v>918</v>
      </c>
      <c r="D4152" s="946"/>
      <c r="E4152" s="947"/>
      <c r="F4152" s="1068"/>
      <c r="G4152" s="946"/>
      <c r="H4152" s="1031"/>
      <c r="I4152" s="952">
        <f>SUM(I4149:I4151)</f>
        <v>263.5</v>
      </c>
    </row>
    <row r="4153" spans="2:9" ht="15.75">
      <c r="C4153" s="949"/>
      <c r="D4153" s="946"/>
      <c r="E4153" s="947"/>
      <c r="F4153" s="1068"/>
      <c r="G4153" s="946"/>
      <c r="H4153" s="1031"/>
      <c r="I4153" s="948"/>
    </row>
    <row r="4154" spans="2:9" ht="15.75">
      <c r="C4154" s="945" t="s">
        <v>919</v>
      </c>
      <c r="D4154" s="946"/>
      <c r="E4154" s="947"/>
      <c r="F4154" s="1068"/>
      <c r="G4154" s="946"/>
      <c r="H4154" s="1031"/>
      <c r="I4154" s="948"/>
    </row>
    <row r="4155" spans="2:9" ht="15.75">
      <c r="C4155" s="949" t="s">
        <v>1078</v>
      </c>
      <c r="D4155" s="953">
        <v>1</v>
      </c>
      <c r="E4155" s="954" t="str">
        <f>+VLOOKUP(C4155,'Basic (equilibrio) (2)'!B:D,2,FALSE)</f>
        <v>m2</v>
      </c>
      <c r="F4155" s="1068">
        <f>'Basic (equilibrio) (2)'!$D$30</f>
        <v>190</v>
      </c>
      <c r="G4155" s="946">
        <v>0</v>
      </c>
      <c r="H4155" s="1031"/>
      <c r="I4155" s="948">
        <f>(D4155*F4155)</f>
        <v>190</v>
      </c>
    </row>
    <row r="4156" spans="2:9" ht="15.75">
      <c r="C4156" s="951" t="s">
        <v>918</v>
      </c>
      <c r="D4156" s="946"/>
      <c r="E4156" s="947"/>
      <c r="F4156" s="1054"/>
      <c r="G4156" s="946"/>
      <c r="H4156" s="1031"/>
      <c r="I4156" s="952">
        <f>SUM(I4155:I4155)</f>
        <v>190</v>
      </c>
    </row>
    <row r="4157" spans="2:9" ht="15.75">
      <c r="C4157" s="949"/>
      <c r="D4157" s="946"/>
      <c r="E4157" s="947"/>
      <c r="F4157" s="1054"/>
      <c r="G4157" s="946"/>
      <c r="H4157" s="1031"/>
      <c r="I4157" s="948"/>
    </row>
    <row r="4158" spans="2:9" ht="15.75">
      <c r="C4158" s="945" t="s">
        <v>923</v>
      </c>
      <c r="D4158" s="946"/>
      <c r="E4158" s="947"/>
      <c r="F4158" s="1054"/>
      <c r="G4158" s="946"/>
      <c r="H4158" s="1031"/>
      <c r="I4158" s="948"/>
    </row>
    <row r="4159" spans="2:9" ht="15.75">
      <c r="C4159" s="949" t="s">
        <v>924</v>
      </c>
      <c r="D4159" s="946"/>
      <c r="E4159" s="947" t="str">
        <f>+VLOOKUP(C4159,'Basic (equilibrio) (2)'!B:D,2,FALSE)</f>
        <v>n/a</v>
      </c>
      <c r="F4159" s="1054">
        <f>+VLOOKUP(C4159,'Basic (equilibrio) (2)'!B:D,3,FALSE)</f>
        <v>0</v>
      </c>
      <c r="G4159" s="946">
        <f>F4159-(F4159/1.18)</f>
        <v>0</v>
      </c>
      <c r="H4159" s="1039"/>
      <c r="I4159" s="955">
        <f>D4159*F4159</f>
        <v>0</v>
      </c>
    </row>
    <row r="4160" spans="2:9" ht="15.75">
      <c r="C4160" s="951" t="s">
        <v>918</v>
      </c>
      <c r="D4160" s="946"/>
      <c r="E4160" s="947"/>
      <c r="F4160" s="1054"/>
      <c r="G4160" s="946"/>
      <c r="H4160" s="1031"/>
      <c r="I4160" s="952">
        <f>SUM(I4159:I4159)</f>
        <v>0</v>
      </c>
    </row>
    <row r="4161" spans="2:9" ht="15.75">
      <c r="C4161" s="949"/>
      <c r="D4161" s="946"/>
      <c r="E4161" s="947"/>
      <c r="F4161" s="1054"/>
      <c r="G4161" s="946"/>
      <c r="H4161" s="1031"/>
      <c r="I4161" s="948"/>
    </row>
    <row r="4162" spans="2:9" ht="15.75">
      <c r="C4162" s="945" t="s">
        <v>925</v>
      </c>
      <c r="D4162" s="946"/>
      <c r="E4162" s="947"/>
      <c r="F4162" s="1054"/>
      <c r="G4162" s="946"/>
      <c r="H4162" s="1031"/>
      <c r="I4162" s="948"/>
    </row>
    <row r="4163" spans="2:9" ht="15.75">
      <c r="C4163" s="949" t="s">
        <v>924</v>
      </c>
      <c r="D4163" s="946"/>
      <c r="E4163" s="947" t="str">
        <f>+VLOOKUP(C4163,'Basic (equilibrio) (2)'!B:D,2,FALSE)</f>
        <v>n/a</v>
      </c>
      <c r="F4163" s="1054">
        <f>+VLOOKUP(C4163,'Basic (equilibrio) (2)'!B:D,3,FALSE)</f>
        <v>0</v>
      </c>
      <c r="G4163" s="946"/>
      <c r="H4163" s="1031"/>
      <c r="I4163" s="948">
        <f>D4163*F4163</f>
        <v>0</v>
      </c>
    </row>
    <row r="4164" spans="2:9" ht="15.75">
      <c r="C4164" s="951" t="s">
        <v>918</v>
      </c>
      <c r="D4164" s="946"/>
      <c r="E4164" s="947"/>
      <c r="F4164" s="1054"/>
      <c r="G4164" s="946"/>
      <c r="H4164" s="1031"/>
      <c r="I4164" s="952">
        <f>SUM(I4163)</f>
        <v>0</v>
      </c>
    </row>
    <row r="4165" spans="2:9" ht="15.75">
      <c r="C4165" s="951"/>
      <c r="D4165" s="946"/>
      <c r="E4165" s="947"/>
      <c r="F4165" s="1054"/>
      <c r="G4165" s="946"/>
      <c r="H4165" s="1031"/>
      <c r="I4165" s="952"/>
    </row>
    <row r="4166" spans="2:9" ht="15.75">
      <c r="C4166" s="956" t="s">
        <v>926</v>
      </c>
      <c r="D4166" s="957"/>
      <c r="E4166" s="958"/>
      <c r="F4166" s="1069"/>
      <c r="G4166" s="957"/>
      <c r="H4166" s="1032"/>
      <c r="I4166" s="959">
        <f>+I4152</f>
        <v>263.5</v>
      </c>
    </row>
    <row r="4167" spans="2:9" ht="15.75">
      <c r="C4167" s="956" t="s">
        <v>927</v>
      </c>
      <c r="D4167" s="957"/>
      <c r="E4167" s="958"/>
      <c r="F4167" s="1069"/>
      <c r="G4167" s="957"/>
      <c r="H4167" s="1032"/>
      <c r="I4167" s="959">
        <f>+I4156</f>
        <v>190</v>
      </c>
    </row>
    <row r="4168" spans="2:9" ht="15.75">
      <c r="C4168" s="956" t="s">
        <v>928</v>
      </c>
      <c r="D4168" s="957"/>
      <c r="E4168" s="958"/>
      <c r="F4168" s="1069"/>
      <c r="G4168" s="957"/>
      <c r="H4168" s="1032"/>
      <c r="I4168" s="959">
        <f>+I4160</f>
        <v>0</v>
      </c>
    </row>
    <row r="4169" spans="2:9" ht="15.75">
      <c r="C4169" s="956" t="s">
        <v>929</v>
      </c>
      <c r="D4169" s="957"/>
      <c r="E4169" s="958"/>
      <c r="F4169" s="1069"/>
      <c r="G4169" s="957"/>
      <c r="H4169" s="1032"/>
      <c r="I4169" s="959">
        <f>+I4164</f>
        <v>0</v>
      </c>
    </row>
    <row r="4170" spans="2:9" ht="15.75">
      <c r="C4170" s="949"/>
      <c r="D4170" s="946"/>
      <c r="E4170" s="947"/>
      <c r="F4170" s="1054"/>
      <c r="G4170" s="946"/>
      <c r="H4170" s="1031"/>
      <c r="I4170" s="948"/>
    </row>
    <row r="4171" spans="2:9" ht="15.75">
      <c r="C4171" s="951" t="s">
        <v>930</v>
      </c>
      <c r="D4171" s="960"/>
      <c r="E4171" s="943" t="str">
        <f>+E4146</f>
        <v>M2</v>
      </c>
      <c r="F4171" s="1070"/>
      <c r="G4171" s="960"/>
      <c r="H4171" s="1033"/>
      <c r="I4171" s="952">
        <f>SUM(I4166:I4169)</f>
        <v>453.5</v>
      </c>
    </row>
    <row r="4172" spans="2:9" ht="15.75">
      <c r="C4172" s="951"/>
      <c r="D4172" s="960"/>
      <c r="E4172" s="943"/>
      <c r="F4172" s="1070"/>
      <c r="G4172" s="960"/>
      <c r="H4172" s="1033"/>
      <c r="I4172" s="952"/>
    </row>
    <row r="4173" spans="2:9" ht="15.75">
      <c r="B4173" s="1026">
        <v>5.2</v>
      </c>
      <c r="C4173" s="937" t="str">
        <f>+Presupuesto!B266</f>
        <v>Pañete liso en columnas</v>
      </c>
      <c r="D4173" s="938"/>
      <c r="E4173" s="962" t="s">
        <v>20</v>
      </c>
      <c r="F4173" s="1066"/>
      <c r="G4173" s="938"/>
      <c r="H4173" s="1029"/>
      <c r="I4173" s="940">
        <f>I4198</f>
        <v>453.5</v>
      </c>
    </row>
    <row r="4174" spans="2:9" ht="15.75">
      <c r="C4174" s="941" t="s">
        <v>908</v>
      </c>
      <c r="D4174" s="942" t="s">
        <v>9</v>
      </c>
      <c r="E4174" s="943" t="s">
        <v>10</v>
      </c>
      <c r="F4174" s="1067" t="s">
        <v>909</v>
      </c>
      <c r="G4174" s="942" t="s">
        <v>910</v>
      </c>
      <c r="H4174" s="1030" t="s">
        <v>911</v>
      </c>
      <c r="I4174" s="944" t="s">
        <v>912</v>
      </c>
    </row>
    <row r="4175" spans="2:9" ht="15.75">
      <c r="C4175" s="945" t="s">
        <v>913</v>
      </c>
      <c r="D4175" s="946"/>
      <c r="E4175" s="947"/>
      <c r="F4175" s="1054"/>
      <c r="G4175" s="946"/>
      <c r="H4175" s="1031"/>
      <c r="I4175" s="948"/>
    </row>
    <row r="4176" spans="2:9" ht="15.75">
      <c r="C4176" s="949" t="s">
        <v>958</v>
      </c>
      <c r="D4176" s="946">
        <v>0.03</v>
      </c>
      <c r="E4176" s="947" t="str">
        <f>+VLOOKUP(C4176,'Basic (equilibrio) (2)'!B:D,2,FALSE)</f>
        <v>m3</v>
      </c>
      <c r="F4176" s="1068">
        <f>'Basic (equilibrio) (2)'!$D$309</f>
        <v>6820</v>
      </c>
      <c r="G4176" s="946">
        <f>F4176-(F4176/1.18)</f>
        <v>1040.3399999999999</v>
      </c>
      <c r="H4176" s="1031"/>
      <c r="I4176" s="948">
        <f>D4176*F4176</f>
        <v>204.6</v>
      </c>
    </row>
    <row r="4177" spans="3:9" ht="15.75">
      <c r="C4177" s="949" t="s">
        <v>1206</v>
      </c>
      <c r="D4177" s="946">
        <v>0.03</v>
      </c>
      <c r="E4177" s="947" t="str">
        <f>+VLOOKUP(C4177,'Basic (equilibrio) (2)'!B:D,2,FALSE)</f>
        <v>pt</v>
      </c>
      <c r="F4177" s="1068">
        <f>'Basic (equilibrio) (2)'!$D$310</f>
        <v>230</v>
      </c>
      <c r="G4177" s="946">
        <f>F4177-(F4177/1.18)</f>
        <v>35.08</v>
      </c>
      <c r="H4177" s="1031"/>
      <c r="I4177" s="948">
        <f>D4177*F4177</f>
        <v>6.9</v>
      </c>
    </row>
    <row r="4178" spans="3:9" ht="15.75">
      <c r="C4178" s="949" t="s">
        <v>1079</v>
      </c>
      <c r="D4178" s="946">
        <v>1</v>
      </c>
      <c r="E4178" s="947" t="str">
        <f>+VLOOKUP(C4178,'Basic (equilibrio) (2)'!B:D,2,FALSE)</f>
        <v>m2</v>
      </c>
      <c r="F4178" s="1068">
        <f>'Basic (equilibrio) (2)'!$D$31</f>
        <v>52</v>
      </c>
      <c r="G4178" s="946">
        <f>F4178-(F4178/1.18)</f>
        <v>7.93</v>
      </c>
      <c r="H4178" s="1031"/>
      <c r="I4178" s="948">
        <f>D4178*F4178</f>
        <v>52</v>
      </c>
    </row>
    <row r="4179" spans="3:9" ht="15.75">
      <c r="C4179" s="951" t="s">
        <v>918</v>
      </c>
      <c r="D4179" s="946"/>
      <c r="E4179" s="947"/>
      <c r="F4179" s="1068"/>
      <c r="G4179" s="946"/>
      <c r="H4179" s="1031"/>
      <c r="I4179" s="952">
        <f>SUM(I4176:I4178)</f>
        <v>263.5</v>
      </c>
    </row>
    <row r="4180" spans="3:9" ht="15.75">
      <c r="C4180" s="949"/>
      <c r="D4180" s="946"/>
      <c r="E4180" s="947"/>
      <c r="F4180" s="1068"/>
      <c r="G4180" s="946"/>
      <c r="H4180" s="1031"/>
      <c r="I4180" s="948"/>
    </row>
    <row r="4181" spans="3:9" ht="15.75">
      <c r="C4181" s="945" t="s">
        <v>919</v>
      </c>
      <c r="D4181" s="946"/>
      <c r="E4181" s="947"/>
      <c r="F4181" s="1068"/>
      <c r="G4181" s="946"/>
      <c r="H4181" s="1031"/>
      <c r="I4181" s="948"/>
    </row>
    <row r="4182" spans="3:9" ht="15.75">
      <c r="C4182" s="949" t="s">
        <v>1078</v>
      </c>
      <c r="D4182" s="953">
        <v>1</v>
      </c>
      <c r="E4182" s="954" t="str">
        <f>+VLOOKUP(C4182,'Basic (equilibrio) (2)'!B:D,2,FALSE)</f>
        <v>m2</v>
      </c>
      <c r="F4182" s="1068">
        <f>'Basic (equilibrio) (2)'!$D$30</f>
        <v>190</v>
      </c>
      <c r="G4182" s="946">
        <v>0</v>
      </c>
      <c r="H4182" s="1031"/>
      <c r="I4182" s="948">
        <f>(D4182*F4182)</f>
        <v>190</v>
      </c>
    </row>
    <row r="4183" spans="3:9" ht="15.75">
      <c r="C4183" s="951" t="s">
        <v>918</v>
      </c>
      <c r="D4183" s="946"/>
      <c r="E4183" s="947"/>
      <c r="F4183" s="1054"/>
      <c r="G4183" s="946"/>
      <c r="H4183" s="1031"/>
      <c r="I4183" s="952">
        <f>SUM(I4182:I4182)</f>
        <v>190</v>
      </c>
    </row>
    <row r="4184" spans="3:9" ht="15.75">
      <c r="C4184" s="949"/>
      <c r="D4184" s="946"/>
      <c r="E4184" s="947"/>
      <c r="F4184" s="1054"/>
      <c r="G4184" s="946"/>
      <c r="H4184" s="1031"/>
      <c r="I4184" s="948"/>
    </row>
    <row r="4185" spans="3:9" ht="15.75">
      <c r="C4185" s="945" t="s">
        <v>923</v>
      </c>
      <c r="D4185" s="946"/>
      <c r="E4185" s="947"/>
      <c r="F4185" s="1054"/>
      <c r="G4185" s="946"/>
      <c r="H4185" s="1031"/>
      <c r="I4185" s="948"/>
    </row>
    <row r="4186" spans="3:9" ht="15.75">
      <c r="C4186" s="949" t="s">
        <v>924</v>
      </c>
      <c r="D4186" s="946"/>
      <c r="E4186" s="947" t="str">
        <f>+VLOOKUP(C4186,'Basic (equilibrio) (2)'!B:D,2,FALSE)</f>
        <v>n/a</v>
      </c>
      <c r="F4186" s="1054">
        <f>+VLOOKUP(C4186,'Basic (equilibrio) (2)'!B:D,3,FALSE)</f>
        <v>0</v>
      </c>
      <c r="G4186" s="946">
        <f>F4186-(F4186/1.18)</f>
        <v>0</v>
      </c>
      <c r="H4186" s="1039"/>
      <c r="I4186" s="955">
        <f>D4186*F4186</f>
        <v>0</v>
      </c>
    </row>
    <row r="4187" spans="3:9" ht="15.75">
      <c r="C4187" s="951" t="s">
        <v>918</v>
      </c>
      <c r="D4187" s="946"/>
      <c r="E4187" s="947"/>
      <c r="F4187" s="1054"/>
      <c r="G4187" s="946"/>
      <c r="H4187" s="1031"/>
      <c r="I4187" s="952">
        <f>SUM(I4186:I4186)</f>
        <v>0</v>
      </c>
    </row>
    <row r="4188" spans="3:9" ht="15.75">
      <c r="C4188" s="949"/>
      <c r="D4188" s="946"/>
      <c r="E4188" s="947"/>
      <c r="F4188" s="1054"/>
      <c r="G4188" s="946"/>
      <c r="H4188" s="1031"/>
      <c r="I4188" s="948"/>
    </row>
    <row r="4189" spans="3:9" ht="15.75">
      <c r="C4189" s="945" t="s">
        <v>925</v>
      </c>
      <c r="D4189" s="946"/>
      <c r="E4189" s="947"/>
      <c r="F4189" s="1054"/>
      <c r="G4189" s="946"/>
      <c r="H4189" s="1031"/>
      <c r="I4189" s="948"/>
    </row>
    <row r="4190" spans="3:9" ht="15.75">
      <c r="C4190" s="949" t="s">
        <v>924</v>
      </c>
      <c r="D4190" s="946"/>
      <c r="E4190" s="947" t="str">
        <f>+VLOOKUP(C4190,'Basic (equilibrio) (2)'!B:D,2,FALSE)</f>
        <v>n/a</v>
      </c>
      <c r="F4190" s="1054">
        <f>+VLOOKUP(C4190,'Basic (equilibrio) (2)'!B:D,3,FALSE)</f>
        <v>0</v>
      </c>
      <c r="G4190" s="946"/>
      <c r="H4190" s="1031"/>
      <c r="I4190" s="948">
        <f>D4190*F4190</f>
        <v>0</v>
      </c>
    </row>
    <row r="4191" spans="3:9" ht="15.75">
      <c r="C4191" s="951" t="s">
        <v>918</v>
      </c>
      <c r="D4191" s="946"/>
      <c r="E4191" s="947"/>
      <c r="F4191" s="1054"/>
      <c r="G4191" s="946"/>
      <c r="H4191" s="1031"/>
      <c r="I4191" s="952">
        <f>SUM(I4190)</f>
        <v>0</v>
      </c>
    </row>
    <row r="4192" spans="3:9" ht="15.75">
      <c r="C4192" s="951"/>
      <c r="D4192" s="946"/>
      <c r="E4192" s="947"/>
      <c r="F4192" s="1054"/>
      <c r="G4192" s="946"/>
      <c r="H4192" s="1031"/>
      <c r="I4192" s="952"/>
    </row>
    <row r="4193" spans="2:9" ht="15.75">
      <c r="C4193" s="956" t="s">
        <v>926</v>
      </c>
      <c r="D4193" s="957"/>
      <c r="E4193" s="958"/>
      <c r="F4193" s="1069"/>
      <c r="G4193" s="957"/>
      <c r="H4193" s="1032"/>
      <c r="I4193" s="959">
        <f>+I4179</f>
        <v>263.5</v>
      </c>
    </row>
    <row r="4194" spans="2:9" ht="15.75">
      <c r="C4194" s="956" t="s">
        <v>927</v>
      </c>
      <c r="D4194" s="957"/>
      <c r="E4194" s="958"/>
      <c r="F4194" s="1069"/>
      <c r="G4194" s="957"/>
      <c r="H4194" s="1032"/>
      <c r="I4194" s="959">
        <f>+I4183</f>
        <v>190</v>
      </c>
    </row>
    <row r="4195" spans="2:9" ht="15.75">
      <c r="C4195" s="956" t="s">
        <v>928</v>
      </c>
      <c r="D4195" s="957"/>
      <c r="E4195" s="958"/>
      <c r="F4195" s="1069"/>
      <c r="G4195" s="957"/>
      <c r="H4195" s="1032"/>
      <c r="I4195" s="959">
        <f>+I4187</f>
        <v>0</v>
      </c>
    </row>
    <row r="4196" spans="2:9" ht="15.75">
      <c r="C4196" s="956" t="s">
        <v>929</v>
      </c>
      <c r="D4196" s="957"/>
      <c r="E4196" s="958"/>
      <c r="F4196" s="1069"/>
      <c r="G4196" s="957"/>
      <c r="H4196" s="1032"/>
      <c r="I4196" s="959">
        <f>+I4191</f>
        <v>0</v>
      </c>
    </row>
    <row r="4197" spans="2:9" ht="15.75">
      <c r="C4197" s="949"/>
      <c r="D4197" s="946"/>
      <c r="E4197" s="947"/>
      <c r="F4197" s="1054"/>
      <c r="G4197" s="946"/>
      <c r="H4197" s="1031"/>
      <c r="I4197" s="948"/>
    </row>
    <row r="4198" spans="2:9" ht="15.75">
      <c r="C4198" s="951" t="s">
        <v>930</v>
      </c>
      <c r="D4198" s="960"/>
      <c r="E4198" s="943" t="str">
        <f>+E4173</f>
        <v>M2</v>
      </c>
      <c r="F4198" s="1070"/>
      <c r="G4198" s="960"/>
      <c r="H4198" s="1033"/>
      <c r="I4198" s="952">
        <f>SUM(I4193:I4196)</f>
        <v>453.5</v>
      </c>
    </row>
    <row r="4199" spans="2:9" ht="15.75">
      <c r="C4199" s="951"/>
      <c r="D4199" s="960"/>
      <c r="E4199" s="943"/>
      <c r="F4199" s="1070"/>
      <c r="G4199" s="960"/>
      <c r="H4199" s="1033"/>
      <c r="I4199" s="952"/>
    </row>
    <row r="4200" spans="2:9" ht="15.75">
      <c r="B4200" s="1026">
        <v>5.3</v>
      </c>
      <c r="C4200" s="937" t="str">
        <f>+Presupuesto!B267</f>
        <v>Fraguache</v>
      </c>
      <c r="D4200" s="938"/>
      <c r="E4200" s="962" t="s">
        <v>20</v>
      </c>
      <c r="F4200" s="1066"/>
      <c r="G4200" s="938"/>
      <c r="H4200" s="1029"/>
      <c r="I4200" s="940">
        <f>I4224</f>
        <v>101.1</v>
      </c>
    </row>
    <row r="4201" spans="2:9" ht="15.75">
      <c r="C4201" s="941" t="s">
        <v>908</v>
      </c>
      <c r="D4201" s="942" t="s">
        <v>9</v>
      </c>
      <c r="E4201" s="943" t="s">
        <v>10</v>
      </c>
      <c r="F4201" s="1067" t="s">
        <v>909</v>
      </c>
      <c r="G4201" s="942" t="s">
        <v>910</v>
      </c>
      <c r="H4201" s="1030" t="s">
        <v>911</v>
      </c>
      <c r="I4201" s="944" t="s">
        <v>912</v>
      </c>
    </row>
    <row r="4202" spans="2:9" ht="15.75">
      <c r="C4202" s="945" t="s">
        <v>913</v>
      </c>
      <c r="D4202" s="946"/>
      <c r="E4202" s="947"/>
      <c r="F4202" s="1054"/>
      <c r="G4202" s="946"/>
      <c r="H4202" s="1031"/>
      <c r="I4202" s="948"/>
    </row>
    <row r="4203" spans="2:9" ht="15.75">
      <c r="C4203" s="949" t="s">
        <v>958</v>
      </c>
      <c r="D4203" s="946">
        <v>0.01</v>
      </c>
      <c r="E4203" s="947" t="str">
        <f>+VLOOKUP(C4203,'Basic (equilibrio) (2)'!B:D,2,FALSE)</f>
        <v>m3</v>
      </c>
      <c r="F4203" s="1068">
        <f>'Basic (equilibrio) (2)'!$D$309</f>
        <v>6820</v>
      </c>
      <c r="G4203" s="946">
        <f>F4203-(F4203/1.18)</f>
        <v>1040.3399999999999</v>
      </c>
      <c r="H4203" s="1031"/>
      <c r="I4203" s="948">
        <f>D4203*F4203</f>
        <v>68.2</v>
      </c>
    </row>
    <row r="4204" spans="2:9" ht="15.75">
      <c r="C4204" s="949" t="s">
        <v>1206</v>
      </c>
      <c r="D4204" s="946">
        <v>0.03</v>
      </c>
      <c r="E4204" s="947" t="str">
        <f>+VLOOKUP(C4204,'Basic (equilibrio) (2)'!B:D,2,FALSE)</f>
        <v>pt</v>
      </c>
      <c r="F4204" s="1068">
        <f>'Basic (equilibrio) (2)'!$D$310</f>
        <v>230</v>
      </c>
      <c r="G4204" s="946">
        <f>F4204-(F4204/1.18)</f>
        <v>35.08</v>
      </c>
      <c r="H4204" s="1031"/>
      <c r="I4204" s="948">
        <f>D4204*F4204</f>
        <v>6.9</v>
      </c>
    </row>
    <row r="4205" spans="2:9" ht="15.75">
      <c r="C4205" s="951" t="s">
        <v>918</v>
      </c>
      <c r="D4205" s="946"/>
      <c r="E4205" s="947"/>
      <c r="F4205" s="1068"/>
      <c r="G4205" s="946"/>
      <c r="H4205" s="1031"/>
      <c r="I4205" s="952">
        <f>SUM(I4203:I4204)</f>
        <v>75.099999999999994</v>
      </c>
    </row>
    <row r="4206" spans="2:9" ht="15.75">
      <c r="C4206" s="949"/>
      <c r="D4206" s="946"/>
      <c r="E4206" s="947"/>
      <c r="F4206" s="1068"/>
      <c r="G4206" s="946"/>
      <c r="H4206" s="1031"/>
      <c r="I4206" s="948"/>
    </row>
    <row r="4207" spans="2:9" ht="15.75">
      <c r="C4207" s="945" t="s">
        <v>919</v>
      </c>
      <c r="D4207" s="946"/>
      <c r="E4207" s="947"/>
      <c r="F4207" s="1068"/>
      <c r="G4207" s="946"/>
      <c r="H4207" s="1031"/>
      <c r="I4207" s="948"/>
    </row>
    <row r="4208" spans="2:9" ht="15.75">
      <c r="C4208" s="949" t="s">
        <v>1080</v>
      </c>
      <c r="D4208" s="953">
        <v>1</v>
      </c>
      <c r="E4208" s="954" t="str">
        <f>+VLOOKUP(C4208,'Basic (equilibrio) (2)'!B:D,2,FALSE)</f>
        <v>m2</v>
      </c>
      <c r="F4208" s="1068">
        <f>'Basic (equilibrio) (2)'!$D$32</f>
        <v>26</v>
      </c>
      <c r="G4208" s="946">
        <v>0</v>
      </c>
      <c r="H4208" s="1031"/>
      <c r="I4208" s="948">
        <f>(D4208*F4208)</f>
        <v>26</v>
      </c>
    </row>
    <row r="4209" spans="3:9" ht="15.75">
      <c r="C4209" s="951" t="s">
        <v>918</v>
      </c>
      <c r="D4209" s="946"/>
      <c r="E4209" s="947"/>
      <c r="F4209" s="1054"/>
      <c r="G4209" s="946"/>
      <c r="H4209" s="1031"/>
      <c r="I4209" s="952">
        <f>SUM(I4208:I4208)</f>
        <v>26</v>
      </c>
    </row>
    <row r="4210" spans="3:9" ht="15.75">
      <c r="C4210" s="949"/>
      <c r="D4210" s="946"/>
      <c r="E4210" s="947"/>
      <c r="F4210" s="1054"/>
      <c r="G4210" s="946"/>
      <c r="H4210" s="1031"/>
      <c r="I4210" s="948"/>
    </row>
    <row r="4211" spans="3:9" ht="15.75">
      <c r="C4211" s="945" t="s">
        <v>923</v>
      </c>
      <c r="D4211" s="946"/>
      <c r="E4211" s="947"/>
      <c r="F4211" s="1054"/>
      <c r="G4211" s="946"/>
      <c r="H4211" s="1031"/>
      <c r="I4211" s="948"/>
    </row>
    <row r="4212" spans="3:9" ht="15.75">
      <c r="C4212" s="949" t="s">
        <v>924</v>
      </c>
      <c r="D4212" s="946"/>
      <c r="E4212" s="947" t="str">
        <f>+VLOOKUP(C4212,'Basic (equilibrio) (2)'!B:D,2,FALSE)</f>
        <v>n/a</v>
      </c>
      <c r="F4212" s="1054">
        <f>+VLOOKUP(C4212,'Basic (equilibrio) (2)'!B:D,3,FALSE)</f>
        <v>0</v>
      </c>
      <c r="G4212" s="946">
        <f>F4212-(F4212/1.18)</f>
        <v>0</v>
      </c>
      <c r="H4212" s="1039"/>
      <c r="I4212" s="955">
        <f>D4212*F4212</f>
        <v>0</v>
      </c>
    </row>
    <row r="4213" spans="3:9" ht="15.75">
      <c r="C4213" s="951" t="s">
        <v>918</v>
      </c>
      <c r="D4213" s="946"/>
      <c r="E4213" s="947"/>
      <c r="F4213" s="1054"/>
      <c r="G4213" s="946"/>
      <c r="H4213" s="1031"/>
      <c r="I4213" s="952">
        <f>SUM(I4212:I4212)</f>
        <v>0</v>
      </c>
    </row>
    <row r="4214" spans="3:9" ht="15.75">
      <c r="C4214" s="949"/>
      <c r="D4214" s="946"/>
      <c r="E4214" s="947"/>
      <c r="F4214" s="1054"/>
      <c r="G4214" s="946"/>
      <c r="H4214" s="1031"/>
      <c r="I4214" s="948"/>
    </row>
    <row r="4215" spans="3:9" ht="15.75">
      <c r="C4215" s="945" t="s">
        <v>925</v>
      </c>
      <c r="D4215" s="946"/>
      <c r="E4215" s="947"/>
      <c r="F4215" s="1054"/>
      <c r="G4215" s="946"/>
      <c r="H4215" s="1031"/>
      <c r="I4215" s="948"/>
    </row>
    <row r="4216" spans="3:9" ht="15.75">
      <c r="C4216" s="949" t="s">
        <v>924</v>
      </c>
      <c r="D4216" s="946"/>
      <c r="E4216" s="947" t="str">
        <f>+VLOOKUP(C4216,'Basic (equilibrio) (2)'!B:D,2,FALSE)</f>
        <v>n/a</v>
      </c>
      <c r="F4216" s="1054">
        <f>+VLOOKUP(C4216,'Basic (equilibrio) (2)'!B:D,3,FALSE)</f>
        <v>0</v>
      </c>
      <c r="G4216" s="946"/>
      <c r="H4216" s="1031"/>
      <c r="I4216" s="948">
        <f>D4216*F4216</f>
        <v>0</v>
      </c>
    </row>
    <row r="4217" spans="3:9" ht="15.75">
      <c r="C4217" s="951" t="s">
        <v>918</v>
      </c>
      <c r="D4217" s="946"/>
      <c r="E4217" s="947"/>
      <c r="F4217" s="1054"/>
      <c r="G4217" s="946"/>
      <c r="H4217" s="1031"/>
      <c r="I4217" s="952">
        <f>SUM(I4216)</f>
        <v>0</v>
      </c>
    </row>
    <row r="4218" spans="3:9" ht="15.75">
      <c r="C4218" s="951"/>
      <c r="D4218" s="946"/>
      <c r="E4218" s="947"/>
      <c r="F4218" s="1054"/>
      <c r="G4218" s="946"/>
      <c r="H4218" s="1031"/>
      <c r="I4218" s="952"/>
    </row>
    <row r="4219" spans="3:9" ht="15.75">
      <c r="C4219" s="956" t="s">
        <v>926</v>
      </c>
      <c r="D4219" s="957"/>
      <c r="E4219" s="958"/>
      <c r="F4219" s="1069"/>
      <c r="G4219" s="957"/>
      <c r="H4219" s="1032"/>
      <c r="I4219" s="959">
        <f>+I4205</f>
        <v>75.099999999999994</v>
      </c>
    </row>
    <row r="4220" spans="3:9" ht="15.75">
      <c r="C4220" s="956" t="s">
        <v>927</v>
      </c>
      <c r="D4220" s="957"/>
      <c r="E4220" s="958"/>
      <c r="F4220" s="1069"/>
      <c r="G4220" s="957"/>
      <c r="H4220" s="1032"/>
      <c r="I4220" s="959">
        <f>+I4209</f>
        <v>26</v>
      </c>
    </row>
    <row r="4221" spans="3:9" ht="15.75">
      <c r="C4221" s="956" t="s">
        <v>928</v>
      </c>
      <c r="D4221" s="957"/>
      <c r="E4221" s="958"/>
      <c r="F4221" s="1069"/>
      <c r="G4221" s="957"/>
      <c r="H4221" s="1032"/>
      <c r="I4221" s="959">
        <f>+I4213</f>
        <v>0</v>
      </c>
    </row>
    <row r="4222" spans="3:9" ht="15.75">
      <c r="C4222" s="956" t="s">
        <v>929</v>
      </c>
      <c r="D4222" s="957"/>
      <c r="E4222" s="958"/>
      <c r="F4222" s="1069"/>
      <c r="G4222" s="957"/>
      <c r="H4222" s="1032"/>
      <c r="I4222" s="959">
        <f>+I4217</f>
        <v>0</v>
      </c>
    </row>
    <row r="4223" spans="3:9" ht="15.75">
      <c r="C4223" s="949"/>
      <c r="D4223" s="946"/>
      <c r="E4223" s="947"/>
      <c r="F4223" s="1054"/>
      <c r="G4223" s="946"/>
      <c r="H4223" s="1031"/>
      <c r="I4223" s="948"/>
    </row>
    <row r="4224" spans="3:9" ht="15.75">
      <c r="C4224" s="951" t="s">
        <v>930</v>
      </c>
      <c r="D4224" s="960"/>
      <c r="E4224" s="943" t="str">
        <f>+E4200</f>
        <v>M2</v>
      </c>
      <c r="F4224" s="1070"/>
      <c r="G4224" s="960"/>
      <c r="H4224" s="1033"/>
      <c r="I4224" s="952">
        <f>SUM(I4219:I4222)</f>
        <v>101.1</v>
      </c>
    </row>
    <row r="4225" spans="2:9" ht="15.75">
      <c r="C4225" s="951"/>
      <c r="D4225" s="960"/>
      <c r="E4225" s="943"/>
      <c r="F4225" s="1070"/>
      <c r="G4225" s="960"/>
      <c r="H4225" s="1033"/>
      <c r="I4225" s="952"/>
    </row>
    <row r="4226" spans="2:9" ht="15.75">
      <c r="C4226" s="951"/>
      <c r="D4226" s="960"/>
      <c r="E4226" s="943"/>
      <c r="F4226" s="1070"/>
      <c r="G4226" s="960"/>
      <c r="H4226" s="1033"/>
      <c r="I4226" s="952"/>
    </row>
    <row r="4227" spans="2:9" ht="15.75">
      <c r="B4227" s="1026">
        <v>5.4</v>
      </c>
      <c r="C4227" s="937" t="str">
        <f>+Presupuesto!B268</f>
        <v>Cantos en general</v>
      </c>
      <c r="D4227" s="938"/>
      <c r="E4227" s="962" t="s">
        <v>15</v>
      </c>
      <c r="F4227" s="1066"/>
      <c r="G4227" s="938"/>
      <c r="H4227" s="1029"/>
      <c r="I4227" s="940">
        <f>I4251</f>
        <v>158.5</v>
      </c>
    </row>
    <row r="4228" spans="2:9" ht="15.75">
      <c r="C4228" s="941" t="s">
        <v>908</v>
      </c>
      <c r="D4228" s="942" t="s">
        <v>9</v>
      </c>
      <c r="E4228" s="943" t="s">
        <v>10</v>
      </c>
      <c r="F4228" s="1067" t="s">
        <v>909</v>
      </c>
      <c r="G4228" s="942" t="s">
        <v>910</v>
      </c>
      <c r="H4228" s="1030" t="s">
        <v>911</v>
      </c>
      <c r="I4228" s="944" t="s">
        <v>912</v>
      </c>
    </row>
    <row r="4229" spans="2:9" ht="15.75">
      <c r="C4229" s="945" t="s">
        <v>913</v>
      </c>
      <c r="D4229" s="946"/>
      <c r="E4229" s="947"/>
      <c r="F4229" s="1054"/>
      <c r="G4229" s="946"/>
      <c r="H4229" s="1031"/>
      <c r="I4229" s="948"/>
    </row>
    <row r="4230" spans="2:9" ht="15.75">
      <c r="C4230" s="949" t="s">
        <v>958</v>
      </c>
      <c r="D4230" s="946">
        <v>0.01</v>
      </c>
      <c r="E4230" s="947" t="str">
        <f>+VLOOKUP(C4230,'Basic (equilibrio) (2)'!B:D,2,FALSE)</f>
        <v>m3</v>
      </c>
      <c r="F4230" s="1068">
        <f>'Basic (equilibrio) (2)'!$D$309</f>
        <v>6820</v>
      </c>
      <c r="G4230" s="946">
        <f>F4230-(F4230/1.18)</f>
        <v>1040.3399999999999</v>
      </c>
      <c r="H4230" s="1031"/>
      <c r="I4230" s="948">
        <f>D4230*F4230</f>
        <v>68.2</v>
      </c>
    </row>
    <row r="4231" spans="2:9" ht="15.75">
      <c r="C4231" s="949" t="s">
        <v>1206</v>
      </c>
      <c r="D4231" s="946">
        <v>0.11</v>
      </c>
      <c r="E4231" s="947" t="str">
        <f>+VLOOKUP(C4231,'Basic (equilibrio) (2)'!B:D,2,FALSE)</f>
        <v>pt</v>
      </c>
      <c r="F4231" s="1068">
        <f>'Basic (equilibrio) (2)'!$D$310</f>
        <v>230</v>
      </c>
      <c r="G4231" s="946">
        <f>F4231-(F4231/1.18)</f>
        <v>35.08</v>
      </c>
      <c r="H4231" s="1031"/>
      <c r="I4231" s="948">
        <f>D4231*F4231</f>
        <v>25.3</v>
      </c>
    </row>
    <row r="4232" spans="2:9" ht="15.75">
      <c r="C4232" s="951" t="s">
        <v>918</v>
      </c>
      <c r="D4232" s="946"/>
      <c r="E4232" s="947"/>
      <c r="F4232" s="1068"/>
      <c r="G4232" s="946"/>
      <c r="H4232" s="1031"/>
      <c r="I4232" s="952">
        <f>SUM(I4230:I4231)</f>
        <v>93.5</v>
      </c>
    </row>
    <row r="4233" spans="2:9" ht="15.75">
      <c r="C4233" s="949"/>
      <c r="D4233" s="946"/>
      <c r="E4233" s="947"/>
      <c r="F4233" s="1068"/>
      <c r="G4233" s="946"/>
      <c r="H4233" s="1031"/>
      <c r="I4233" s="948"/>
    </row>
    <row r="4234" spans="2:9" ht="15.75">
      <c r="C4234" s="945" t="s">
        <v>919</v>
      </c>
      <c r="D4234" s="946"/>
      <c r="E4234" s="947"/>
      <c r="F4234" s="1068"/>
      <c r="G4234" s="946"/>
      <c r="H4234" s="1031"/>
      <c r="I4234" s="948"/>
    </row>
    <row r="4235" spans="2:9" ht="15.75">
      <c r="C4235" s="949" t="s">
        <v>1081</v>
      </c>
      <c r="D4235" s="953">
        <v>1</v>
      </c>
      <c r="E4235" s="954" t="str">
        <f>+VLOOKUP(C4235,'Basic (equilibrio) (2)'!B:D,2,FALSE)</f>
        <v>ml</v>
      </c>
      <c r="F4235" s="1068">
        <f>'Basic (equilibrio) (2)'!$D$33</f>
        <v>65</v>
      </c>
      <c r="G4235" s="946">
        <v>0</v>
      </c>
      <c r="H4235" s="1031"/>
      <c r="I4235" s="948">
        <f>(D4235*F4235)</f>
        <v>65</v>
      </c>
    </row>
    <row r="4236" spans="2:9" ht="15.75">
      <c r="C4236" s="951" t="s">
        <v>918</v>
      </c>
      <c r="D4236" s="946"/>
      <c r="E4236" s="947"/>
      <c r="F4236" s="1054"/>
      <c r="G4236" s="946"/>
      <c r="H4236" s="1031"/>
      <c r="I4236" s="952">
        <f>SUM(I4235:I4235)</f>
        <v>65</v>
      </c>
    </row>
    <row r="4237" spans="2:9" ht="15.75">
      <c r="C4237" s="949"/>
      <c r="D4237" s="946"/>
      <c r="E4237" s="947"/>
      <c r="F4237" s="1054"/>
      <c r="G4237" s="946"/>
      <c r="H4237" s="1031"/>
      <c r="I4237" s="948"/>
    </row>
    <row r="4238" spans="2:9" ht="15.75">
      <c r="C4238" s="945" t="s">
        <v>923</v>
      </c>
      <c r="D4238" s="946"/>
      <c r="E4238" s="947"/>
      <c r="F4238" s="1054"/>
      <c r="G4238" s="946"/>
      <c r="H4238" s="1031"/>
      <c r="I4238" s="948"/>
    </row>
    <row r="4239" spans="2:9" ht="15.75">
      <c r="C4239" s="949" t="s">
        <v>924</v>
      </c>
      <c r="D4239" s="946"/>
      <c r="E4239" s="947" t="str">
        <f>+VLOOKUP(C4239,'Basic (equilibrio) (2)'!B:D,2,FALSE)</f>
        <v>n/a</v>
      </c>
      <c r="F4239" s="1054">
        <f>+VLOOKUP(C4239,'Basic (equilibrio) (2)'!B:D,3,FALSE)</f>
        <v>0</v>
      </c>
      <c r="G4239" s="946">
        <f>F4239-(F4239/1.18)</f>
        <v>0</v>
      </c>
      <c r="H4239" s="1039"/>
      <c r="I4239" s="955">
        <f>D4239*F4239</f>
        <v>0</v>
      </c>
    </row>
    <row r="4240" spans="2:9" ht="15.75">
      <c r="C4240" s="951" t="s">
        <v>918</v>
      </c>
      <c r="D4240" s="946"/>
      <c r="E4240" s="947"/>
      <c r="F4240" s="1054"/>
      <c r="G4240" s="946"/>
      <c r="H4240" s="1031"/>
      <c r="I4240" s="952">
        <f>SUM(I4239:I4239)</f>
        <v>0</v>
      </c>
    </row>
    <row r="4241" spans="2:9" ht="15.75">
      <c r="C4241" s="949"/>
      <c r="D4241" s="946"/>
      <c r="E4241" s="947"/>
      <c r="F4241" s="1054"/>
      <c r="G4241" s="946"/>
      <c r="H4241" s="1031"/>
      <c r="I4241" s="948"/>
    </row>
    <row r="4242" spans="2:9" ht="15.75">
      <c r="C4242" s="945" t="s">
        <v>925</v>
      </c>
      <c r="D4242" s="946"/>
      <c r="E4242" s="947"/>
      <c r="F4242" s="1054"/>
      <c r="G4242" s="946"/>
      <c r="H4242" s="1031"/>
      <c r="I4242" s="948"/>
    </row>
    <row r="4243" spans="2:9" ht="15.75">
      <c r="C4243" s="949" t="s">
        <v>924</v>
      </c>
      <c r="D4243" s="946"/>
      <c r="E4243" s="947" t="str">
        <f>+VLOOKUP(C4243,'Basic (equilibrio) (2)'!B:D,2,FALSE)</f>
        <v>n/a</v>
      </c>
      <c r="F4243" s="1054">
        <f>+VLOOKUP(C4243,'Basic (equilibrio) (2)'!B:D,3,FALSE)</f>
        <v>0</v>
      </c>
      <c r="G4243" s="946"/>
      <c r="H4243" s="1031"/>
      <c r="I4243" s="948">
        <f>D4243*F4243</f>
        <v>0</v>
      </c>
    </row>
    <row r="4244" spans="2:9" ht="15.75">
      <c r="C4244" s="951" t="s">
        <v>918</v>
      </c>
      <c r="D4244" s="946"/>
      <c r="E4244" s="947"/>
      <c r="F4244" s="1054"/>
      <c r="G4244" s="946"/>
      <c r="H4244" s="1031"/>
      <c r="I4244" s="952">
        <f>SUM(I4243)</f>
        <v>0</v>
      </c>
    </row>
    <row r="4245" spans="2:9" ht="15.75">
      <c r="C4245" s="951"/>
      <c r="D4245" s="946"/>
      <c r="E4245" s="947"/>
      <c r="F4245" s="1054"/>
      <c r="G4245" s="946"/>
      <c r="H4245" s="1031"/>
      <c r="I4245" s="952"/>
    </row>
    <row r="4246" spans="2:9" ht="15.75">
      <c r="C4246" s="956" t="s">
        <v>926</v>
      </c>
      <c r="D4246" s="957"/>
      <c r="E4246" s="958"/>
      <c r="F4246" s="1069"/>
      <c r="G4246" s="957"/>
      <c r="H4246" s="1032"/>
      <c r="I4246" s="959">
        <f>+I4232</f>
        <v>93.5</v>
      </c>
    </row>
    <row r="4247" spans="2:9" ht="15.75">
      <c r="C4247" s="956" t="s">
        <v>927</v>
      </c>
      <c r="D4247" s="957"/>
      <c r="E4247" s="958"/>
      <c r="F4247" s="1069"/>
      <c r="G4247" s="957"/>
      <c r="H4247" s="1032"/>
      <c r="I4247" s="959">
        <f>+I4236</f>
        <v>65</v>
      </c>
    </row>
    <row r="4248" spans="2:9" ht="15.75">
      <c r="C4248" s="956" t="s">
        <v>928</v>
      </c>
      <c r="D4248" s="957"/>
      <c r="E4248" s="958"/>
      <c r="F4248" s="1069"/>
      <c r="G4248" s="957"/>
      <c r="H4248" s="1032"/>
      <c r="I4248" s="959">
        <f>+I4240</f>
        <v>0</v>
      </c>
    </row>
    <row r="4249" spans="2:9" ht="15.75">
      <c r="C4249" s="956" t="s">
        <v>929</v>
      </c>
      <c r="D4249" s="957"/>
      <c r="E4249" s="958"/>
      <c r="F4249" s="1069"/>
      <c r="G4249" s="957"/>
      <c r="H4249" s="1032"/>
      <c r="I4249" s="959">
        <f>+I4244</f>
        <v>0</v>
      </c>
    </row>
    <row r="4250" spans="2:9" ht="15.75">
      <c r="C4250" s="949"/>
      <c r="D4250" s="946"/>
      <c r="E4250" s="947"/>
      <c r="F4250" s="1054"/>
      <c r="G4250" s="946"/>
      <c r="H4250" s="1031"/>
      <c r="I4250" s="948"/>
    </row>
    <row r="4251" spans="2:9" ht="15.75">
      <c r="C4251" s="951" t="s">
        <v>930</v>
      </c>
      <c r="D4251" s="960"/>
      <c r="E4251" s="943" t="str">
        <f>+E4227</f>
        <v>M</v>
      </c>
      <c r="F4251" s="1070"/>
      <c r="G4251" s="960"/>
      <c r="H4251" s="1033"/>
      <c r="I4251" s="952">
        <f>SUM(I4246:I4249)</f>
        <v>158.5</v>
      </c>
    </row>
    <row r="4252" spans="2:9" ht="15.75">
      <c r="C4252" s="951"/>
      <c r="D4252" s="960"/>
      <c r="E4252" s="943"/>
      <c r="F4252" s="1070"/>
      <c r="G4252" s="960"/>
      <c r="H4252" s="1033"/>
      <c r="I4252" s="952"/>
    </row>
    <row r="4253" spans="2:9" ht="15.75">
      <c r="C4253" s="951"/>
      <c r="D4253" s="960"/>
      <c r="E4253" s="943"/>
      <c r="F4253" s="1070"/>
      <c r="G4253" s="960"/>
      <c r="H4253" s="1033"/>
      <c r="I4253" s="952"/>
    </row>
    <row r="4254" spans="2:9" ht="15.75">
      <c r="B4254" s="1026">
        <v>6.1</v>
      </c>
      <c r="C4254" s="937" t="str">
        <f>+Presupuesto!B271</f>
        <v>De H.A. con malla electrosoldada 1/4" (H=0.10 m)</v>
      </c>
      <c r="D4254" s="938"/>
      <c r="E4254" s="962" t="s">
        <v>20</v>
      </c>
      <c r="F4254" s="1066"/>
      <c r="G4254" s="938"/>
      <c r="H4254" s="1029"/>
      <c r="I4254" s="940">
        <f>+I4282</f>
        <v>1443.71</v>
      </c>
    </row>
    <row r="4255" spans="2:9" ht="15.75">
      <c r="C4255" s="941" t="s">
        <v>908</v>
      </c>
      <c r="D4255" s="942" t="s">
        <v>9</v>
      </c>
      <c r="E4255" s="943" t="s">
        <v>10</v>
      </c>
      <c r="F4255" s="1067" t="s">
        <v>909</v>
      </c>
      <c r="G4255" s="942" t="s">
        <v>910</v>
      </c>
      <c r="H4255" s="1030" t="s">
        <v>911</v>
      </c>
      <c r="I4255" s="944" t="s">
        <v>912</v>
      </c>
    </row>
    <row r="4256" spans="2:9" ht="15.75">
      <c r="C4256" s="945" t="s">
        <v>913</v>
      </c>
      <c r="D4256" s="946"/>
      <c r="E4256" s="947"/>
      <c r="F4256" s="1054"/>
      <c r="G4256" s="946"/>
      <c r="H4256" s="1031"/>
      <c r="I4256" s="948"/>
    </row>
    <row r="4257" spans="3:9" ht="15.75">
      <c r="C4257" s="949" t="s">
        <v>994</v>
      </c>
      <c r="D4257" s="946">
        <v>1.02</v>
      </c>
      <c r="E4257" s="947" t="str">
        <f>+VLOOKUP(C4257,'Basic (equilibrio) (2)'!B:D,2,FALSE)</f>
        <v>m3</v>
      </c>
      <c r="F4257" s="1068">
        <f>'Basic (equilibrio) (2)'!$D$179</f>
        <v>7600</v>
      </c>
      <c r="G4257" s="946">
        <f>F4257-(F4257/1.18)</f>
        <v>1159.32</v>
      </c>
      <c r="H4257" s="1031"/>
      <c r="I4257" s="948">
        <f>D4257*F4257</f>
        <v>7752</v>
      </c>
    </row>
    <row r="4258" spans="3:9" ht="15.75">
      <c r="C4258" s="949" t="s">
        <v>956</v>
      </c>
      <c r="D4258" s="946">
        <v>0.11</v>
      </c>
      <c r="E4258" s="947" t="str">
        <f>+VLOOKUP(C4258,'Basic (equilibrio) (2)'!B:D,2,FALSE)</f>
        <v>rollo</v>
      </c>
      <c r="F4258" s="1068">
        <f>'Basic (equilibrio) (2)'!$D$330</f>
        <v>22294</v>
      </c>
      <c r="G4258" s="946">
        <f>F4258-(F4258/1.18)</f>
        <v>3400.78</v>
      </c>
      <c r="H4258" s="1031"/>
      <c r="I4258" s="948">
        <f>D4258*F4258</f>
        <v>2452.34</v>
      </c>
    </row>
    <row r="4259" spans="3:9" ht="15.75">
      <c r="C4259" s="949" t="s">
        <v>1066</v>
      </c>
      <c r="D4259" s="946">
        <v>1.07</v>
      </c>
      <c r="E4259" s="947" t="str">
        <f>+VLOOKUP(C4259,'Basic (equilibrio) (2)'!B:D,2,FALSE)</f>
        <v>ml</v>
      </c>
      <c r="F4259" s="1068">
        <f>'Basic (equilibrio) (2)'!$D$20</f>
        <v>144</v>
      </c>
      <c r="G4259" s="946">
        <f>F4259-(F4259/1.18)</f>
        <v>21.97</v>
      </c>
      <c r="H4259" s="1031"/>
      <c r="I4259" s="948">
        <f>D4259*F4259</f>
        <v>154.08000000000001</v>
      </c>
    </row>
    <row r="4260" spans="3:9" ht="15.75">
      <c r="C4260" s="951" t="s">
        <v>918</v>
      </c>
      <c r="D4260" s="946"/>
      <c r="E4260" s="947"/>
      <c r="F4260" s="1068"/>
      <c r="G4260" s="946"/>
      <c r="H4260" s="1031"/>
      <c r="I4260" s="952">
        <f>SUM(I4257:I4259)</f>
        <v>10358.42</v>
      </c>
    </row>
    <row r="4261" spans="3:9" ht="15.75">
      <c r="C4261" s="949"/>
      <c r="D4261" s="946"/>
      <c r="E4261" s="947"/>
      <c r="F4261" s="1068"/>
      <c r="G4261" s="946"/>
      <c r="H4261" s="1031"/>
      <c r="I4261" s="948"/>
    </row>
    <row r="4262" spans="3:9" ht="15.75">
      <c r="C4262" s="945" t="s">
        <v>919</v>
      </c>
      <c r="D4262" s="946"/>
      <c r="E4262" s="947"/>
      <c r="F4262" s="1068"/>
      <c r="G4262" s="946"/>
      <c r="H4262" s="1031"/>
      <c r="I4262" s="948"/>
    </row>
    <row r="4263" spans="3:9" ht="15.75">
      <c r="C4263" s="949" t="s">
        <v>961</v>
      </c>
      <c r="D4263" s="953">
        <v>8.33</v>
      </c>
      <c r="E4263" s="954" t="str">
        <f>+VLOOKUP(C4263,'Basic (equilibrio) (2)'!B:D,2,FALSE)</f>
        <v>m2</v>
      </c>
      <c r="F4263" s="1054">
        <f>'Basic (equilibrio) (2)'!$D$47</f>
        <v>86.2</v>
      </c>
      <c r="G4263" s="946">
        <v>0</v>
      </c>
      <c r="H4263" s="1031"/>
      <c r="I4263" s="948">
        <f>(D4263*F4263)</f>
        <v>718.05</v>
      </c>
    </row>
    <row r="4264" spans="3:9" ht="15.75">
      <c r="C4264" s="949" t="s">
        <v>1064</v>
      </c>
      <c r="D4264" s="953">
        <v>8.33</v>
      </c>
      <c r="E4264" s="954" t="str">
        <f>+VLOOKUP(C4264,'Basic (equilibrio) (2)'!B:D,2,FALSE)</f>
        <v>m2</v>
      </c>
      <c r="F4264" s="1054">
        <f>'Basic (equilibrio) (2)'!$D$19</f>
        <v>114</v>
      </c>
      <c r="G4264" s="946">
        <v>0</v>
      </c>
      <c r="H4264" s="1031"/>
      <c r="I4264" s="948">
        <f>(D4264*F4264)</f>
        <v>949.62</v>
      </c>
    </row>
    <row r="4265" spans="3:9" ht="15.75">
      <c r="C4265" s="951" t="s">
        <v>918</v>
      </c>
      <c r="D4265" s="946"/>
      <c r="E4265" s="947"/>
      <c r="F4265" s="1054"/>
      <c r="G4265" s="946"/>
      <c r="H4265" s="1031"/>
      <c r="I4265" s="952">
        <f>SUM(I4263:I4264)</f>
        <v>1667.67</v>
      </c>
    </row>
    <row r="4266" spans="3:9" ht="15.75">
      <c r="C4266" s="949"/>
      <c r="D4266" s="946"/>
      <c r="E4266" s="947"/>
      <c r="F4266" s="1054"/>
      <c r="G4266" s="946"/>
      <c r="H4266" s="1031"/>
      <c r="I4266" s="948"/>
    </row>
    <row r="4267" spans="3:9" ht="15.75">
      <c r="C4267" s="945" t="s">
        <v>923</v>
      </c>
      <c r="D4267" s="946"/>
      <c r="E4267" s="947"/>
      <c r="F4267" s="1054"/>
      <c r="G4267" s="946"/>
      <c r="H4267" s="1031"/>
      <c r="I4267" s="948"/>
    </row>
    <row r="4268" spans="3:9" ht="15.75">
      <c r="C4268" s="949" t="s">
        <v>924</v>
      </c>
      <c r="D4268" s="946"/>
      <c r="E4268" s="947" t="str">
        <f>+VLOOKUP(C4268,'Basic (equilibrio) (2)'!B:D,2,FALSE)</f>
        <v>n/a</v>
      </c>
      <c r="F4268" s="1054">
        <f>+VLOOKUP(C4268,'Basic (equilibrio) (2)'!B:D,3,FALSE)</f>
        <v>0</v>
      </c>
      <c r="G4268" s="946">
        <f>F4268-(F4268/1.18)</f>
        <v>0</v>
      </c>
      <c r="H4268" s="1039"/>
      <c r="I4268" s="955">
        <f>D4268*F4268</f>
        <v>0</v>
      </c>
    </row>
    <row r="4269" spans="3:9" ht="15.75">
      <c r="C4269" s="951" t="s">
        <v>918</v>
      </c>
      <c r="D4269" s="946"/>
      <c r="E4269" s="947"/>
      <c r="F4269" s="1054"/>
      <c r="G4269" s="946"/>
      <c r="H4269" s="1031"/>
      <c r="I4269" s="952">
        <f>SUM(I4268:I4268)</f>
        <v>0</v>
      </c>
    </row>
    <row r="4270" spans="3:9" ht="15.75">
      <c r="C4270" s="949"/>
      <c r="D4270" s="946"/>
      <c r="E4270" s="947"/>
      <c r="F4270" s="1054"/>
      <c r="G4270" s="946"/>
      <c r="H4270" s="1031"/>
      <c r="I4270" s="948"/>
    </row>
    <row r="4271" spans="3:9" ht="15.75">
      <c r="C4271" s="945" t="s">
        <v>925</v>
      </c>
      <c r="D4271" s="946"/>
      <c r="E4271" s="947"/>
      <c r="F4271" s="1054"/>
      <c r="G4271" s="946"/>
      <c r="H4271" s="1031"/>
      <c r="I4271" s="948"/>
    </row>
    <row r="4272" spans="3:9" ht="15.75">
      <c r="C4272" s="949" t="s">
        <v>924</v>
      </c>
      <c r="D4272" s="946"/>
      <c r="E4272" s="947" t="str">
        <f>+VLOOKUP(C4272,'Basic (equilibrio) (2)'!B:D,2,FALSE)</f>
        <v>n/a</v>
      </c>
      <c r="F4272" s="1054">
        <f>+VLOOKUP(C4272,'Basic (equilibrio) (2)'!B:D,3,FALSE)</f>
        <v>0</v>
      </c>
      <c r="G4272" s="946"/>
      <c r="H4272" s="1031"/>
      <c r="I4272" s="948">
        <f>D4272*F4272</f>
        <v>0</v>
      </c>
    </row>
    <row r="4273" spans="2:9" ht="15.75">
      <c r="C4273" s="951" t="s">
        <v>918</v>
      </c>
      <c r="D4273" s="946"/>
      <c r="E4273" s="947"/>
      <c r="F4273" s="1054"/>
      <c r="G4273" s="946"/>
      <c r="H4273" s="1031"/>
      <c r="I4273" s="952">
        <f>SUM(I4272)</f>
        <v>0</v>
      </c>
    </row>
    <row r="4274" spans="2:9" ht="15.75">
      <c r="C4274" s="951"/>
      <c r="D4274" s="946"/>
      <c r="E4274" s="947"/>
      <c r="F4274" s="1054"/>
      <c r="G4274" s="946"/>
      <c r="H4274" s="1031"/>
      <c r="I4274" s="952"/>
    </row>
    <row r="4275" spans="2:9" ht="15.75">
      <c r="C4275" s="956" t="s">
        <v>926</v>
      </c>
      <c r="D4275" s="957"/>
      <c r="E4275" s="958"/>
      <c r="F4275" s="1069"/>
      <c r="G4275" s="957"/>
      <c r="H4275" s="1032"/>
      <c r="I4275" s="959">
        <f>+I4260</f>
        <v>10358.42</v>
      </c>
    </row>
    <row r="4276" spans="2:9" ht="15.75">
      <c r="C4276" s="956" t="s">
        <v>927</v>
      </c>
      <c r="D4276" s="957"/>
      <c r="E4276" s="958"/>
      <c r="F4276" s="1069"/>
      <c r="G4276" s="957"/>
      <c r="H4276" s="1032"/>
      <c r="I4276" s="959">
        <f>+I4265</f>
        <v>1667.67</v>
      </c>
    </row>
    <row r="4277" spans="2:9" ht="15.75">
      <c r="C4277" s="956" t="s">
        <v>928</v>
      </c>
      <c r="D4277" s="957"/>
      <c r="E4277" s="958"/>
      <c r="F4277" s="1069"/>
      <c r="G4277" s="957"/>
      <c r="H4277" s="1032"/>
      <c r="I4277" s="959">
        <f>+I4269</f>
        <v>0</v>
      </c>
    </row>
    <row r="4278" spans="2:9" ht="15.75">
      <c r="C4278" s="956" t="s">
        <v>929</v>
      </c>
      <c r="D4278" s="957"/>
      <c r="E4278" s="958"/>
      <c r="F4278" s="1069"/>
      <c r="G4278" s="957"/>
      <c r="H4278" s="1032"/>
      <c r="I4278" s="959">
        <f>+I4273</f>
        <v>0</v>
      </c>
    </row>
    <row r="4279" spans="2:9" ht="15.75">
      <c r="C4279" s="949"/>
      <c r="D4279" s="946"/>
      <c r="E4279" s="947"/>
      <c r="F4279" s="1054"/>
      <c r="G4279" s="946"/>
      <c r="H4279" s="1031"/>
      <c r="I4279" s="948"/>
    </row>
    <row r="4280" spans="2:9" ht="15.75">
      <c r="C4280" s="951" t="s">
        <v>930</v>
      </c>
      <c r="D4280" s="960"/>
      <c r="E4280" s="943" t="s">
        <v>22</v>
      </c>
      <c r="F4280" s="1070"/>
      <c r="G4280" s="960"/>
      <c r="H4280" s="1033"/>
      <c r="I4280" s="952">
        <f>SUM(I4275:I4278)</f>
        <v>12026.09</v>
      </c>
    </row>
    <row r="4281" spans="2:9" ht="15.75">
      <c r="C4281" s="951"/>
      <c r="D4281" s="960">
        <v>8.33</v>
      </c>
      <c r="E4281" s="943" t="s">
        <v>997</v>
      </c>
      <c r="F4281" s="1070"/>
      <c r="G4281" s="960"/>
      <c r="H4281" s="1033"/>
      <c r="I4281" s="952"/>
    </row>
    <row r="4282" spans="2:9" ht="15.75">
      <c r="C4282" s="951"/>
      <c r="D4282" s="960"/>
      <c r="E4282" s="943" t="s">
        <v>20</v>
      </c>
      <c r="F4282" s="1070"/>
      <c r="G4282" s="960"/>
      <c r="H4282" s="1033"/>
      <c r="I4282" s="952">
        <f>+I4280/D4281</f>
        <v>1443.71</v>
      </c>
    </row>
    <row r="4283" spans="2:9" ht="15.75">
      <c r="C4283" s="951"/>
      <c r="D4283" s="960"/>
      <c r="E4283" s="943"/>
      <c r="F4283" s="1070"/>
      <c r="G4283" s="960"/>
      <c r="H4283" s="1033"/>
      <c r="I4283" s="952"/>
    </row>
    <row r="4284" spans="2:9" ht="15.75">
      <c r="C4284" s="951"/>
      <c r="D4284" s="960"/>
      <c r="E4284" s="943"/>
      <c r="F4284" s="1070"/>
      <c r="G4284" s="960"/>
      <c r="H4284" s="1033"/>
      <c r="I4284" s="952"/>
    </row>
    <row r="4285" spans="2:9" ht="31.5">
      <c r="B4285" s="1026">
        <v>7.1</v>
      </c>
      <c r="C4285" s="937" t="str">
        <f>+Presupuesto!B274</f>
        <v>Poste volleyball y cajuelas (Tubo 2 1/2" x 10' y Tubo de 3" x 2")</v>
      </c>
      <c r="D4285" s="938"/>
      <c r="E4285" s="962" t="s">
        <v>38</v>
      </c>
      <c r="F4285" s="1066"/>
      <c r="G4285" s="938"/>
      <c r="H4285" s="1029"/>
      <c r="I4285" s="940">
        <f>+I4308</f>
        <v>14570.7</v>
      </c>
    </row>
    <row r="4286" spans="2:9" ht="15.75">
      <c r="C4286" s="941" t="s">
        <v>908</v>
      </c>
      <c r="D4286" s="942" t="s">
        <v>9</v>
      </c>
      <c r="E4286" s="943" t="s">
        <v>10</v>
      </c>
      <c r="F4286" s="1067" t="s">
        <v>909</v>
      </c>
      <c r="G4286" s="942" t="s">
        <v>910</v>
      </c>
      <c r="H4286" s="1030" t="s">
        <v>911</v>
      </c>
      <c r="I4286" s="944" t="s">
        <v>912</v>
      </c>
    </row>
    <row r="4287" spans="2:9" ht="15.75">
      <c r="C4287" s="945" t="s">
        <v>913</v>
      </c>
      <c r="D4287" s="946"/>
      <c r="E4287" s="947"/>
      <c r="F4287" s="1054"/>
      <c r="G4287" s="946"/>
      <c r="H4287" s="1031"/>
      <c r="I4287" s="948"/>
    </row>
    <row r="4288" spans="2:9" ht="15.75">
      <c r="C4288" s="949" t="s">
        <v>1549</v>
      </c>
      <c r="D4288" s="946">
        <v>1.02</v>
      </c>
      <c r="E4288" s="947" t="str">
        <f>+VLOOKUP(C4288,'Basic (equilibrio) (2)'!B:D,2,FALSE)</f>
        <v>und</v>
      </c>
      <c r="F4288" s="1068">
        <f>'Basic (equilibrio) (2)'!$D$321</f>
        <v>14285</v>
      </c>
      <c r="G4288" s="946">
        <f>F4288-(F4288/1.18)</f>
        <v>2179.0700000000002</v>
      </c>
      <c r="H4288" s="1031"/>
      <c r="I4288" s="948">
        <f>D4288*F4288</f>
        <v>14570.7</v>
      </c>
    </row>
    <row r="4289" spans="3:9" ht="15.75">
      <c r="C4289" s="951" t="s">
        <v>918</v>
      </c>
      <c r="D4289" s="946"/>
      <c r="E4289" s="947"/>
      <c r="F4289" s="1068"/>
      <c r="G4289" s="946"/>
      <c r="H4289" s="1031"/>
      <c r="I4289" s="952">
        <f>SUM(I4288:I4288)</f>
        <v>14570.7</v>
      </c>
    </row>
    <row r="4290" spans="3:9" ht="15.75">
      <c r="C4290" s="949"/>
      <c r="D4290" s="946"/>
      <c r="E4290" s="947"/>
      <c r="F4290" s="1068"/>
      <c r="G4290" s="946"/>
      <c r="H4290" s="1031"/>
      <c r="I4290" s="948"/>
    </row>
    <row r="4291" spans="3:9" ht="15.75">
      <c r="C4291" s="945" t="s">
        <v>919</v>
      </c>
      <c r="D4291" s="946"/>
      <c r="E4291" s="947"/>
      <c r="F4291" s="1068"/>
      <c r="G4291" s="946"/>
      <c r="H4291" s="1031"/>
      <c r="I4291" s="948"/>
    </row>
    <row r="4292" spans="3:9" ht="15.75">
      <c r="C4292" s="949" t="s">
        <v>924</v>
      </c>
      <c r="D4292" s="953">
        <v>8.33</v>
      </c>
      <c r="E4292" s="954" t="str">
        <f>+VLOOKUP(C4292,'Basic (equilibrio) (2)'!B:D,2,FALSE)</f>
        <v>n/a</v>
      </c>
      <c r="F4292" s="1068">
        <f>+VLOOKUP(C4292,'Basic (equilibrio) (2)'!B:D,3,FALSE)</f>
        <v>0</v>
      </c>
      <c r="G4292" s="946">
        <v>0</v>
      </c>
      <c r="H4292" s="1031"/>
      <c r="I4292" s="948">
        <f>(D4292*F4292)</f>
        <v>0</v>
      </c>
    </row>
    <row r="4293" spans="3:9" ht="15.75">
      <c r="C4293" s="951" t="s">
        <v>918</v>
      </c>
      <c r="D4293" s="946"/>
      <c r="E4293" s="947"/>
      <c r="F4293" s="1054"/>
      <c r="G4293" s="946"/>
      <c r="H4293" s="1031"/>
      <c r="I4293" s="952">
        <f>SUM(I4292:I4292)</f>
        <v>0</v>
      </c>
    </row>
    <row r="4294" spans="3:9" ht="15.75">
      <c r="C4294" s="949"/>
      <c r="D4294" s="946"/>
      <c r="E4294" s="947"/>
      <c r="F4294" s="1054"/>
      <c r="G4294" s="946"/>
      <c r="H4294" s="1031"/>
      <c r="I4294" s="948"/>
    </row>
    <row r="4295" spans="3:9" ht="15.75">
      <c r="C4295" s="945" t="s">
        <v>923</v>
      </c>
      <c r="D4295" s="946"/>
      <c r="E4295" s="947"/>
      <c r="F4295" s="1054"/>
      <c r="G4295" s="946"/>
      <c r="H4295" s="1031"/>
      <c r="I4295" s="948"/>
    </row>
    <row r="4296" spans="3:9" ht="15.75">
      <c r="C4296" s="949" t="s">
        <v>924</v>
      </c>
      <c r="D4296" s="946"/>
      <c r="E4296" s="947" t="str">
        <f>+VLOOKUP(C4296,'Basic (equilibrio) (2)'!B:D,2,FALSE)</f>
        <v>n/a</v>
      </c>
      <c r="F4296" s="1054">
        <f>+VLOOKUP(C4296,'Basic (equilibrio) (2)'!B:D,3,FALSE)</f>
        <v>0</v>
      </c>
      <c r="G4296" s="946">
        <f>F4296-(F4296/1.18)</f>
        <v>0</v>
      </c>
      <c r="H4296" s="1039"/>
      <c r="I4296" s="955">
        <f>D4296*F4296</f>
        <v>0</v>
      </c>
    </row>
    <row r="4297" spans="3:9" ht="15.75">
      <c r="C4297" s="951" t="s">
        <v>918</v>
      </c>
      <c r="D4297" s="946"/>
      <c r="E4297" s="947"/>
      <c r="F4297" s="1054"/>
      <c r="G4297" s="946"/>
      <c r="H4297" s="1031"/>
      <c r="I4297" s="952">
        <f>SUM(I4296:I4296)</f>
        <v>0</v>
      </c>
    </row>
    <row r="4298" spans="3:9" ht="15.75">
      <c r="C4298" s="949"/>
      <c r="D4298" s="946"/>
      <c r="E4298" s="947"/>
      <c r="F4298" s="1054"/>
      <c r="G4298" s="946"/>
      <c r="H4298" s="1031"/>
      <c r="I4298" s="948"/>
    </row>
    <row r="4299" spans="3:9" ht="15.75">
      <c r="C4299" s="945" t="s">
        <v>925</v>
      </c>
      <c r="D4299" s="946"/>
      <c r="E4299" s="947"/>
      <c r="F4299" s="1054"/>
      <c r="G4299" s="946"/>
      <c r="H4299" s="1031"/>
      <c r="I4299" s="948"/>
    </row>
    <row r="4300" spans="3:9" ht="15.75">
      <c r="C4300" s="949" t="s">
        <v>924</v>
      </c>
      <c r="D4300" s="946"/>
      <c r="E4300" s="947" t="str">
        <f>+VLOOKUP(C4300,'Basic (equilibrio) (2)'!B:D,2,FALSE)</f>
        <v>n/a</v>
      </c>
      <c r="F4300" s="1054">
        <f>+VLOOKUP(C4300,'Basic (equilibrio) (2)'!B:D,3,FALSE)</f>
        <v>0</v>
      </c>
      <c r="G4300" s="946"/>
      <c r="H4300" s="1031"/>
      <c r="I4300" s="948">
        <f>D4300*F4300</f>
        <v>0</v>
      </c>
    </row>
    <row r="4301" spans="3:9" ht="15.75">
      <c r="C4301" s="951" t="s">
        <v>918</v>
      </c>
      <c r="D4301" s="946"/>
      <c r="E4301" s="947"/>
      <c r="F4301" s="1054"/>
      <c r="G4301" s="946"/>
      <c r="H4301" s="1031"/>
      <c r="I4301" s="952">
        <f>SUM(I4300)</f>
        <v>0</v>
      </c>
    </row>
    <row r="4302" spans="3:9" ht="15.75">
      <c r="C4302" s="951"/>
      <c r="D4302" s="946"/>
      <c r="E4302" s="947"/>
      <c r="F4302" s="1054"/>
      <c r="G4302" s="946"/>
      <c r="H4302" s="1031"/>
      <c r="I4302" s="952"/>
    </row>
    <row r="4303" spans="3:9" ht="15.75">
      <c r="C4303" s="956" t="s">
        <v>926</v>
      </c>
      <c r="D4303" s="957"/>
      <c r="E4303" s="958"/>
      <c r="F4303" s="1069"/>
      <c r="G4303" s="957"/>
      <c r="H4303" s="1032"/>
      <c r="I4303" s="959">
        <f>+I4289</f>
        <v>14570.7</v>
      </c>
    </row>
    <row r="4304" spans="3:9" ht="15.75">
      <c r="C4304" s="956" t="s">
        <v>927</v>
      </c>
      <c r="D4304" s="957"/>
      <c r="E4304" s="958"/>
      <c r="F4304" s="1069"/>
      <c r="G4304" s="957"/>
      <c r="H4304" s="1032"/>
      <c r="I4304" s="959">
        <f>+I4293</f>
        <v>0</v>
      </c>
    </row>
    <row r="4305" spans="2:9" ht="15.75">
      <c r="C4305" s="956" t="s">
        <v>928</v>
      </c>
      <c r="D4305" s="957"/>
      <c r="E4305" s="958"/>
      <c r="F4305" s="1069"/>
      <c r="G4305" s="957"/>
      <c r="H4305" s="1032"/>
      <c r="I4305" s="959">
        <f>+I4297</f>
        <v>0</v>
      </c>
    </row>
    <row r="4306" spans="2:9" ht="15.75">
      <c r="C4306" s="956" t="s">
        <v>929</v>
      </c>
      <c r="D4306" s="957"/>
      <c r="E4306" s="958"/>
      <c r="F4306" s="1069"/>
      <c r="G4306" s="957"/>
      <c r="H4306" s="1032"/>
      <c r="I4306" s="959">
        <f>+I4301</f>
        <v>0</v>
      </c>
    </row>
    <row r="4307" spans="2:9" ht="15.75">
      <c r="C4307" s="949"/>
      <c r="D4307" s="946"/>
      <c r="E4307" s="947"/>
      <c r="F4307" s="1054"/>
      <c r="G4307" s="946"/>
      <c r="H4307" s="1031"/>
      <c r="I4307" s="948"/>
    </row>
    <row r="4308" spans="2:9" ht="15.75">
      <c r="C4308" s="951" t="s">
        <v>930</v>
      </c>
      <c r="D4308" s="960"/>
      <c r="E4308" s="975" t="str">
        <f>+E4285</f>
        <v>UD</v>
      </c>
      <c r="F4308" s="1070"/>
      <c r="G4308" s="960"/>
      <c r="H4308" s="1033"/>
      <c r="I4308" s="952">
        <f>SUM(I4303:I4306)</f>
        <v>14570.7</v>
      </c>
    </row>
    <row r="4309" spans="2:9" ht="15.75">
      <c r="C4309" s="951"/>
      <c r="D4309" s="960"/>
      <c r="E4309" s="943"/>
      <c r="F4309" s="1070"/>
      <c r="G4309" s="960"/>
      <c r="H4309" s="1033"/>
      <c r="I4309" s="952"/>
    </row>
    <row r="4310" spans="2:9" ht="15.75">
      <c r="B4310" s="1026">
        <v>7.1</v>
      </c>
      <c r="C4310" s="937" t="str">
        <f>+Presupuesto!B275</f>
        <v xml:space="preserve">Malla de volleyball </v>
      </c>
      <c r="D4310" s="938"/>
      <c r="E4310" s="962" t="s">
        <v>38</v>
      </c>
      <c r="F4310" s="1066"/>
      <c r="G4310" s="938"/>
      <c r="H4310" s="1029"/>
      <c r="I4310" s="940">
        <f>+I4333</f>
        <v>9078</v>
      </c>
    </row>
    <row r="4311" spans="2:9" ht="15.75">
      <c r="C4311" s="941" t="s">
        <v>908</v>
      </c>
      <c r="D4311" s="942" t="s">
        <v>9</v>
      </c>
      <c r="E4311" s="943" t="s">
        <v>10</v>
      </c>
      <c r="F4311" s="1067" t="s">
        <v>909</v>
      </c>
      <c r="G4311" s="942" t="s">
        <v>910</v>
      </c>
      <c r="H4311" s="1030" t="s">
        <v>911</v>
      </c>
      <c r="I4311" s="944" t="s">
        <v>912</v>
      </c>
    </row>
    <row r="4312" spans="2:9" ht="15.75">
      <c r="C4312" s="945" t="s">
        <v>913</v>
      </c>
      <c r="D4312" s="946"/>
      <c r="E4312" s="947"/>
      <c r="F4312" s="1054"/>
      <c r="G4312" s="946"/>
      <c r="H4312" s="1031"/>
      <c r="I4312" s="948"/>
    </row>
    <row r="4313" spans="2:9" ht="15.75">
      <c r="C4313" s="949" t="s">
        <v>1548</v>
      </c>
      <c r="D4313" s="946">
        <v>1.02</v>
      </c>
      <c r="E4313" s="947" t="str">
        <f>+VLOOKUP(C4313,'Basic (equilibrio) (2)'!B:D,2,FALSE)</f>
        <v>und</v>
      </c>
      <c r="F4313" s="1068">
        <f>'Basic (equilibrio) (2)'!$D$325</f>
        <v>8900</v>
      </c>
      <c r="G4313" s="946">
        <f>F4313-(F4313/1.18)</f>
        <v>1357.63</v>
      </c>
      <c r="H4313" s="1031"/>
      <c r="I4313" s="948">
        <f>D4313*F4313</f>
        <v>9078</v>
      </c>
    </row>
    <row r="4314" spans="2:9" ht="15.75">
      <c r="C4314" s="951" t="s">
        <v>918</v>
      </c>
      <c r="D4314" s="946"/>
      <c r="E4314" s="947"/>
      <c r="F4314" s="1068"/>
      <c r="G4314" s="946"/>
      <c r="H4314" s="1031"/>
      <c r="I4314" s="952">
        <f>SUM(I4313:I4313)</f>
        <v>9078</v>
      </c>
    </row>
    <row r="4315" spans="2:9" ht="15.75">
      <c r="C4315" s="949"/>
      <c r="D4315" s="946"/>
      <c r="E4315" s="947"/>
      <c r="F4315" s="1068"/>
      <c r="G4315" s="946"/>
      <c r="H4315" s="1031"/>
      <c r="I4315" s="948"/>
    </row>
    <row r="4316" spans="2:9" ht="15.75">
      <c r="C4316" s="945" t="s">
        <v>919</v>
      </c>
      <c r="D4316" s="946"/>
      <c r="E4316" s="947"/>
      <c r="F4316" s="1068"/>
      <c r="G4316" s="946"/>
      <c r="H4316" s="1031"/>
      <c r="I4316" s="948"/>
    </row>
    <row r="4317" spans="2:9" ht="15.75">
      <c r="C4317" s="949" t="s">
        <v>924</v>
      </c>
      <c r="D4317" s="953">
        <v>8.33</v>
      </c>
      <c r="E4317" s="954" t="str">
        <f>+VLOOKUP(C4317,'Basic (equilibrio) (2)'!B:D,2,FALSE)</f>
        <v>n/a</v>
      </c>
      <c r="F4317" s="1068">
        <f>+VLOOKUP(C4317,'Basic (equilibrio) (2)'!B:D,3,FALSE)</f>
        <v>0</v>
      </c>
      <c r="G4317" s="946">
        <v>0</v>
      </c>
      <c r="H4317" s="1031"/>
      <c r="I4317" s="948">
        <f>(D4317*F4317)</f>
        <v>0</v>
      </c>
    </row>
    <row r="4318" spans="2:9" ht="15.75">
      <c r="C4318" s="951" t="s">
        <v>918</v>
      </c>
      <c r="D4318" s="946"/>
      <c r="E4318" s="947"/>
      <c r="F4318" s="1054"/>
      <c r="G4318" s="946"/>
      <c r="H4318" s="1031"/>
      <c r="I4318" s="952">
        <f>SUM(I4317:I4317)</f>
        <v>0</v>
      </c>
    </row>
    <row r="4319" spans="2:9" ht="15.75">
      <c r="C4319" s="949"/>
      <c r="D4319" s="946"/>
      <c r="E4319" s="947"/>
      <c r="F4319" s="1054"/>
      <c r="G4319" s="946"/>
      <c r="H4319" s="1031"/>
      <c r="I4319" s="948"/>
    </row>
    <row r="4320" spans="2:9" ht="15.75">
      <c r="C4320" s="945" t="s">
        <v>923</v>
      </c>
      <c r="D4320" s="946"/>
      <c r="E4320" s="947"/>
      <c r="F4320" s="1054"/>
      <c r="G4320" s="946"/>
      <c r="H4320" s="1031"/>
      <c r="I4320" s="948"/>
    </row>
    <row r="4321" spans="2:9" ht="15.75">
      <c r="C4321" s="949" t="s">
        <v>924</v>
      </c>
      <c r="D4321" s="946"/>
      <c r="E4321" s="947" t="str">
        <f>+VLOOKUP(C4321,'Basic (equilibrio) (2)'!B:D,2,FALSE)</f>
        <v>n/a</v>
      </c>
      <c r="F4321" s="1054">
        <f>+VLOOKUP(C4321,'Basic (equilibrio) (2)'!B:D,3,FALSE)</f>
        <v>0</v>
      </c>
      <c r="G4321" s="946">
        <f>F4321-(F4321/1.18)</f>
        <v>0</v>
      </c>
      <c r="H4321" s="1039"/>
      <c r="I4321" s="955">
        <f>D4321*F4321</f>
        <v>0</v>
      </c>
    </row>
    <row r="4322" spans="2:9" ht="15.75">
      <c r="C4322" s="951" t="s">
        <v>918</v>
      </c>
      <c r="D4322" s="946"/>
      <c r="E4322" s="947"/>
      <c r="F4322" s="1054"/>
      <c r="G4322" s="946"/>
      <c r="H4322" s="1031"/>
      <c r="I4322" s="952">
        <f>SUM(I4321:I4321)</f>
        <v>0</v>
      </c>
    </row>
    <row r="4323" spans="2:9" ht="15.75">
      <c r="C4323" s="949"/>
      <c r="D4323" s="946"/>
      <c r="E4323" s="947"/>
      <c r="F4323" s="1054"/>
      <c r="G4323" s="946"/>
      <c r="H4323" s="1031"/>
      <c r="I4323" s="948"/>
    </row>
    <row r="4324" spans="2:9" ht="15.75">
      <c r="C4324" s="945" t="s">
        <v>925</v>
      </c>
      <c r="D4324" s="946"/>
      <c r="E4324" s="947"/>
      <c r="F4324" s="1054"/>
      <c r="G4324" s="946"/>
      <c r="H4324" s="1031"/>
      <c r="I4324" s="948"/>
    </row>
    <row r="4325" spans="2:9" ht="15.75">
      <c r="C4325" s="949" t="s">
        <v>924</v>
      </c>
      <c r="D4325" s="946"/>
      <c r="E4325" s="947" t="str">
        <f>+VLOOKUP(C4325,'Basic (equilibrio) (2)'!B:D,2,FALSE)</f>
        <v>n/a</v>
      </c>
      <c r="F4325" s="1054">
        <f>+VLOOKUP(C4325,'Basic (equilibrio) (2)'!B:D,3,FALSE)</f>
        <v>0</v>
      </c>
      <c r="G4325" s="946"/>
      <c r="H4325" s="1031"/>
      <c r="I4325" s="948">
        <f>D4325*F4325</f>
        <v>0</v>
      </c>
    </row>
    <row r="4326" spans="2:9" ht="15.75">
      <c r="C4326" s="951" t="s">
        <v>918</v>
      </c>
      <c r="D4326" s="946"/>
      <c r="E4326" s="947"/>
      <c r="F4326" s="1054"/>
      <c r="G4326" s="946"/>
      <c r="H4326" s="1031"/>
      <c r="I4326" s="952">
        <f>SUM(I4325)</f>
        <v>0</v>
      </c>
    </row>
    <row r="4327" spans="2:9" ht="15.75">
      <c r="C4327" s="951"/>
      <c r="D4327" s="946"/>
      <c r="E4327" s="947"/>
      <c r="F4327" s="1054"/>
      <c r="G4327" s="946"/>
      <c r="H4327" s="1031"/>
      <c r="I4327" s="952"/>
    </row>
    <row r="4328" spans="2:9" ht="15.75">
      <c r="C4328" s="956" t="s">
        <v>926</v>
      </c>
      <c r="D4328" s="957"/>
      <c r="E4328" s="958"/>
      <c r="F4328" s="1069"/>
      <c r="G4328" s="957"/>
      <c r="H4328" s="1032"/>
      <c r="I4328" s="959">
        <f>+I4314</f>
        <v>9078</v>
      </c>
    </row>
    <row r="4329" spans="2:9" ht="15.75">
      <c r="C4329" s="956" t="s">
        <v>927</v>
      </c>
      <c r="D4329" s="957"/>
      <c r="E4329" s="958"/>
      <c r="F4329" s="1069"/>
      <c r="G4329" s="957"/>
      <c r="H4329" s="1032"/>
      <c r="I4329" s="959">
        <f>+I4318</f>
        <v>0</v>
      </c>
    </row>
    <row r="4330" spans="2:9" ht="15.75">
      <c r="C4330" s="956" t="s">
        <v>928</v>
      </c>
      <c r="D4330" s="957"/>
      <c r="E4330" s="958"/>
      <c r="F4330" s="1069"/>
      <c r="G4330" s="957"/>
      <c r="H4330" s="1032"/>
      <c r="I4330" s="959">
        <f>+I4322</f>
        <v>0</v>
      </c>
    </row>
    <row r="4331" spans="2:9" ht="15.75">
      <c r="C4331" s="956" t="s">
        <v>929</v>
      </c>
      <c r="D4331" s="957"/>
      <c r="E4331" s="958"/>
      <c r="F4331" s="1069"/>
      <c r="G4331" s="957"/>
      <c r="H4331" s="1032"/>
      <c r="I4331" s="959">
        <f>+I4326</f>
        <v>0</v>
      </c>
    </row>
    <row r="4332" spans="2:9" ht="15.75">
      <c r="C4332" s="949"/>
      <c r="D4332" s="946"/>
      <c r="E4332" s="947"/>
      <c r="F4332" s="1054"/>
      <c r="G4332" s="946"/>
      <c r="H4332" s="1031"/>
      <c r="I4332" s="948"/>
    </row>
    <row r="4333" spans="2:9" ht="15.75">
      <c r="C4333" s="951" t="s">
        <v>930</v>
      </c>
      <c r="D4333" s="960"/>
      <c r="E4333" s="975" t="str">
        <f>+E4310</f>
        <v>UD</v>
      </c>
      <c r="F4333" s="1070"/>
      <c r="G4333" s="960"/>
      <c r="H4333" s="1033"/>
      <c r="I4333" s="952">
        <f>SUM(I4328:I4331)</f>
        <v>9078</v>
      </c>
    </row>
    <row r="4334" spans="2:9" ht="15.75">
      <c r="C4334" s="951"/>
      <c r="D4334" s="960"/>
      <c r="E4334" s="943"/>
      <c r="F4334" s="1070"/>
      <c r="G4334" s="960"/>
      <c r="H4334" s="1033"/>
      <c r="I4334" s="952"/>
    </row>
    <row r="4335" spans="2:9" ht="33.75" customHeight="1">
      <c r="B4335" s="1026">
        <v>8.1</v>
      </c>
      <c r="C4335" s="937" t="str">
        <f>+Presupuesto!B278</f>
        <v>Pintura a base de aceite especial antideslizante para piso de canchas, color rojo positivo</v>
      </c>
      <c r="D4335" s="938"/>
      <c r="E4335" s="962" t="s">
        <v>20</v>
      </c>
      <c r="F4335" s="1066"/>
      <c r="G4335" s="938"/>
      <c r="H4335" s="1029"/>
      <c r="I4335" s="940">
        <f>+I4359</f>
        <v>382.42</v>
      </c>
    </row>
    <row r="4336" spans="2:9" ht="15.75">
      <c r="C4336" s="941" t="s">
        <v>908</v>
      </c>
      <c r="D4336" s="942" t="s">
        <v>9</v>
      </c>
      <c r="E4336" s="943" t="s">
        <v>10</v>
      </c>
      <c r="F4336" s="1067" t="s">
        <v>909</v>
      </c>
      <c r="G4336" s="942" t="s">
        <v>910</v>
      </c>
      <c r="H4336" s="1030" t="s">
        <v>911</v>
      </c>
      <c r="I4336" s="944" t="s">
        <v>912</v>
      </c>
    </row>
    <row r="4337" spans="3:9" ht="15.75">
      <c r="C4337" s="945" t="s">
        <v>913</v>
      </c>
      <c r="D4337" s="946"/>
      <c r="E4337" s="947"/>
      <c r="F4337" s="1054"/>
      <c r="G4337" s="946"/>
      <c r="H4337" s="1031"/>
      <c r="I4337" s="948"/>
    </row>
    <row r="4338" spans="3:9" ht="15.75">
      <c r="C4338" s="949" t="s">
        <v>1551</v>
      </c>
      <c r="D4338" s="946">
        <v>0.13</v>
      </c>
      <c r="E4338" s="947" t="s">
        <v>1183</v>
      </c>
      <c r="F4338" s="1068">
        <f>'Basic (equilibrio) (2)'!$D$323</f>
        <v>1895</v>
      </c>
      <c r="G4338" s="946">
        <f>F4338-(F4338/1.18)</f>
        <v>289.07</v>
      </c>
      <c r="H4338" s="1031"/>
      <c r="I4338" s="948">
        <f>D4338*F4338</f>
        <v>246.35</v>
      </c>
    </row>
    <row r="4339" spans="3:9" ht="15.75">
      <c r="C4339" s="949" t="s">
        <v>1209</v>
      </c>
      <c r="D4339" s="946">
        <f>+I4338</f>
        <v>246.35</v>
      </c>
      <c r="E4339" s="947" t="s">
        <v>1025</v>
      </c>
      <c r="F4339" s="1068">
        <v>0.2</v>
      </c>
      <c r="G4339" s="946">
        <f>F4339-(F4339/1.18)</f>
        <v>0.03</v>
      </c>
      <c r="H4339" s="1031"/>
      <c r="I4339" s="948">
        <f>D4339*F4339</f>
        <v>49.27</v>
      </c>
    </row>
    <row r="4340" spans="3:9" ht="15.75">
      <c r="C4340" s="951" t="s">
        <v>918</v>
      </c>
      <c r="D4340" s="946"/>
      <c r="E4340" s="947"/>
      <c r="F4340" s="1068"/>
      <c r="G4340" s="946"/>
      <c r="H4340" s="1031"/>
      <c r="I4340" s="952">
        <f>SUM(I4338:I4339)</f>
        <v>295.62</v>
      </c>
    </row>
    <row r="4341" spans="3:9" ht="15.75">
      <c r="C4341" s="949"/>
      <c r="D4341" s="946"/>
      <c r="E4341" s="947"/>
      <c r="F4341" s="1068"/>
      <c r="G4341" s="946"/>
      <c r="H4341" s="1031"/>
      <c r="I4341" s="948"/>
    </row>
    <row r="4342" spans="3:9" ht="15.75">
      <c r="C4342" s="945" t="s">
        <v>919</v>
      </c>
      <c r="D4342" s="946"/>
      <c r="E4342" s="947"/>
      <c r="F4342" s="1068"/>
      <c r="G4342" s="946"/>
      <c r="H4342" s="1031"/>
      <c r="I4342" s="948"/>
    </row>
    <row r="4343" spans="3:9" ht="15.75">
      <c r="C4343" s="949" t="s">
        <v>1140</v>
      </c>
      <c r="D4343" s="953">
        <v>1</v>
      </c>
      <c r="E4343" s="954" t="str">
        <f>+VLOOKUP(C4343,'Basic (equilibrio) (2)'!B:D,2,FALSE)</f>
        <v>m2</v>
      </c>
      <c r="F4343" s="1068">
        <f>'Basic (equilibrio) (2)'!$D$50</f>
        <v>86.8</v>
      </c>
      <c r="G4343" s="946">
        <v>0</v>
      </c>
      <c r="H4343" s="1031"/>
      <c r="I4343" s="948">
        <f>(D4343*F4343)</f>
        <v>86.8</v>
      </c>
    </row>
    <row r="4344" spans="3:9" ht="15.75">
      <c r="C4344" s="951" t="s">
        <v>918</v>
      </c>
      <c r="D4344" s="946"/>
      <c r="E4344" s="947"/>
      <c r="F4344" s="1054"/>
      <c r="G4344" s="946"/>
      <c r="H4344" s="1031"/>
      <c r="I4344" s="952">
        <f>SUM(I4343:I4343)</f>
        <v>86.8</v>
      </c>
    </row>
    <row r="4345" spans="3:9" ht="15.75">
      <c r="C4345" s="949"/>
      <c r="D4345" s="946"/>
      <c r="E4345" s="947"/>
      <c r="F4345" s="1054"/>
      <c r="G4345" s="946"/>
      <c r="H4345" s="1031"/>
      <c r="I4345" s="948"/>
    </row>
    <row r="4346" spans="3:9" ht="15.75">
      <c r="C4346" s="945" t="s">
        <v>923</v>
      </c>
      <c r="D4346" s="946"/>
      <c r="E4346" s="947"/>
      <c r="F4346" s="1054"/>
      <c r="G4346" s="946"/>
      <c r="H4346" s="1031"/>
      <c r="I4346" s="948"/>
    </row>
    <row r="4347" spans="3:9" ht="15.75">
      <c r="C4347" s="949" t="s">
        <v>924</v>
      </c>
      <c r="D4347" s="946"/>
      <c r="E4347" s="947" t="str">
        <f>+VLOOKUP(C4347,'Basic (equilibrio) (2)'!B:D,2,FALSE)</f>
        <v>n/a</v>
      </c>
      <c r="F4347" s="1054">
        <f>+VLOOKUP(C4347,'Basic (equilibrio) (2)'!B:D,3,FALSE)</f>
        <v>0</v>
      </c>
      <c r="G4347" s="946">
        <f>F4347-(F4347/1.18)</f>
        <v>0</v>
      </c>
      <c r="H4347" s="1039"/>
      <c r="I4347" s="955">
        <f>D4347*F4347</f>
        <v>0</v>
      </c>
    </row>
    <row r="4348" spans="3:9" ht="15.75">
      <c r="C4348" s="951" t="s">
        <v>918</v>
      </c>
      <c r="D4348" s="946"/>
      <c r="E4348" s="947"/>
      <c r="F4348" s="1054"/>
      <c r="G4348" s="946"/>
      <c r="H4348" s="1031"/>
      <c r="I4348" s="952">
        <f>SUM(I4347:I4347)</f>
        <v>0</v>
      </c>
    </row>
    <row r="4349" spans="3:9" ht="15.75">
      <c r="C4349" s="949"/>
      <c r="D4349" s="946"/>
      <c r="E4349" s="947"/>
      <c r="F4349" s="1054"/>
      <c r="G4349" s="946"/>
      <c r="H4349" s="1031"/>
      <c r="I4349" s="948"/>
    </row>
    <row r="4350" spans="3:9" ht="15.75">
      <c r="C4350" s="945" t="s">
        <v>925</v>
      </c>
      <c r="D4350" s="946"/>
      <c r="E4350" s="947"/>
      <c r="F4350" s="1054"/>
      <c r="G4350" s="946"/>
      <c r="H4350" s="1031"/>
      <c r="I4350" s="948"/>
    </row>
    <row r="4351" spans="3:9" ht="15.75">
      <c r="C4351" s="949" t="s">
        <v>924</v>
      </c>
      <c r="D4351" s="946"/>
      <c r="E4351" s="947" t="str">
        <f>+VLOOKUP(C4351,'Basic (equilibrio) (2)'!B:D,2,FALSE)</f>
        <v>n/a</v>
      </c>
      <c r="F4351" s="1054">
        <f>+VLOOKUP(C4351,'Basic (equilibrio) (2)'!B:D,3,FALSE)</f>
        <v>0</v>
      </c>
      <c r="G4351" s="946"/>
      <c r="H4351" s="1031"/>
      <c r="I4351" s="948">
        <f>D4351*F4351</f>
        <v>0</v>
      </c>
    </row>
    <row r="4352" spans="3:9" ht="15.75">
      <c r="C4352" s="951" t="s">
        <v>918</v>
      </c>
      <c r="D4352" s="946"/>
      <c r="E4352" s="947"/>
      <c r="F4352" s="1054"/>
      <c r="G4352" s="946"/>
      <c r="H4352" s="1031"/>
      <c r="I4352" s="952">
        <f>SUM(I4351)</f>
        <v>0</v>
      </c>
    </row>
    <row r="4353" spans="2:9" ht="15.75">
      <c r="C4353" s="951"/>
      <c r="D4353" s="946"/>
      <c r="E4353" s="947"/>
      <c r="F4353" s="1054"/>
      <c r="G4353" s="946"/>
      <c r="H4353" s="1031"/>
      <c r="I4353" s="952"/>
    </row>
    <row r="4354" spans="2:9" ht="15.75">
      <c r="C4354" s="956" t="s">
        <v>926</v>
      </c>
      <c r="D4354" s="957"/>
      <c r="E4354" s="958"/>
      <c r="F4354" s="1069"/>
      <c r="G4354" s="957"/>
      <c r="H4354" s="1032"/>
      <c r="I4354" s="959">
        <f>+I4340</f>
        <v>295.62</v>
      </c>
    </row>
    <row r="4355" spans="2:9" ht="15.75">
      <c r="C4355" s="956" t="s">
        <v>927</v>
      </c>
      <c r="D4355" s="957"/>
      <c r="E4355" s="958"/>
      <c r="F4355" s="1069"/>
      <c r="G4355" s="957"/>
      <c r="H4355" s="1032"/>
      <c r="I4355" s="959">
        <f>+I4344</f>
        <v>86.8</v>
      </c>
    </row>
    <row r="4356" spans="2:9" ht="15.75">
      <c r="C4356" s="956" t="s">
        <v>928</v>
      </c>
      <c r="D4356" s="957"/>
      <c r="E4356" s="958"/>
      <c r="F4356" s="1069"/>
      <c r="G4356" s="957"/>
      <c r="H4356" s="1032"/>
      <c r="I4356" s="959">
        <f>+I4348</f>
        <v>0</v>
      </c>
    </row>
    <row r="4357" spans="2:9" ht="15.75">
      <c r="C4357" s="956" t="s">
        <v>929</v>
      </c>
      <c r="D4357" s="957"/>
      <c r="E4357" s="958"/>
      <c r="F4357" s="1069"/>
      <c r="G4357" s="957"/>
      <c r="H4357" s="1032"/>
      <c r="I4357" s="959">
        <f>+I4352</f>
        <v>0</v>
      </c>
    </row>
    <row r="4358" spans="2:9" ht="15.75">
      <c r="C4358" s="949"/>
      <c r="D4358" s="946"/>
      <c r="E4358" s="947"/>
      <c r="F4358" s="1054"/>
      <c r="G4358" s="946"/>
      <c r="H4358" s="1031"/>
      <c r="I4358" s="948"/>
    </row>
    <row r="4359" spans="2:9" ht="15.75">
      <c r="C4359" s="951" t="s">
        <v>930</v>
      </c>
      <c r="D4359" s="960"/>
      <c r="E4359" s="975" t="str">
        <f>+E4335</f>
        <v>M2</v>
      </c>
      <c r="F4359" s="1070"/>
      <c r="G4359" s="960"/>
      <c r="H4359" s="1033"/>
      <c r="I4359" s="952">
        <f>SUM(I4354:I4357)</f>
        <v>382.42</v>
      </c>
    </row>
    <row r="4360" spans="2:9" ht="15.75">
      <c r="C4360" s="951"/>
      <c r="D4360" s="960"/>
      <c r="E4360" s="943"/>
      <c r="F4360" s="1070"/>
      <c r="G4360" s="960"/>
      <c r="H4360" s="1033"/>
      <c r="I4360" s="952"/>
    </row>
    <row r="4361" spans="2:9" ht="33.75" customHeight="1">
      <c r="B4361" s="1026">
        <v>8.3000000000000007</v>
      </c>
      <c r="C4361" s="937" t="str">
        <f>+Presupuesto!B279</f>
        <v>Pintura a base de aceite especial antideslizante para piso de canchas, color verde</v>
      </c>
      <c r="D4361" s="938"/>
      <c r="E4361" s="962" t="s">
        <v>20</v>
      </c>
      <c r="F4361" s="1066"/>
      <c r="G4361" s="938"/>
      <c r="H4361" s="1029"/>
      <c r="I4361" s="940">
        <f>+I4385</f>
        <v>382.42</v>
      </c>
    </row>
    <row r="4362" spans="2:9" ht="15.75">
      <c r="C4362" s="941" t="s">
        <v>908</v>
      </c>
      <c r="D4362" s="942" t="s">
        <v>9</v>
      </c>
      <c r="E4362" s="943" t="s">
        <v>10</v>
      </c>
      <c r="F4362" s="1067" t="s">
        <v>909</v>
      </c>
      <c r="G4362" s="942" t="s">
        <v>910</v>
      </c>
      <c r="H4362" s="1030" t="s">
        <v>911</v>
      </c>
      <c r="I4362" s="944" t="s">
        <v>912</v>
      </c>
    </row>
    <row r="4363" spans="2:9" ht="15.75">
      <c r="C4363" s="945" t="s">
        <v>913</v>
      </c>
      <c r="D4363" s="946"/>
      <c r="E4363" s="947"/>
      <c r="F4363" s="1054"/>
      <c r="G4363" s="946"/>
      <c r="H4363" s="1031"/>
      <c r="I4363" s="948"/>
    </row>
    <row r="4364" spans="2:9" ht="15.75">
      <c r="C4364" s="949" t="s">
        <v>1550</v>
      </c>
      <c r="D4364" s="946">
        <v>0.13</v>
      </c>
      <c r="E4364" s="947" t="s">
        <v>1183</v>
      </c>
      <c r="F4364" s="1068">
        <f>'Basic (equilibrio) (2)'!$D$322</f>
        <v>1895</v>
      </c>
      <c r="G4364" s="946">
        <f>F4364-(F4364/1.18)</f>
        <v>289.07</v>
      </c>
      <c r="H4364" s="1031"/>
      <c r="I4364" s="948">
        <f>D4364*F4364</f>
        <v>246.35</v>
      </c>
    </row>
    <row r="4365" spans="2:9" ht="15.75">
      <c r="C4365" s="949" t="s">
        <v>1209</v>
      </c>
      <c r="D4365" s="946">
        <f>+I4364</f>
        <v>246.35</v>
      </c>
      <c r="E4365" s="947" t="s">
        <v>1025</v>
      </c>
      <c r="F4365" s="1068">
        <v>0.2</v>
      </c>
      <c r="G4365" s="946">
        <f>F4365-(F4365/1.18)</f>
        <v>0.03</v>
      </c>
      <c r="H4365" s="1031"/>
      <c r="I4365" s="948">
        <f>D4365*F4365</f>
        <v>49.27</v>
      </c>
    </row>
    <row r="4366" spans="2:9" ht="15.75">
      <c r="C4366" s="951" t="s">
        <v>918</v>
      </c>
      <c r="D4366" s="946"/>
      <c r="E4366" s="947"/>
      <c r="F4366" s="1068"/>
      <c r="G4366" s="946"/>
      <c r="H4366" s="1031"/>
      <c r="I4366" s="952">
        <f>SUM(I4364:I4365)</f>
        <v>295.62</v>
      </c>
    </row>
    <row r="4367" spans="2:9" ht="15.75">
      <c r="C4367" s="949"/>
      <c r="D4367" s="946"/>
      <c r="E4367" s="947"/>
      <c r="F4367" s="1068"/>
      <c r="G4367" s="946"/>
      <c r="H4367" s="1031"/>
      <c r="I4367" s="948"/>
    </row>
    <row r="4368" spans="2:9" ht="15.75">
      <c r="C4368" s="945" t="s">
        <v>919</v>
      </c>
      <c r="D4368" s="946"/>
      <c r="E4368" s="947"/>
      <c r="F4368" s="1068"/>
      <c r="G4368" s="946"/>
      <c r="H4368" s="1031"/>
      <c r="I4368" s="948"/>
    </row>
    <row r="4369" spans="3:9" ht="15.75">
      <c r="C4369" s="949" t="s">
        <v>1140</v>
      </c>
      <c r="D4369" s="953">
        <v>1</v>
      </c>
      <c r="E4369" s="954" t="str">
        <f>+VLOOKUP(C4369,'Basic (equilibrio) (2)'!B:D,2,FALSE)</f>
        <v>m2</v>
      </c>
      <c r="F4369" s="1068">
        <f>'Basic (equilibrio) (2)'!$D$50</f>
        <v>86.8</v>
      </c>
      <c r="G4369" s="946">
        <v>0</v>
      </c>
      <c r="H4369" s="1031"/>
      <c r="I4369" s="948">
        <f>(D4369*F4369)</f>
        <v>86.8</v>
      </c>
    </row>
    <row r="4370" spans="3:9" ht="15.75">
      <c r="C4370" s="951" t="s">
        <v>918</v>
      </c>
      <c r="D4370" s="946"/>
      <c r="E4370" s="947"/>
      <c r="F4370" s="1054"/>
      <c r="G4370" s="946"/>
      <c r="H4370" s="1031"/>
      <c r="I4370" s="952">
        <f>SUM(I4369:I4369)</f>
        <v>86.8</v>
      </c>
    </row>
    <row r="4371" spans="3:9" ht="15.75">
      <c r="C4371" s="949"/>
      <c r="D4371" s="946"/>
      <c r="E4371" s="947"/>
      <c r="F4371" s="1054"/>
      <c r="G4371" s="946"/>
      <c r="H4371" s="1031"/>
      <c r="I4371" s="948"/>
    </row>
    <row r="4372" spans="3:9" ht="15.75">
      <c r="C4372" s="945" t="s">
        <v>923</v>
      </c>
      <c r="D4372" s="946"/>
      <c r="E4372" s="947"/>
      <c r="F4372" s="1054"/>
      <c r="G4372" s="946"/>
      <c r="H4372" s="1031"/>
      <c r="I4372" s="948"/>
    </row>
    <row r="4373" spans="3:9" ht="15.75">
      <c r="C4373" s="949" t="s">
        <v>924</v>
      </c>
      <c r="D4373" s="946"/>
      <c r="E4373" s="947" t="str">
        <f>+VLOOKUP(C4373,'Basic (equilibrio) (2)'!B:D,2,FALSE)</f>
        <v>n/a</v>
      </c>
      <c r="F4373" s="1054">
        <f>+VLOOKUP(C4373,'Basic (equilibrio) (2)'!B:D,3,FALSE)</f>
        <v>0</v>
      </c>
      <c r="G4373" s="946">
        <f>F4373-(F4373/1.18)</f>
        <v>0</v>
      </c>
      <c r="H4373" s="1039"/>
      <c r="I4373" s="955">
        <f>D4373*F4373</f>
        <v>0</v>
      </c>
    </row>
    <row r="4374" spans="3:9" ht="15.75">
      <c r="C4374" s="951" t="s">
        <v>918</v>
      </c>
      <c r="D4374" s="946"/>
      <c r="E4374" s="947"/>
      <c r="F4374" s="1054"/>
      <c r="G4374" s="946"/>
      <c r="H4374" s="1031"/>
      <c r="I4374" s="952">
        <f>SUM(I4373:I4373)</f>
        <v>0</v>
      </c>
    </row>
    <row r="4375" spans="3:9" ht="15.75">
      <c r="C4375" s="949"/>
      <c r="D4375" s="946"/>
      <c r="E4375" s="947"/>
      <c r="F4375" s="1054"/>
      <c r="G4375" s="946"/>
      <c r="H4375" s="1031"/>
      <c r="I4375" s="948"/>
    </row>
    <row r="4376" spans="3:9" ht="15.75">
      <c r="C4376" s="945" t="s">
        <v>925</v>
      </c>
      <c r="D4376" s="946"/>
      <c r="E4376" s="947"/>
      <c r="F4376" s="1054"/>
      <c r="G4376" s="946"/>
      <c r="H4376" s="1031"/>
      <c r="I4376" s="948"/>
    </row>
    <row r="4377" spans="3:9" ht="15.75">
      <c r="C4377" s="949" t="s">
        <v>924</v>
      </c>
      <c r="D4377" s="946"/>
      <c r="E4377" s="947" t="str">
        <f>+VLOOKUP(C4377,'Basic (equilibrio) (2)'!B:D,2,FALSE)</f>
        <v>n/a</v>
      </c>
      <c r="F4377" s="1054">
        <f>+VLOOKUP(C4377,'Basic (equilibrio) (2)'!B:D,3,FALSE)</f>
        <v>0</v>
      </c>
      <c r="G4377" s="946"/>
      <c r="H4377" s="1031"/>
      <c r="I4377" s="948">
        <f>D4377*F4377</f>
        <v>0</v>
      </c>
    </row>
    <row r="4378" spans="3:9" ht="15.75">
      <c r="C4378" s="951" t="s">
        <v>918</v>
      </c>
      <c r="D4378" s="946"/>
      <c r="E4378" s="947"/>
      <c r="F4378" s="1054"/>
      <c r="G4378" s="946"/>
      <c r="H4378" s="1031"/>
      <c r="I4378" s="952">
        <f>SUM(I4377)</f>
        <v>0</v>
      </c>
    </row>
    <row r="4379" spans="3:9" ht="15.75">
      <c r="C4379" s="951"/>
      <c r="D4379" s="946"/>
      <c r="E4379" s="947"/>
      <c r="F4379" s="1054"/>
      <c r="G4379" s="946"/>
      <c r="H4379" s="1031"/>
      <c r="I4379" s="952"/>
    </row>
    <row r="4380" spans="3:9" ht="15.75">
      <c r="C4380" s="956" t="s">
        <v>926</v>
      </c>
      <c r="D4380" s="957"/>
      <c r="E4380" s="958"/>
      <c r="F4380" s="1069"/>
      <c r="G4380" s="957"/>
      <c r="H4380" s="1032"/>
      <c r="I4380" s="959">
        <f>+I4366</f>
        <v>295.62</v>
      </c>
    </row>
    <row r="4381" spans="3:9" ht="15.75">
      <c r="C4381" s="956" t="s">
        <v>927</v>
      </c>
      <c r="D4381" s="957"/>
      <c r="E4381" s="958"/>
      <c r="F4381" s="1069"/>
      <c r="G4381" s="957"/>
      <c r="H4381" s="1032"/>
      <c r="I4381" s="959">
        <f>+I4370</f>
        <v>86.8</v>
      </c>
    </row>
    <row r="4382" spans="3:9" ht="15.75">
      <c r="C4382" s="956" t="s">
        <v>928</v>
      </c>
      <c r="D4382" s="957"/>
      <c r="E4382" s="958"/>
      <c r="F4382" s="1069"/>
      <c r="G4382" s="957"/>
      <c r="H4382" s="1032"/>
      <c r="I4382" s="959">
        <f>+I4374</f>
        <v>0</v>
      </c>
    </row>
    <row r="4383" spans="3:9" ht="15.75">
      <c r="C4383" s="956" t="s">
        <v>929</v>
      </c>
      <c r="D4383" s="957"/>
      <c r="E4383" s="958"/>
      <c r="F4383" s="1069"/>
      <c r="G4383" s="957"/>
      <c r="H4383" s="1032"/>
      <c r="I4383" s="959">
        <f>+I4378</f>
        <v>0</v>
      </c>
    </row>
    <row r="4384" spans="3:9" ht="15.75">
      <c r="C4384" s="949"/>
      <c r="D4384" s="946"/>
      <c r="E4384" s="947"/>
      <c r="F4384" s="1054"/>
      <c r="G4384" s="946"/>
      <c r="H4384" s="1031"/>
      <c r="I4384" s="948"/>
    </row>
    <row r="4385" spans="2:9" ht="15.75">
      <c r="C4385" s="951" t="s">
        <v>930</v>
      </c>
      <c r="D4385" s="960"/>
      <c r="E4385" s="975" t="str">
        <f>+E4361</f>
        <v>M2</v>
      </c>
      <c r="F4385" s="1070"/>
      <c r="G4385" s="960"/>
      <c r="H4385" s="1033"/>
      <c r="I4385" s="952">
        <f>SUM(I4380:I4383)</f>
        <v>382.42</v>
      </c>
    </row>
    <row r="4386" spans="2:9" ht="15.75">
      <c r="C4386" s="951"/>
      <c r="D4386" s="960"/>
      <c r="E4386" s="943"/>
      <c r="F4386" s="1070"/>
      <c r="G4386" s="960"/>
      <c r="H4386" s="1033"/>
      <c r="I4386" s="952"/>
    </row>
    <row r="4387" spans="2:9" ht="15.75">
      <c r="C4387" s="951"/>
      <c r="D4387" s="960"/>
      <c r="E4387" s="943"/>
      <c r="F4387" s="1070"/>
      <c r="G4387" s="960"/>
      <c r="H4387" s="1033"/>
      <c r="I4387" s="952"/>
    </row>
    <row r="4388" spans="2:9" ht="33.75" customHeight="1">
      <c r="B4388" s="1026">
        <v>8.3000000000000007</v>
      </c>
      <c r="C4388" s="937" t="str">
        <f>+Presupuesto!B280</f>
        <v>Señalización en cancha con líneas 5 cm, color blanco</v>
      </c>
      <c r="D4388" s="938"/>
      <c r="E4388" s="962" t="s">
        <v>140</v>
      </c>
      <c r="F4388" s="1066"/>
      <c r="G4388" s="938"/>
      <c r="H4388" s="1029"/>
      <c r="I4388" s="940">
        <f>+I4412</f>
        <v>3927.33</v>
      </c>
    </row>
    <row r="4389" spans="2:9" ht="15.75">
      <c r="C4389" s="941" t="s">
        <v>908</v>
      </c>
      <c r="D4389" s="942" t="s">
        <v>9</v>
      </c>
      <c r="E4389" s="943" t="s">
        <v>10</v>
      </c>
      <c r="F4389" s="1067" t="s">
        <v>909</v>
      </c>
      <c r="G4389" s="942" t="s">
        <v>910</v>
      </c>
      <c r="H4389" s="1030" t="s">
        <v>911</v>
      </c>
      <c r="I4389" s="944" t="s">
        <v>912</v>
      </c>
    </row>
    <row r="4390" spans="2:9" ht="15.75">
      <c r="C4390" s="945" t="s">
        <v>913</v>
      </c>
      <c r="D4390" s="946"/>
      <c r="E4390" s="947"/>
      <c r="F4390" s="1054"/>
      <c r="G4390" s="946"/>
      <c r="H4390" s="1031"/>
      <c r="I4390" s="948"/>
    </row>
    <row r="4391" spans="2:9" ht="15.75">
      <c r="C4391" s="949" t="s">
        <v>1552</v>
      </c>
      <c r="D4391" s="946">
        <v>2</v>
      </c>
      <c r="E4391" s="947" t="s">
        <v>1183</v>
      </c>
      <c r="F4391" s="1068">
        <f>'Basic (equilibrio) (2)'!$D$324</f>
        <v>1895</v>
      </c>
      <c r="G4391" s="946">
        <f>F4391-(F4391/1.18)</f>
        <v>289.07</v>
      </c>
      <c r="H4391" s="1031"/>
      <c r="I4391" s="948">
        <f>D4391*F4391</f>
        <v>3790</v>
      </c>
    </row>
    <row r="4392" spans="2:9" ht="15.75">
      <c r="C4392" s="949" t="s">
        <v>1209</v>
      </c>
      <c r="D4392" s="946">
        <v>252.67</v>
      </c>
      <c r="E4392" s="947" t="s">
        <v>1025</v>
      </c>
      <c r="F4392" s="1068">
        <v>0.2</v>
      </c>
      <c r="G4392" s="946">
        <f>F4392-(F4392/1.18)</f>
        <v>0.03</v>
      </c>
      <c r="H4392" s="1031"/>
      <c r="I4392" s="948">
        <f>D4392*F4392</f>
        <v>50.53</v>
      </c>
    </row>
    <row r="4393" spans="2:9" ht="15.75">
      <c r="C4393" s="951" t="s">
        <v>918</v>
      </c>
      <c r="D4393" s="946"/>
      <c r="E4393" s="947"/>
      <c r="F4393" s="1068"/>
      <c r="G4393" s="946"/>
      <c r="H4393" s="1031"/>
      <c r="I4393" s="952">
        <f>SUM(I4391:I4392)</f>
        <v>3840.53</v>
      </c>
    </row>
    <row r="4394" spans="2:9" ht="15.75">
      <c r="C4394" s="949"/>
      <c r="D4394" s="946"/>
      <c r="E4394" s="947"/>
      <c r="F4394" s="1068"/>
      <c r="G4394" s="946"/>
      <c r="H4394" s="1031"/>
      <c r="I4394" s="948"/>
    </row>
    <row r="4395" spans="2:9" ht="15.75">
      <c r="C4395" s="945" t="s">
        <v>919</v>
      </c>
      <c r="D4395" s="946"/>
      <c r="E4395" s="947"/>
      <c r="F4395" s="1068"/>
      <c r="G4395" s="946"/>
      <c r="H4395" s="1031"/>
      <c r="I4395" s="948"/>
    </row>
    <row r="4396" spans="2:9" ht="15.75">
      <c r="C4396" s="949" t="s">
        <v>1140</v>
      </c>
      <c r="D4396" s="953">
        <v>1</v>
      </c>
      <c r="E4396" s="954" t="str">
        <f>+VLOOKUP(C4396,'Basic (equilibrio) (2)'!B:D,2,FALSE)</f>
        <v>m2</v>
      </c>
      <c r="F4396" s="1068">
        <f>'Basic (equilibrio) (2)'!$D$50</f>
        <v>86.8</v>
      </c>
      <c r="G4396" s="946">
        <v>0</v>
      </c>
      <c r="H4396" s="1031"/>
      <c r="I4396" s="948">
        <f>(D4396*F4396)</f>
        <v>86.8</v>
      </c>
    </row>
    <row r="4397" spans="2:9" ht="15.75">
      <c r="C4397" s="951" t="s">
        <v>918</v>
      </c>
      <c r="D4397" s="946"/>
      <c r="E4397" s="947"/>
      <c r="F4397" s="1054"/>
      <c r="G4397" s="946"/>
      <c r="H4397" s="1031"/>
      <c r="I4397" s="952">
        <f>SUM(I4396:I4396)</f>
        <v>86.8</v>
      </c>
    </row>
    <row r="4398" spans="2:9" ht="15.75">
      <c r="C4398" s="949"/>
      <c r="D4398" s="946"/>
      <c r="E4398" s="947"/>
      <c r="F4398" s="1054"/>
      <c r="G4398" s="946"/>
      <c r="H4398" s="1031"/>
      <c r="I4398" s="948"/>
    </row>
    <row r="4399" spans="2:9" ht="15.75">
      <c r="C4399" s="945" t="s">
        <v>923</v>
      </c>
      <c r="D4399" s="946"/>
      <c r="E4399" s="947"/>
      <c r="F4399" s="1054"/>
      <c r="G4399" s="946"/>
      <c r="H4399" s="1031"/>
      <c r="I4399" s="948"/>
    </row>
    <row r="4400" spans="2:9" ht="15.75">
      <c r="C4400" s="949" t="s">
        <v>924</v>
      </c>
      <c r="D4400" s="946"/>
      <c r="E4400" s="947" t="str">
        <f>+VLOOKUP(C4400,'Basic (equilibrio) (2)'!B:D,2,FALSE)</f>
        <v>n/a</v>
      </c>
      <c r="F4400" s="1054">
        <f>+VLOOKUP(C4400,'Basic (equilibrio) (2)'!B:D,3,FALSE)</f>
        <v>0</v>
      </c>
      <c r="G4400" s="946">
        <f>F4400-(F4400/1.18)</f>
        <v>0</v>
      </c>
      <c r="H4400" s="1039"/>
      <c r="I4400" s="955">
        <f>D4400*F4400</f>
        <v>0</v>
      </c>
    </row>
    <row r="4401" spans="2:9" ht="15.75">
      <c r="C4401" s="951" t="s">
        <v>918</v>
      </c>
      <c r="D4401" s="946"/>
      <c r="E4401" s="947"/>
      <c r="F4401" s="1054"/>
      <c r="G4401" s="946"/>
      <c r="H4401" s="1031"/>
      <c r="I4401" s="952">
        <f>SUM(I4400:I4400)</f>
        <v>0</v>
      </c>
    </row>
    <row r="4402" spans="2:9" ht="15.75">
      <c r="C4402" s="949"/>
      <c r="D4402" s="946"/>
      <c r="E4402" s="947"/>
      <c r="F4402" s="1054"/>
      <c r="G4402" s="946"/>
      <c r="H4402" s="1031"/>
      <c r="I4402" s="948"/>
    </row>
    <row r="4403" spans="2:9" ht="15.75">
      <c r="C4403" s="945" t="s">
        <v>925</v>
      </c>
      <c r="D4403" s="946"/>
      <c r="E4403" s="947"/>
      <c r="F4403" s="1054"/>
      <c r="G4403" s="946"/>
      <c r="H4403" s="1031"/>
      <c r="I4403" s="948"/>
    </row>
    <row r="4404" spans="2:9" ht="15.75">
      <c r="C4404" s="949" t="s">
        <v>924</v>
      </c>
      <c r="D4404" s="946"/>
      <c r="E4404" s="947" t="str">
        <f>+VLOOKUP(C4404,'Basic (equilibrio) (2)'!B:D,2,FALSE)</f>
        <v>n/a</v>
      </c>
      <c r="F4404" s="1054">
        <f>+VLOOKUP(C4404,'Basic (equilibrio) (2)'!B:D,3,FALSE)</f>
        <v>0</v>
      </c>
      <c r="G4404" s="946"/>
      <c r="H4404" s="1031"/>
      <c r="I4404" s="948">
        <f>D4404*F4404</f>
        <v>0</v>
      </c>
    </row>
    <row r="4405" spans="2:9" ht="15.75">
      <c r="C4405" s="951" t="s">
        <v>918</v>
      </c>
      <c r="D4405" s="946"/>
      <c r="E4405" s="947"/>
      <c r="F4405" s="1054"/>
      <c r="G4405" s="946"/>
      <c r="H4405" s="1031"/>
      <c r="I4405" s="952">
        <f>SUM(I4404)</f>
        <v>0</v>
      </c>
    </row>
    <row r="4406" spans="2:9" ht="15.75">
      <c r="C4406" s="951"/>
      <c r="D4406" s="946"/>
      <c r="E4406" s="947"/>
      <c r="F4406" s="1054"/>
      <c r="G4406" s="946"/>
      <c r="H4406" s="1031"/>
      <c r="I4406" s="952"/>
    </row>
    <row r="4407" spans="2:9" ht="15.75">
      <c r="C4407" s="956" t="s">
        <v>926</v>
      </c>
      <c r="D4407" s="957"/>
      <c r="E4407" s="958"/>
      <c r="F4407" s="1069"/>
      <c r="G4407" s="957"/>
      <c r="H4407" s="1032"/>
      <c r="I4407" s="959">
        <f>+I4393</f>
        <v>3840.53</v>
      </c>
    </row>
    <row r="4408" spans="2:9" ht="15.75">
      <c r="C4408" s="956" t="s">
        <v>927</v>
      </c>
      <c r="D4408" s="957"/>
      <c r="E4408" s="958"/>
      <c r="F4408" s="1069"/>
      <c r="G4408" s="957"/>
      <c r="H4408" s="1032"/>
      <c r="I4408" s="959">
        <f>+I4397</f>
        <v>86.8</v>
      </c>
    </row>
    <row r="4409" spans="2:9" ht="15.75">
      <c r="C4409" s="956" t="s">
        <v>928</v>
      </c>
      <c r="D4409" s="957"/>
      <c r="E4409" s="958"/>
      <c r="F4409" s="1069"/>
      <c r="G4409" s="957"/>
      <c r="H4409" s="1032"/>
      <c r="I4409" s="959">
        <f>+I4401</f>
        <v>0</v>
      </c>
    </row>
    <row r="4410" spans="2:9" ht="15.75">
      <c r="C4410" s="956" t="s">
        <v>929</v>
      </c>
      <c r="D4410" s="957"/>
      <c r="E4410" s="958"/>
      <c r="F4410" s="1069"/>
      <c r="G4410" s="957"/>
      <c r="H4410" s="1032"/>
      <c r="I4410" s="959">
        <f>+I4405</f>
        <v>0</v>
      </c>
    </row>
    <row r="4411" spans="2:9" ht="15.75">
      <c r="C4411" s="949"/>
      <c r="D4411" s="946"/>
      <c r="E4411" s="947"/>
      <c r="F4411" s="1054"/>
      <c r="G4411" s="946"/>
      <c r="H4411" s="1031"/>
      <c r="I4411" s="948"/>
    </row>
    <row r="4412" spans="2:9" ht="15.75">
      <c r="C4412" s="951" t="s">
        <v>930</v>
      </c>
      <c r="D4412" s="960"/>
      <c r="E4412" s="975" t="str">
        <f>+E4388</f>
        <v>P.A</v>
      </c>
      <c r="F4412" s="1070"/>
      <c r="G4412" s="960"/>
      <c r="H4412" s="1033"/>
      <c r="I4412" s="952">
        <f>SUM(I4407:I4410)</f>
        <v>3927.33</v>
      </c>
    </row>
    <row r="4413" spans="2:9" ht="15.75">
      <c r="C4413" s="951"/>
      <c r="D4413" s="960"/>
      <c r="E4413" s="943"/>
      <c r="F4413" s="1070"/>
      <c r="G4413" s="960"/>
      <c r="H4413" s="1033"/>
      <c r="I4413" s="952"/>
    </row>
    <row r="4414" spans="2:9" ht="18.75" customHeight="1">
      <c r="B4414" s="1435" t="s">
        <v>1560</v>
      </c>
      <c r="C4414" s="1435"/>
      <c r="D4414" s="1435"/>
      <c r="E4414" s="1435"/>
      <c r="F4414" s="1435"/>
      <c r="G4414" s="1435"/>
      <c r="H4414" s="1435"/>
      <c r="I4414" s="1436"/>
    </row>
    <row r="4415" spans="2:9" ht="15.75">
      <c r="C4415" s="951"/>
      <c r="D4415" s="960"/>
      <c r="E4415" s="943"/>
      <c r="F4415" s="1070"/>
      <c r="G4415" s="960"/>
      <c r="H4415" s="1033"/>
      <c r="I4415" s="952"/>
    </row>
    <row r="4416" spans="2:9" ht="15.75">
      <c r="B4416" s="1024">
        <v>1.1000000000000001</v>
      </c>
      <c r="C4416" s="937" t="str">
        <f>+Presupuesto!B286</f>
        <v xml:space="preserve">Replanteo </v>
      </c>
      <c r="D4416" s="938"/>
      <c r="E4416" s="939" t="s">
        <v>140</v>
      </c>
      <c r="F4416" s="1066"/>
      <c r="G4416" s="938"/>
      <c r="H4416" s="1029"/>
      <c r="I4416" s="940">
        <f>I4445</f>
        <v>32457.25</v>
      </c>
    </row>
    <row r="4417" spans="3:9" ht="15.75">
      <c r="C4417" s="941" t="s">
        <v>908</v>
      </c>
      <c r="D4417" s="942" t="s">
        <v>9</v>
      </c>
      <c r="E4417" s="943" t="s">
        <v>10</v>
      </c>
      <c r="F4417" s="1067" t="s">
        <v>909</v>
      </c>
      <c r="G4417" s="942" t="s">
        <v>910</v>
      </c>
      <c r="H4417" s="1030" t="s">
        <v>911</v>
      </c>
      <c r="I4417" s="944" t="s">
        <v>912</v>
      </c>
    </row>
    <row r="4418" spans="3:9" ht="15.75">
      <c r="C4418" s="945" t="s">
        <v>913</v>
      </c>
      <c r="D4418" s="946"/>
      <c r="E4418" s="947"/>
      <c r="F4418" s="1054"/>
      <c r="G4418" s="946"/>
      <c r="H4418" s="1031"/>
      <c r="I4418" s="948"/>
    </row>
    <row r="4419" spans="3:9" ht="15.75">
      <c r="C4419" s="949" t="s">
        <v>914</v>
      </c>
      <c r="D4419" s="946">
        <f>33.94/28.83</f>
        <v>1.18</v>
      </c>
      <c r="E4419" s="947" t="str">
        <f>+VLOOKUP(C4419,'Basic (equilibrio) (2)'!B:D,2,FALSE)</f>
        <v>lb</v>
      </c>
      <c r="F4419" s="1068">
        <f>'Basic (equilibrio) (2)'!$D$326</f>
        <v>78.2</v>
      </c>
      <c r="G4419" s="946">
        <f>F4419-(F4419/1.18)</f>
        <v>11.93</v>
      </c>
      <c r="H4419" s="1031"/>
      <c r="I4419" s="948">
        <f>D4419*F4419</f>
        <v>92.28</v>
      </c>
    </row>
    <row r="4420" spans="3:9" ht="15.75">
      <c r="C4420" s="949" t="s">
        <v>915</v>
      </c>
      <c r="D4420" s="946">
        <f>22/28.83</f>
        <v>0.76</v>
      </c>
      <c r="E4420" s="950" t="str">
        <f>+VLOOKUP(C4420,'Basic (equilibrio) (2)'!B:D,2,FALSE)</f>
        <v>fda</v>
      </c>
      <c r="F4420" s="1068">
        <f>'Basic (equilibrio) (2)'!$D$327</f>
        <v>153.6</v>
      </c>
      <c r="G4420" s="946">
        <f>F4420-(F4420/1.18)</f>
        <v>23.43</v>
      </c>
      <c r="H4420" s="1031"/>
      <c r="I4420" s="948">
        <f>D4420*F4420</f>
        <v>116.74</v>
      </c>
    </row>
    <row r="4421" spans="3:9" ht="15.75">
      <c r="C4421" s="949" t="s">
        <v>916</v>
      </c>
      <c r="D4421" s="946">
        <f>160.42/28.83</f>
        <v>5.56</v>
      </c>
      <c r="E4421" s="947" t="str">
        <f>+VLOOKUP(C4421,'Basic (equilibrio) (2)'!B:D,2,FALSE)</f>
        <v>pt</v>
      </c>
      <c r="F4421" s="1068">
        <f>'Basic (equilibrio) (2)'!$D$194</f>
        <v>107.7</v>
      </c>
      <c r="G4421" s="946">
        <f>F4421-(F4421/1.18)</f>
        <v>16.43</v>
      </c>
      <c r="H4421" s="1031"/>
      <c r="I4421" s="948">
        <f>D4421*F4421</f>
        <v>598.80999999999995</v>
      </c>
    </row>
    <row r="4422" spans="3:9" ht="15.75">
      <c r="C4422" s="949" t="s">
        <v>917</v>
      </c>
      <c r="D4422" s="946">
        <f>3/28.83</f>
        <v>0.1</v>
      </c>
      <c r="E4422" s="950" t="str">
        <f>+VLOOKUP(C4422,'Basic (equilibrio) (2)'!B:D,2,FALSE)</f>
        <v>u</v>
      </c>
      <c r="F4422" s="1068">
        <f>'Basic (equilibrio) (2)'!$D$329</f>
        <v>139.19999999999999</v>
      </c>
      <c r="G4422" s="946">
        <f>F4422-(F4422/1.18)</f>
        <v>21.23</v>
      </c>
      <c r="H4422" s="1031"/>
      <c r="I4422" s="948">
        <f>D4422*F4422</f>
        <v>13.92</v>
      </c>
    </row>
    <row r="4423" spans="3:9" ht="15.75">
      <c r="C4423" s="951" t="s">
        <v>918</v>
      </c>
      <c r="D4423" s="946"/>
      <c r="E4423" s="947"/>
      <c r="F4423" s="1068"/>
      <c r="G4423" s="946"/>
      <c r="H4423" s="1031"/>
      <c r="I4423" s="952">
        <f>SUM(I4419:I4422)</f>
        <v>821.75</v>
      </c>
    </row>
    <row r="4424" spans="3:9" ht="15.75">
      <c r="C4424" s="949"/>
      <c r="D4424" s="946"/>
      <c r="E4424" s="947"/>
      <c r="F4424" s="1068"/>
      <c r="G4424" s="946"/>
      <c r="H4424" s="1031"/>
      <c r="I4424" s="948"/>
    </row>
    <row r="4425" spans="3:9" ht="15.75">
      <c r="C4425" s="945" t="s">
        <v>919</v>
      </c>
      <c r="D4425" s="946"/>
      <c r="E4425" s="947"/>
      <c r="F4425" s="1068"/>
      <c r="G4425" s="946"/>
      <c r="H4425" s="1031"/>
      <c r="I4425" s="948"/>
    </row>
    <row r="4426" spans="3:9" ht="15.75">
      <c r="C4426" s="949" t="s">
        <v>920</v>
      </c>
      <c r="D4426" s="953">
        <v>1</v>
      </c>
      <c r="E4426" s="954" t="str">
        <f>+VLOOKUP(C4426,'Basic (equilibrio) (2)'!B:D,2,FALSE)</f>
        <v>dia</v>
      </c>
      <c r="F4426" s="1068">
        <f>+'Basic (equilibrio) (2)'!$D$18</f>
        <v>28535.5</v>
      </c>
      <c r="G4426" s="946">
        <v>0</v>
      </c>
      <c r="H4426" s="1031"/>
      <c r="I4426" s="948">
        <f>D4426*F4426</f>
        <v>28535.5</v>
      </c>
    </row>
    <row r="4427" spans="3:9" ht="15.75">
      <c r="C4427" s="949" t="s">
        <v>921</v>
      </c>
      <c r="D4427" s="946">
        <v>1</v>
      </c>
      <c r="E4427" s="954" t="str">
        <f>+VLOOKUP(C4427,'Basic (equilibrio) (2)'!B:D,2,FALSE)</f>
        <v>dia</v>
      </c>
      <c r="F4427" s="1054">
        <f>'Basic (equilibrio) (2)'!$D$12</f>
        <v>1900</v>
      </c>
      <c r="G4427" s="946">
        <v>0</v>
      </c>
      <c r="H4427" s="1031"/>
      <c r="I4427" s="948">
        <f>D4427*F4427</f>
        <v>1900</v>
      </c>
    </row>
    <row r="4428" spans="3:9" ht="15.75">
      <c r="C4428" s="949" t="s">
        <v>922</v>
      </c>
      <c r="D4428" s="946">
        <v>1</v>
      </c>
      <c r="E4428" s="954" t="str">
        <f>+VLOOKUP(C4428,'Basic (equilibrio) (2)'!B:D,2,FALSE)</f>
        <v>dia</v>
      </c>
      <c r="F4428" s="1054">
        <f>'Basic (equilibrio) (2)'!$D$13</f>
        <v>1200</v>
      </c>
      <c r="G4428" s="946">
        <v>0</v>
      </c>
      <c r="H4428" s="1031"/>
      <c r="I4428" s="948">
        <f>D4428*F4428</f>
        <v>1200</v>
      </c>
    </row>
    <row r="4429" spans="3:9" ht="15.75">
      <c r="C4429" s="951" t="s">
        <v>918</v>
      </c>
      <c r="D4429" s="946"/>
      <c r="E4429" s="947"/>
      <c r="F4429" s="1054"/>
      <c r="G4429" s="946"/>
      <c r="H4429" s="1031"/>
      <c r="I4429" s="952">
        <f>SUM(I4426:I4428)</f>
        <v>31635.5</v>
      </c>
    </row>
    <row r="4430" spans="3:9" ht="15.75">
      <c r="C4430" s="949"/>
      <c r="D4430" s="946"/>
      <c r="E4430" s="947"/>
      <c r="F4430" s="1054"/>
      <c r="G4430" s="946"/>
      <c r="H4430" s="1031"/>
      <c r="I4430" s="948"/>
    </row>
    <row r="4431" spans="3:9" ht="15.75">
      <c r="C4431" s="945" t="s">
        <v>923</v>
      </c>
      <c r="D4431" s="946"/>
      <c r="E4431" s="947"/>
      <c r="F4431" s="1054"/>
      <c r="G4431" s="946"/>
      <c r="H4431" s="1031"/>
      <c r="I4431" s="948"/>
    </row>
    <row r="4432" spans="3:9" ht="15.75">
      <c r="C4432" s="949" t="s">
        <v>924</v>
      </c>
      <c r="D4432" s="946"/>
      <c r="E4432" s="947"/>
      <c r="F4432" s="1054">
        <f>+VLOOKUP(C4432,[49]BASICS!B:E,3,FALSE)</f>
        <v>0</v>
      </c>
      <c r="G4432" s="946">
        <f>F4432-(F4432/1.18)</f>
        <v>0</v>
      </c>
      <c r="H4432" s="1039"/>
      <c r="I4432" s="955">
        <f>D4432*F4432</f>
        <v>0</v>
      </c>
    </row>
    <row r="4433" spans="2:9" ht="15.75">
      <c r="C4433" s="951" t="s">
        <v>918</v>
      </c>
      <c r="D4433" s="946"/>
      <c r="E4433" s="947"/>
      <c r="F4433" s="1054"/>
      <c r="G4433" s="946"/>
      <c r="H4433" s="1031"/>
      <c r="I4433" s="952">
        <f>SUM(I4432)</f>
        <v>0</v>
      </c>
    </row>
    <row r="4434" spans="2:9" ht="15.75">
      <c r="C4434" s="949"/>
      <c r="D4434" s="946"/>
      <c r="E4434" s="947"/>
      <c r="F4434" s="1054"/>
      <c r="G4434" s="946"/>
      <c r="H4434" s="1031"/>
      <c r="I4434" s="948"/>
    </row>
    <row r="4435" spans="2:9" ht="15.75">
      <c r="C4435" s="945" t="s">
        <v>925</v>
      </c>
      <c r="D4435" s="946"/>
      <c r="E4435" s="947"/>
      <c r="F4435" s="1054"/>
      <c r="G4435" s="946"/>
      <c r="H4435" s="1031"/>
      <c r="I4435" s="948"/>
    </row>
    <row r="4436" spans="2:9" ht="15.75">
      <c r="C4436" s="949" t="s">
        <v>924</v>
      </c>
      <c r="D4436" s="946"/>
      <c r="E4436" s="947" t="str">
        <f>+VLOOKUP(C4436,'Basic (equilibrio) (2)'!B:D,2,FALSE)</f>
        <v>n/a</v>
      </c>
      <c r="F4436" s="1054">
        <f>+VLOOKUP(C4436,'Basic (equilibrio) (2)'!B:D,3,FALSE)</f>
        <v>0</v>
      </c>
      <c r="G4436" s="946">
        <f>F4436-(F4436/1.18)</f>
        <v>0</v>
      </c>
      <c r="H4436" s="1031"/>
      <c r="I4436" s="948">
        <f>D4436*F4436</f>
        <v>0</v>
      </c>
    </row>
    <row r="4437" spans="2:9" ht="15.75">
      <c r="C4437" s="951" t="s">
        <v>918</v>
      </c>
      <c r="D4437" s="946"/>
      <c r="E4437" s="947"/>
      <c r="F4437" s="1054"/>
      <c r="G4437" s="946"/>
      <c r="H4437" s="1031"/>
      <c r="I4437" s="952">
        <f>SUM(I4436)</f>
        <v>0</v>
      </c>
    </row>
    <row r="4438" spans="2:9" ht="15.75">
      <c r="C4438" s="951"/>
      <c r="D4438" s="946"/>
      <c r="E4438" s="947"/>
      <c r="F4438" s="1054"/>
      <c r="G4438" s="946"/>
      <c r="H4438" s="1031"/>
      <c r="I4438" s="952"/>
    </row>
    <row r="4439" spans="2:9" ht="15.75">
      <c r="C4439" s="956" t="s">
        <v>926</v>
      </c>
      <c r="D4439" s="957"/>
      <c r="E4439" s="958"/>
      <c r="F4439" s="1069"/>
      <c r="G4439" s="957"/>
      <c r="H4439" s="1032"/>
      <c r="I4439" s="959">
        <f>+I4423</f>
        <v>821.75</v>
      </c>
    </row>
    <row r="4440" spans="2:9" ht="15.75">
      <c r="C4440" s="956" t="s">
        <v>927</v>
      </c>
      <c r="D4440" s="957"/>
      <c r="E4440" s="958"/>
      <c r="F4440" s="1069"/>
      <c r="G4440" s="957"/>
      <c r="H4440" s="1032"/>
      <c r="I4440" s="959">
        <f>+I4429</f>
        <v>31635.5</v>
      </c>
    </row>
    <row r="4441" spans="2:9" ht="15.75">
      <c r="C4441" s="956" t="s">
        <v>928</v>
      </c>
      <c r="D4441" s="957"/>
      <c r="E4441" s="958"/>
      <c r="F4441" s="1069"/>
      <c r="G4441" s="957"/>
      <c r="H4441" s="1032"/>
      <c r="I4441" s="959">
        <f>+I4433</f>
        <v>0</v>
      </c>
    </row>
    <row r="4442" spans="2:9" ht="15.75">
      <c r="C4442" s="956" t="s">
        <v>929</v>
      </c>
      <c r="D4442" s="957"/>
      <c r="E4442" s="958"/>
      <c r="F4442" s="1069"/>
      <c r="G4442" s="957"/>
      <c r="H4442" s="1032"/>
      <c r="I4442" s="959">
        <f>+I4437</f>
        <v>0</v>
      </c>
    </row>
    <row r="4443" spans="2:9" ht="15.75">
      <c r="C4443" s="949"/>
      <c r="D4443" s="946"/>
      <c r="E4443" s="947"/>
      <c r="F4443" s="1054"/>
      <c r="G4443" s="946"/>
      <c r="H4443" s="1031"/>
      <c r="I4443" s="948"/>
    </row>
    <row r="4444" spans="2:9" ht="15.75">
      <c r="C4444" s="949"/>
      <c r="D4444" s="946"/>
      <c r="E4444" s="947"/>
      <c r="F4444" s="1054"/>
      <c r="G4444" s="946"/>
      <c r="H4444" s="1031"/>
      <c r="I4444" s="948"/>
    </row>
    <row r="4445" spans="2:9" ht="15.75">
      <c r="C4445" s="951" t="s">
        <v>930</v>
      </c>
      <c r="D4445" s="960"/>
      <c r="E4445" s="943" t="str">
        <f>+E4416</f>
        <v>P.A</v>
      </c>
      <c r="F4445" s="1070"/>
      <c r="G4445" s="960"/>
      <c r="H4445" s="1033"/>
      <c r="I4445" s="952">
        <f>SUM(I4439:I4442)</f>
        <v>32457.25</v>
      </c>
    </row>
    <row r="4446" spans="2:9" ht="15.75">
      <c r="C4446" s="951"/>
      <c r="D4446" s="960"/>
      <c r="E4446" s="943"/>
      <c r="F4446" s="1070"/>
      <c r="G4446" s="960"/>
      <c r="H4446" s="1033"/>
      <c r="I4446" s="952"/>
    </row>
    <row r="4447" spans="2:9" ht="15.75">
      <c r="B4447" s="1026">
        <v>2.1</v>
      </c>
      <c r="C4447" s="937" t="str">
        <f>+Presupuesto!B289</f>
        <v>Excavación de material no clasificado c/equipo</v>
      </c>
      <c r="D4447" s="938"/>
      <c r="E4447" s="962" t="s">
        <v>1554</v>
      </c>
      <c r="F4447" s="1066"/>
      <c r="G4447" s="938"/>
      <c r="H4447" s="1029"/>
      <c r="I4447" s="940">
        <f>I4472</f>
        <v>121.58</v>
      </c>
    </row>
    <row r="4448" spans="2:9" ht="15.75">
      <c r="C4448" s="941" t="s">
        <v>908</v>
      </c>
      <c r="D4448" s="942" t="s">
        <v>9</v>
      </c>
      <c r="E4448" s="943" t="s">
        <v>10</v>
      </c>
      <c r="F4448" s="1067" t="s">
        <v>909</v>
      </c>
      <c r="G4448" s="942" t="s">
        <v>910</v>
      </c>
      <c r="H4448" s="1030" t="s">
        <v>911</v>
      </c>
      <c r="I4448" s="944" t="s">
        <v>912</v>
      </c>
    </row>
    <row r="4449" spans="3:9" ht="15.75">
      <c r="C4449" s="945" t="s">
        <v>913</v>
      </c>
      <c r="D4449" s="946"/>
      <c r="E4449" s="947"/>
      <c r="F4449" s="1054"/>
      <c r="G4449" s="946"/>
      <c r="H4449" s="1031"/>
      <c r="I4449" s="948"/>
    </row>
    <row r="4450" spans="3:9" ht="15.75">
      <c r="C4450" s="949" t="s">
        <v>924</v>
      </c>
      <c r="D4450" s="946"/>
      <c r="E4450" s="947" t="str">
        <f>+VLOOKUP(C4450,'Basic (equilibrio) (2)'!B:D,2,FALSE)</f>
        <v>n/a</v>
      </c>
      <c r="F4450" s="1068">
        <f>+VLOOKUP(C4450,'Basic (equilibrio) (2)'!B:D,3,FALSE)</f>
        <v>0</v>
      </c>
      <c r="G4450" s="946">
        <f>F4450-(F4450/1.18)</f>
        <v>0</v>
      </c>
      <c r="H4450" s="1031"/>
      <c r="I4450" s="948">
        <f>D4450*F4450</f>
        <v>0</v>
      </c>
    </row>
    <row r="4451" spans="3:9" ht="15.75">
      <c r="C4451" s="951" t="s">
        <v>918</v>
      </c>
      <c r="D4451" s="946"/>
      <c r="E4451" s="947"/>
      <c r="F4451" s="1068"/>
      <c r="G4451" s="946"/>
      <c r="H4451" s="1031"/>
      <c r="I4451" s="952">
        <f>SUM(I4450:I4450)</f>
        <v>0</v>
      </c>
    </row>
    <row r="4452" spans="3:9" ht="15.75">
      <c r="C4452" s="949"/>
      <c r="D4452" s="946"/>
      <c r="E4452" s="947"/>
      <c r="F4452" s="1068"/>
      <c r="G4452" s="946"/>
      <c r="H4452" s="1031"/>
      <c r="I4452" s="948"/>
    </row>
    <row r="4453" spans="3:9" ht="15.75">
      <c r="C4453" s="945" t="s">
        <v>919</v>
      </c>
      <c r="D4453" s="946"/>
      <c r="E4453" s="947"/>
      <c r="F4453" s="1068"/>
      <c r="G4453" s="946"/>
      <c r="H4453" s="1031"/>
      <c r="I4453" s="948"/>
    </row>
    <row r="4454" spans="3:9" ht="15.75">
      <c r="C4454" s="949" t="s">
        <v>931</v>
      </c>
      <c r="D4454" s="953">
        <v>0.13</v>
      </c>
      <c r="E4454" s="954" t="str">
        <f>+VLOOKUP(C4454,'Basic (equilibrio) (2)'!B:D,2,FALSE)</f>
        <v>dia</v>
      </c>
      <c r="F4454" s="1068">
        <f>'Basic (equilibrio) (2)'!$D$14</f>
        <v>900</v>
      </c>
      <c r="G4454" s="946">
        <v>0</v>
      </c>
      <c r="H4454" s="1031">
        <v>70</v>
      </c>
      <c r="I4454" s="948">
        <f>(D4454*F4454)/H4454</f>
        <v>1.67</v>
      </c>
    </row>
    <row r="4455" spans="3:9" ht="15.75">
      <c r="C4455" s="951" t="s">
        <v>918</v>
      </c>
      <c r="D4455" s="946"/>
      <c r="E4455" s="947"/>
      <c r="F4455" s="1054"/>
      <c r="G4455" s="946"/>
      <c r="H4455" s="1031"/>
      <c r="I4455" s="952">
        <f>SUM(I4454:I4454)</f>
        <v>1.67</v>
      </c>
    </row>
    <row r="4456" spans="3:9" ht="15.75">
      <c r="C4456" s="949"/>
      <c r="D4456" s="946"/>
      <c r="E4456" s="947"/>
      <c r="F4456" s="1054"/>
      <c r="G4456" s="946"/>
      <c r="H4456" s="1031"/>
      <c r="I4456" s="948"/>
    </row>
    <row r="4457" spans="3:9" ht="15.75">
      <c r="C4457" s="945" t="s">
        <v>923</v>
      </c>
      <c r="D4457" s="946"/>
      <c r="E4457" s="947"/>
      <c r="F4457" s="1054"/>
      <c r="G4457" s="946"/>
      <c r="H4457" s="1031"/>
      <c r="I4457" s="948"/>
    </row>
    <row r="4458" spans="3:9" ht="31.5">
      <c r="C4458" s="949" t="s">
        <v>932</v>
      </c>
      <c r="D4458" s="946">
        <v>1</v>
      </c>
      <c r="E4458" s="947" t="str">
        <f>+VLOOKUP(C4458,'Basic (equilibrio) (2)'!B:D,2,FALSE)</f>
        <v>hr</v>
      </c>
      <c r="F4458" s="1054">
        <f>'Basic (equilibrio) (2)'!$D$690</f>
        <v>3900</v>
      </c>
      <c r="G4458" s="946">
        <f>F4458-(F4458/1.18)</f>
        <v>594.91999999999996</v>
      </c>
      <c r="H4458" s="1039">
        <v>70</v>
      </c>
      <c r="I4458" s="955">
        <f>D4458*F4458/H4458</f>
        <v>55.71</v>
      </c>
    </row>
    <row r="4459" spans="3:9" ht="15.75">
      <c r="C4459" s="949" t="s">
        <v>933</v>
      </c>
      <c r="D4459" s="946">
        <v>1</v>
      </c>
      <c r="E4459" s="947" t="str">
        <f>+VLOOKUP(C4459,'Basic (equilibrio) (2)'!B:D,2,FALSE)</f>
        <v>hr</v>
      </c>
      <c r="F4459" s="1054">
        <f>'Basic (equilibrio) (2)'!$D$682</f>
        <v>4250</v>
      </c>
      <c r="G4459" s="946">
        <f>F4459-(F4459/1.18)</f>
        <v>648.30999999999995</v>
      </c>
      <c r="H4459" s="1039">
        <v>70</v>
      </c>
      <c r="I4459" s="955">
        <f>D4459*F4459/H4459</f>
        <v>60.71</v>
      </c>
    </row>
    <row r="4460" spans="3:9" ht="15.75">
      <c r="C4460" s="951" t="s">
        <v>918</v>
      </c>
      <c r="D4460" s="946"/>
      <c r="E4460" s="947"/>
      <c r="F4460" s="1054"/>
      <c r="G4460" s="946"/>
      <c r="H4460" s="1031"/>
      <c r="I4460" s="952">
        <f>SUM(I4458:I4459)</f>
        <v>116.42</v>
      </c>
    </row>
    <row r="4461" spans="3:9" ht="15.75">
      <c r="C4461" s="949"/>
      <c r="D4461" s="946"/>
      <c r="E4461" s="947"/>
      <c r="F4461" s="1054"/>
      <c r="G4461" s="946"/>
      <c r="H4461" s="1031"/>
      <c r="I4461" s="948"/>
    </row>
    <row r="4462" spans="3:9" ht="15.75">
      <c r="C4462" s="945" t="s">
        <v>925</v>
      </c>
      <c r="D4462" s="946"/>
      <c r="E4462" s="947"/>
      <c r="F4462" s="1054"/>
      <c r="G4462" s="946"/>
      <c r="H4462" s="1031"/>
      <c r="I4462" s="948"/>
    </row>
    <row r="4463" spans="3:9" ht="15.75">
      <c r="C4463" s="949" t="s">
        <v>925</v>
      </c>
      <c r="D4463" s="946">
        <f>+I4460</f>
        <v>116.42</v>
      </c>
      <c r="E4463" s="947" t="str">
        <f>+VLOOKUP(C4463,'Basic (equilibrio) (2)'!B:D,2,FALSE)</f>
        <v>Pa</v>
      </c>
      <c r="F4463" s="1088">
        <v>0.03</v>
      </c>
      <c r="G4463" s="946"/>
      <c r="H4463" s="1031"/>
      <c r="I4463" s="948">
        <f>D4463*F4463</f>
        <v>3.49</v>
      </c>
    </row>
    <row r="4464" spans="3:9" ht="15.75">
      <c r="C4464" s="951" t="s">
        <v>918</v>
      </c>
      <c r="D4464" s="946"/>
      <c r="E4464" s="947"/>
      <c r="F4464" s="1054"/>
      <c r="G4464" s="946"/>
      <c r="H4464" s="1031"/>
      <c r="I4464" s="952">
        <f>SUM(I4463)</f>
        <v>3.49</v>
      </c>
    </row>
    <row r="4465" spans="2:9" ht="15.75">
      <c r="C4465" s="951"/>
      <c r="D4465" s="946"/>
      <c r="E4465" s="947"/>
      <c r="F4465" s="1054"/>
      <c r="G4465" s="946"/>
      <c r="H4465" s="1031"/>
      <c r="I4465" s="952"/>
    </row>
    <row r="4466" spans="2:9" ht="15.75">
      <c r="C4466" s="956" t="s">
        <v>926</v>
      </c>
      <c r="D4466" s="957"/>
      <c r="E4466" s="958"/>
      <c r="F4466" s="1069"/>
      <c r="G4466" s="957"/>
      <c r="H4466" s="1032"/>
      <c r="I4466" s="959">
        <f>+I4451</f>
        <v>0</v>
      </c>
    </row>
    <row r="4467" spans="2:9" ht="15.75">
      <c r="C4467" s="956" t="s">
        <v>927</v>
      </c>
      <c r="D4467" s="957"/>
      <c r="E4467" s="958"/>
      <c r="F4467" s="1069"/>
      <c r="G4467" s="957"/>
      <c r="H4467" s="1032"/>
      <c r="I4467" s="959">
        <f>+I4455</f>
        <v>1.67</v>
      </c>
    </row>
    <row r="4468" spans="2:9" ht="15.75">
      <c r="C4468" s="956" t="s">
        <v>928</v>
      </c>
      <c r="D4468" s="957"/>
      <c r="E4468" s="958"/>
      <c r="F4468" s="1069"/>
      <c r="G4468" s="957"/>
      <c r="H4468" s="1032"/>
      <c r="I4468" s="959">
        <f>+I4460</f>
        <v>116.42</v>
      </c>
    </row>
    <row r="4469" spans="2:9" ht="15.75">
      <c r="C4469" s="956" t="s">
        <v>929</v>
      </c>
      <c r="D4469" s="957"/>
      <c r="E4469" s="958"/>
      <c r="F4469" s="1069"/>
      <c r="G4469" s="957"/>
      <c r="H4469" s="1032"/>
      <c r="I4469" s="959">
        <f>+I4464</f>
        <v>3.49</v>
      </c>
    </row>
    <row r="4470" spans="2:9" ht="15.75">
      <c r="C4470" s="949"/>
      <c r="D4470" s="946"/>
      <c r="E4470" s="947"/>
      <c r="F4470" s="1054"/>
      <c r="G4470" s="946"/>
      <c r="H4470" s="1031"/>
      <c r="I4470" s="948"/>
    </row>
    <row r="4471" spans="2:9" ht="15.75">
      <c r="C4471" s="949"/>
      <c r="D4471" s="946"/>
      <c r="E4471" s="947"/>
      <c r="F4471" s="1054"/>
      <c r="G4471" s="946"/>
      <c r="H4471" s="1031"/>
      <c r="I4471" s="948"/>
    </row>
    <row r="4472" spans="2:9" ht="15.75">
      <c r="C4472" s="951" t="s">
        <v>930</v>
      </c>
      <c r="D4472" s="960"/>
      <c r="E4472" s="943" t="str">
        <f>+E4447</f>
        <v>M3N</v>
      </c>
      <c r="F4472" s="1070"/>
      <c r="G4472" s="960"/>
      <c r="H4472" s="1033"/>
      <c r="I4472" s="952">
        <f>SUM(I4466:I4469)</f>
        <v>121.58</v>
      </c>
    </row>
    <row r="4473" spans="2:9" ht="15.75">
      <c r="C4473" s="951"/>
      <c r="D4473" s="960"/>
      <c r="E4473" s="943"/>
      <c r="F4473" s="1070"/>
      <c r="G4473" s="960"/>
      <c r="H4473" s="1033"/>
      <c r="I4473" s="952"/>
    </row>
    <row r="4474" spans="2:9" ht="15.75">
      <c r="B4474" s="1026">
        <v>2.2000000000000002</v>
      </c>
      <c r="C4474" s="937" t="str">
        <f>+Presupuesto!B290</f>
        <v>Relleno de material compactado c/compactador mecánico</v>
      </c>
      <c r="D4474" s="938"/>
      <c r="E4474" s="962" t="s">
        <v>219</v>
      </c>
      <c r="F4474" s="1066"/>
      <c r="G4474" s="938"/>
      <c r="H4474" s="1029"/>
      <c r="I4474" s="940">
        <f>I4500</f>
        <v>87.49</v>
      </c>
    </row>
    <row r="4475" spans="2:9" ht="15.75">
      <c r="C4475" s="941" t="s">
        <v>908</v>
      </c>
      <c r="D4475" s="942" t="s">
        <v>9</v>
      </c>
      <c r="E4475" s="943" t="s">
        <v>10</v>
      </c>
      <c r="F4475" s="1067" t="s">
        <v>909</v>
      </c>
      <c r="G4475" s="942" t="s">
        <v>910</v>
      </c>
      <c r="H4475" s="1030" t="s">
        <v>911</v>
      </c>
      <c r="I4475" s="944" t="s">
        <v>912</v>
      </c>
    </row>
    <row r="4476" spans="2:9" ht="15.75">
      <c r="C4476" s="945" t="s">
        <v>913</v>
      </c>
      <c r="D4476" s="946"/>
      <c r="E4476" s="947"/>
      <c r="F4476" s="1054"/>
      <c r="G4476" s="946"/>
      <c r="H4476" s="1031"/>
      <c r="I4476" s="948"/>
    </row>
    <row r="4477" spans="2:9" ht="15.75">
      <c r="C4477" s="949" t="s">
        <v>924</v>
      </c>
      <c r="D4477" s="946">
        <v>1.3</v>
      </c>
      <c r="E4477" s="947" t="str">
        <f>+VLOOKUP(C4477,'Basic (equilibrio) (2)'!B:D,2,FALSE)</f>
        <v>n/a</v>
      </c>
      <c r="F4477" s="1068">
        <f>+VLOOKUP(C4477,'Basic (equilibrio) (2)'!B:D,3,FALSE)</f>
        <v>0</v>
      </c>
      <c r="G4477" s="946">
        <f>F4477-(F4477/1.18)</f>
        <v>0</v>
      </c>
      <c r="H4477" s="1031"/>
      <c r="I4477" s="948">
        <f>D4477*F4477</f>
        <v>0</v>
      </c>
    </row>
    <row r="4478" spans="2:9" ht="15.75">
      <c r="C4478" s="951" t="s">
        <v>918</v>
      </c>
      <c r="D4478" s="946"/>
      <c r="E4478" s="947"/>
      <c r="F4478" s="1068"/>
      <c r="G4478" s="946"/>
      <c r="H4478" s="1031"/>
      <c r="I4478" s="952">
        <f>SUM(I4477:I4477)</f>
        <v>0</v>
      </c>
    </row>
    <row r="4479" spans="2:9" ht="15.75">
      <c r="C4479" s="949"/>
      <c r="D4479" s="946"/>
      <c r="E4479" s="947"/>
      <c r="F4479" s="1068"/>
      <c r="G4479" s="946"/>
      <c r="H4479" s="1031"/>
      <c r="I4479" s="948"/>
    </row>
    <row r="4480" spans="2:9" ht="15.75">
      <c r="C4480" s="945" t="s">
        <v>919</v>
      </c>
      <c r="D4480" s="946"/>
      <c r="E4480" s="947"/>
      <c r="F4480" s="1068"/>
      <c r="G4480" s="946"/>
      <c r="H4480" s="1031"/>
      <c r="I4480" s="948"/>
    </row>
    <row r="4481" spans="3:9" ht="15.75">
      <c r="C4481" s="949" t="s">
        <v>931</v>
      </c>
      <c r="D4481" s="953">
        <v>0.25</v>
      </c>
      <c r="E4481" s="954" t="str">
        <f>+VLOOKUP(C4481,'Basic (equilibrio) (2)'!B:D,2,FALSE)</f>
        <v>dia</v>
      </c>
      <c r="F4481" s="1068">
        <f>'Basic (equilibrio) (2)'!$D$14</f>
        <v>900</v>
      </c>
      <c r="G4481" s="946">
        <v>0</v>
      </c>
      <c r="H4481" s="1031">
        <v>70</v>
      </c>
      <c r="I4481" s="948">
        <f>(D4481*F4481)/H4481</f>
        <v>3.21</v>
      </c>
    </row>
    <row r="4482" spans="3:9" ht="15.75">
      <c r="C4482" s="951" t="s">
        <v>918</v>
      </c>
      <c r="D4482" s="946"/>
      <c r="E4482" s="947"/>
      <c r="F4482" s="1054"/>
      <c r="G4482" s="946"/>
      <c r="H4482" s="1031"/>
      <c r="I4482" s="952">
        <f>SUM(I4481:I4481)</f>
        <v>3.21</v>
      </c>
    </row>
    <row r="4483" spans="3:9" ht="15.75">
      <c r="C4483" s="949"/>
      <c r="D4483" s="946"/>
      <c r="E4483" s="947"/>
      <c r="F4483" s="1054"/>
      <c r="G4483" s="946"/>
      <c r="H4483" s="1031"/>
      <c r="I4483" s="948"/>
    </row>
    <row r="4484" spans="3:9" ht="15.75">
      <c r="C4484" s="945" t="s">
        <v>923</v>
      </c>
      <c r="D4484" s="946"/>
      <c r="E4484" s="947"/>
      <c r="F4484" s="1054"/>
      <c r="G4484" s="946"/>
      <c r="H4484" s="1031"/>
      <c r="I4484" s="948"/>
    </row>
    <row r="4485" spans="3:9" ht="15.75">
      <c r="C4485" s="949" t="s">
        <v>938</v>
      </c>
      <c r="D4485" s="946">
        <v>1</v>
      </c>
      <c r="E4485" s="947" t="str">
        <f>+VLOOKUP(C4485,'Basic (equilibrio) (2)'!B:D,2,FALSE)</f>
        <v>hr</v>
      </c>
      <c r="F4485" s="1054">
        <f>'Basic (equilibrio) (2)'!$D$683</f>
        <v>2500</v>
      </c>
      <c r="G4485" s="946">
        <f>F4485-(F4485/1.18)</f>
        <v>381.36</v>
      </c>
      <c r="H4485" s="1039">
        <v>70</v>
      </c>
      <c r="I4485" s="955">
        <f>D4485*F4485/H4485</f>
        <v>35.71</v>
      </c>
    </row>
    <row r="4486" spans="3:9" ht="15.75">
      <c r="C4486" s="949" t="s">
        <v>935</v>
      </c>
      <c r="D4486" s="946">
        <v>1</v>
      </c>
      <c r="E4486" s="947" t="str">
        <f>+VLOOKUP(C4486,'Basic (equilibrio) (2)'!B:D,2,FALSE)</f>
        <v>hr</v>
      </c>
      <c r="F4486" s="1054">
        <f>'Basic (equilibrio) (2)'!$D$684</f>
        <v>3000</v>
      </c>
      <c r="G4486" s="946">
        <f>F4486-(F4486/1.18)</f>
        <v>457.63</v>
      </c>
      <c r="H4486" s="1039">
        <v>70</v>
      </c>
      <c r="I4486" s="955">
        <f t="shared" ref="I4486:I4487" si="25">D4486*F4486/H4486</f>
        <v>42.86</v>
      </c>
    </row>
    <row r="4487" spans="3:9" ht="15.75">
      <c r="C4487" s="949" t="s">
        <v>939</v>
      </c>
      <c r="D4487" s="946">
        <v>1</v>
      </c>
      <c r="E4487" s="947" t="str">
        <f>+VLOOKUP(C4487,'Basic (equilibrio) (2)'!B:D,2,FALSE)</f>
        <v>hr</v>
      </c>
      <c r="F4487" s="1054">
        <f>'Basic (equilibrio) (2)'!$D$688</f>
        <v>400</v>
      </c>
      <c r="G4487" s="946">
        <f>F4487-(F4487/1.18)</f>
        <v>61.02</v>
      </c>
      <c r="H4487" s="1039">
        <v>70</v>
      </c>
      <c r="I4487" s="955">
        <f t="shared" si="25"/>
        <v>5.71</v>
      </c>
    </row>
    <row r="4488" spans="3:9" ht="15.75">
      <c r="C4488" s="951" t="s">
        <v>918</v>
      </c>
      <c r="D4488" s="946"/>
      <c r="E4488" s="947"/>
      <c r="F4488" s="1054"/>
      <c r="G4488" s="946"/>
      <c r="H4488" s="1031"/>
      <c r="I4488" s="952">
        <f>SUM(I4485:I4487)</f>
        <v>84.28</v>
      </c>
    </row>
    <row r="4489" spans="3:9" ht="15.75">
      <c r="C4489" s="949"/>
      <c r="D4489" s="946"/>
      <c r="E4489" s="947"/>
      <c r="F4489" s="1054"/>
      <c r="G4489" s="946"/>
      <c r="H4489" s="1031"/>
      <c r="I4489" s="948"/>
    </row>
    <row r="4490" spans="3:9" ht="15.75">
      <c r="C4490" s="945" t="s">
        <v>925</v>
      </c>
      <c r="D4490" s="946"/>
      <c r="E4490" s="947"/>
      <c r="F4490" s="1054"/>
      <c r="G4490" s="946"/>
      <c r="H4490" s="1031"/>
      <c r="I4490" s="948"/>
    </row>
    <row r="4491" spans="3:9" ht="15.75">
      <c r="C4491" s="949" t="s">
        <v>924</v>
      </c>
      <c r="D4491" s="946"/>
      <c r="E4491" s="947" t="str">
        <f>+VLOOKUP(C4491,'Basic (equilibrio) (2)'!B:D,2,FALSE)</f>
        <v>n/a</v>
      </c>
      <c r="F4491" s="1054">
        <f>+VLOOKUP(C4491,'Basic (equilibrio) (2)'!B:D,3,FALSE)</f>
        <v>0</v>
      </c>
      <c r="G4491" s="946"/>
      <c r="H4491" s="1031"/>
      <c r="I4491" s="948">
        <f>D4491*F4491</f>
        <v>0</v>
      </c>
    </row>
    <row r="4492" spans="3:9" ht="15.75">
      <c r="C4492" s="951" t="s">
        <v>918</v>
      </c>
      <c r="D4492" s="946"/>
      <c r="E4492" s="947"/>
      <c r="F4492" s="1054"/>
      <c r="G4492" s="946"/>
      <c r="H4492" s="1031"/>
      <c r="I4492" s="952">
        <f>SUM(I4491)</f>
        <v>0</v>
      </c>
    </row>
    <row r="4493" spans="3:9" ht="15.75">
      <c r="C4493" s="951"/>
      <c r="D4493" s="946"/>
      <c r="E4493" s="947"/>
      <c r="F4493" s="1054"/>
      <c r="G4493" s="946"/>
      <c r="H4493" s="1031"/>
      <c r="I4493" s="952"/>
    </row>
    <row r="4494" spans="3:9" ht="15.75">
      <c r="C4494" s="956" t="s">
        <v>926</v>
      </c>
      <c r="D4494" s="957"/>
      <c r="E4494" s="958"/>
      <c r="F4494" s="1069"/>
      <c r="G4494" s="957"/>
      <c r="H4494" s="1032"/>
      <c r="I4494" s="959">
        <f>+I4478</f>
        <v>0</v>
      </c>
    </row>
    <row r="4495" spans="3:9" ht="15.75">
      <c r="C4495" s="956" t="s">
        <v>927</v>
      </c>
      <c r="D4495" s="957"/>
      <c r="E4495" s="958"/>
      <c r="F4495" s="1069"/>
      <c r="G4495" s="957"/>
      <c r="H4495" s="1032"/>
      <c r="I4495" s="959">
        <f>+I4482</f>
        <v>3.21</v>
      </c>
    </row>
    <row r="4496" spans="3:9" ht="15.75">
      <c r="C4496" s="956" t="s">
        <v>928</v>
      </c>
      <c r="D4496" s="957"/>
      <c r="E4496" s="958"/>
      <c r="F4496" s="1069"/>
      <c r="G4496" s="957"/>
      <c r="H4496" s="1032"/>
      <c r="I4496" s="959">
        <f>+I4488</f>
        <v>84.28</v>
      </c>
    </row>
    <row r="4497" spans="2:9" ht="15.75">
      <c r="C4497" s="956" t="s">
        <v>929</v>
      </c>
      <c r="D4497" s="957"/>
      <c r="E4497" s="958"/>
      <c r="F4497" s="1069"/>
      <c r="G4497" s="957"/>
      <c r="H4497" s="1032"/>
      <c r="I4497" s="959">
        <f>+I4492</f>
        <v>0</v>
      </c>
    </row>
    <row r="4498" spans="2:9" ht="15.75">
      <c r="C4498" s="949"/>
      <c r="D4498" s="946"/>
      <c r="E4498" s="947"/>
      <c r="F4498" s="1054"/>
      <c r="G4498" s="946"/>
      <c r="H4498" s="1031"/>
      <c r="I4498" s="948"/>
    </row>
    <row r="4499" spans="2:9" ht="15.75">
      <c r="C4499" s="949"/>
      <c r="D4499" s="946"/>
      <c r="E4499" s="947"/>
      <c r="F4499" s="1054"/>
      <c r="G4499" s="946"/>
      <c r="H4499" s="1031"/>
      <c r="I4499" s="948"/>
    </row>
    <row r="4500" spans="2:9" ht="15.75">
      <c r="C4500" s="951" t="s">
        <v>930</v>
      </c>
      <c r="D4500" s="960"/>
      <c r="E4500" s="943" t="str">
        <f>+E4474</f>
        <v>M3C</v>
      </c>
      <c r="F4500" s="1070"/>
      <c r="G4500" s="960"/>
      <c r="H4500" s="1033"/>
      <c r="I4500" s="952">
        <f>SUM(I4494:I4497)</f>
        <v>87.49</v>
      </c>
    </row>
    <row r="4501" spans="2:9" ht="15.75">
      <c r="C4501" s="951"/>
      <c r="D4501" s="960"/>
      <c r="E4501" s="943"/>
      <c r="F4501" s="1070"/>
      <c r="G4501" s="960"/>
      <c r="H4501" s="1033"/>
      <c r="I4501" s="952"/>
    </row>
    <row r="4502" spans="2:9" ht="31.5">
      <c r="B4502" s="1026">
        <v>2.2999999999999998</v>
      </c>
      <c r="C4502" s="937" t="str">
        <f>+Presupuesto!B291</f>
        <v>Bote de material sobrante c/camión (Incluye esparcimiento en botadero)</v>
      </c>
      <c r="D4502" s="938"/>
      <c r="E4502" s="962" t="s">
        <v>213</v>
      </c>
      <c r="F4502" s="1066"/>
      <c r="G4502" s="938"/>
      <c r="H4502" s="1029"/>
      <c r="I4502" s="940">
        <f>I4528</f>
        <v>455.24</v>
      </c>
    </row>
    <row r="4503" spans="2:9" ht="15.75">
      <c r="C4503" s="941" t="s">
        <v>908</v>
      </c>
      <c r="D4503" s="942" t="s">
        <v>9</v>
      </c>
      <c r="E4503" s="943" t="s">
        <v>10</v>
      </c>
      <c r="F4503" s="1067" t="s">
        <v>909</v>
      </c>
      <c r="G4503" s="942" t="s">
        <v>910</v>
      </c>
      <c r="H4503" s="1030" t="s">
        <v>911</v>
      </c>
      <c r="I4503" s="944" t="s">
        <v>912</v>
      </c>
    </row>
    <row r="4504" spans="2:9" ht="15.75">
      <c r="C4504" s="945" t="s">
        <v>913</v>
      </c>
      <c r="D4504" s="946"/>
      <c r="E4504" s="947"/>
      <c r="F4504" s="1054"/>
      <c r="G4504" s="946"/>
      <c r="H4504" s="1031"/>
      <c r="I4504" s="948"/>
    </row>
    <row r="4505" spans="2:9" ht="15.75">
      <c r="C4505" s="949" t="s">
        <v>924</v>
      </c>
      <c r="D4505" s="946"/>
      <c r="E4505" s="947" t="str">
        <f>+VLOOKUP(C4505,'Basic (equilibrio) (2)'!B:D,2,FALSE)</f>
        <v>n/a</v>
      </c>
      <c r="F4505" s="1068">
        <f>+VLOOKUP(C4505,'Basic (equilibrio) (2)'!B:D,3,FALSE)</f>
        <v>0</v>
      </c>
      <c r="G4505" s="946">
        <f>F4505-(F4505/1.18)</f>
        <v>0</v>
      </c>
      <c r="H4505" s="1031"/>
      <c r="I4505" s="948">
        <f>D4505*F4505</f>
        <v>0</v>
      </c>
    </row>
    <row r="4506" spans="2:9" ht="15.75">
      <c r="C4506" s="951" t="s">
        <v>918</v>
      </c>
      <c r="D4506" s="946"/>
      <c r="E4506" s="947"/>
      <c r="F4506" s="1068"/>
      <c r="G4506" s="946"/>
      <c r="H4506" s="1031"/>
      <c r="I4506" s="952">
        <f>SUM(I4505:I4505)</f>
        <v>0</v>
      </c>
    </row>
    <row r="4507" spans="2:9" ht="15.75">
      <c r="C4507" s="949"/>
      <c r="D4507" s="946"/>
      <c r="E4507" s="947"/>
      <c r="F4507" s="1068"/>
      <c r="G4507" s="946"/>
      <c r="H4507" s="1031"/>
      <c r="I4507" s="948"/>
    </row>
    <row r="4508" spans="2:9" ht="15.75">
      <c r="C4508" s="945" t="s">
        <v>919</v>
      </c>
      <c r="D4508" s="946"/>
      <c r="E4508" s="947"/>
      <c r="F4508" s="1068"/>
      <c r="G4508" s="946"/>
      <c r="H4508" s="1031"/>
      <c r="I4508" s="948"/>
    </row>
    <row r="4509" spans="2:9" ht="15.75">
      <c r="C4509" s="949" t="s">
        <v>931</v>
      </c>
      <c r="D4509" s="953">
        <v>0.13</v>
      </c>
      <c r="E4509" s="954" t="str">
        <f>+VLOOKUP(C4509,'Basic (equilibrio) (2)'!B:D,2,FALSE)</f>
        <v>dia</v>
      </c>
      <c r="F4509" s="1068">
        <f>'Basic (equilibrio) (2)'!$D$14</f>
        <v>900</v>
      </c>
      <c r="G4509" s="946">
        <v>0</v>
      </c>
      <c r="H4509" s="1031">
        <v>70</v>
      </c>
      <c r="I4509" s="948">
        <f>(D4509*F4509)/H4509</f>
        <v>1.67</v>
      </c>
    </row>
    <row r="4510" spans="2:9" ht="15.75">
      <c r="C4510" s="951" t="s">
        <v>918</v>
      </c>
      <c r="D4510" s="946"/>
      <c r="E4510" s="947"/>
      <c r="F4510" s="1054"/>
      <c r="G4510" s="946"/>
      <c r="H4510" s="1031"/>
      <c r="I4510" s="952">
        <f>SUM(I4509:I4509)</f>
        <v>1.67</v>
      </c>
    </row>
    <row r="4511" spans="2:9" ht="15.75">
      <c r="C4511" s="949"/>
      <c r="D4511" s="946"/>
      <c r="E4511" s="947"/>
      <c r="F4511" s="1054"/>
      <c r="G4511" s="946"/>
      <c r="H4511" s="1031"/>
      <c r="I4511" s="948"/>
    </row>
    <row r="4512" spans="2:9" ht="15.75">
      <c r="C4512" s="945" t="s">
        <v>923</v>
      </c>
      <c r="D4512" s="946"/>
      <c r="E4512" s="947"/>
      <c r="F4512" s="1054"/>
      <c r="G4512" s="946"/>
      <c r="H4512" s="1031"/>
      <c r="I4512" s="948"/>
    </row>
    <row r="4513" spans="3:9" ht="15.75">
      <c r="C4513" s="949" t="s">
        <v>934</v>
      </c>
      <c r="D4513" s="946">
        <v>1</v>
      </c>
      <c r="E4513" s="947" t="str">
        <f>+VLOOKUP(C4513,'Basic (equilibrio) (2)'!B:D,2,FALSE)</f>
        <v>m3e</v>
      </c>
      <c r="F4513" s="1054">
        <f>'Basic (equilibrio) (2)'!$D$685</f>
        <v>350</v>
      </c>
      <c r="G4513" s="946">
        <f>F4513-(F4513/1.18)</f>
        <v>53.39</v>
      </c>
      <c r="H4513" s="1039"/>
      <c r="I4513" s="955">
        <f>D4513*F4513</f>
        <v>350</v>
      </c>
    </row>
    <row r="4514" spans="3:9" ht="15.75">
      <c r="C4514" s="949" t="s">
        <v>933</v>
      </c>
      <c r="D4514" s="946">
        <v>1</v>
      </c>
      <c r="E4514" s="947" t="str">
        <f>+VLOOKUP(C4514,'Basic (equilibrio) (2)'!B:D,2,FALSE)</f>
        <v>hr</v>
      </c>
      <c r="F4514" s="1054">
        <f>'Basic (equilibrio) (2)'!$D$682</f>
        <v>4250</v>
      </c>
      <c r="G4514" s="946">
        <f>F4514-(F4514/1.18)</f>
        <v>648.30999999999995</v>
      </c>
      <c r="H4514" s="1039">
        <v>70</v>
      </c>
      <c r="I4514" s="955">
        <f t="shared" ref="I4514:I4515" si="26">D4514*F4514/H4514</f>
        <v>60.71</v>
      </c>
    </row>
    <row r="4515" spans="3:9" ht="15.75">
      <c r="C4515" s="949" t="s">
        <v>935</v>
      </c>
      <c r="D4515" s="946">
        <v>1</v>
      </c>
      <c r="E4515" s="947" t="str">
        <f>+VLOOKUP(C4515,'Basic (equilibrio) (2)'!B:D,2,FALSE)</f>
        <v>hr</v>
      </c>
      <c r="F4515" s="1054">
        <f>'Basic (equilibrio) (2)'!$D$684</f>
        <v>3000</v>
      </c>
      <c r="G4515" s="946">
        <f>F4515-(F4515/1.18)</f>
        <v>457.63</v>
      </c>
      <c r="H4515" s="1039">
        <v>70</v>
      </c>
      <c r="I4515" s="955">
        <f t="shared" si="26"/>
        <v>42.86</v>
      </c>
    </row>
    <row r="4516" spans="3:9" ht="15.75">
      <c r="C4516" s="951" t="s">
        <v>918</v>
      </c>
      <c r="D4516" s="946"/>
      <c r="E4516" s="947"/>
      <c r="F4516" s="1054"/>
      <c r="G4516" s="946"/>
      <c r="H4516" s="1031"/>
      <c r="I4516" s="952">
        <f>SUM(I4513:I4515)</f>
        <v>453.57</v>
      </c>
    </row>
    <row r="4517" spans="3:9" ht="15.75">
      <c r="C4517" s="949"/>
      <c r="D4517" s="946"/>
      <c r="E4517" s="947"/>
      <c r="F4517" s="1054"/>
      <c r="G4517" s="946"/>
      <c r="H4517" s="1031"/>
      <c r="I4517" s="948"/>
    </row>
    <row r="4518" spans="3:9" ht="15.75">
      <c r="C4518" s="945" t="s">
        <v>925</v>
      </c>
      <c r="D4518" s="946"/>
      <c r="E4518" s="947"/>
      <c r="F4518" s="1054"/>
      <c r="G4518" s="946"/>
      <c r="H4518" s="1031"/>
      <c r="I4518" s="948"/>
    </row>
    <row r="4519" spans="3:9" ht="15.75">
      <c r="C4519" s="949" t="s">
        <v>924</v>
      </c>
      <c r="D4519" s="946">
        <f>+I4516</f>
        <v>453.57</v>
      </c>
      <c r="E4519" s="947" t="str">
        <f>+VLOOKUP(C4519,'Basic (equilibrio) (2)'!B:D,2,FALSE)</f>
        <v>n/a</v>
      </c>
      <c r="F4519" s="1054">
        <f>+VLOOKUP(C4519,'Basic (equilibrio) (2)'!B:D,3,FALSE)</f>
        <v>0</v>
      </c>
      <c r="G4519" s="946"/>
      <c r="H4519" s="1031"/>
      <c r="I4519" s="948">
        <f>D4519*F4519</f>
        <v>0</v>
      </c>
    </row>
    <row r="4520" spans="3:9" ht="15.75">
      <c r="C4520" s="951" t="s">
        <v>918</v>
      </c>
      <c r="D4520" s="946"/>
      <c r="E4520" s="947"/>
      <c r="F4520" s="1054"/>
      <c r="G4520" s="946"/>
      <c r="H4520" s="1031"/>
      <c r="I4520" s="952">
        <f>SUM(I4519)</f>
        <v>0</v>
      </c>
    </row>
    <row r="4521" spans="3:9" ht="15.75">
      <c r="C4521" s="951"/>
      <c r="D4521" s="946"/>
      <c r="E4521" s="947"/>
      <c r="F4521" s="1054"/>
      <c r="G4521" s="946"/>
      <c r="H4521" s="1031"/>
      <c r="I4521" s="952"/>
    </row>
    <row r="4522" spans="3:9" ht="15.75">
      <c r="C4522" s="956" t="s">
        <v>926</v>
      </c>
      <c r="D4522" s="957"/>
      <c r="E4522" s="958"/>
      <c r="F4522" s="1069"/>
      <c r="G4522" s="957"/>
      <c r="H4522" s="1032"/>
      <c r="I4522" s="959">
        <f>+I4506</f>
        <v>0</v>
      </c>
    </row>
    <row r="4523" spans="3:9" ht="15.75">
      <c r="C4523" s="956" t="s">
        <v>927</v>
      </c>
      <c r="D4523" s="957"/>
      <c r="E4523" s="958"/>
      <c r="F4523" s="1069"/>
      <c r="G4523" s="957"/>
      <c r="H4523" s="1032"/>
      <c r="I4523" s="959">
        <f>+I4510</f>
        <v>1.67</v>
      </c>
    </row>
    <row r="4524" spans="3:9" ht="15.75">
      <c r="C4524" s="956" t="s">
        <v>928</v>
      </c>
      <c r="D4524" s="957"/>
      <c r="E4524" s="958"/>
      <c r="F4524" s="1069"/>
      <c r="G4524" s="957"/>
      <c r="H4524" s="1032"/>
      <c r="I4524" s="959">
        <f>+I4516</f>
        <v>453.57</v>
      </c>
    </row>
    <row r="4525" spans="3:9" ht="15.75">
      <c r="C4525" s="956" t="s">
        <v>929</v>
      </c>
      <c r="D4525" s="957"/>
      <c r="E4525" s="958"/>
      <c r="F4525" s="1069"/>
      <c r="G4525" s="957"/>
      <c r="H4525" s="1032"/>
      <c r="I4525" s="959">
        <f>+I4520</f>
        <v>0</v>
      </c>
    </row>
    <row r="4526" spans="3:9" ht="15.75">
      <c r="C4526" s="949"/>
      <c r="D4526" s="946"/>
      <c r="E4526" s="947"/>
      <c r="F4526" s="1054"/>
      <c r="G4526" s="946"/>
      <c r="H4526" s="1031"/>
      <c r="I4526" s="948"/>
    </row>
    <row r="4527" spans="3:9" ht="15.75">
      <c r="C4527" s="949"/>
      <c r="D4527" s="946"/>
      <c r="E4527" s="947"/>
      <c r="F4527" s="1054"/>
      <c r="G4527" s="946"/>
      <c r="H4527" s="1031"/>
      <c r="I4527" s="948"/>
    </row>
    <row r="4528" spans="3:9" ht="15.75">
      <c r="C4528" s="951" t="s">
        <v>930</v>
      </c>
      <c r="D4528" s="960"/>
      <c r="E4528" s="943" t="str">
        <f>+E4502</f>
        <v>M3E</v>
      </c>
      <c r="F4528" s="1070"/>
      <c r="G4528" s="960"/>
      <c r="H4528" s="1033"/>
      <c r="I4528" s="952">
        <f>SUM(I4522:I4525)</f>
        <v>455.24</v>
      </c>
    </row>
    <row r="4529" spans="2:9" ht="15.75">
      <c r="C4529" s="951"/>
      <c r="D4529" s="960"/>
      <c r="E4529" s="943"/>
      <c r="F4529" s="1070"/>
      <c r="G4529" s="960"/>
      <c r="H4529" s="1033"/>
      <c r="I4529" s="952"/>
    </row>
    <row r="4530" spans="2:9" ht="15.75">
      <c r="B4530" s="1026">
        <v>3.1</v>
      </c>
      <c r="C4530" s="937" t="str">
        <f>+Presupuesto!B294</f>
        <v>Zapata de muro de 6" (0.45m x 0.25m)</v>
      </c>
      <c r="D4530" s="938"/>
      <c r="E4530" s="962" t="s">
        <v>22</v>
      </c>
      <c r="F4530" s="1066"/>
      <c r="G4530" s="938"/>
      <c r="H4530" s="1029"/>
      <c r="I4530" s="940">
        <f>I4556</f>
        <v>10147.31</v>
      </c>
    </row>
    <row r="4531" spans="2:9" ht="15.75">
      <c r="C4531" s="941" t="s">
        <v>908</v>
      </c>
      <c r="D4531" s="942" t="s">
        <v>9</v>
      </c>
      <c r="E4531" s="943" t="s">
        <v>10</v>
      </c>
      <c r="F4531" s="1067" t="s">
        <v>909</v>
      </c>
      <c r="G4531" s="942" t="s">
        <v>910</v>
      </c>
      <c r="H4531" s="1030" t="s">
        <v>911</v>
      </c>
      <c r="I4531" s="944" t="s">
        <v>912</v>
      </c>
    </row>
    <row r="4532" spans="2:9" ht="15.75">
      <c r="C4532" s="945" t="s">
        <v>913</v>
      </c>
      <c r="D4532" s="946"/>
      <c r="E4532" s="947"/>
      <c r="F4532" s="1054"/>
      <c r="G4532" s="946"/>
      <c r="H4532" s="1031"/>
      <c r="I4532" s="948"/>
    </row>
    <row r="4533" spans="2:9" ht="15.75">
      <c r="C4533" s="949" t="s">
        <v>994</v>
      </c>
      <c r="D4533" s="946">
        <v>1.02</v>
      </c>
      <c r="E4533" s="947" t="str">
        <f>+VLOOKUP(C4533,'Basic (equilibrio) (2)'!B:D,2,FALSE)</f>
        <v>m3</v>
      </c>
      <c r="F4533" s="1068">
        <f>'Basic (equilibrio) (2)'!$D$179</f>
        <v>7600</v>
      </c>
      <c r="G4533" s="946">
        <f>F4533-(F4533/1.18)</f>
        <v>1159.32</v>
      </c>
      <c r="H4533" s="1031"/>
      <c r="I4533" s="948">
        <f>D4533*F4533</f>
        <v>7752</v>
      </c>
    </row>
    <row r="4534" spans="2:9" ht="15.75">
      <c r="C4534" s="949" t="s">
        <v>1188</v>
      </c>
      <c r="D4534" s="946">
        <v>0.65</v>
      </c>
      <c r="E4534" s="947" t="str">
        <f>+VLOOKUP(C4534,'Basic (equilibrio) (2)'!B:D,2,FALSE)</f>
        <v>qq</v>
      </c>
      <c r="F4534" s="1068">
        <f>'Basic (equilibrio) (2)'!$D$183</f>
        <v>3600</v>
      </c>
      <c r="G4534" s="946">
        <f>F4534-(F4534/1.18)</f>
        <v>549.15</v>
      </c>
      <c r="H4534" s="1031"/>
      <c r="I4534" s="948">
        <f>D4534*F4534</f>
        <v>2340</v>
      </c>
    </row>
    <row r="4535" spans="2:9" ht="15.75">
      <c r="C4535" s="949" t="s">
        <v>1328</v>
      </c>
      <c r="D4535" s="946">
        <v>1.3</v>
      </c>
      <c r="E4535" s="947" t="str">
        <f>+VLOOKUP(C4535,'Basic (equilibrio) (2)'!B:D,2,FALSE)</f>
        <v>lb</v>
      </c>
      <c r="F4535" s="1068">
        <f>'Basic (equilibrio) (2)'!$D$334</f>
        <v>31.1</v>
      </c>
      <c r="G4535" s="946">
        <f>F4535-(F4535/1.18)</f>
        <v>4.74</v>
      </c>
      <c r="H4535" s="1031"/>
      <c r="I4535" s="948">
        <f>D4535*F4535</f>
        <v>40.43</v>
      </c>
    </row>
    <row r="4536" spans="2:9" ht="15.75">
      <c r="C4536" s="951" t="s">
        <v>918</v>
      </c>
      <c r="D4536" s="946"/>
      <c r="E4536" s="947"/>
      <c r="F4536" s="1068"/>
      <c r="G4536" s="946"/>
      <c r="H4536" s="1031"/>
      <c r="I4536" s="952">
        <f>SUM(I4533:I4535)</f>
        <v>10132.43</v>
      </c>
    </row>
    <row r="4537" spans="2:9" ht="15.75">
      <c r="C4537" s="949"/>
      <c r="D4537" s="946"/>
      <c r="E4537" s="947"/>
      <c r="F4537" s="1068"/>
      <c r="G4537" s="946"/>
      <c r="H4537" s="1031"/>
      <c r="I4537" s="948"/>
    </row>
    <row r="4538" spans="2:9" ht="15.75">
      <c r="C4538" s="945" t="s">
        <v>919</v>
      </c>
      <c r="D4538" s="946"/>
      <c r="E4538" s="947"/>
      <c r="F4538" s="1068"/>
      <c r="G4538" s="946"/>
      <c r="H4538" s="1031"/>
      <c r="I4538" s="948"/>
    </row>
    <row r="4539" spans="2:9" ht="15.75">
      <c r="C4539" s="949" t="s">
        <v>1067</v>
      </c>
      <c r="D4539" s="953">
        <v>8.33</v>
      </c>
      <c r="E4539" s="954" t="str">
        <f>+VLOOKUP(C4539,'Basic (equilibrio) (2)'!B:D,2,FALSE)</f>
        <v>ml</v>
      </c>
      <c r="F4539" s="1068">
        <f>'Basic (equilibrio) (2)'!$D$21</f>
        <v>125</v>
      </c>
      <c r="G4539" s="946">
        <v>0</v>
      </c>
      <c r="H4539" s="1031">
        <v>70</v>
      </c>
      <c r="I4539" s="948">
        <f>(D4539*F4539)/H4539</f>
        <v>14.88</v>
      </c>
    </row>
    <row r="4540" spans="2:9" ht="15.75">
      <c r="C4540" s="951" t="s">
        <v>918</v>
      </c>
      <c r="D4540" s="946"/>
      <c r="E4540" s="947"/>
      <c r="F4540" s="1054"/>
      <c r="G4540" s="946"/>
      <c r="H4540" s="1031"/>
      <c r="I4540" s="952">
        <f>SUM(I4539:I4539)</f>
        <v>14.88</v>
      </c>
    </row>
    <row r="4541" spans="2:9" ht="15.75">
      <c r="C4541" s="949"/>
      <c r="D4541" s="946"/>
      <c r="E4541" s="947"/>
      <c r="F4541" s="1054"/>
      <c r="G4541" s="946"/>
      <c r="H4541" s="1031"/>
      <c r="I4541" s="948"/>
    </row>
    <row r="4542" spans="2:9" ht="15.75">
      <c r="C4542" s="945" t="s">
        <v>923</v>
      </c>
      <c r="D4542" s="946"/>
      <c r="E4542" s="947"/>
      <c r="F4542" s="1054"/>
      <c r="G4542" s="946"/>
      <c r="H4542" s="1031"/>
      <c r="I4542" s="948"/>
    </row>
    <row r="4543" spans="2:9" ht="15.75">
      <c r="C4543" s="949" t="s">
        <v>924</v>
      </c>
      <c r="D4543" s="946"/>
      <c r="E4543" s="947" t="str">
        <f>+VLOOKUP(C4543,'Basic (equilibrio) (2)'!B:D,2,FALSE)</f>
        <v>n/a</v>
      </c>
      <c r="F4543" s="1054">
        <f>+VLOOKUP(C4543,'Basic (equilibrio) (2)'!B:D,3,FALSE)</f>
        <v>0</v>
      </c>
      <c r="G4543" s="946">
        <f>F4543-(F4543/1.18)</f>
        <v>0</v>
      </c>
      <c r="H4543" s="1039"/>
      <c r="I4543" s="955">
        <f>D4543*F4543</f>
        <v>0</v>
      </c>
    </row>
    <row r="4544" spans="2:9" ht="15.75">
      <c r="C4544" s="951" t="s">
        <v>918</v>
      </c>
      <c r="D4544" s="946"/>
      <c r="E4544" s="947"/>
      <c r="F4544" s="1054"/>
      <c r="G4544" s="946"/>
      <c r="H4544" s="1031"/>
      <c r="I4544" s="952">
        <f>SUM(I4543:I4543)</f>
        <v>0</v>
      </c>
    </row>
    <row r="4545" spans="2:9" ht="15.75">
      <c r="C4545" s="949"/>
      <c r="D4545" s="946"/>
      <c r="E4545" s="947"/>
      <c r="F4545" s="1054"/>
      <c r="G4545" s="946"/>
      <c r="H4545" s="1031"/>
      <c r="I4545" s="948"/>
    </row>
    <row r="4546" spans="2:9" ht="15.75">
      <c r="C4546" s="945" t="s">
        <v>925</v>
      </c>
      <c r="D4546" s="946"/>
      <c r="E4546" s="947"/>
      <c r="F4546" s="1054"/>
      <c r="G4546" s="946"/>
      <c r="H4546" s="1031"/>
      <c r="I4546" s="948"/>
    </row>
    <row r="4547" spans="2:9" ht="15.75">
      <c r="C4547" s="949" t="s">
        <v>924</v>
      </c>
      <c r="D4547" s="946"/>
      <c r="E4547" s="947" t="str">
        <f>+VLOOKUP(C4547,'Basic (equilibrio) (2)'!B:D,2,FALSE)</f>
        <v>n/a</v>
      </c>
      <c r="F4547" s="1054">
        <f>+VLOOKUP(C4547,'Basic (equilibrio) (2)'!B:D,3,FALSE)</f>
        <v>0</v>
      </c>
      <c r="G4547" s="946"/>
      <c r="H4547" s="1031"/>
      <c r="I4547" s="948">
        <f>D4547*F4547</f>
        <v>0</v>
      </c>
    </row>
    <row r="4548" spans="2:9" ht="15.75">
      <c r="C4548" s="951" t="s">
        <v>918</v>
      </c>
      <c r="D4548" s="946"/>
      <c r="E4548" s="947"/>
      <c r="F4548" s="1054"/>
      <c r="G4548" s="946"/>
      <c r="H4548" s="1031"/>
      <c r="I4548" s="952">
        <f>SUM(I4547)</f>
        <v>0</v>
      </c>
    </row>
    <row r="4549" spans="2:9" ht="15.75">
      <c r="C4549" s="951"/>
      <c r="D4549" s="946"/>
      <c r="E4549" s="947"/>
      <c r="F4549" s="1054"/>
      <c r="G4549" s="946"/>
      <c r="H4549" s="1031"/>
      <c r="I4549" s="952"/>
    </row>
    <row r="4550" spans="2:9" ht="15.75">
      <c r="C4550" s="956" t="s">
        <v>926</v>
      </c>
      <c r="D4550" s="957"/>
      <c r="E4550" s="958"/>
      <c r="F4550" s="1069"/>
      <c r="G4550" s="957"/>
      <c r="H4550" s="1032"/>
      <c r="I4550" s="959">
        <f>+I4536</f>
        <v>10132.43</v>
      </c>
    </row>
    <row r="4551" spans="2:9" ht="15.75">
      <c r="C4551" s="956" t="s">
        <v>927</v>
      </c>
      <c r="D4551" s="957"/>
      <c r="E4551" s="958"/>
      <c r="F4551" s="1069"/>
      <c r="G4551" s="957"/>
      <c r="H4551" s="1032"/>
      <c r="I4551" s="959">
        <f>+I4540</f>
        <v>14.88</v>
      </c>
    </row>
    <row r="4552" spans="2:9" ht="15.75">
      <c r="C4552" s="956" t="s">
        <v>928</v>
      </c>
      <c r="D4552" s="957"/>
      <c r="E4552" s="958"/>
      <c r="F4552" s="1069"/>
      <c r="G4552" s="957"/>
      <c r="H4552" s="1032"/>
      <c r="I4552" s="959">
        <f>+I4544</f>
        <v>0</v>
      </c>
    </row>
    <row r="4553" spans="2:9" ht="15.75">
      <c r="C4553" s="956" t="s">
        <v>929</v>
      </c>
      <c r="D4553" s="957"/>
      <c r="E4553" s="958"/>
      <c r="F4553" s="1069"/>
      <c r="G4553" s="957"/>
      <c r="H4553" s="1032"/>
      <c r="I4553" s="959">
        <f>+I4548</f>
        <v>0</v>
      </c>
    </row>
    <row r="4554" spans="2:9" ht="15.75">
      <c r="C4554" s="949"/>
      <c r="D4554" s="946"/>
      <c r="E4554" s="947"/>
      <c r="F4554" s="1054"/>
      <c r="G4554" s="946"/>
      <c r="H4554" s="1031"/>
      <c r="I4554" s="948"/>
    </row>
    <row r="4555" spans="2:9" ht="15.75">
      <c r="C4555" s="949"/>
      <c r="D4555" s="946"/>
      <c r="E4555" s="947"/>
      <c r="F4555" s="1054"/>
      <c r="G4555" s="946"/>
      <c r="H4555" s="1031"/>
      <c r="I4555" s="948"/>
    </row>
    <row r="4556" spans="2:9" ht="15.75">
      <c r="C4556" s="951" t="s">
        <v>930</v>
      </c>
      <c r="D4556" s="960"/>
      <c r="E4556" s="943" t="str">
        <f>+E4530</f>
        <v>M3</v>
      </c>
      <c r="F4556" s="1070"/>
      <c r="G4556" s="960"/>
      <c r="H4556" s="1033"/>
      <c r="I4556" s="952">
        <f>SUM(I4550:I4553)</f>
        <v>10147.31</v>
      </c>
    </row>
    <row r="4557" spans="2:9" ht="15.75">
      <c r="C4557" s="951"/>
      <c r="D4557" s="960"/>
      <c r="E4557" s="943"/>
      <c r="F4557" s="1070"/>
      <c r="G4557" s="960"/>
      <c r="H4557" s="1033"/>
      <c r="I4557" s="952"/>
    </row>
    <row r="4558" spans="2:9" ht="15.75">
      <c r="B4558" s="1026">
        <v>3.2</v>
      </c>
      <c r="C4558" s="937" t="str">
        <f>+Presupuesto!B295</f>
        <v>Viga V1</v>
      </c>
      <c r="D4558" s="938"/>
      <c r="E4558" s="962" t="s">
        <v>22</v>
      </c>
      <c r="F4558" s="1066"/>
      <c r="G4558" s="938"/>
      <c r="H4558" s="1029"/>
      <c r="I4558" s="940">
        <f>I4585</f>
        <v>26980.560000000001</v>
      </c>
    </row>
    <row r="4559" spans="2:9" ht="15.75">
      <c r="C4559" s="941" t="s">
        <v>908</v>
      </c>
      <c r="D4559" s="942" t="s">
        <v>9</v>
      </c>
      <c r="E4559" s="943" t="s">
        <v>10</v>
      </c>
      <c r="F4559" s="1067" t="s">
        <v>909</v>
      </c>
      <c r="G4559" s="942" t="s">
        <v>910</v>
      </c>
      <c r="H4559" s="1030" t="s">
        <v>911</v>
      </c>
      <c r="I4559" s="944" t="s">
        <v>912</v>
      </c>
    </row>
    <row r="4560" spans="2:9" ht="15.75">
      <c r="C4560" s="945" t="s">
        <v>913</v>
      </c>
      <c r="D4560" s="946"/>
      <c r="E4560" s="947"/>
      <c r="F4560" s="1054"/>
      <c r="G4560" s="946"/>
      <c r="H4560" s="1031"/>
      <c r="I4560" s="948"/>
    </row>
    <row r="4561" spans="3:9" ht="15.75">
      <c r="C4561" s="949" t="s">
        <v>994</v>
      </c>
      <c r="D4561" s="946">
        <v>1.05</v>
      </c>
      <c r="E4561" s="947" t="str">
        <f>+VLOOKUP(C4561,'Basic (equilibrio) (2)'!B:D,2,FALSE)</f>
        <v>m3</v>
      </c>
      <c r="F4561" s="1068">
        <f>'Basic (equilibrio) (2)'!$D$179</f>
        <v>7600</v>
      </c>
      <c r="G4561" s="946">
        <f>F4561-(F4561/1.18)</f>
        <v>1159.32</v>
      </c>
      <c r="H4561" s="1031"/>
      <c r="I4561" s="948">
        <f>D4561*F4561</f>
        <v>7980</v>
      </c>
    </row>
    <row r="4562" spans="3:9" ht="15.75">
      <c r="C4562" s="949" t="s">
        <v>1188</v>
      </c>
      <c r="D4562" s="946">
        <v>2.78</v>
      </c>
      <c r="E4562" s="947" t="str">
        <f>+VLOOKUP(C4562,'Basic (equilibrio) (2)'!B:D,2,FALSE)</f>
        <v>qq</v>
      </c>
      <c r="F4562" s="1068">
        <f>'Basic (equilibrio) (2)'!$D$183</f>
        <v>3600</v>
      </c>
      <c r="G4562" s="946">
        <f>F4562-(F4562/1.18)</f>
        <v>549.15</v>
      </c>
      <c r="H4562" s="1031"/>
      <c r="I4562" s="948">
        <f>D4562*F4562</f>
        <v>10008</v>
      </c>
    </row>
    <row r="4563" spans="3:9" ht="15.75">
      <c r="C4563" s="949" t="s">
        <v>1328</v>
      </c>
      <c r="D4563" s="946">
        <v>5.56</v>
      </c>
      <c r="E4563" s="947" t="str">
        <f>+VLOOKUP(C4563,'Basic (equilibrio) (2)'!B:D,2,FALSE)</f>
        <v>lb</v>
      </c>
      <c r="F4563" s="1068">
        <f>'Basic (equilibrio) (2)'!$D$334</f>
        <v>31.1</v>
      </c>
      <c r="G4563" s="946">
        <f>F4563-(F4563/1.18)</f>
        <v>4.74</v>
      </c>
      <c r="H4563" s="1031"/>
      <c r="I4563" s="948">
        <f>D4563*F4563</f>
        <v>172.92</v>
      </c>
    </row>
    <row r="4564" spans="3:9" ht="15.75">
      <c r="C4564" s="949" t="s">
        <v>1072</v>
      </c>
      <c r="D4564" s="946">
        <v>25</v>
      </c>
      <c r="E4564" s="947" t="str">
        <f>+VLOOKUP(C4564,'Basic (equilibrio) (2)'!B:D,2,FALSE)</f>
        <v>ml</v>
      </c>
      <c r="F4564" s="1068">
        <f>'Basic (equilibrio) (2)'!$D$22</f>
        <v>351</v>
      </c>
      <c r="G4564" s="946">
        <f>F4564-(F4564/1.18)</f>
        <v>53.54</v>
      </c>
      <c r="H4564" s="1031"/>
      <c r="I4564" s="948">
        <f>D4564*F4564</f>
        <v>8775</v>
      </c>
    </row>
    <row r="4565" spans="3:9" ht="15.75">
      <c r="C4565" s="951" t="s">
        <v>918</v>
      </c>
      <c r="D4565" s="946"/>
      <c r="E4565" s="947"/>
      <c r="F4565" s="1068"/>
      <c r="G4565" s="946"/>
      <c r="H4565" s="1031"/>
      <c r="I4565" s="952">
        <f>SUM(I4561:I4564)</f>
        <v>26935.919999999998</v>
      </c>
    </row>
    <row r="4566" spans="3:9" ht="15.75">
      <c r="C4566" s="949"/>
      <c r="D4566" s="946"/>
      <c r="E4566" s="947"/>
      <c r="F4566" s="1068"/>
      <c r="G4566" s="946"/>
      <c r="H4566" s="1031"/>
      <c r="I4566" s="948"/>
    </row>
    <row r="4567" spans="3:9" ht="15.75">
      <c r="C4567" s="945" t="s">
        <v>919</v>
      </c>
      <c r="D4567" s="946"/>
      <c r="E4567" s="947"/>
      <c r="F4567" s="1068"/>
      <c r="G4567" s="946"/>
      <c r="H4567" s="1031"/>
      <c r="I4567" s="948"/>
    </row>
    <row r="4568" spans="3:9" ht="15.75">
      <c r="C4568" s="949" t="s">
        <v>1073</v>
      </c>
      <c r="D4568" s="953">
        <v>25</v>
      </c>
      <c r="E4568" s="954" t="str">
        <f>+VLOOKUP(C4568,'Basic (equilibrio) (2)'!B:D,2,FALSE)</f>
        <v>ml</v>
      </c>
      <c r="F4568" s="1068">
        <f>'Basic (equilibrio) (2)'!$D$25</f>
        <v>125</v>
      </c>
      <c r="G4568" s="946">
        <v>0</v>
      </c>
      <c r="H4568" s="1031">
        <v>70</v>
      </c>
      <c r="I4568" s="948">
        <f>(D4568*F4568)/H4568</f>
        <v>44.64</v>
      </c>
    </row>
    <row r="4569" spans="3:9" ht="15.75">
      <c r="C4569" s="951" t="s">
        <v>918</v>
      </c>
      <c r="D4569" s="946"/>
      <c r="E4569" s="947"/>
      <c r="F4569" s="1054"/>
      <c r="G4569" s="946"/>
      <c r="H4569" s="1031"/>
      <c r="I4569" s="952">
        <f>SUM(I4568:I4568)</f>
        <v>44.64</v>
      </c>
    </row>
    <row r="4570" spans="3:9" ht="15.75">
      <c r="C4570" s="949"/>
      <c r="D4570" s="946"/>
      <c r="E4570" s="947"/>
      <c r="F4570" s="1054"/>
      <c r="G4570" s="946"/>
      <c r="H4570" s="1031"/>
      <c r="I4570" s="948"/>
    </row>
    <row r="4571" spans="3:9" ht="15.75">
      <c r="C4571" s="945" t="s">
        <v>923</v>
      </c>
      <c r="D4571" s="946"/>
      <c r="E4571" s="947"/>
      <c r="F4571" s="1054"/>
      <c r="G4571" s="946"/>
      <c r="H4571" s="1031"/>
      <c r="I4571" s="948"/>
    </row>
    <row r="4572" spans="3:9" ht="15.75">
      <c r="C4572" s="949" t="s">
        <v>924</v>
      </c>
      <c r="D4572" s="946"/>
      <c r="E4572" s="947" t="str">
        <f>+VLOOKUP(C4572,'Basic (equilibrio) (2)'!B:D,2,FALSE)</f>
        <v>n/a</v>
      </c>
      <c r="F4572" s="1054">
        <f>+VLOOKUP(C4572,'Basic (equilibrio) (2)'!B:D,3,FALSE)</f>
        <v>0</v>
      </c>
      <c r="G4572" s="946">
        <f>F4572-(F4572/1.18)</f>
        <v>0</v>
      </c>
      <c r="H4572" s="1039"/>
      <c r="I4572" s="955">
        <f>D4572*F4572</f>
        <v>0</v>
      </c>
    </row>
    <row r="4573" spans="3:9" ht="15.75">
      <c r="C4573" s="951" t="s">
        <v>918</v>
      </c>
      <c r="D4573" s="946"/>
      <c r="E4573" s="947"/>
      <c r="F4573" s="1054"/>
      <c r="G4573" s="946"/>
      <c r="H4573" s="1031"/>
      <c r="I4573" s="952">
        <f>SUM(I4572:I4572)</f>
        <v>0</v>
      </c>
    </row>
    <row r="4574" spans="3:9" ht="15.75">
      <c r="C4574" s="949"/>
      <c r="D4574" s="946"/>
      <c r="E4574" s="947"/>
      <c r="F4574" s="1054"/>
      <c r="G4574" s="946"/>
      <c r="H4574" s="1031"/>
      <c r="I4574" s="948"/>
    </row>
    <row r="4575" spans="3:9" ht="15.75">
      <c r="C4575" s="945" t="s">
        <v>925</v>
      </c>
      <c r="D4575" s="946"/>
      <c r="E4575" s="947"/>
      <c r="F4575" s="1054"/>
      <c r="G4575" s="946"/>
      <c r="H4575" s="1031"/>
      <c r="I4575" s="948"/>
    </row>
    <row r="4576" spans="3:9" ht="15.75">
      <c r="C4576" s="949" t="s">
        <v>924</v>
      </c>
      <c r="D4576" s="946"/>
      <c r="E4576" s="947" t="str">
        <f>+VLOOKUP(C4576,'Basic (equilibrio) (2)'!B:D,2,FALSE)</f>
        <v>n/a</v>
      </c>
      <c r="F4576" s="1054">
        <f>+VLOOKUP(C4576,'Basic (equilibrio) (2)'!B:D,3,FALSE)</f>
        <v>0</v>
      </c>
      <c r="G4576" s="946"/>
      <c r="H4576" s="1031"/>
      <c r="I4576" s="948">
        <f>D4576*F4576</f>
        <v>0</v>
      </c>
    </row>
    <row r="4577" spans="2:9" ht="15.75">
      <c r="C4577" s="951" t="s">
        <v>918</v>
      </c>
      <c r="D4577" s="946"/>
      <c r="E4577" s="947"/>
      <c r="F4577" s="1054"/>
      <c r="G4577" s="946"/>
      <c r="H4577" s="1031"/>
      <c r="I4577" s="952">
        <f>SUM(I4576)</f>
        <v>0</v>
      </c>
    </row>
    <row r="4578" spans="2:9" ht="15.75">
      <c r="C4578" s="951"/>
      <c r="D4578" s="946"/>
      <c r="E4578" s="947"/>
      <c r="F4578" s="1054"/>
      <c r="G4578" s="946"/>
      <c r="H4578" s="1031"/>
      <c r="I4578" s="952"/>
    </row>
    <row r="4579" spans="2:9" ht="15.75">
      <c r="C4579" s="956" t="s">
        <v>926</v>
      </c>
      <c r="D4579" s="957"/>
      <c r="E4579" s="958"/>
      <c r="F4579" s="1069"/>
      <c r="G4579" s="957"/>
      <c r="H4579" s="1032"/>
      <c r="I4579" s="959">
        <f>+I4565</f>
        <v>26935.919999999998</v>
      </c>
    </row>
    <row r="4580" spans="2:9" ht="15.75">
      <c r="C4580" s="956" t="s">
        <v>927</v>
      </c>
      <c r="D4580" s="957"/>
      <c r="E4580" s="958"/>
      <c r="F4580" s="1069"/>
      <c r="G4580" s="957"/>
      <c r="H4580" s="1032"/>
      <c r="I4580" s="959">
        <f>+I4569</f>
        <v>44.64</v>
      </c>
    </row>
    <row r="4581" spans="2:9" ht="15.75">
      <c r="C4581" s="956" t="s">
        <v>928</v>
      </c>
      <c r="D4581" s="957"/>
      <c r="E4581" s="958"/>
      <c r="F4581" s="1069"/>
      <c r="G4581" s="957"/>
      <c r="H4581" s="1032"/>
      <c r="I4581" s="959">
        <f>+I4573</f>
        <v>0</v>
      </c>
    </row>
    <row r="4582" spans="2:9" ht="15.75">
      <c r="C4582" s="956" t="s">
        <v>929</v>
      </c>
      <c r="D4582" s="957"/>
      <c r="E4582" s="958"/>
      <c r="F4582" s="1069"/>
      <c r="G4582" s="957"/>
      <c r="H4582" s="1032"/>
      <c r="I4582" s="959">
        <f>+I4577</f>
        <v>0</v>
      </c>
    </row>
    <row r="4583" spans="2:9" ht="15.75">
      <c r="C4583" s="949"/>
      <c r="D4583" s="946"/>
      <c r="E4583" s="947"/>
      <c r="F4583" s="1054"/>
      <c r="G4583" s="946"/>
      <c r="H4583" s="1031"/>
      <c r="I4583" s="948"/>
    </row>
    <row r="4584" spans="2:9" ht="15.75">
      <c r="C4584" s="949"/>
      <c r="D4584" s="946"/>
      <c r="E4584" s="947"/>
      <c r="F4584" s="1054"/>
      <c r="G4584" s="946"/>
      <c r="H4584" s="1031"/>
      <c r="I4584" s="948"/>
    </row>
    <row r="4585" spans="2:9" ht="15.75">
      <c r="C4585" s="951" t="s">
        <v>930</v>
      </c>
      <c r="D4585" s="960"/>
      <c r="E4585" s="943" t="str">
        <f>+E4558</f>
        <v>M3</v>
      </c>
      <c r="F4585" s="1070"/>
      <c r="G4585" s="960"/>
      <c r="H4585" s="1033"/>
      <c r="I4585" s="952">
        <f>SUM(I4579:I4582)</f>
        <v>26980.560000000001</v>
      </c>
    </row>
    <row r="4586" spans="2:9" ht="15.75">
      <c r="C4586" s="951"/>
      <c r="D4586" s="960"/>
      <c r="E4586" s="943"/>
      <c r="F4586" s="1070"/>
      <c r="G4586" s="960"/>
      <c r="H4586" s="1033"/>
      <c r="I4586" s="952"/>
    </row>
    <row r="4587" spans="2:9" ht="15.75">
      <c r="B4587" s="1026">
        <v>3.3</v>
      </c>
      <c r="C4587" s="937" t="str">
        <f>+Presupuesto!B296</f>
        <v>Losa de asiento e=0.13 m</v>
      </c>
      <c r="D4587" s="938"/>
      <c r="E4587" s="962" t="s">
        <v>22</v>
      </c>
      <c r="F4587" s="1066"/>
      <c r="G4587" s="938"/>
      <c r="H4587" s="1029"/>
      <c r="I4587" s="940">
        <f>I4614</f>
        <v>12026.09</v>
      </c>
    </row>
    <row r="4588" spans="2:9" ht="15.75">
      <c r="C4588" s="941" t="s">
        <v>908</v>
      </c>
      <c r="D4588" s="942" t="s">
        <v>9</v>
      </c>
      <c r="E4588" s="943" t="s">
        <v>10</v>
      </c>
      <c r="F4588" s="1067" t="s">
        <v>909</v>
      </c>
      <c r="G4588" s="942" t="s">
        <v>910</v>
      </c>
      <c r="H4588" s="1030" t="s">
        <v>911</v>
      </c>
      <c r="I4588" s="944" t="s">
        <v>912</v>
      </c>
    </row>
    <row r="4589" spans="2:9" ht="15.75">
      <c r="C4589" s="945" t="s">
        <v>913</v>
      </c>
      <c r="D4589" s="946"/>
      <c r="E4589" s="947"/>
      <c r="F4589" s="1054"/>
      <c r="G4589" s="946"/>
      <c r="H4589" s="1031"/>
      <c r="I4589" s="948"/>
    </row>
    <row r="4590" spans="2:9" ht="15.75">
      <c r="C4590" s="949" t="s">
        <v>994</v>
      </c>
      <c r="D4590" s="946">
        <v>1.02</v>
      </c>
      <c r="E4590" s="947" t="str">
        <f>+VLOOKUP(C4590,'Basic (equilibrio) (2)'!B:D,2,FALSE)</f>
        <v>m3</v>
      </c>
      <c r="F4590" s="1068">
        <f>'Basic (equilibrio) (2)'!$D$179</f>
        <v>7600</v>
      </c>
      <c r="G4590" s="946">
        <f>F4590-(F4590/1.18)</f>
        <v>1159.32</v>
      </c>
      <c r="H4590" s="1031"/>
      <c r="I4590" s="948">
        <f>D4590*F4590</f>
        <v>7752</v>
      </c>
    </row>
    <row r="4591" spans="2:9" ht="15.75">
      <c r="C4591" s="949" t="s">
        <v>956</v>
      </c>
      <c r="D4591" s="946">
        <v>0.11</v>
      </c>
      <c r="E4591" s="947" t="str">
        <f>+VLOOKUP(C4591,'Basic (equilibrio) (2)'!B:D,2,FALSE)</f>
        <v>rollo</v>
      </c>
      <c r="F4591" s="1068">
        <f>'Basic (equilibrio) (2)'!$D$330</f>
        <v>22294</v>
      </c>
      <c r="G4591" s="946">
        <f>F4591-(F4591/1.18)</f>
        <v>3400.78</v>
      </c>
      <c r="H4591" s="1031"/>
      <c r="I4591" s="948">
        <f>D4591*F4591</f>
        <v>2452.34</v>
      </c>
    </row>
    <row r="4592" spans="2:9" ht="15.75">
      <c r="C4592" s="949" t="s">
        <v>1066</v>
      </c>
      <c r="D4592" s="946">
        <v>1.07</v>
      </c>
      <c r="E4592" s="947" t="str">
        <f>+VLOOKUP(C4592,'Basic (equilibrio) (2)'!B:D,2,FALSE)</f>
        <v>ml</v>
      </c>
      <c r="F4592" s="1068">
        <f>'Basic (equilibrio) (2)'!$D$20</f>
        <v>144</v>
      </c>
      <c r="G4592" s="946">
        <f>F4592-(F4592/1.18)</f>
        <v>21.97</v>
      </c>
      <c r="H4592" s="1031"/>
      <c r="I4592" s="948">
        <f>D4592*F4592</f>
        <v>154.08000000000001</v>
      </c>
    </row>
    <row r="4593" spans="3:9" ht="15.75">
      <c r="C4593" s="951" t="s">
        <v>918</v>
      </c>
      <c r="D4593" s="946"/>
      <c r="E4593" s="947"/>
      <c r="F4593" s="1068"/>
      <c r="G4593" s="946"/>
      <c r="H4593" s="1031"/>
      <c r="I4593" s="952">
        <f>SUM(I4590:I4592)</f>
        <v>10358.42</v>
      </c>
    </row>
    <row r="4594" spans="3:9" ht="15.75">
      <c r="C4594" s="949"/>
      <c r="D4594" s="946"/>
      <c r="E4594" s="947"/>
      <c r="F4594" s="1068"/>
      <c r="G4594" s="946"/>
      <c r="H4594" s="1031"/>
      <c r="I4594" s="948"/>
    </row>
    <row r="4595" spans="3:9" ht="15.75">
      <c r="C4595" s="945" t="s">
        <v>919</v>
      </c>
      <c r="D4595" s="946"/>
      <c r="E4595" s="947"/>
      <c r="F4595" s="1068"/>
      <c r="G4595" s="946"/>
      <c r="H4595" s="1031"/>
      <c r="I4595" s="948"/>
    </row>
    <row r="4596" spans="3:9" ht="15.75">
      <c r="C4596" s="949" t="s">
        <v>961</v>
      </c>
      <c r="D4596" s="953">
        <v>8.33</v>
      </c>
      <c r="E4596" s="954" t="str">
        <f>+VLOOKUP(C4596,'Basic (equilibrio) (2)'!B:D,2,FALSE)</f>
        <v>m2</v>
      </c>
      <c r="F4596" s="1068">
        <f>'Basic (equilibrio) (2)'!$D$47</f>
        <v>86.2</v>
      </c>
      <c r="G4596" s="946">
        <v>0</v>
      </c>
      <c r="H4596" s="1031"/>
      <c r="I4596" s="948">
        <f>(D4596*F4596)</f>
        <v>718.05</v>
      </c>
    </row>
    <row r="4597" spans="3:9" ht="15.75">
      <c r="C4597" s="949" t="s">
        <v>1064</v>
      </c>
      <c r="D4597" s="953">
        <v>8.33</v>
      </c>
      <c r="E4597" s="954" t="str">
        <f>+VLOOKUP(C4597,'Basic (equilibrio) (2)'!B:D,2,FALSE)</f>
        <v>m2</v>
      </c>
      <c r="F4597" s="1068">
        <f>'Basic (equilibrio) (2)'!$D$19</f>
        <v>114</v>
      </c>
      <c r="G4597" s="946">
        <v>0</v>
      </c>
      <c r="H4597" s="1031"/>
      <c r="I4597" s="948">
        <f>(D4597*F4597)</f>
        <v>949.62</v>
      </c>
    </row>
    <row r="4598" spans="3:9" ht="15.75">
      <c r="C4598" s="951" t="s">
        <v>918</v>
      </c>
      <c r="D4598" s="946"/>
      <c r="E4598" s="947"/>
      <c r="F4598" s="1054"/>
      <c r="G4598" s="946"/>
      <c r="H4598" s="1031"/>
      <c r="I4598" s="952">
        <f>SUM(I4596:I4597)</f>
        <v>1667.67</v>
      </c>
    </row>
    <row r="4599" spans="3:9" ht="15.75">
      <c r="C4599" s="949"/>
      <c r="D4599" s="946"/>
      <c r="E4599" s="947"/>
      <c r="F4599" s="1054"/>
      <c r="G4599" s="946"/>
      <c r="H4599" s="1031"/>
      <c r="I4599" s="948"/>
    </row>
    <row r="4600" spans="3:9" ht="15.75">
      <c r="C4600" s="945" t="s">
        <v>923</v>
      </c>
      <c r="D4600" s="946"/>
      <c r="E4600" s="947"/>
      <c r="F4600" s="1054"/>
      <c r="G4600" s="946"/>
      <c r="H4600" s="1031"/>
      <c r="I4600" s="948"/>
    </row>
    <row r="4601" spans="3:9" ht="15.75">
      <c r="C4601" s="949" t="s">
        <v>924</v>
      </c>
      <c r="D4601" s="946"/>
      <c r="E4601" s="947" t="str">
        <f>+VLOOKUP(C4601,'Basic (equilibrio) (2)'!B:D,2,FALSE)</f>
        <v>n/a</v>
      </c>
      <c r="F4601" s="1054">
        <f>+VLOOKUP(C4601,'Basic (equilibrio) (2)'!B:D,3,FALSE)</f>
        <v>0</v>
      </c>
      <c r="G4601" s="946">
        <f>F4601-(F4601/1.18)</f>
        <v>0</v>
      </c>
      <c r="H4601" s="1039"/>
      <c r="I4601" s="955">
        <f>D4601*F4601</f>
        <v>0</v>
      </c>
    </row>
    <row r="4602" spans="3:9" ht="15.75">
      <c r="C4602" s="951" t="s">
        <v>918</v>
      </c>
      <c r="D4602" s="946"/>
      <c r="E4602" s="947"/>
      <c r="F4602" s="1054"/>
      <c r="G4602" s="946"/>
      <c r="H4602" s="1031"/>
      <c r="I4602" s="952">
        <f>SUM(I4601:I4601)</f>
        <v>0</v>
      </c>
    </row>
    <row r="4603" spans="3:9" ht="15.75">
      <c r="C4603" s="949"/>
      <c r="D4603" s="946"/>
      <c r="E4603" s="947"/>
      <c r="F4603" s="1054"/>
      <c r="G4603" s="946"/>
      <c r="H4603" s="1031"/>
      <c r="I4603" s="948"/>
    </row>
    <row r="4604" spans="3:9" ht="15.75">
      <c r="C4604" s="945" t="s">
        <v>925</v>
      </c>
      <c r="D4604" s="946"/>
      <c r="E4604" s="947"/>
      <c r="F4604" s="1054"/>
      <c r="G4604" s="946"/>
      <c r="H4604" s="1031"/>
      <c r="I4604" s="948"/>
    </row>
    <row r="4605" spans="3:9" ht="15.75">
      <c r="C4605" s="949" t="s">
        <v>924</v>
      </c>
      <c r="D4605" s="946"/>
      <c r="E4605" s="947" t="str">
        <f>+VLOOKUP(C4605,'Basic (equilibrio) (2)'!B:D,2,FALSE)</f>
        <v>n/a</v>
      </c>
      <c r="F4605" s="1054">
        <f>+VLOOKUP(C4605,'Basic (equilibrio) (2)'!B:D,3,FALSE)</f>
        <v>0</v>
      </c>
      <c r="G4605" s="946"/>
      <c r="H4605" s="1031"/>
      <c r="I4605" s="948">
        <f>D4605*F4605</f>
        <v>0</v>
      </c>
    </row>
    <row r="4606" spans="3:9" ht="15.75">
      <c r="C4606" s="951" t="s">
        <v>918</v>
      </c>
      <c r="D4606" s="946"/>
      <c r="E4606" s="947"/>
      <c r="F4606" s="1054"/>
      <c r="G4606" s="946"/>
      <c r="H4606" s="1031"/>
      <c r="I4606" s="952">
        <f>SUM(I4605)</f>
        <v>0</v>
      </c>
    </row>
    <row r="4607" spans="3:9" ht="15.75">
      <c r="C4607" s="951"/>
      <c r="D4607" s="946"/>
      <c r="E4607" s="947"/>
      <c r="F4607" s="1054"/>
      <c r="G4607" s="946"/>
      <c r="H4607" s="1031"/>
      <c r="I4607" s="952"/>
    </row>
    <row r="4608" spans="3:9" ht="15.75">
      <c r="C4608" s="956" t="s">
        <v>926</v>
      </c>
      <c r="D4608" s="957"/>
      <c r="E4608" s="958"/>
      <c r="F4608" s="1069"/>
      <c r="G4608" s="957"/>
      <c r="H4608" s="1032"/>
      <c r="I4608" s="959">
        <f>+I4593</f>
        <v>10358.42</v>
      </c>
    </row>
    <row r="4609" spans="2:9" ht="15.75">
      <c r="C4609" s="956" t="s">
        <v>927</v>
      </c>
      <c r="D4609" s="957"/>
      <c r="E4609" s="958"/>
      <c r="F4609" s="1069"/>
      <c r="G4609" s="957"/>
      <c r="H4609" s="1032"/>
      <c r="I4609" s="959">
        <f>+I4598</f>
        <v>1667.67</v>
      </c>
    </row>
    <row r="4610" spans="2:9" ht="15.75">
      <c r="C4610" s="956" t="s">
        <v>928</v>
      </c>
      <c r="D4610" s="957"/>
      <c r="E4610" s="958"/>
      <c r="F4610" s="1069"/>
      <c r="G4610" s="957"/>
      <c r="H4610" s="1032"/>
      <c r="I4610" s="959">
        <f>+I4602</f>
        <v>0</v>
      </c>
    </row>
    <row r="4611" spans="2:9" ht="15.75">
      <c r="C4611" s="956" t="s">
        <v>929</v>
      </c>
      <c r="D4611" s="957"/>
      <c r="E4611" s="958"/>
      <c r="F4611" s="1069"/>
      <c r="G4611" s="957"/>
      <c r="H4611" s="1032"/>
      <c r="I4611" s="959">
        <f>+I4606</f>
        <v>0</v>
      </c>
    </row>
    <row r="4612" spans="2:9" ht="15.75">
      <c r="C4612" s="949"/>
      <c r="D4612" s="946"/>
      <c r="E4612" s="947"/>
      <c r="F4612" s="1054"/>
      <c r="G4612" s="946"/>
      <c r="H4612" s="1031"/>
      <c r="I4612" s="948"/>
    </row>
    <row r="4613" spans="2:9" ht="15.75">
      <c r="C4613" s="949"/>
      <c r="D4613" s="946"/>
      <c r="E4613" s="947"/>
      <c r="F4613" s="1054"/>
      <c r="G4613" s="946"/>
      <c r="H4613" s="1031"/>
      <c r="I4613" s="948"/>
    </row>
    <row r="4614" spans="2:9" ht="15.75">
      <c r="C4614" s="951" t="s">
        <v>930</v>
      </c>
      <c r="D4614" s="960"/>
      <c r="E4614" s="943" t="str">
        <f>+E4587</f>
        <v>M3</v>
      </c>
      <c r="F4614" s="1070"/>
      <c r="G4614" s="960"/>
      <c r="H4614" s="1033"/>
      <c r="I4614" s="952">
        <f>SUM(I4608:I4611)</f>
        <v>12026.09</v>
      </c>
    </row>
    <row r="4615" spans="2:9" ht="15.75">
      <c r="C4615" s="951"/>
      <c r="D4615" s="960"/>
      <c r="E4615" s="943"/>
      <c r="F4615" s="1070"/>
      <c r="G4615" s="960"/>
      <c r="H4615" s="1033"/>
      <c r="I4615" s="952"/>
    </row>
    <row r="4616" spans="2:9" ht="15.75">
      <c r="B4616" s="1026">
        <v>4.0999999999999996</v>
      </c>
      <c r="C4616" s="937" t="str">
        <f>+Presupuesto!B299</f>
        <v>Bloque de muro de 6" B.N.P.</v>
      </c>
      <c r="D4616" s="938"/>
      <c r="E4616" s="962" t="s">
        <v>20</v>
      </c>
      <c r="F4616" s="1066"/>
      <c r="G4616" s="938"/>
      <c r="H4616" s="1029"/>
      <c r="I4616" s="940">
        <f>I4647</f>
        <v>1523.06</v>
      </c>
    </row>
    <row r="4617" spans="2:9" ht="15.75">
      <c r="C4617" s="941" t="s">
        <v>908</v>
      </c>
      <c r="D4617" s="942" t="s">
        <v>9</v>
      </c>
      <c r="E4617" s="943" t="s">
        <v>10</v>
      </c>
      <c r="F4617" s="1067" t="s">
        <v>909</v>
      </c>
      <c r="G4617" s="942" t="s">
        <v>910</v>
      </c>
      <c r="H4617" s="1030" t="s">
        <v>911</v>
      </c>
      <c r="I4617" s="944" t="s">
        <v>912</v>
      </c>
    </row>
    <row r="4618" spans="2:9" ht="15.75">
      <c r="C4618" s="945" t="s">
        <v>913</v>
      </c>
      <c r="D4618" s="946"/>
      <c r="E4618" s="947"/>
      <c r="F4618" s="1054"/>
      <c r="G4618" s="946"/>
      <c r="H4618" s="1031"/>
      <c r="I4618" s="948"/>
    </row>
    <row r="4619" spans="2:9" ht="15.75">
      <c r="C4619" s="949" t="s">
        <v>1201</v>
      </c>
      <c r="D4619" s="946">
        <v>11.61</v>
      </c>
      <c r="E4619" s="947" t="str">
        <f>+VLOOKUP(C4619,'Basic (equilibrio) (2)'!B:D,2,FALSE)</f>
        <v>ud</v>
      </c>
      <c r="F4619" s="1068">
        <f>'Basic (equilibrio) (2)'!$D$300</f>
        <v>35</v>
      </c>
      <c r="G4619" s="946">
        <f t="shared" ref="G4619:G4624" si="27">F4619-(F4619/1.18)</f>
        <v>5.34</v>
      </c>
      <c r="H4619" s="1031"/>
      <c r="I4619" s="948">
        <f t="shared" ref="I4619:I4624" si="28">D4619*F4619</f>
        <v>406.35</v>
      </c>
    </row>
    <row r="4620" spans="2:9" ht="15.75">
      <c r="C4620" s="949" t="s">
        <v>1203</v>
      </c>
      <c r="D4620" s="946">
        <v>11.61</v>
      </c>
      <c r="E4620" s="947" t="str">
        <f>+VLOOKUP(C4620,'Basic (equilibrio) (2)'!B:D,2,FALSE)</f>
        <v>ud</v>
      </c>
      <c r="F4620" s="1068">
        <f>'Basic (equilibrio) (2)'!$D$303</f>
        <v>3.3</v>
      </c>
      <c r="G4620" s="946">
        <f t="shared" si="27"/>
        <v>0.5</v>
      </c>
      <c r="H4620" s="1031"/>
      <c r="I4620" s="948">
        <f t="shared" si="28"/>
        <v>38.31</v>
      </c>
    </row>
    <row r="4621" spans="2:9" ht="15.75">
      <c r="C4621" s="949" t="s">
        <v>1204</v>
      </c>
      <c r="D4621" s="946">
        <v>0.04</v>
      </c>
      <c r="E4621" s="947" t="str">
        <f>+VLOOKUP(C4621,'Basic (equilibrio) (2)'!B:D,2,FALSE)</f>
        <v>m3</v>
      </c>
      <c r="F4621" s="1068">
        <f>'Basic (equilibrio) (2)'!$D$307</f>
        <v>6174</v>
      </c>
      <c r="G4621" s="946">
        <f t="shared" si="27"/>
        <v>941.8</v>
      </c>
      <c r="H4621" s="1031"/>
      <c r="I4621" s="948">
        <f t="shared" si="28"/>
        <v>246.96</v>
      </c>
    </row>
    <row r="4622" spans="2:9" ht="15.75">
      <c r="C4622" s="949" t="s">
        <v>1205</v>
      </c>
      <c r="D4622" s="946">
        <v>0.04</v>
      </c>
      <c r="E4622" s="947" t="str">
        <f>+VLOOKUP(C4622,'Basic (equilibrio) (2)'!B:D,2,FALSE)</f>
        <v>m3</v>
      </c>
      <c r="F4622" s="1068">
        <f>'Basic (equilibrio) (2)'!$D$308</f>
        <v>5985</v>
      </c>
      <c r="G4622" s="946">
        <f t="shared" si="27"/>
        <v>912.97</v>
      </c>
      <c r="H4622" s="1031"/>
      <c r="I4622" s="948">
        <f t="shared" si="28"/>
        <v>239.4</v>
      </c>
    </row>
    <row r="4623" spans="2:9" ht="15.75">
      <c r="C4623" s="949" t="s">
        <v>1188</v>
      </c>
      <c r="D4623" s="946">
        <v>0.08</v>
      </c>
      <c r="E4623" s="947" t="str">
        <f>+VLOOKUP(C4623,'Basic (equilibrio) (2)'!B:D,2,FALSE)</f>
        <v>qq</v>
      </c>
      <c r="F4623" s="1068">
        <f>'Basic (equilibrio) (2)'!$D$183</f>
        <v>3600</v>
      </c>
      <c r="G4623" s="946">
        <f t="shared" si="27"/>
        <v>549.15</v>
      </c>
      <c r="H4623" s="1031"/>
      <c r="I4623" s="948">
        <f t="shared" si="28"/>
        <v>288</v>
      </c>
    </row>
    <row r="4624" spans="2:9" ht="15.75">
      <c r="C4624" s="949" t="s">
        <v>1328</v>
      </c>
      <c r="D4624" s="946">
        <v>7.0000000000000007E-2</v>
      </c>
      <c r="E4624" s="947" t="str">
        <f>+VLOOKUP(C4624,'Basic (equilibrio) (2)'!B:D,2,FALSE)</f>
        <v>lb</v>
      </c>
      <c r="F4624" s="1068">
        <f>'Basic (equilibrio) (2)'!$D$334</f>
        <v>31.1</v>
      </c>
      <c r="G4624" s="946">
        <f t="shared" si="27"/>
        <v>4.74</v>
      </c>
      <c r="H4624" s="1031"/>
      <c r="I4624" s="948">
        <f t="shared" si="28"/>
        <v>2.1800000000000002</v>
      </c>
    </row>
    <row r="4625" spans="3:9" ht="15.75">
      <c r="C4625" s="951" t="s">
        <v>918</v>
      </c>
      <c r="D4625" s="946"/>
      <c r="E4625" s="947"/>
      <c r="F4625" s="1068"/>
      <c r="G4625" s="946"/>
      <c r="H4625" s="1031"/>
      <c r="I4625" s="952">
        <f>SUM(I4619:I4624)</f>
        <v>1221.2</v>
      </c>
    </row>
    <row r="4626" spans="3:9" ht="15.75">
      <c r="C4626" s="949"/>
      <c r="D4626" s="946"/>
      <c r="E4626" s="947"/>
      <c r="F4626" s="1068"/>
      <c r="G4626" s="946"/>
      <c r="H4626" s="1031"/>
      <c r="I4626" s="948"/>
    </row>
    <row r="4627" spans="3:9" ht="15.75">
      <c r="C4627" s="945" t="s">
        <v>919</v>
      </c>
      <c r="D4627" s="946"/>
      <c r="E4627" s="947"/>
      <c r="F4627" s="1068"/>
      <c r="G4627" s="946"/>
      <c r="H4627" s="1031"/>
      <c r="I4627" s="948"/>
    </row>
    <row r="4628" spans="3:9" ht="15.75">
      <c r="C4628" s="949" t="s">
        <v>1074</v>
      </c>
      <c r="D4628" s="953">
        <v>11.61</v>
      </c>
      <c r="E4628" s="954" t="str">
        <f>+VLOOKUP(C4628,'Basic (equilibrio) (2)'!B:D,2,FALSE)</f>
        <v>ud</v>
      </c>
      <c r="F4628" s="1068">
        <f>'Basic (equilibrio) (2)'!$D$26</f>
        <v>1</v>
      </c>
      <c r="G4628" s="946">
        <v>0</v>
      </c>
      <c r="H4628" s="1031"/>
      <c r="I4628" s="948">
        <f>(D4628*F4628)</f>
        <v>11.61</v>
      </c>
    </row>
    <row r="4629" spans="3:9" ht="15.75">
      <c r="C4629" s="949" t="s">
        <v>1075</v>
      </c>
      <c r="D4629" s="953">
        <v>11.61</v>
      </c>
      <c r="E4629" s="954" t="str">
        <f>+VLOOKUP(C4629,'Basic (equilibrio) (2)'!B:D,2,FALSE)</f>
        <v>ud</v>
      </c>
      <c r="F4629" s="1068">
        <f>'Basic (equilibrio) (2)'!$D$27</f>
        <v>3</v>
      </c>
      <c r="G4629" s="946">
        <v>0</v>
      </c>
      <c r="H4629" s="1031"/>
      <c r="I4629" s="948">
        <f>(D4629*F4629)</f>
        <v>34.83</v>
      </c>
    </row>
    <row r="4630" spans="3:9" ht="15.75">
      <c r="C4630" s="949" t="s">
        <v>1077</v>
      </c>
      <c r="D4630" s="953">
        <v>11.61</v>
      </c>
      <c r="E4630" s="954" t="str">
        <f>+VLOOKUP(C4630,'Basic (equilibrio) (2)'!B:D,2,FALSE)</f>
        <v>ud</v>
      </c>
      <c r="F4630" s="1068">
        <f>'Basic (equilibrio) (2)'!$D$29</f>
        <v>22</v>
      </c>
      <c r="G4630" s="946">
        <v>0</v>
      </c>
      <c r="H4630" s="1031"/>
      <c r="I4630" s="948">
        <f>(D4630*F4630)</f>
        <v>255.42</v>
      </c>
    </row>
    <row r="4631" spans="3:9" ht="15.75">
      <c r="C4631" s="951" t="s">
        <v>918</v>
      </c>
      <c r="D4631" s="946"/>
      <c r="E4631" s="947"/>
      <c r="F4631" s="1054"/>
      <c r="G4631" s="946"/>
      <c r="H4631" s="1031"/>
      <c r="I4631" s="952">
        <f>SUM(I4628:I4630)</f>
        <v>301.86</v>
      </c>
    </row>
    <row r="4632" spans="3:9" ht="15.75">
      <c r="C4632" s="949"/>
      <c r="D4632" s="946"/>
      <c r="E4632" s="947"/>
      <c r="F4632" s="1054"/>
      <c r="G4632" s="946"/>
      <c r="H4632" s="1031"/>
      <c r="I4632" s="948"/>
    </row>
    <row r="4633" spans="3:9" ht="15.75">
      <c r="C4633" s="945" t="s">
        <v>923</v>
      </c>
      <c r="D4633" s="946"/>
      <c r="E4633" s="947"/>
      <c r="F4633" s="1054"/>
      <c r="G4633" s="946"/>
      <c r="H4633" s="1031"/>
      <c r="I4633" s="948"/>
    </row>
    <row r="4634" spans="3:9" ht="15.75">
      <c r="C4634" s="949" t="s">
        <v>924</v>
      </c>
      <c r="D4634" s="946"/>
      <c r="E4634" s="947" t="str">
        <f>+VLOOKUP(C4634,'Basic (equilibrio) (2)'!B:D,2,FALSE)</f>
        <v>n/a</v>
      </c>
      <c r="F4634" s="1054">
        <f>+VLOOKUP(C4634,'Basic (equilibrio) (2)'!B:D,3,FALSE)</f>
        <v>0</v>
      </c>
      <c r="G4634" s="946">
        <f>F4634-(F4634/1.18)</f>
        <v>0</v>
      </c>
      <c r="H4634" s="1039"/>
      <c r="I4634" s="955">
        <f>D4634*F4634</f>
        <v>0</v>
      </c>
    </row>
    <row r="4635" spans="3:9" ht="15.75">
      <c r="C4635" s="951" t="s">
        <v>918</v>
      </c>
      <c r="D4635" s="946"/>
      <c r="E4635" s="947"/>
      <c r="F4635" s="1054"/>
      <c r="G4635" s="946"/>
      <c r="H4635" s="1031"/>
      <c r="I4635" s="952">
        <f>SUM(I4634:I4634)</f>
        <v>0</v>
      </c>
    </row>
    <row r="4636" spans="3:9" ht="15.75">
      <c r="C4636" s="949"/>
      <c r="D4636" s="946"/>
      <c r="E4636" s="947"/>
      <c r="F4636" s="1054"/>
      <c r="G4636" s="946"/>
      <c r="H4636" s="1031"/>
      <c r="I4636" s="948"/>
    </row>
    <row r="4637" spans="3:9" ht="15.75">
      <c r="C4637" s="945" t="s">
        <v>925</v>
      </c>
      <c r="D4637" s="946"/>
      <c r="E4637" s="947"/>
      <c r="F4637" s="1054"/>
      <c r="G4637" s="946"/>
      <c r="H4637" s="1031"/>
      <c r="I4637" s="948"/>
    </row>
    <row r="4638" spans="3:9" ht="15.75">
      <c r="C4638" s="949" t="s">
        <v>924</v>
      </c>
      <c r="D4638" s="946"/>
      <c r="E4638" s="947" t="str">
        <f>+VLOOKUP(C4638,'Basic (equilibrio) (2)'!B:D,2,FALSE)</f>
        <v>n/a</v>
      </c>
      <c r="F4638" s="1054">
        <f>+VLOOKUP(C4638,'Basic (equilibrio) (2)'!B:D,3,FALSE)</f>
        <v>0</v>
      </c>
      <c r="G4638" s="946"/>
      <c r="H4638" s="1031"/>
      <c r="I4638" s="948">
        <f>D4638*F4638</f>
        <v>0</v>
      </c>
    </row>
    <row r="4639" spans="3:9" ht="15.75">
      <c r="C4639" s="951" t="s">
        <v>918</v>
      </c>
      <c r="D4639" s="946"/>
      <c r="E4639" s="947"/>
      <c r="F4639" s="1054"/>
      <c r="G4639" s="946"/>
      <c r="H4639" s="1031"/>
      <c r="I4639" s="952">
        <f>SUM(I4638)</f>
        <v>0</v>
      </c>
    </row>
    <row r="4640" spans="3:9" ht="15.75">
      <c r="C4640" s="951"/>
      <c r="D4640" s="946"/>
      <c r="E4640" s="947"/>
      <c r="F4640" s="1054"/>
      <c r="G4640" s="946"/>
      <c r="H4640" s="1031"/>
      <c r="I4640" s="952"/>
    </row>
    <row r="4641" spans="2:9" ht="15.75">
      <c r="C4641" s="956" t="s">
        <v>926</v>
      </c>
      <c r="D4641" s="957"/>
      <c r="E4641" s="958"/>
      <c r="F4641" s="1069"/>
      <c r="G4641" s="957"/>
      <c r="H4641" s="1032"/>
      <c r="I4641" s="959">
        <f>+I4625</f>
        <v>1221.2</v>
      </c>
    </row>
    <row r="4642" spans="2:9" ht="15.75">
      <c r="C4642" s="956" t="s">
        <v>927</v>
      </c>
      <c r="D4642" s="957"/>
      <c r="E4642" s="958"/>
      <c r="F4642" s="1069"/>
      <c r="G4642" s="957"/>
      <c r="H4642" s="1032"/>
      <c r="I4642" s="959">
        <f>+I4631</f>
        <v>301.86</v>
      </c>
    </row>
    <row r="4643" spans="2:9" ht="15.75">
      <c r="C4643" s="956" t="s">
        <v>928</v>
      </c>
      <c r="D4643" s="957"/>
      <c r="E4643" s="958"/>
      <c r="F4643" s="1069"/>
      <c r="G4643" s="957"/>
      <c r="H4643" s="1032"/>
      <c r="I4643" s="959">
        <f>+I4635</f>
        <v>0</v>
      </c>
    </row>
    <row r="4644" spans="2:9" ht="15.75">
      <c r="C4644" s="956" t="s">
        <v>929</v>
      </c>
      <c r="D4644" s="957"/>
      <c r="E4644" s="958"/>
      <c r="F4644" s="1069"/>
      <c r="G4644" s="957"/>
      <c r="H4644" s="1032"/>
      <c r="I4644" s="959">
        <f>+I4639</f>
        <v>0</v>
      </c>
    </row>
    <row r="4645" spans="2:9" ht="15.75">
      <c r="C4645" s="949"/>
      <c r="D4645" s="946"/>
      <c r="E4645" s="947"/>
      <c r="F4645" s="1054"/>
      <c r="G4645" s="946"/>
      <c r="H4645" s="1031"/>
      <c r="I4645" s="948"/>
    </row>
    <row r="4646" spans="2:9" ht="15.75">
      <c r="C4646" s="949"/>
      <c r="D4646" s="946"/>
      <c r="E4646" s="947"/>
      <c r="F4646" s="1054"/>
      <c r="G4646" s="946"/>
      <c r="H4646" s="1031"/>
      <c r="I4646" s="948"/>
    </row>
    <row r="4647" spans="2:9" ht="15.75">
      <c r="C4647" s="951" t="s">
        <v>930</v>
      </c>
      <c r="D4647" s="960"/>
      <c r="E4647" s="943" t="str">
        <f>+E4616</f>
        <v>M2</v>
      </c>
      <c r="F4647" s="1070"/>
      <c r="G4647" s="960"/>
      <c r="H4647" s="1033"/>
      <c r="I4647" s="952">
        <f>SUM(I4641:I4644)</f>
        <v>1523.06</v>
      </c>
    </row>
    <row r="4648" spans="2:9" ht="15.75">
      <c r="C4648" s="951"/>
      <c r="D4648" s="960"/>
      <c r="E4648" s="943"/>
      <c r="F4648" s="1070"/>
      <c r="G4648" s="960"/>
      <c r="H4648" s="1033"/>
      <c r="I4648" s="952"/>
    </row>
    <row r="4649" spans="2:9" ht="15.75">
      <c r="B4649" s="1026">
        <v>4.2</v>
      </c>
      <c r="C4649" s="937" t="str">
        <f>+Presupuesto!B300</f>
        <v>Bloque de muro de 6" S.N.P.</v>
      </c>
      <c r="D4649" s="938"/>
      <c r="E4649" s="962" t="s">
        <v>20</v>
      </c>
      <c r="F4649" s="1066"/>
      <c r="G4649" s="938"/>
      <c r="H4649" s="1029"/>
      <c r="I4649" s="940">
        <f>I4680</f>
        <v>1379.06</v>
      </c>
    </row>
    <row r="4650" spans="2:9" ht="15.75">
      <c r="C4650" s="941" t="s">
        <v>908</v>
      </c>
      <c r="D4650" s="942" t="s">
        <v>9</v>
      </c>
      <c r="E4650" s="943" t="s">
        <v>10</v>
      </c>
      <c r="F4650" s="1067" t="s">
        <v>909</v>
      </c>
      <c r="G4650" s="942" t="s">
        <v>910</v>
      </c>
      <c r="H4650" s="1030" t="s">
        <v>911</v>
      </c>
      <c r="I4650" s="944" t="s">
        <v>912</v>
      </c>
    </row>
    <row r="4651" spans="2:9" ht="15.75">
      <c r="C4651" s="945" t="s">
        <v>913</v>
      </c>
      <c r="D4651" s="946"/>
      <c r="E4651" s="947"/>
      <c r="F4651" s="1054"/>
      <c r="G4651" s="946"/>
      <c r="H4651" s="1031"/>
      <c r="I4651" s="948"/>
    </row>
    <row r="4652" spans="2:9" ht="15.75">
      <c r="C4652" s="949" t="s">
        <v>1201</v>
      </c>
      <c r="D4652" s="946">
        <v>11.61</v>
      </c>
      <c r="E4652" s="947" t="str">
        <f>+VLOOKUP(C4652,'Basic (equilibrio) (2)'!B:D,2,FALSE)</f>
        <v>ud</v>
      </c>
      <c r="F4652" s="1068">
        <f>'Basic (equilibrio) (2)'!$D$300</f>
        <v>35</v>
      </c>
      <c r="G4652" s="946">
        <f t="shared" ref="G4652:G4657" si="29">F4652-(F4652/1.18)</f>
        <v>5.34</v>
      </c>
      <c r="H4652" s="1031"/>
      <c r="I4652" s="948">
        <f t="shared" ref="I4652:I4657" si="30">D4652*F4652</f>
        <v>406.35</v>
      </c>
    </row>
    <row r="4653" spans="2:9" ht="15.75">
      <c r="C4653" s="949" t="s">
        <v>1203</v>
      </c>
      <c r="D4653" s="946">
        <v>11.61</v>
      </c>
      <c r="E4653" s="947" t="str">
        <f>+VLOOKUP(C4653,'Basic (equilibrio) (2)'!B:D,2,FALSE)</f>
        <v>ud</v>
      </c>
      <c r="F4653" s="1068">
        <f>'Basic (equilibrio) (2)'!$D$303</f>
        <v>3.3</v>
      </c>
      <c r="G4653" s="946">
        <f t="shared" si="29"/>
        <v>0.5</v>
      </c>
      <c r="H4653" s="1031"/>
      <c r="I4653" s="948">
        <f t="shared" si="30"/>
        <v>38.31</v>
      </c>
    </row>
    <row r="4654" spans="2:9" ht="15.75">
      <c r="C4654" s="949" t="s">
        <v>1204</v>
      </c>
      <c r="D4654" s="946">
        <v>0.04</v>
      </c>
      <c r="E4654" s="947" t="str">
        <f>+VLOOKUP(C4654,'Basic (equilibrio) (2)'!B:D,2,FALSE)</f>
        <v>m3</v>
      </c>
      <c r="F4654" s="1068">
        <f>'Basic (equilibrio) (2)'!$D$307</f>
        <v>6174</v>
      </c>
      <c r="G4654" s="946">
        <f t="shared" si="29"/>
        <v>941.8</v>
      </c>
      <c r="H4654" s="1031"/>
      <c r="I4654" s="948">
        <f t="shared" si="30"/>
        <v>246.96</v>
      </c>
    </row>
    <row r="4655" spans="2:9" ht="15.75">
      <c r="C4655" s="949" t="s">
        <v>1205</v>
      </c>
      <c r="D4655" s="946">
        <v>0.04</v>
      </c>
      <c r="E4655" s="947" t="str">
        <f>+VLOOKUP(C4655,'Basic (equilibrio) (2)'!B:D,2,FALSE)</f>
        <v>m3</v>
      </c>
      <c r="F4655" s="1068">
        <f>'Basic (equilibrio) (2)'!$D$308</f>
        <v>5985</v>
      </c>
      <c r="G4655" s="946">
        <f t="shared" si="29"/>
        <v>912.97</v>
      </c>
      <c r="H4655" s="1031"/>
      <c r="I4655" s="948">
        <f t="shared" si="30"/>
        <v>239.4</v>
      </c>
    </row>
    <row r="4656" spans="2:9" ht="15.75">
      <c r="C4656" s="949" t="s">
        <v>1188</v>
      </c>
      <c r="D4656" s="946">
        <v>0.04</v>
      </c>
      <c r="E4656" s="947" t="str">
        <f>+VLOOKUP(C4656,'Basic (equilibrio) (2)'!B:D,2,FALSE)</f>
        <v>qq</v>
      </c>
      <c r="F4656" s="1068">
        <f>'Basic (equilibrio) (2)'!$D$183</f>
        <v>3600</v>
      </c>
      <c r="G4656" s="946">
        <f t="shared" si="29"/>
        <v>549.15</v>
      </c>
      <c r="H4656" s="1031"/>
      <c r="I4656" s="948">
        <f t="shared" si="30"/>
        <v>144</v>
      </c>
    </row>
    <row r="4657" spans="3:9" ht="15.75">
      <c r="C4657" s="949" t="s">
        <v>1328</v>
      </c>
      <c r="D4657" s="946">
        <v>7.0000000000000007E-2</v>
      </c>
      <c r="E4657" s="947" t="str">
        <f>+VLOOKUP(C4657,'Basic (equilibrio) (2)'!B:D,2,FALSE)</f>
        <v>lb</v>
      </c>
      <c r="F4657" s="1068">
        <f>'Basic (equilibrio) (2)'!$D$334</f>
        <v>31.1</v>
      </c>
      <c r="G4657" s="946">
        <f t="shared" si="29"/>
        <v>4.74</v>
      </c>
      <c r="H4657" s="1031"/>
      <c r="I4657" s="948">
        <f t="shared" si="30"/>
        <v>2.1800000000000002</v>
      </c>
    </row>
    <row r="4658" spans="3:9" ht="15.75">
      <c r="C4658" s="951" t="s">
        <v>918</v>
      </c>
      <c r="D4658" s="946"/>
      <c r="E4658" s="947"/>
      <c r="F4658" s="1068"/>
      <c r="G4658" s="946"/>
      <c r="H4658" s="1031"/>
      <c r="I4658" s="952">
        <f>SUM(I4652:I4657)</f>
        <v>1077.2</v>
      </c>
    </row>
    <row r="4659" spans="3:9" ht="15.75">
      <c r="C4659" s="949"/>
      <c r="D4659" s="946"/>
      <c r="E4659" s="947"/>
      <c r="F4659" s="1068"/>
      <c r="G4659" s="946"/>
      <c r="H4659" s="1031"/>
      <c r="I4659" s="948"/>
    </row>
    <row r="4660" spans="3:9" ht="15.75">
      <c r="C4660" s="945" t="s">
        <v>919</v>
      </c>
      <c r="D4660" s="946"/>
      <c r="E4660" s="947"/>
      <c r="F4660" s="1068"/>
      <c r="G4660" s="946"/>
      <c r="H4660" s="1031"/>
      <c r="I4660" s="948"/>
    </row>
    <row r="4661" spans="3:9" ht="15.75">
      <c r="C4661" s="949" t="s">
        <v>1074</v>
      </c>
      <c r="D4661" s="953">
        <v>11.61</v>
      </c>
      <c r="E4661" s="954" t="str">
        <f>+VLOOKUP(C4661,'Basic (equilibrio) (2)'!B:D,2,FALSE)</f>
        <v>ud</v>
      </c>
      <c r="F4661" s="1068">
        <f>'Basic (equilibrio) (2)'!$D$26</f>
        <v>1</v>
      </c>
      <c r="G4661" s="946">
        <v>0</v>
      </c>
      <c r="H4661" s="1031"/>
      <c r="I4661" s="948">
        <f>(D4661*F4661)</f>
        <v>11.61</v>
      </c>
    </row>
    <row r="4662" spans="3:9" ht="15.75">
      <c r="C4662" s="949" t="s">
        <v>1075</v>
      </c>
      <c r="D4662" s="953">
        <v>11.61</v>
      </c>
      <c r="E4662" s="954" t="str">
        <f>+VLOOKUP(C4662,'Basic (equilibrio) (2)'!B:D,2,FALSE)</f>
        <v>ud</v>
      </c>
      <c r="F4662" s="1068">
        <f>'Basic (equilibrio) (2)'!$D$27</f>
        <v>3</v>
      </c>
      <c r="G4662" s="946">
        <v>0</v>
      </c>
      <c r="H4662" s="1031"/>
      <c r="I4662" s="948">
        <f>(D4662*F4662)</f>
        <v>34.83</v>
      </c>
    </row>
    <row r="4663" spans="3:9" ht="15.75">
      <c r="C4663" s="949" t="s">
        <v>1077</v>
      </c>
      <c r="D4663" s="953">
        <v>11.61</v>
      </c>
      <c r="E4663" s="954" t="str">
        <f>+VLOOKUP(C4663,'Basic (equilibrio) (2)'!B:D,2,FALSE)</f>
        <v>ud</v>
      </c>
      <c r="F4663" s="1068">
        <f>'Basic (equilibrio) (2)'!$D$29</f>
        <v>22</v>
      </c>
      <c r="G4663" s="946">
        <v>0</v>
      </c>
      <c r="H4663" s="1031"/>
      <c r="I4663" s="948">
        <f>(D4663*F4663)</f>
        <v>255.42</v>
      </c>
    </row>
    <row r="4664" spans="3:9" ht="15.75">
      <c r="C4664" s="951" t="s">
        <v>918</v>
      </c>
      <c r="D4664" s="946"/>
      <c r="E4664" s="947"/>
      <c r="F4664" s="1054"/>
      <c r="G4664" s="946"/>
      <c r="H4664" s="1031"/>
      <c r="I4664" s="952">
        <f>SUM(I4661:I4663)</f>
        <v>301.86</v>
      </c>
    </row>
    <row r="4665" spans="3:9" ht="15.75">
      <c r="C4665" s="949"/>
      <c r="D4665" s="946"/>
      <c r="E4665" s="947"/>
      <c r="F4665" s="1054"/>
      <c r="G4665" s="946"/>
      <c r="H4665" s="1031"/>
      <c r="I4665" s="948"/>
    </row>
    <row r="4666" spans="3:9" ht="15.75">
      <c r="C4666" s="945" t="s">
        <v>923</v>
      </c>
      <c r="D4666" s="946"/>
      <c r="E4666" s="947"/>
      <c r="F4666" s="1054"/>
      <c r="G4666" s="946"/>
      <c r="H4666" s="1031"/>
      <c r="I4666" s="948"/>
    </row>
    <row r="4667" spans="3:9" ht="15.75">
      <c r="C4667" s="949" t="s">
        <v>924</v>
      </c>
      <c r="D4667" s="946"/>
      <c r="E4667" s="947" t="str">
        <f>+VLOOKUP(C4667,'Basic (equilibrio) (2)'!B:D,2,FALSE)</f>
        <v>n/a</v>
      </c>
      <c r="F4667" s="1054">
        <f>+VLOOKUP(C4667,'Basic (equilibrio) (2)'!B:D,3,FALSE)</f>
        <v>0</v>
      </c>
      <c r="G4667" s="946">
        <f>F4667-(F4667/1.18)</f>
        <v>0</v>
      </c>
      <c r="H4667" s="1039"/>
      <c r="I4667" s="955">
        <f>D4667*F4667</f>
        <v>0</v>
      </c>
    </row>
    <row r="4668" spans="3:9" ht="15.75">
      <c r="C4668" s="951" t="s">
        <v>918</v>
      </c>
      <c r="D4668" s="946"/>
      <c r="E4668" s="947"/>
      <c r="F4668" s="1054"/>
      <c r="G4668" s="946"/>
      <c r="H4668" s="1031"/>
      <c r="I4668" s="952">
        <f>SUM(I4667:I4667)</f>
        <v>0</v>
      </c>
    </row>
    <row r="4669" spans="3:9" ht="15.75">
      <c r="C4669" s="949"/>
      <c r="D4669" s="946"/>
      <c r="E4669" s="947"/>
      <c r="F4669" s="1054"/>
      <c r="G4669" s="946"/>
      <c r="H4669" s="1031"/>
      <c r="I4669" s="948"/>
    </row>
    <row r="4670" spans="3:9" ht="15.75">
      <c r="C4670" s="945" t="s">
        <v>925</v>
      </c>
      <c r="D4670" s="946"/>
      <c r="E4670" s="947"/>
      <c r="F4670" s="1054"/>
      <c r="G4670" s="946"/>
      <c r="H4670" s="1031"/>
      <c r="I4670" s="948"/>
    </row>
    <row r="4671" spans="3:9" ht="15.75">
      <c r="C4671" s="949" t="s">
        <v>924</v>
      </c>
      <c r="D4671" s="946"/>
      <c r="E4671" s="947" t="str">
        <f>+VLOOKUP(C4671,'Basic (equilibrio) (2)'!B:D,2,FALSE)</f>
        <v>n/a</v>
      </c>
      <c r="F4671" s="1054">
        <f>+VLOOKUP(C4671,'Basic (equilibrio) (2)'!B:D,3,FALSE)</f>
        <v>0</v>
      </c>
      <c r="G4671" s="946"/>
      <c r="H4671" s="1031"/>
      <c r="I4671" s="948">
        <f>D4671*F4671</f>
        <v>0</v>
      </c>
    </row>
    <row r="4672" spans="3:9" ht="15.75">
      <c r="C4672" s="951" t="s">
        <v>918</v>
      </c>
      <c r="D4672" s="946"/>
      <c r="E4672" s="947"/>
      <c r="F4672" s="1054"/>
      <c r="G4672" s="946"/>
      <c r="H4672" s="1031"/>
      <c r="I4672" s="952">
        <f>SUM(I4671)</f>
        <v>0</v>
      </c>
    </row>
    <row r="4673" spans="2:9" ht="15.75">
      <c r="C4673" s="951"/>
      <c r="D4673" s="946"/>
      <c r="E4673" s="947"/>
      <c r="F4673" s="1054"/>
      <c r="G4673" s="946"/>
      <c r="H4673" s="1031"/>
      <c r="I4673" s="952"/>
    </row>
    <row r="4674" spans="2:9" ht="15.75">
      <c r="C4674" s="956" t="s">
        <v>926</v>
      </c>
      <c r="D4674" s="957"/>
      <c r="E4674" s="958"/>
      <c r="F4674" s="1069"/>
      <c r="G4674" s="957"/>
      <c r="H4674" s="1032"/>
      <c r="I4674" s="959">
        <f>+I4658</f>
        <v>1077.2</v>
      </c>
    </row>
    <row r="4675" spans="2:9" ht="15.75">
      <c r="C4675" s="956" t="s">
        <v>927</v>
      </c>
      <c r="D4675" s="957"/>
      <c r="E4675" s="958"/>
      <c r="F4675" s="1069"/>
      <c r="G4675" s="957"/>
      <c r="H4675" s="1032"/>
      <c r="I4675" s="959">
        <f>+I4664</f>
        <v>301.86</v>
      </c>
    </row>
    <row r="4676" spans="2:9" ht="15.75">
      <c r="C4676" s="956" t="s">
        <v>928</v>
      </c>
      <c r="D4676" s="957"/>
      <c r="E4676" s="958"/>
      <c r="F4676" s="1069"/>
      <c r="G4676" s="957"/>
      <c r="H4676" s="1032"/>
      <c r="I4676" s="959">
        <f>+I4668</f>
        <v>0</v>
      </c>
    </row>
    <row r="4677" spans="2:9" ht="15.75">
      <c r="C4677" s="956" t="s">
        <v>929</v>
      </c>
      <c r="D4677" s="957"/>
      <c r="E4677" s="958"/>
      <c r="F4677" s="1069"/>
      <c r="G4677" s="957"/>
      <c r="H4677" s="1032"/>
      <c r="I4677" s="959">
        <f>+I4672</f>
        <v>0</v>
      </c>
    </row>
    <row r="4678" spans="2:9" ht="15.75">
      <c r="C4678" s="949"/>
      <c r="D4678" s="946"/>
      <c r="E4678" s="947"/>
      <c r="F4678" s="1054"/>
      <c r="G4678" s="946"/>
      <c r="H4678" s="1031"/>
      <c r="I4678" s="948"/>
    </row>
    <row r="4679" spans="2:9" ht="15.75">
      <c r="C4679" s="949"/>
      <c r="D4679" s="946"/>
      <c r="E4679" s="947"/>
      <c r="F4679" s="1054"/>
      <c r="G4679" s="946"/>
      <c r="H4679" s="1031"/>
      <c r="I4679" s="948"/>
    </row>
    <row r="4680" spans="2:9" ht="15.75">
      <c r="C4680" s="951" t="s">
        <v>930</v>
      </c>
      <c r="D4680" s="960"/>
      <c r="E4680" s="943" t="str">
        <f>+E4649</f>
        <v>M2</v>
      </c>
      <c r="F4680" s="1070"/>
      <c r="G4680" s="960"/>
      <c r="H4680" s="1033"/>
      <c r="I4680" s="952">
        <f>SUM(I4674:I4677)</f>
        <v>1379.06</v>
      </c>
    </row>
    <row r="4681" spans="2:9" ht="15.75">
      <c r="C4681" s="951"/>
      <c r="D4681" s="960"/>
      <c r="E4681" s="943"/>
      <c r="F4681" s="1070"/>
      <c r="G4681" s="960"/>
      <c r="H4681" s="1033"/>
      <c r="I4681" s="952"/>
    </row>
    <row r="4682" spans="2:9" ht="15.75">
      <c r="B4682" s="1026">
        <v>5.0999999999999996</v>
      </c>
      <c r="C4682" s="937" t="str">
        <f>+Presupuesto!B303</f>
        <v xml:space="preserve">Pañete en muros </v>
      </c>
      <c r="D4682" s="938"/>
      <c r="E4682" s="962" t="s">
        <v>20</v>
      </c>
      <c r="F4682" s="1066"/>
      <c r="G4682" s="938"/>
      <c r="H4682" s="1029"/>
      <c r="I4682" s="940">
        <f>I4707</f>
        <v>453.5</v>
      </c>
    </row>
    <row r="4683" spans="2:9" ht="15.75">
      <c r="C4683" s="941" t="s">
        <v>908</v>
      </c>
      <c r="D4683" s="942" t="s">
        <v>9</v>
      </c>
      <c r="E4683" s="943" t="s">
        <v>10</v>
      </c>
      <c r="F4683" s="1067" t="s">
        <v>909</v>
      </c>
      <c r="G4683" s="942" t="s">
        <v>910</v>
      </c>
      <c r="H4683" s="1030" t="s">
        <v>911</v>
      </c>
      <c r="I4683" s="944" t="s">
        <v>912</v>
      </c>
    </row>
    <row r="4684" spans="2:9" ht="15.75">
      <c r="C4684" s="945" t="s">
        <v>913</v>
      </c>
      <c r="D4684" s="946"/>
      <c r="E4684" s="947"/>
      <c r="F4684" s="1054"/>
      <c r="G4684" s="946"/>
      <c r="H4684" s="1031"/>
      <c r="I4684" s="948"/>
    </row>
    <row r="4685" spans="2:9" ht="15.75">
      <c r="C4685" s="949" t="s">
        <v>958</v>
      </c>
      <c r="D4685" s="946">
        <v>0.03</v>
      </c>
      <c r="E4685" s="947" t="str">
        <f>+VLOOKUP(C4685,'Basic (equilibrio) (2)'!B:D,2,FALSE)</f>
        <v>m3</v>
      </c>
      <c r="F4685" s="1068">
        <f>'Basic (equilibrio) (2)'!$D$309</f>
        <v>6820</v>
      </c>
      <c r="G4685" s="946">
        <f>F4685-(F4685/1.18)</f>
        <v>1040.3399999999999</v>
      </c>
      <c r="H4685" s="1031"/>
      <c r="I4685" s="948">
        <f>D4685*F4685</f>
        <v>204.6</v>
      </c>
    </row>
    <row r="4686" spans="2:9" ht="15.75">
      <c r="C4686" s="949" t="s">
        <v>1206</v>
      </c>
      <c r="D4686" s="946">
        <v>0.03</v>
      </c>
      <c r="E4686" s="947" t="str">
        <f>+VLOOKUP(C4686,'Basic (equilibrio) (2)'!B:D,2,FALSE)</f>
        <v>pt</v>
      </c>
      <c r="F4686" s="1068">
        <f>'Basic (equilibrio) (2)'!$D$310</f>
        <v>230</v>
      </c>
      <c r="G4686" s="946">
        <f>F4686-(F4686/1.18)</f>
        <v>35.08</v>
      </c>
      <c r="H4686" s="1031"/>
      <c r="I4686" s="948">
        <f>D4686*F4686</f>
        <v>6.9</v>
      </c>
    </row>
    <row r="4687" spans="2:9" ht="15.75">
      <c r="C4687" s="949" t="s">
        <v>1079</v>
      </c>
      <c r="D4687" s="946">
        <v>1</v>
      </c>
      <c r="E4687" s="947" t="str">
        <f>+VLOOKUP(C4687,'Basic (equilibrio) (2)'!B:D,2,FALSE)</f>
        <v>m2</v>
      </c>
      <c r="F4687" s="1068">
        <f>'Basic (equilibrio) (2)'!$D$31</f>
        <v>52</v>
      </c>
      <c r="G4687" s="946">
        <f>F4687-(F4687/1.18)</f>
        <v>7.93</v>
      </c>
      <c r="H4687" s="1031"/>
      <c r="I4687" s="948">
        <f>D4687*F4687</f>
        <v>52</v>
      </c>
    </row>
    <row r="4688" spans="2:9" ht="15.75">
      <c r="C4688" s="951" t="s">
        <v>918</v>
      </c>
      <c r="D4688" s="946"/>
      <c r="E4688" s="947"/>
      <c r="F4688" s="1068"/>
      <c r="G4688" s="946"/>
      <c r="H4688" s="1031"/>
      <c r="I4688" s="952">
        <f>SUM(I4685:I4687)</f>
        <v>263.5</v>
      </c>
    </row>
    <row r="4689" spans="3:9" ht="15.75">
      <c r="C4689" s="949"/>
      <c r="D4689" s="946"/>
      <c r="E4689" s="947"/>
      <c r="F4689" s="1068"/>
      <c r="G4689" s="946"/>
      <c r="H4689" s="1031"/>
      <c r="I4689" s="948"/>
    </row>
    <row r="4690" spans="3:9" ht="15.75">
      <c r="C4690" s="945" t="s">
        <v>919</v>
      </c>
      <c r="D4690" s="946"/>
      <c r="E4690" s="947"/>
      <c r="F4690" s="1068"/>
      <c r="G4690" s="946"/>
      <c r="H4690" s="1031"/>
      <c r="I4690" s="948"/>
    </row>
    <row r="4691" spans="3:9" ht="15.75">
      <c r="C4691" s="949" t="s">
        <v>1078</v>
      </c>
      <c r="D4691" s="953">
        <v>1</v>
      </c>
      <c r="E4691" s="954" t="str">
        <f>+VLOOKUP(C4691,'Basic (equilibrio) (2)'!B:D,2,FALSE)</f>
        <v>m2</v>
      </c>
      <c r="F4691" s="1068">
        <f>'Basic (equilibrio) (2)'!$D$30</f>
        <v>190</v>
      </c>
      <c r="G4691" s="946">
        <v>0</v>
      </c>
      <c r="H4691" s="1031"/>
      <c r="I4691" s="948">
        <f>(D4691*F4691)</f>
        <v>190</v>
      </c>
    </row>
    <row r="4692" spans="3:9" ht="15.75">
      <c r="C4692" s="951" t="s">
        <v>918</v>
      </c>
      <c r="D4692" s="946"/>
      <c r="E4692" s="947"/>
      <c r="F4692" s="1054"/>
      <c r="G4692" s="946"/>
      <c r="H4692" s="1031"/>
      <c r="I4692" s="952">
        <f>SUM(I4691:I4691)</f>
        <v>190</v>
      </c>
    </row>
    <row r="4693" spans="3:9" ht="15.75">
      <c r="C4693" s="949"/>
      <c r="D4693" s="946"/>
      <c r="E4693" s="947"/>
      <c r="F4693" s="1054"/>
      <c r="G4693" s="946"/>
      <c r="H4693" s="1031"/>
      <c r="I4693" s="948"/>
    </row>
    <row r="4694" spans="3:9" ht="15.75">
      <c r="C4694" s="945" t="s">
        <v>923</v>
      </c>
      <c r="D4694" s="946"/>
      <c r="E4694" s="947"/>
      <c r="F4694" s="1054"/>
      <c r="G4694" s="946"/>
      <c r="H4694" s="1031"/>
      <c r="I4694" s="948"/>
    </row>
    <row r="4695" spans="3:9" ht="15.75">
      <c r="C4695" s="949" t="s">
        <v>924</v>
      </c>
      <c r="D4695" s="946"/>
      <c r="E4695" s="947" t="str">
        <f>+VLOOKUP(C4695,'Basic (equilibrio) (2)'!B:D,2,FALSE)</f>
        <v>n/a</v>
      </c>
      <c r="F4695" s="1054">
        <f>+VLOOKUP(C4695,'Basic (equilibrio) (2)'!B:D,3,FALSE)</f>
        <v>0</v>
      </c>
      <c r="G4695" s="946">
        <f>F4695-(F4695/1.18)</f>
        <v>0</v>
      </c>
      <c r="H4695" s="1039"/>
      <c r="I4695" s="955">
        <f>D4695*F4695</f>
        <v>0</v>
      </c>
    </row>
    <row r="4696" spans="3:9" ht="15.75">
      <c r="C4696" s="951" t="s">
        <v>918</v>
      </c>
      <c r="D4696" s="946"/>
      <c r="E4696" s="947"/>
      <c r="F4696" s="1054"/>
      <c r="G4696" s="946"/>
      <c r="H4696" s="1031"/>
      <c r="I4696" s="952">
        <f>SUM(I4695:I4695)</f>
        <v>0</v>
      </c>
    </row>
    <row r="4697" spans="3:9" ht="15.75">
      <c r="C4697" s="949"/>
      <c r="D4697" s="946"/>
      <c r="E4697" s="947"/>
      <c r="F4697" s="1054"/>
      <c r="G4697" s="946"/>
      <c r="H4697" s="1031"/>
      <c r="I4697" s="948"/>
    </row>
    <row r="4698" spans="3:9" ht="15.75">
      <c r="C4698" s="945" t="s">
        <v>925</v>
      </c>
      <c r="D4698" s="946"/>
      <c r="E4698" s="947"/>
      <c r="F4698" s="1054"/>
      <c r="G4698" s="946"/>
      <c r="H4698" s="1031"/>
      <c r="I4698" s="948"/>
    </row>
    <row r="4699" spans="3:9" ht="15.75">
      <c r="C4699" s="949" t="s">
        <v>924</v>
      </c>
      <c r="D4699" s="946"/>
      <c r="E4699" s="947" t="str">
        <f>+VLOOKUP(C4699,'Basic (equilibrio) (2)'!B:D,2,FALSE)</f>
        <v>n/a</v>
      </c>
      <c r="F4699" s="1054">
        <f>+VLOOKUP(C4699,'Basic (equilibrio) (2)'!B:D,3,FALSE)</f>
        <v>0</v>
      </c>
      <c r="G4699" s="946"/>
      <c r="H4699" s="1031"/>
      <c r="I4699" s="948">
        <f>D4699*F4699</f>
        <v>0</v>
      </c>
    </row>
    <row r="4700" spans="3:9" ht="15.75">
      <c r="C4700" s="951" t="s">
        <v>918</v>
      </c>
      <c r="D4700" s="946"/>
      <c r="E4700" s="947"/>
      <c r="F4700" s="1054"/>
      <c r="G4700" s="946"/>
      <c r="H4700" s="1031"/>
      <c r="I4700" s="952">
        <f>SUM(I4699)</f>
        <v>0</v>
      </c>
    </row>
    <row r="4701" spans="3:9" ht="15.75">
      <c r="C4701" s="951"/>
      <c r="D4701" s="946"/>
      <c r="E4701" s="947"/>
      <c r="F4701" s="1054"/>
      <c r="G4701" s="946"/>
      <c r="H4701" s="1031"/>
      <c r="I4701" s="952"/>
    </row>
    <row r="4702" spans="3:9" ht="15.75">
      <c r="C4702" s="956" t="s">
        <v>926</v>
      </c>
      <c r="D4702" s="957"/>
      <c r="E4702" s="958"/>
      <c r="F4702" s="1069"/>
      <c r="G4702" s="957"/>
      <c r="H4702" s="1032"/>
      <c r="I4702" s="959">
        <f>+I4688</f>
        <v>263.5</v>
      </c>
    </row>
    <row r="4703" spans="3:9" ht="15.75">
      <c r="C4703" s="956" t="s">
        <v>927</v>
      </c>
      <c r="D4703" s="957"/>
      <c r="E4703" s="958"/>
      <c r="F4703" s="1069"/>
      <c r="G4703" s="957"/>
      <c r="H4703" s="1032"/>
      <c r="I4703" s="959">
        <f>+I4692</f>
        <v>190</v>
      </c>
    </row>
    <row r="4704" spans="3:9" ht="15.75">
      <c r="C4704" s="956" t="s">
        <v>928</v>
      </c>
      <c r="D4704" s="957"/>
      <c r="E4704" s="958"/>
      <c r="F4704" s="1069"/>
      <c r="G4704" s="957"/>
      <c r="H4704" s="1032"/>
      <c r="I4704" s="959">
        <f>+I4696</f>
        <v>0</v>
      </c>
    </row>
    <row r="4705" spans="2:9" ht="15.75">
      <c r="C4705" s="956" t="s">
        <v>929</v>
      </c>
      <c r="D4705" s="957"/>
      <c r="E4705" s="958"/>
      <c r="F4705" s="1069"/>
      <c r="G4705" s="957"/>
      <c r="H4705" s="1032"/>
      <c r="I4705" s="959">
        <f>+I4700</f>
        <v>0</v>
      </c>
    </row>
    <row r="4706" spans="2:9" ht="15.75">
      <c r="C4706" s="949"/>
      <c r="D4706" s="946"/>
      <c r="E4706" s="947"/>
      <c r="F4706" s="1054"/>
      <c r="G4706" s="946"/>
      <c r="H4706" s="1031"/>
      <c r="I4706" s="948"/>
    </row>
    <row r="4707" spans="2:9" ht="15.75">
      <c r="C4707" s="951" t="s">
        <v>930</v>
      </c>
      <c r="D4707" s="960"/>
      <c r="E4707" s="943" t="str">
        <f>+E4682</f>
        <v>M2</v>
      </c>
      <c r="F4707" s="1070"/>
      <c r="G4707" s="960"/>
      <c r="H4707" s="1033"/>
      <c r="I4707" s="952">
        <f>SUM(I4702:I4705)</f>
        <v>453.5</v>
      </c>
    </row>
    <row r="4708" spans="2:9" ht="15.75">
      <c r="C4708" s="951"/>
      <c r="D4708" s="960"/>
      <c r="E4708" s="943"/>
      <c r="F4708" s="1070"/>
      <c r="G4708" s="960"/>
      <c r="H4708" s="1033"/>
      <c r="I4708" s="952"/>
    </row>
    <row r="4709" spans="2:9" ht="15.75">
      <c r="B4709" s="1026">
        <v>5.2</v>
      </c>
      <c r="C4709" s="937" t="str">
        <f>+Presupuesto!B304</f>
        <v xml:space="preserve">Pañete en  vigas </v>
      </c>
      <c r="D4709" s="938"/>
      <c r="E4709" s="962" t="s">
        <v>20</v>
      </c>
      <c r="F4709" s="1066"/>
      <c r="G4709" s="938"/>
      <c r="H4709" s="1029"/>
      <c r="I4709" s="940">
        <f>I4734</f>
        <v>453.5</v>
      </c>
    </row>
    <row r="4710" spans="2:9" ht="15.75">
      <c r="C4710" s="941" t="s">
        <v>908</v>
      </c>
      <c r="D4710" s="942" t="s">
        <v>9</v>
      </c>
      <c r="E4710" s="943" t="s">
        <v>10</v>
      </c>
      <c r="F4710" s="1067" t="s">
        <v>909</v>
      </c>
      <c r="G4710" s="942" t="s">
        <v>910</v>
      </c>
      <c r="H4710" s="1030" t="s">
        <v>911</v>
      </c>
      <c r="I4710" s="944" t="s">
        <v>912</v>
      </c>
    </row>
    <row r="4711" spans="2:9" ht="15.75">
      <c r="C4711" s="945" t="s">
        <v>913</v>
      </c>
      <c r="D4711" s="946"/>
      <c r="E4711" s="947"/>
      <c r="F4711" s="1054"/>
      <c r="G4711" s="946"/>
      <c r="H4711" s="1031"/>
      <c r="I4711" s="948"/>
    </row>
    <row r="4712" spans="2:9" ht="15.75">
      <c r="C4712" s="949" t="s">
        <v>958</v>
      </c>
      <c r="D4712" s="946">
        <v>0.03</v>
      </c>
      <c r="E4712" s="947" t="str">
        <f>+VLOOKUP(C4712,'Basic (equilibrio) (2)'!B:D,2,FALSE)</f>
        <v>m3</v>
      </c>
      <c r="F4712" s="1068">
        <f>'Basic (equilibrio) (2)'!$D$309</f>
        <v>6820</v>
      </c>
      <c r="G4712" s="946">
        <f>F4712-(F4712/1.18)</f>
        <v>1040.3399999999999</v>
      </c>
      <c r="H4712" s="1031"/>
      <c r="I4712" s="948">
        <f>D4712*F4712</f>
        <v>204.6</v>
      </c>
    </row>
    <row r="4713" spans="2:9" ht="15.75">
      <c r="C4713" s="949" t="s">
        <v>1206</v>
      </c>
      <c r="D4713" s="946">
        <v>0.03</v>
      </c>
      <c r="E4713" s="947" t="str">
        <f>+VLOOKUP(C4713,'Basic (equilibrio) (2)'!B:D,2,FALSE)</f>
        <v>pt</v>
      </c>
      <c r="F4713" s="1068">
        <f>'Basic (equilibrio) (2)'!$D$310</f>
        <v>230</v>
      </c>
      <c r="G4713" s="946">
        <f>F4713-(F4713/1.18)</f>
        <v>35.08</v>
      </c>
      <c r="H4713" s="1031"/>
      <c r="I4713" s="948">
        <f>D4713*F4713</f>
        <v>6.9</v>
      </c>
    </row>
    <row r="4714" spans="2:9" ht="15.75">
      <c r="C4714" s="949" t="s">
        <v>1079</v>
      </c>
      <c r="D4714" s="946">
        <v>1</v>
      </c>
      <c r="E4714" s="947" t="str">
        <f>+VLOOKUP(C4714,'Basic (equilibrio) (2)'!B:D,2,FALSE)</f>
        <v>m2</v>
      </c>
      <c r="F4714" s="1068">
        <f>'Basic (equilibrio) (2)'!$D$31</f>
        <v>52</v>
      </c>
      <c r="G4714" s="946">
        <f>F4714-(F4714/1.18)</f>
        <v>7.93</v>
      </c>
      <c r="H4714" s="1031"/>
      <c r="I4714" s="948">
        <f>D4714*F4714</f>
        <v>52</v>
      </c>
    </row>
    <row r="4715" spans="2:9" ht="15.75">
      <c r="C4715" s="951" t="s">
        <v>918</v>
      </c>
      <c r="D4715" s="946"/>
      <c r="E4715" s="947"/>
      <c r="F4715" s="1068"/>
      <c r="G4715" s="946"/>
      <c r="H4715" s="1031"/>
      <c r="I4715" s="952">
        <f>SUM(I4712:I4714)</f>
        <v>263.5</v>
      </c>
    </row>
    <row r="4716" spans="2:9" ht="15.75">
      <c r="C4716" s="949"/>
      <c r="D4716" s="946"/>
      <c r="E4716" s="947"/>
      <c r="F4716" s="1068"/>
      <c r="G4716" s="946"/>
      <c r="H4716" s="1031"/>
      <c r="I4716" s="948"/>
    </row>
    <row r="4717" spans="2:9" ht="15.75">
      <c r="C4717" s="945" t="s">
        <v>919</v>
      </c>
      <c r="D4717" s="946"/>
      <c r="E4717" s="947"/>
      <c r="F4717" s="1068"/>
      <c r="G4717" s="946"/>
      <c r="H4717" s="1031"/>
      <c r="I4717" s="948"/>
    </row>
    <row r="4718" spans="2:9" ht="15.75">
      <c r="C4718" s="949" t="s">
        <v>1078</v>
      </c>
      <c r="D4718" s="953">
        <v>1</v>
      </c>
      <c r="E4718" s="954" t="str">
        <f>+VLOOKUP(C4718,'Basic (equilibrio) (2)'!B:D,2,FALSE)</f>
        <v>m2</v>
      </c>
      <c r="F4718" s="1068">
        <f>'Basic (equilibrio) (2)'!$D$30</f>
        <v>190</v>
      </c>
      <c r="G4718" s="946">
        <v>0</v>
      </c>
      <c r="H4718" s="1031"/>
      <c r="I4718" s="948">
        <f>(D4718*F4718)</f>
        <v>190</v>
      </c>
    </row>
    <row r="4719" spans="2:9" ht="15.75">
      <c r="C4719" s="951" t="s">
        <v>918</v>
      </c>
      <c r="D4719" s="946"/>
      <c r="E4719" s="947"/>
      <c r="F4719" s="1054"/>
      <c r="G4719" s="946"/>
      <c r="H4719" s="1031"/>
      <c r="I4719" s="952">
        <f>SUM(I4718:I4718)</f>
        <v>190</v>
      </c>
    </row>
    <row r="4720" spans="2:9" ht="15.75">
      <c r="C4720" s="949"/>
      <c r="D4720" s="946"/>
      <c r="E4720" s="947"/>
      <c r="F4720" s="1054"/>
      <c r="G4720" s="946"/>
      <c r="H4720" s="1031"/>
      <c r="I4720" s="948"/>
    </row>
    <row r="4721" spans="2:9" ht="15.75">
      <c r="C4721" s="945" t="s">
        <v>923</v>
      </c>
      <c r="D4721" s="946"/>
      <c r="E4721" s="947"/>
      <c r="F4721" s="1054"/>
      <c r="G4721" s="946"/>
      <c r="H4721" s="1031"/>
      <c r="I4721" s="948"/>
    </row>
    <row r="4722" spans="2:9" ht="15.75">
      <c r="C4722" s="949" t="s">
        <v>924</v>
      </c>
      <c r="D4722" s="946"/>
      <c r="E4722" s="947" t="str">
        <f>+VLOOKUP(C4722,'Basic (equilibrio) (2)'!B:D,2,FALSE)</f>
        <v>n/a</v>
      </c>
      <c r="F4722" s="1054">
        <f>+VLOOKUP(C4722,'Basic (equilibrio) (2)'!B:D,3,FALSE)</f>
        <v>0</v>
      </c>
      <c r="G4722" s="946">
        <f>F4722-(F4722/1.18)</f>
        <v>0</v>
      </c>
      <c r="H4722" s="1039"/>
      <c r="I4722" s="955">
        <f>D4722*F4722</f>
        <v>0</v>
      </c>
    </row>
    <row r="4723" spans="2:9" ht="15.75">
      <c r="C4723" s="951" t="s">
        <v>918</v>
      </c>
      <c r="D4723" s="946"/>
      <c r="E4723" s="947"/>
      <c r="F4723" s="1054"/>
      <c r="G4723" s="946"/>
      <c r="H4723" s="1031"/>
      <c r="I4723" s="952">
        <f>SUM(I4722:I4722)</f>
        <v>0</v>
      </c>
    </row>
    <row r="4724" spans="2:9" ht="15.75">
      <c r="C4724" s="949"/>
      <c r="D4724" s="946"/>
      <c r="E4724" s="947"/>
      <c r="F4724" s="1054"/>
      <c r="G4724" s="946"/>
      <c r="H4724" s="1031"/>
      <c r="I4724" s="948"/>
    </row>
    <row r="4725" spans="2:9" ht="15.75">
      <c r="C4725" s="945" t="s">
        <v>925</v>
      </c>
      <c r="D4725" s="946"/>
      <c r="E4725" s="947"/>
      <c r="F4725" s="1054"/>
      <c r="G4725" s="946"/>
      <c r="H4725" s="1031"/>
      <c r="I4725" s="948"/>
    </row>
    <row r="4726" spans="2:9" ht="15.75">
      <c r="C4726" s="949" t="s">
        <v>924</v>
      </c>
      <c r="D4726" s="946"/>
      <c r="E4726" s="947" t="str">
        <f>+VLOOKUP(C4726,'Basic (equilibrio) (2)'!B:D,2,FALSE)</f>
        <v>n/a</v>
      </c>
      <c r="F4726" s="1054">
        <f>+VLOOKUP(C4726,'Basic (equilibrio) (2)'!B:D,3,FALSE)</f>
        <v>0</v>
      </c>
      <c r="G4726" s="946"/>
      <c r="H4726" s="1031"/>
      <c r="I4726" s="948">
        <f>D4726*F4726</f>
        <v>0</v>
      </c>
    </row>
    <row r="4727" spans="2:9" ht="15.75">
      <c r="C4727" s="951" t="s">
        <v>918</v>
      </c>
      <c r="D4727" s="946"/>
      <c r="E4727" s="947"/>
      <c r="F4727" s="1054"/>
      <c r="G4727" s="946"/>
      <c r="H4727" s="1031"/>
      <c r="I4727" s="952">
        <f>SUM(I4726)</f>
        <v>0</v>
      </c>
    </row>
    <row r="4728" spans="2:9" ht="15.75">
      <c r="C4728" s="951"/>
      <c r="D4728" s="946"/>
      <c r="E4728" s="947"/>
      <c r="F4728" s="1054"/>
      <c r="G4728" s="946"/>
      <c r="H4728" s="1031"/>
      <c r="I4728" s="952"/>
    </row>
    <row r="4729" spans="2:9" ht="15.75">
      <c r="C4729" s="956" t="s">
        <v>926</v>
      </c>
      <c r="D4729" s="957"/>
      <c r="E4729" s="958"/>
      <c r="F4729" s="1069"/>
      <c r="G4729" s="957"/>
      <c r="H4729" s="1032"/>
      <c r="I4729" s="959">
        <f>+I4715</f>
        <v>263.5</v>
      </c>
    </row>
    <row r="4730" spans="2:9" ht="15.75">
      <c r="C4730" s="956" t="s">
        <v>927</v>
      </c>
      <c r="D4730" s="957"/>
      <c r="E4730" s="958"/>
      <c r="F4730" s="1069"/>
      <c r="G4730" s="957"/>
      <c r="H4730" s="1032"/>
      <c r="I4730" s="959">
        <f>+I4719</f>
        <v>190</v>
      </c>
    </row>
    <row r="4731" spans="2:9" ht="15.75">
      <c r="C4731" s="956" t="s">
        <v>928</v>
      </c>
      <c r="D4731" s="957"/>
      <c r="E4731" s="958"/>
      <c r="F4731" s="1069"/>
      <c r="G4731" s="957"/>
      <c r="H4731" s="1032"/>
      <c r="I4731" s="959">
        <f>+I4723</f>
        <v>0</v>
      </c>
    </row>
    <row r="4732" spans="2:9" ht="15.75">
      <c r="C4732" s="956" t="s">
        <v>929</v>
      </c>
      <c r="D4732" s="957"/>
      <c r="E4732" s="958"/>
      <c r="F4732" s="1069"/>
      <c r="G4732" s="957"/>
      <c r="H4732" s="1032"/>
      <c r="I4732" s="959">
        <f>+I4727</f>
        <v>0</v>
      </c>
    </row>
    <row r="4733" spans="2:9" ht="15.75">
      <c r="C4733" s="949"/>
      <c r="D4733" s="946"/>
      <c r="E4733" s="947"/>
      <c r="F4733" s="1054"/>
      <c r="G4733" s="946"/>
      <c r="H4733" s="1031"/>
      <c r="I4733" s="948"/>
    </row>
    <row r="4734" spans="2:9" ht="15.75">
      <c r="C4734" s="951" t="s">
        <v>930</v>
      </c>
      <c r="D4734" s="960"/>
      <c r="E4734" s="943" t="str">
        <f>+E4709</f>
        <v>M2</v>
      </c>
      <c r="F4734" s="1070"/>
      <c r="G4734" s="960"/>
      <c r="H4734" s="1033"/>
      <c r="I4734" s="952">
        <f>SUM(I4729:I4732)</f>
        <v>453.5</v>
      </c>
    </row>
    <row r="4735" spans="2:9" ht="15.75">
      <c r="C4735" s="951"/>
      <c r="D4735" s="960"/>
      <c r="E4735" s="943"/>
      <c r="F4735" s="1070"/>
      <c r="G4735" s="960"/>
      <c r="H4735" s="1033"/>
      <c r="I4735" s="952"/>
    </row>
    <row r="4736" spans="2:9" ht="15.75">
      <c r="B4736" s="1026">
        <v>5.3</v>
      </c>
      <c r="C4736" s="937" t="str">
        <f>+Presupuesto!B305</f>
        <v xml:space="preserve">Pañete  pulido en asientos </v>
      </c>
      <c r="D4736" s="938"/>
      <c r="E4736" s="962" t="s">
        <v>20</v>
      </c>
      <c r="F4736" s="1066"/>
      <c r="G4736" s="938"/>
      <c r="H4736" s="1029"/>
      <c r="I4736" s="940">
        <f>I4762</f>
        <v>503.5</v>
      </c>
    </row>
    <row r="4737" spans="3:9" ht="15.75">
      <c r="C4737" s="941" t="s">
        <v>908</v>
      </c>
      <c r="D4737" s="942" t="s">
        <v>9</v>
      </c>
      <c r="E4737" s="943" t="s">
        <v>10</v>
      </c>
      <c r="F4737" s="1067" t="s">
        <v>909</v>
      </c>
      <c r="G4737" s="942" t="s">
        <v>910</v>
      </c>
      <c r="H4737" s="1030" t="s">
        <v>911</v>
      </c>
      <c r="I4737" s="944" t="s">
        <v>912</v>
      </c>
    </row>
    <row r="4738" spans="3:9" ht="15.75">
      <c r="C4738" s="945" t="s">
        <v>913</v>
      </c>
      <c r="D4738" s="946"/>
      <c r="E4738" s="947"/>
      <c r="F4738" s="1054"/>
      <c r="G4738" s="946"/>
      <c r="H4738" s="1031"/>
      <c r="I4738" s="948"/>
    </row>
    <row r="4739" spans="3:9" ht="15.75">
      <c r="C4739" s="949" t="s">
        <v>958</v>
      </c>
      <c r="D4739" s="946">
        <v>0.03</v>
      </c>
      <c r="E4739" s="947" t="str">
        <f>+VLOOKUP(C4739,'Basic (equilibrio) (2)'!B:D,2,FALSE)</f>
        <v>m3</v>
      </c>
      <c r="F4739" s="1068">
        <f>'Basic (equilibrio) (2)'!$D$309</f>
        <v>6820</v>
      </c>
      <c r="G4739" s="946">
        <f>F4739-(F4739/1.18)</f>
        <v>1040.3399999999999</v>
      </c>
      <c r="H4739" s="1031"/>
      <c r="I4739" s="948">
        <f>D4739*F4739</f>
        <v>204.6</v>
      </c>
    </row>
    <row r="4740" spans="3:9" ht="15.75">
      <c r="C4740" s="949" t="s">
        <v>1206</v>
      </c>
      <c r="D4740" s="946">
        <v>0.03</v>
      </c>
      <c r="E4740" s="947" t="str">
        <f>+VLOOKUP(C4740,'Basic (equilibrio) (2)'!B:D,2,FALSE)</f>
        <v>pt</v>
      </c>
      <c r="F4740" s="1068">
        <f>'Basic (equilibrio) (2)'!$D$310</f>
        <v>230</v>
      </c>
      <c r="G4740" s="946">
        <f>F4740-(F4740/1.18)</f>
        <v>35.08</v>
      </c>
      <c r="H4740" s="1031"/>
      <c r="I4740" s="948">
        <f>D4740*F4740</f>
        <v>6.9</v>
      </c>
    </row>
    <row r="4741" spans="3:9" ht="15.75">
      <c r="C4741" s="949" t="s">
        <v>1079</v>
      </c>
      <c r="D4741" s="946">
        <v>1</v>
      </c>
      <c r="E4741" s="947" t="str">
        <f>+VLOOKUP(C4741,'Basic (equilibrio) (2)'!B:D,2,FALSE)</f>
        <v>m2</v>
      </c>
      <c r="F4741" s="1068">
        <f>'Basic (equilibrio) (2)'!$D$31</f>
        <v>52</v>
      </c>
      <c r="G4741" s="946">
        <f>F4741-(F4741/1.18)</f>
        <v>7.93</v>
      </c>
      <c r="H4741" s="1031"/>
      <c r="I4741" s="948">
        <f>D4741*F4741</f>
        <v>52</v>
      </c>
    </row>
    <row r="4742" spans="3:9" ht="15.75">
      <c r="C4742" s="951" t="s">
        <v>918</v>
      </c>
      <c r="D4742" s="946"/>
      <c r="E4742" s="947"/>
      <c r="F4742" s="1068"/>
      <c r="G4742" s="946"/>
      <c r="H4742" s="1031"/>
      <c r="I4742" s="952">
        <f>SUM(I4739:I4741)</f>
        <v>263.5</v>
      </c>
    </row>
    <row r="4743" spans="3:9" ht="15.75">
      <c r="C4743" s="949"/>
      <c r="D4743" s="946"/>
      <c r="E4743" s="947"/>
      <c r="F4743" s="1068"/>
      <c r="G4743" s="946"/>
      <c r="H4743" s="1031"/>
      <c r="I4743" s="948"/>
    </row>
    <row r="4744" spans="3:9" ht="15.75">
      <c r="C4744" s="945" t="s">
        <v>919</v>
      </c>
      <c r="D4744" s="946"/>
      <c r="E4744" s="947"/>
      <c r="F4744" s="1068"/>
      <c r="G4744" s="946"/>
      <c r="H4744" s="1031"/>
      <c r="I4744" s="948"/>
    </row>
    <row r="4745" spans="3:9" ht="15.75">
      <c r="C4745" s="949" t="s">
        <v>1078</v>
      </c>
      <c r="D4745" s="953">
        <v>1</v>
      </c>
      <c r="E4745" s="954" t="str">
        <f>+VLOOKUP(C4745,'Basic (equilibrio) (2)'!B:D,2,FALSE)</f>
        <v>m2</v>
      </c>
      <c r="F4745" s="1068">
        <f>+VLOOKUP(C4745,'Basic (equilibrio) (2)'!B:D,3,FALSE)</f>
        <v>190</v>
      </c>
      <c r="G4745" s="946">
        <v>0</v>
      </c>
      <c r="H4745" s="1031"/>
      <c r="I4745" s="948">
        <f>(D4745*F4745)</f>
        <v>190</v>
      </c>
    </row>
    <row r="4746" spans="3:9" ht="15.75">
      <c r="C4746" s="949" t="s">
        <v>1555</v>
      </c>
      <c r="D4746" s="953">
        <v>1</v>
      </c>
      <c r="E4746" s="954" t="str">
        <f>+VLOOKUP(C4746,'Basic (equilibrio) (2)'!B:D,2,FALSE)</f>
        <v>m2</v>
      </c>
      <c r="F4746" s="1068">
        <f>+VLOOKUP(C4746,'Basic (equilibrio) (2)'!B:D,3,FALSE)</f>
        <v>50</v>
      </c>
      <c r="G4746" s="946">
        <v>0</v>
      </c>
      <c r="H4746" s="1031"/>
      <c r="I4746" s="948">
        <f>(D4746*F4746)</f>
        <v>50</v>
      </c>
    </row>
    <row r="4747" spans="3:9" ht="15.75">
      <c r="C4747" s="951" t="s">
        <v>918</v>
      </c>
      <c r="D4747" s="946"/>
      <c r="E4747" s="947"/>
      <c r="F4747" s="1054"/>
      <c r="G4747" s="946"/>
      <c r="H4747" s="1031"/>
      <c r="I4747" s="952">
        <f>SUM(I4745:I4746)</f>
        <v>240</v>
      </c>
    </row>
    <row r="4748" spans="3:9" ht="15.75">
      <c r="C4748" s="949"/>
      <c r="D4748" s="946"/>
      <c r="E4748" s="947"/>
      <c r="F4748" s="1054"/>
      <c r="G4748" s="946"/>
      <c r="H4748" s="1031"/>
      <c r="I4748" s="948"/>
    </row>
    <row r="4749" spans="3:9" ht="15.75">
      <c r="C4749" s="945" t="s">
        <v>923</v>
      </c>
      <c r="D4749" s="946"/>
      <c r="E4749" s="947"/>
      <c r="F4749" s="1054"/>
      <c r="G4749" s="946"/>
      <c r="H4749" s="1031"/>
      <c r="I4749" s="948"/>
    </row>
    <row r="4750" spans="3:9" ht="15.75">
      <c r="C4750" s="949" t="s">
        <v>924</v>
      </c>
      <c r="D4750" s="946"/>
      <c r="E4750" s="947" t="str">
        <f>+VLOOKUP(C4750,'Basic (equilibrio) (2)'!B:D,2,FALSE)</f>
        <v>n/a</v>
      </c>
      <c r="F4750" s="1054">
        <f>+VLOOKUP(C4750,'Basic (equilibrio) (2)'!B:D,3,FALSE)</f>
        <v>0</v>
      </c>
      <c r="G4750" s="946">
        <f>F4750-(F4750/1.18)</f>
        <v>0</v>
      </c>
      <c r="H4750" s="1039"/>
      <c r="I4750" s="955">
        <f>D4750*F4750</f>
        <v>0</v>
      </c>
    </row>
    <row r="4751" spans="3:9" ht="15.75">
      <c r="C4751" s="951" t="s">
        <v>918</v>
      </c>
      <c r="D4751" s="946"/>
      <c r="E4751" s="947"/>
      <c r="F4751" s="1054"/>
      <c r="G4751" s="946"/>
      <c r="H4751" s="1031"/>
      <c r="I4751" s="952">
        <f>SUM(I4750:I4750)</f>
        <v>0</v>
      </c>
    </row>
    <row r="4752" spans="3:9" ht="15.75">
      <c r="C4752" s="949"/>
      <c r="D4752" s="946"/>
      <c r="E4752" s="947"/>
      <c r="F4752" s="1054"/>
      <c r="G4752" s="946"/>
      <c r="H4752" s="1031"/>
      <c r="I4752" s="948"/>
    </row>
    <row r="4753" spans="2:9" ht="15.75">
      <c r="C4753" s="945" t="s">
        <v>925</v>
      </c>
      <c r="D4753" s="946"/>
      <c r="E4753" s="947"/>
      <c r="F4753" s="1054"/>
      <c r="G4753" s="946"/>
      <c r="H4753" s="1031"/>
      <c r="I4753" s="948"/>
    </row>
    <row r="4754" spans="2:9" ht="15.75">
      <c r="C4754" s="949" t="s">
        <v>924</v>
      </c>
      <c r="D4754" s="946"/>
      <c r="E4754" s="947" t="str">
        <f>+VLOOKUP(C4754,'Basic (equilibrio) (2)'!B:D,2,FALSE)</f>
        <v>n/a</v>
      </c>
      <c r="F4754" s="1054">
        <f>+VLOOKUP(C4754,'Basic (equilibrio) (2)'!B:D,3,FALSE)</f>
        <v>0</v>
      </c>
      <c r="G4754" s="946"/>
      <c r="H4754" s="1031"/>
      <c r="I4754" s="948">
        <f>D4754*F4754</f>
        <v>0</v>
      </c>
    </row>
    <row r="4755" spans="2:9" ht="15.75">
      <c r="C4755" s="951" t="s">
        <v>918</v>
      </c>
      <c r="D4755" s="946"/>
      <c r="E4755" s="947"/>
      <c r="F4755" s="1054"/>
      <c r="G4755" s="946"/>
      <c r="H4755" s="1031"/>
      <c r="I4755" s="952">
        <f>SUM(I4754)</f>
        <v>0</v>
      </c>
    </row>
    <row r="4756" spans="2:9" ht="15.75">
      <c r="C4756" s="951"/>
      <c r="D4756" s="946"/>
      <c r="E4756" s="947"/>
      <c r="F4756" s="1054"/>
      <c r="G4756" s="946"/>
      <c r="H4756" s="1031"/>
      <c r="I4756" s="952"/>
    </row>
    <row r="4757" spans="2:9" ht="15.75">
      <c r="C4757" s="956" t="s">
        <v>926</v>
      </c>
      <c r="D4757" s="957"/>
      <c r="E4757" s="958"/>
      <c r="F4757" s="1069"/>
      <c r="G4757" s="957"/>
      <c r="H4757" s="1032"/>
      <c r="I4757" s="959">
        <f>+I4742</f>
        <v>263.5</v>
      </c>
    </row>
    <row r="4758" spans="2:9" ht="15.75">
      <c r="C4758" s="956" t="s">
        <v>927</v>
      </c>
      <c r="D4758" s="957"/>
      <c r="E4758" s="958"/>
      <c r="F4758" s="1069"/>
      <c r="G4758" s="957"/>
      <c r="H4758" s="1032"/>
      <c r="I4758" s="959">
        <f>+I4747</f>
        <v>240</v>
      </c>
    </row>
    <row r="4759" spans="2:9" ht="15.75">
      <c r="C4759" s="956" t="s">
        <v>928</v>
      </c>
      <c r="D4759" s="957"/>
      <c r="E4759" s="958"/>
      <c r="F4759" s="1069"/>
      <c r="G4759" s="957"/>
      <c r="H4759" s="1032"/>
      <c r="I4759" s="959">
        <f>+I4751</f>
        <v>0</v>
      </c>
    </row>
    <row r="4760" spans="2:9" ht="15.75">
      <c r="C4760" s="956" t="s">
        <v>929</v>
      </c>
      <c r="D4760" s="957"/>
      <c r="E4760" s="958"/>
      <c r="F4760" s="1069"/>
      <c r="G4760" s="957"/>
      <c r="H4760" s="1032"/>
      <c r="I4760" s="959">
        <f>+I4755</f>
        <v>0</v>
      </c>
    </row>
    <row r="4761" spans="2:9" ht="15.75">
      <c r="C4761" s="949"/>
      <c r="D4761" s="946"/>
      <c r="E4761" s="947"/>
      <c r="F4761" s="1054"/>
      <c r="G4761" s="946"/>
      <c r="H4761" s="1031"/>
      <c r="I4761" s="948"/>
    </row>
    <row r="4762" spans="2:9" ht="15.75">
      <c r="C4762" s="951" t="s">
        <v>930</v>
      </c>
      <c r="D4762" s="960"/>
      <c r="E4762" s="943" t="str">
        <f>+E4736</f>
        <v>M2</v>
      </c>
      <c r="F4762" s="1070"/>
      <c r="G4762" s="960"/>
      <c r="H4762" s="1033"/>
      <c r="I4762" s="952">
        <f>SUM(I4757:I4760)</f>
        <v>503.5</v>
      </c>
    </row>
    <row r="4763" spans="2:9" ht="15.75">
      <c r="C4763" s="951"/>
      <c r="D4763" s="960"/>
      <c r="E4763" s="943"/>
      <c r="F4763" s="1070"/>
      <c r="G4763" s="960"/>
      <c r="H4763" s="1033"/>
      <c r="I4763" s="952"/>
    </row>
    <row r="4764" spans="2:9" ht="15.75">
      <c r="B4764" s="1026">
        <v>5.4</v>
      </c>
      <c r="C4764" s="937" t="str">
        <f>+Presupuesto!B306</f>
        <v>Fraguache</v>
      </c>
      <c r="D4764" s="938"/>
      <c r="E4764" s="962" t="s">
        <v>20</v>
      </c>
      <c r="F4764" s="1066"/>
      <c r="G4764" s="938"/>
      <c r="H4764" s="1029"/>
      <c r="I4764" s="940">
        <f>I4788</f>
        <v>101.1</v>
      </c>
    </row>
    <row r="4765" spans="2:9" ht="15.75">
      <c r="C4765" s="941" t="s">
        <v>908</v>
      </c>
      <c r="D4765" s="942" t="s">
        <v>9</v>
      </c>
      <c r="E4765" s="943" t="s">
        <v>10</v>
      </c>
      <c r="F4765" s="1067" t="s">
        <v>909</v>
      </c>
      <c r="G4765" s="942" t="s">
        <v>910</v>
      </c>
      <c r="H4765" s="1030" t="s">
        <v>911</v>
      </c>
      <c r="I4765" s="944" t="s">
        <v>912</v>
      </c>
    </row>
    <row r="4766" spans="2:9" ht="15.75">
      <c r="C4766" s="945" t="s">
        <v>913</v>
      </c>
      <c r="D4766" s="946"/>
      <c r="E4766" s="947"/>
      <c r="F4766" s="1054"/>
      <c r="G4766" s="946"/>
      <c r="H4766" s="1031"/>
      <c r="I4766" s="948"/>
    </row>
    <row r="4767" spans="2:9" ht="15.75">
      <c r="C4767" s="949" t="s">
        <v>958</v>
      </c>
      <c r="D4767" s="946">
        <v>0.01</v>
      </c>
      <c r="E4767" s="947" t="str">
        <f>+VLOOKUP(C4767,'Basic (equilibrio) (2)'!B:D,2,FALSE)</f>
        <v>m3</v>
      </c>
      <c r="F4767" s="1068">
        <f>'Basic (equilibrio) (2)'!$D$309</f>
        <v>6820</v>
      </c>
      <c r="G4767" s="946">
        <f>F4767-(F4767/1.18)</f>
        <v>1040.3399999999999</v>
      </c>
      <c r="H4767" s="1031"/>
      <c r="I4767" s="948">
        <f>D4767*F4767</f>
        <v>68.2</v>
      </c>
    </row>
    <row r="4768" spans="2:9" ht="15.75">
      <c r="C4768" s="949" t="s">
        <v>1206</v>
      </c>
      <c r="D4768" s="946">
        <v>0.03</v>
      </c>
      <c r="E4768" s="947" t="str">
        <f>+VLOOKUP(C4768,'Basic (equilibrio) (2)'!B:D,2,FALSE)</f>
        <v>pt</v>
      </c>
      <c r="F4768" s="1068">
        <f>'Basic (equilibrio) (2)'!$D$310</f>
        <v>230</v>
      </c>
      <c r="G4768" s="946">
        <f>F4768-(F4768/1.18)</f>
        <v>35.08</v>
      </c>
      <c r="H4768" s="1031"/>
      <c r="I4768" s="948">
        <f>D4768*F4768</f>
        <v>6.9</v>
      </c>
    </row>
    <row r="4769" spans="3:9" ht="15.75">
      <c r="C4769" s="951" t="s">
        <v>918</v>
      </c>
      <c r="D4769" s="946"/>
      <c r="E4769" s="947"/>
      <c r="F4769" s="1068"/>
      <c r="G4769" s="946"/>
      <c r="H4769" s="1031"/>
      <c r="I4769" s="952">
        <f>SUM(I4767:I4768)</f>
        <v>75.099999999999994</v>
      </c>
    </row>
    <row r="4770" spans="3:9" ht="15.75">
      <c r="C4770" s="949"/>
      <c r="D4770" s="946"/>
      <c r="E4770" s="947"/>
      <c r="F4770" s="1068"/>
      <c r="G4770" s="946"/>
      <c r="H4770" s="1031"/>
      <c r="I4770" s="948"/>
    </row>
    <row r="4771" spans="3:9" ht="15.75">
      <c r="C4771" s="945" t="s">
        <v>919</v>
      </c>
      <c r="D4771" s="946"/>
      <c r="E4771" s="947"/>
      <c r="F4771" s="1068"/>
      <c r="G4771" s="946"/>
      <c r="H4771" s="1031"/>
      <c r="I4771" s="948"/>
    </row>
    <row r="4772" spans="3:9" ht="15.75">
      <c r="C4772" s="949" t="s">
        <v>1080</v>
      </c>
      <c r="D4772" s="953">
        <v>1</v>
      </c>
      <c r="E4772" s="954" t="str">
        <f>+VLOOKUP(C4772,'Basic (equilibrio) (2)'!B:D,2,FALSE)</f>
        <v>m2</v>
      </c>
      <c r="F4772" s="1068">
        <f>'Basic (equilibrio) (2)'!$D$32</f>
        <v>26</v>
      </c>
      <c r="G4772" s="946">
        <v>0</v>
      </c>
      <c r="H4772" s="1031"/>
      <c r="I4772" s="948">
        <f>(D4772*F4772)</f>
        <v>26</v>
      </c>
    </row>
    <row r="4773" spans="3:9" ht="15.75">
      <c r="C4773" s="951" t="s">
        <v>918</v>
      </c>
      <c r="D4773" s="946"/>
      <c r="E4773" s="947"/>
      <c r="F4773" s="1054"/>
      <c r="G4773" s="946"/>
      <c r="H4773" s="1031"/>
      <c r="I4773" s="952">
        <f>SUM(I4772:I4772)</f>
        <v>26</v>
      </c>
    </row>
    <row r="4774" spans="3:9" ht="15.75">
      <c r="C4774" s="949"/>
      <c r="D4774" s="946"/>
      <c r="E4774" s="947"/>
      <c r="F4774" s="1054"/>
      <c r="G4774" s="946"/>
      <c r="H4774" s="1031"/>
      <c r="I4774" s="948"/>
    </row>
    <row r="4775" spans="3:9" ht="15.75">
      <c r="C4775" s="945" t="s">
        <v>923</v>
      </c>
      <c r="D4775" s="946"/>
      <c r="E4775" s="947"/>
      <c r="F4775" s="1054"/>
      <c r="G4775" s="946"/>
      <c r="H4775" s="1031"/>
      <c r="I4775" s="948"/>
    </row>
    <row r="4776" spans="3:9" ht="15.75">
      <c r="C4776" s="949" t="s">
        <v>924</v>
      </c>
      <c r="D4776" s="946"/>
      <c r="E4776" s="947" t="str">
        <f>+VLOOKUP(C4776,'Basic (equilibrio) (2)'!B:D,2,FALSE)</f>
        <v>n/a</v>
      </c>
      <c r="F4776" s="1054">
        <f>+VLOOKUP(C4776,'Basic (equilibrio) (2)'!B:D,3,FALSE)</f>
        <v>0</v>
      </c>
      <c r="G4776" s="946">
        <f>F4776-(F4776/1.18)</f>
        <v>0</v>
      </c>
      <c r="H4776" s="1039"/>
      <c r="I4776" s="955">
        <f>D4776*F4776</f>
        <v>0</v>
      </c>
    </row>
    <row r="4777" spans="3:9" ht="15.75">
      <c r="C4777" s="951" t="s">
        <v>918</v>
      </c>
      <c r="D4777" s="946"/>
      <c r="E4777" s="947"/>
      <c r="F4777" s="1054"/>
      <c r="G4777" s="946"/>
      <c r="H4777" s="1031"/>
      <c r="I4777" s="952">
        <f>SUM(I4776:I4776)</f>
        <v>0</v>
      </c>
    </row>
    <row r="4778" spans="3:9" ht="15.75">
      <c r="C4778" s="949"/>
      <c r="D4778" s="946"/>
      <c r="E4778" s="947"/>
      <c r="F4778" s="1054"/>
      <c r="G4778" s="946"/>
      <c r="H4778" s="1031"/>
      <c r="I4778" s="948"/>
    </row>
    <row r="4779" spans="3:9" ht="15.75">
      <c r="C4779" s="945" t="s">
        <v>925</v>
      </c>
      <c r="D4779" s="946"/>
      <c r="E4779" s="947"/>
      <c r="F4779" s="1054"/>
      <c r="G4779" s="946"/>
      <c r="H4779" s="1031"/>
      <c r="I4779" s="948"/>
    </row>
    <row r="4780" spans="3:9" ht="15.75">
      <c r="C4780" s="949" t="s">
        <v>924</v>
      </c>
      <c r="D4780" s="946"/>
      <c r="E4780" s="947" t="str">
        <f>+VLOOKUP(C4780,'Basic (equilibrio) (2)'!B:D,2,FALSE)</f>
        <v>n/a</v>
      </c>
      <c r="F4780" s="1054">
        <f>+VLOOKUP(C4780,'Basic (equilibrio) (2)'!B:D,3,FALSE)</f>
        <v>0</v>
      </c>
      <c r="G4780" s="946"/>
      <c r="H4780" s="1031"/>
      <c r="I4780" s="948">
        <f>D4780*F4780</f>
        <v>0</v>
      </c>
    </row>
    <row r="4781" spans="3:9" ht="15.75">
      <c r="C4781" s="951" t="s">
        <v>918</v>
      </c>
      <c r="D4781" s="946"/>
      <c r="E4781" s="947"/>
      <c r="F4781" s="1054"/>
      <c r="G4781" s="946"/>
      <c r="H4781" s="1031"/>
      <c r="I4781" s="952">
        <f>SUM(I4780)</f>
        <v>0</v>
      </c>
    </row>
    <row r="4782" spans="3:9" ht="15.75">
      <c r="C4782" s="951"/>
      <c r="D4782" s="946"/>
      <c r="E4782" s="947"/>
      <c r="F4782" s="1054"/>
      <c r="G4782" s="946"/>
      <c r="H4782" s="1031"/>
      <c r="I4782" s="952"/>
    </row>
    <row r="4783" spans="3:9" ht="15.75">
      <c r="C4783" s="956" t="s">
        <v>926</v>
      </c>
      <c r="D4783" s="957"/>
      <c r="E4783" s="958"/>
      <c r="F4783" s="1069"/>
      <c r="G4783" s="957"/>
      <c r="H4783" s="1032"/>
      <c r="I4783" s="959">
        <f>+I4769</f>
        <v>75.099999999999994</v>
      </c>
    </row>
    <row r="4784" spans="3:9" ht="15.75">
      <c r="C4784" s="956" t="s">
        <v>927</v>
      </c>
      <c r="D4784" s="957"/>
      <c r="E4784" s="958"/>
      <c r="F4784" s="1069"/>
      <c r="G4784" s="957"/>
      <c r="H4784" s="1032"/>
      <c r="I4784" s="959">
        <f>+I4773</f>
        <v>26</v>
      </c>
    </row>
    <row r="4785" spans="2:9" ht="15.75">
      <c r="C4785" s="956" t="s">
        <v>928</v>
      </c>
      <c r="D4785" s="957"/>
      <c r="E4785" s="958"/>
      <c r="F4785" s="1069"/>
      <c r="G4785" s="957"/>
      <c r="H4785" s="1032"/>
      <c r="I4785" s="959">
        <f>+I4777</f>
        <v>0</v>
      </c>
    </row>
    <row r="4786" spans="2:9" ht="15.75">
      <c r="C4786" s="956" t="s">
        <v>929</v>
      </c>
      <c r="D4786" s="957"/>
      <c r="E4786" s="958"/>
      <c r="F4786" s="1069"/>
      <c r="G4786" s="957"/>
      <c r="H4786" s="1032"/>
      <c r="I4786" s="959">
        <f>+I4781</f>
        <v>0</v>
      </c>
    </row>
    <row r="4787" spans="2:9" ht="15.75">
      <c r="C4787" s="949"/>
      <c r="D4787" s="946"/>
      <c r="E4787" s="947"/>
      <c r="F4787" s="1054"/>
      <c r="G4787" s="946"/>
      <c r="H4787" s="1031"/>
      <c r="I4787" s="948"/>
    </row>
    <row r="4788" spans="2:9" ht="15.75">
      <c r="C4788" s="951" t="s">
        <v>930</v>
      </c>
      <c r="D4788" s="960"/>
      <c r="E4788" s="943" t="str">
        <f>+E4764</f>
        <v>M2</v>
      </c>
      <c r="F4788" s="1070"/>
      <c r="G4788" s="960"/>
      <c r="H4788" s="1033"/>
      <c r="I4788" s="952">
        <f>SUM(I4783:I4786)</f>
        <v>101.1</v>
      </c>
    </row>
    <row r="4789" spans="2:9" ht="15.75">
      <c r="C4789" s="951"/>
      <c r="D4789" s="960"/>
      <c r="E4789" s="943"/>
      <c r="F4789" s="1070"/>
      <c r="G4789" s="960"/>
      <c r="H4789" s="1033"/>
      <c r="I4789" s="952"/>
    </row>
    <row r="4790" spans="2:9" ht="15.75">
      <c r="C4790" s="951"/>
      <c r="D4790" s="960"/>
      <c r="E4790" s="943"/>
      <c r="F4790" s="1070"/>
      <c r="G4790" s="960"/>
      <c r="H4790" s="1033"/>
      <c r="I4790" s="952"/>
    </row>
    <row r="4791" spans="2:9" ht="15.75">
      <c r="B4791" s="1026">
        <v>5.5</v>
      </c>
      <c r="C4791" s="937" t="str">
        <f>+Presupuesto!B307</f>
        <v>Cantos</v>
      </c>
      <c r="D4791" s="938"/>
      <c r="E4791" s="962" t="s">
        <v>15</v>
      </c>
      <c r="F4791" s="1066"/>
      <c r="G4791" s="938"/>
      <c r="H4791" s="1029"/>
      <c r="I4791" s="940">
        <f>I4815</f>
        <v>158.5</v>
      </c>
    </row>
    <row r="4792" spans="2:9" ht="15.75">
      <c r="C4792" s="941" t="s">
        <v>908</v>
      </c>
      <c r="D4792" s="942" t="s">
        <v>9</v>
      </c>
      <c r="E4792" s="943" t="s">
        <v>10</v>
      </c>
      <c r="F4792" s="1067" t="s">
        <v>909</v>
      </c>
      <c r="G4792" s="942" t="s">
        <v>910</v>
      </c>
      <c r="H4792" s="1030" t="s">
        <v>911</v>
      </c>
      <c r="I4792" s="944" t="s">
        <v>912</v>
      </c>
    </row>
    <row r="4793" spans="2:9" ht="15.75">
      <c r="C4793" s="945" t="s">
        <v>913</v>
      </c>
      <c r="D4793" s="946"/>
      <c r="E4793" s="947"/>
      <c r="F4793" s="1054"/>
      <c r="G4793" s="946"/>
      <c r="H4793" s="1031"/>
      <c r="I4793" s="948"/>
    </row>
    <row r="4794" spans="2:9" ht="15.75">
      <c r="C4794" s="949" t="s">
        <v>958</v>
      </c>
      <c r="D4794" s="946">
        <v>0.01</v>
      </c>
      <c r="E4794" s="947" t="str">
        <f>+VLOOKUP(C4794,'Basic (equilibrio) (2)'!B:D,2,FALSE)</f>
        <v>m3</v>
      </c>
      <c r="F4794" s="1068">
        <f>'Basic (equilibrio) (2)'!$D$309</f>
        <v>6820</v>
      </c>
      <c r="G4794" s="946">
        <f>F4794-(F4794/1.18)</f>
        <v>1040.3399999999999</v>
      </c>
      <c r="H4794" s="1031"/>
      <c r="I4794" s="948">
        <f>D4794*F4794</f>
        <v>68.2</v>
      </c>
    </row>
    <row r="4795" spans="2:9" ht="15.75">
      <c r="C4795" s="949" t="s">
        <v>1206</v>
      </c>
      <c r="D4795" s="946">
        <v>0.11</v>
      </c>
      <c r="E4795" s="947" t="str">
        <f>+VLOOKUP(C4795,'Basic (equilibrio) (2)'!B:D,2,FALSE)</f>
        <v>pt</v>
      </c>
      <c r="F4795" s="1068">
        <f>'Basic (equilibrio) (2)'!$D$310</f>
        <v>230</v>
      </c>
      <c r="G4795" s="946">
        <f>F4795-(F4795/1.18)</f>
        <v>35.08</v>
      </c>
      <c r="H4795" s="1031"/>
      <c r="I4795" s="948">
        <f>D4795*F4795</f>
        <v>25.3</v>
      </c>
    </row>
    <row r="4796" spans="2:9" ht="15.75">
      <c r="C4796" s="951" t="s">
        <v>918</v>
      </c>
      <c r="D4796" s="946"/>
      <c r="E4796" s="947"/>
      <c r="F4796" s="1068"/>
      <c r="G4796" s="946"/>
      <c r="H4796" s="1031"/>
      <c r="I4796" s="952">
        <f>SUM(I4794:I4795)</f>
        <v>93.5</v>
      </c>
    </row>
    <row r="4797" spans="2:9" ht="15.75">
      <c r="C4797" s="949"/>
      <c r="D4797" s="946"/>
      <c r="E4797" s="947"/>
      <c r="F4797" s="1068"/>
      <c r="G4797" s="946"/>
      <c r="H4797" s="1031"/>
      <c r="I4797" s="948"/>
    </row>
    <row r="4798" spans="2:9" ht="15.75">
      <c r="C4798" s="945" t="s">
        <v>919</v>
      </c>
      <c r="D4798" s="946"/>
      <c r="E4798" s="947"/>
      <c r="F4798" s="1068"/>
      <c r="G4798" s="946"/>
      <c r="H4798" s="1031"/>
      <c r="I4798" s="948"/>
    </row>
    <row r="4799" spans="2:9" ht="15.75">
      <c r="C4799" s="949" t="s">
        <v>1081</v>
      </c>
      <c r="D4799" s="953">
        <v>1</v>
      </c>
      <c r="E4799" s="954" t="str">
        <f>+VLOOKUP(C4799,'Basic (equilibrio) (2)'!B:D,2,FALSE)</f>
        <v>ml</v>
      </c>
      <c r="F4799" s="1068">
        <f>'Basic (equilibrio) (2)'!$D$33</f>
        <v>65</v>
      </c>
      <c r="G4799" s="946">
        <v>0</v>
      </c>
      <c r="H4799" s="1031"/>
      <c r="I4799" s="948">
        <f>(D4799*F4799)</f>
        <v>65</v>
      </c>
    </row>
    <row r="4800" spans="2:9" ht="15.75">
      <c r="C4800" s="951" t="s">
        <v>918</v>
      </c>
      <c r="D4800" s="946"/>
      <c r="E4800" s="947"/>
      <c r="F4800" s="1054"/>
      <c r="G4800" s="946"/>
      <c r="H4800" s="1031"/>
      <c r="I4800" s="952">
        <f>SUM(I4799:I4799)</f>
        <v>65</v>
      </c>
    </row>
    <row r="4801" spans="3:9" ht="15.75">
      <c r="C4801" s="949"/>
      <c r="D4801" s="946"/>
      <c r="E4801" s="947"/>
      <c r="F4801" s="1054"/>
      <c r="G4801" s="946"/>
      <c r="H4801" s="1031"/>
      <c r="I4801" s="948"/>
    </row>
    <row r="4802" spans="3:9" ht="15.75">
      <c r="C4802" s="945" t="s">
        <v>923</v>
      </c>
      <c r="D4802" s="946"/>
      <c r="E4802" s="947"/>
      <c r="F4802" s="1054"/>
      <c r="G4802" s="946"/>
      <c r="H4802" s="1031"/>
      <c r="I4802" s="948"/>
    </row>
    <row r="4803" spans="3:9" ht="15.75">
      <c r="C4803" s="949" t="s">
        <v>924</v>
      </c>
      <c r="D4803" s="946"/>
      <c r="E4803" s="947" t="str">
        <f>+VLOOKUP(C4803,'Basic (equilibrio) (2)'!B:D,2,FALSE)</f>
        <v>n/a</v>
      </c>
      <c r="F4803" s="1054">
        <f>+VLOOKUP(C4803,'Basic (equilibrio) (2)'!B:D,3,FALSE)</f>
        <v>0</v>
      </c>
      <c r="G4803" s="946">
        <f>F4803-(F4803/1.18)</f>
        <v>0</v>
      </c>
      <c r="H4803" s="1039"/>
      <c r="I4803" s="955">
        <f>D4803*F4803</f>
        <v>0</v>
      </c>
    </row>
    <row r="4804" spans="3:9" ht="15.75">
      <c r="C4804" s="951" t="s">
        <v>918</v>
      </c>
      <c r="D4804" s="946"/>
      <c r="E4804" s="947"/>
      <c r="F4804" s="1054"/>
      <c r="G4804" s="946"/>
      <c r="H4804" s="1031"/>
      <c r="I4804" s="952">
        <f>SUM(I4803:I4803)</f>
        <v>0</v>
      </c>
    </row>
    <row r="4805" spans="3:9" ht="15.75">
      <c r="C4805" s="949"/>
      <c r="D4805" s="946"/>
      <c r="E4805" s="947"/>
      <c r="F4805" s="1054"/>
      <c r="G4805" s="946"/>
      <c r="H4805" s="1031"/>
      <c r="I4805" s="948"/>
    </row>
    <row r="4806" spans="3:9" ht="15.75">
      <c r="C4806" s="945" t="s">
        <v>925</v>
      </c>
      <c r="D4806" s="946"/>
      <c r="E4806" s="947"/>
      <c r="F4806" s="1054"/>
      <c r="G4806" s="946"/>
      <c r="H4806" s="1031"/>
      <c r="I4806" s="948"/>
    </row>
    <row r="4807" spans="3:9" ht="15.75">
      <c r="C4807" s="949" t="s">
        <v>924</v>
      </c>
      <c r="D4807" s="946"/>
      <c r="E4807" s="947" t="str">
        <f>+VLOOKUP(C4807,'Basic (equilibrio) (2)'!B:D,2,FALSE)</f>
        <v>n/a</v>
      </c>
      <c r="F4807" s="1054">
        <f>+VLOOKUP(C4807,'Basic (equilibrio) (2)'!B:D,3,FALSE)</f>
        <v>0</v>
      </c>
      <c r="G4807" s="946"/>
      <c r="H4807" s="1031"/>
      <c r="I4807" s="948">
        <f>D4807*F4807</f>
        <v>0</v>
      </c>
    </row>
    <row r="4808" spans="3:9" ht="15.75">
      <c r="C4808" s="951" t="s">
        <v>918</v>
      </c>
      <c r="D4808" s="946"/>
      <c r="E4808" s="947"/>
      <c r="F4808" s="1054"/>
      <c r="G4808" s="946"/>
      <c r="H4808" s="1031"/>
      <c r="I4808" s="952">
        <f>SUM(I4807)</f>
        <v>0</v>
      </c>
    </row>
    <row r="4809" spans="3:9" ht="15.75">
      <c r="C4809" s="951"/>
      <c r="D4809" s="946"/>
      <c r="E4809" s="947"/>
      <c r="F4809" s="1054"/>
      <c r="G4809" s="946"/>
      <c r="H4809" s="1031"/>
      <c r="I4809" s="952"/>
    </row>
    <row r="4810" spans="3:9" ht="15.75">
      <c r="C4810" s="956" t="s">
        <v>926</v>
      </c>
      <c r="D4810" s="957"/>
      <c r="E4810" s="958"/>
      <c r="F4810" s="1069"/>
      <c r="G4810" s="957"/>
      <c r="H4810" s="1032"/>
      <c r="I4810" s="959">
        <f>+I4796</f>
        <v>93.5</v>
      </c>
    </row>
    <row r="4811" spans="3:9" ht="15.75">
      <c r="C4811" s="956" t="s">
        <v>927</v>
      </c>
      <c r="D4811" s="957"/>
      <c r="E4811" s="958"/>
      <c r="F4811" s="1069"/>
      <c r="G4811" s="957"/>
      <c r="H4811" s="1032"/>
      <c r="I4811" s="959">
        <f>+I4800</f>
        <v>65</v>
      </c>
    </row>
    <row r="4812" spans="3:9" ht="15.75">
      <c r="C4812" s="956" t="s">
        <v>928</v>
      </c>
      <c r="D4812" s="957"/>
      <c r="E4812" s="958"/>
      <c r="F4812" s="1069"/>
      <c r="G4812" s="957"/>
      <c r="H4812" s="1032"/>
      <c r="I4812" s="959">
        <f>+I4804</f>
        <v>0</v>
      </c>
    </row>
    <row r="4813" spans="3:9" ht="15.75">
      <c r="C4813" s="956" t="s">
        <v>929</v>
      </c>
      <c r="D4813" s="957"/>
      <c r="E4813" s="958"/>
      <c r="F4813" s="1069"/>
      <c r="G4813" s="957"/>
      <c r="H4813" s="1032"/>
      <c r="I4813" s="959">
        <f>+I4808</f>
        <v>0</v>
      </c>
    </row>
    <row r="4814" spans="3:9" ht="15.75">
      <c r="C4814" s="949"/>
      <c r="D4814" s="946"/>
      <c r="E4814" s="947"/>
      <c r="F4814" s="1054"/>
      <c r="G4814" s="946"/>
      <c r="H4814" s="1031"/>
      <c r="I4814" s="948"/>
    </row>
    <row r="4815" spans="3:9" ht="15.75">
      <c r="C4815" s="951" t="s">
        <v>930</v>
      </c>
      <c r="D4815" s="960"/>
      <c r="E4815" s="943" t="str">
        <f>+E4791</f>
        <v>M</v>
      </c>
      <c r="F4815" s="1070"/>
      <c r="G4815" s="960"/>
      <c r="H4815" s="1033"/>
      <c r="I4815" s="952">
        <f>SUM(I4810:I4813)</f>
        <v>158.5</v>
      </c>
    </row>
    <row r="4816" spans="3:9" ht="15.75">
      <c r="C4816" s="951"/>
      <c r="D4816" s="960"/>
      <c r="E4816" s="943"/>
      <c r="F4816" s="1070"/>
      <c r="G4816" s="960"/>
      <c r="H4816" s="1033"/>
      <c r="I4816" s="952"/>
    </row>
    <row r="4817" spans="2:9" ht="15.75">
      <c r="B4817" s="1026">
        <v>6.1</v>
      </c>
      <c r="C4817" s="937" t="str">
        <f>+Presupuesto!B310</f>
        <v>Pintura de base en muros</v>
      </c>
      <c r="D4817" s="938"/>
      <c r="E4817" s="962" t="s">
        <v>20</v>
      </c>
      <c r="F4817" s="1066"/>
      <c r="G4817" s="938"/>
      <c r="H4817" s="1029"/>
      <c r="I4817" s="940">
        <f>+I4842</f>
        <v>168.48</v>
      </c>
    </row>
    <row r="4818" spans="2:9" ht="15.75">
      <c r="C4818" s="941" t="s">
        <v>908</v>
      </c>
      <c r="D4818" s="942" t="s">
        <v>9</v>
      </c>
      <c r="E4818" s="943" t="s">
        <v>10</v>
      </c>
      <c r="F4818" s="1067" t="s">
        <v>909</v>
      </c>
      <c r="G4818" s="942" t="s">
        <v>910</v>
      </c>
      <c r="H4818" s="1030" t="s">
        <v>911</v>
      </c>
      <c r="I4818" s="944" t="s">
        <v>912</v>
      </c>
    </row>
    <row r="4819" spans="2:9" ht="15.75">
      <c r="C4819" s="945" t="s">
        <v>913</v>
      </c>
      <c r="D4819" s="946"/>
      <c r="E4819" s="947"/>
      <c r="F4819" s="1054"/>
      <c r="G4819" s="946"/>
      <c r="H4819" s="1031"/>
      <c r="I4819" s="948"/>
    </row>
    <row r="4820" spans="2:9" ht="15.75">
      <c r="C4820" s="949" t="s">
        <v>1208</v>
      </c>
      <c r="D4820" s="946">
        <v>0.08</v>
      </c>
      <c r="E4820" s="947" t="s">
        <v>1183</v>
      </c>
      <c r="F4820" s="1068">
        <f>'Basic (equilibrio) (2)'!$D$311</f>
        <v>963.5</v>
      </c>
      <c r="G4820" s="946">
        <f>F4820-(F4820/1.18)</f>
        <v>146.97</v>
      </c>
      <c r="H4820" s="1031"/>
      <c r="I4820" s="948">
        <f>D4820*F4820</f>
        <v>77.08</v>
      </c>
    </row>
    <row r="4821" spans="2:9" ht="15.75">
      <c r="C4821" s="949" t="s">
        <v>1209</v>
      </c>
      <c r="D4821" s="946">
        <v>82</v>
      </c>
      <c r="E4821" s="947" t="s">
        <v>1025</v>
      </c>
      <c r="F4821" s="1068">
        <v>0.2</v>
      </c>
      <c r="G4821" s="946">
        <f>F4821-(F4821/1.18)</f>
        <v>0.03</v>
      </c>
      <c r="H4821" s="1031"/>
      <c r="I4821" s="948">
        <f>D4821*F4821</f>
        <v>16.399999999999999</v>
      </c>
    </row>
    <row r="4822" spans="2:9" ht="15.75">
      <c r="C4822" s="951" t="s">
        <v>918</v>
      </c>
      <c r="D4822" s="946"/>
      <c r="E4822" s="947"/>
      <c r="F4822" s="1068"/>
      <c r="G4822" s="946"/>
      <c r="H4822" s="1031"/>
      <c r="I4822" s="952">
        <f>SUM(I4820:I4821)</f>
        <v>93.48</v>
      </c>
    </row>
    <row r="4823" spans="2:9" ht="15.75">
      <c r="C4823" s="949"/>
      <c r="D4823" s="946"/>
      <c r="E4823" s="947"/>
      <c r="F4823" s="1068"/>
      <c r="G4823" s="946"/>
      <c r="H4823" s="1031"/>
      <c r="I4823" s="948"/>
    </row>
    <row r="4824" spans="2:9" ht="15.75">
      <c r="C4824" s="945" t="s">
        <v>919</v>
      </c>
      <c r="D4824" s="946"/>
      <c r="E4824" s="947"/>
      <c r="F4824" s="1068"/>
      <c r="G4824" s="946"/>
      <c r="H4824" s="1031"/>
      <c r="I4824" s="948"/>
    </row>
    <row r="4825" spans="2:9" ht="15.75">
      <c r="C4825" s="949" t="s">
        <v>1083</v>
      </c>
      <c r="D4825" s="953">
        <v>1</v>
      </c>
      <c r="E4825" s="954" t="str">
        <f>+VLOOKUP(C4825,'Basic (equilibrio) (2)'!B:D,2,FALSE)</f>
        <v>m2</v>
      </c>
      <c r="F4825" s="1068">
        <f>'Basic (equilibrio) (2)'!$D$34</f>
        <v>10</v>
      </c>
      <c r="G4825" s="946">
        <v>0</v>
      </c>
      <c r="H4825" s="1031"/>
      <c r="I4825" s="948">
        <f>(D4825*F4825)</f>
        <v>10</v>
      </c>
    </row>
    <row r="4826" spans="2:9" ht="15.75">
      <c r="C4826" s="949" t="s">
        <v>1084</v>
      </c>
      <c r="D4826" s="953">
        <v>1</v>
      </c>
      <c r="E4826" s="954" t="str">
        <f>+VLOOKUP(C4826,'Basic (equilibrio) (2)'!B:D,2,FALSE)</f>
        <v>m2</v>
      </c>
      <c r="F4826" s="1068">
        <f>'Basic (equilibrio) (2)'!$D$35</f>
        <v>65</v>
      </c>
      <c r="G4826" s="946">
        <v>0</v>
      </c>
      <c r="H4826" s="1031"/>
      <c r="I4826" s="948">
        <f>(D4826*F4826)</f>
        <v>65</v>
      </c>
    </row>
    <row r="4827" spans="2:9" ht="15.75">
      <c r="C4827" s="951" t="s">
        <v>918</v>
      </c>
      <c r="D4827" s="946"/>
      <c r="E4827" s="947"/>
      <c r="F4827" s="1054"/>
      <c r="G4827" s="946"/>
      <c r="H4827" s="1031"/>
      <c r="I4827" s="952">
        <f>SUM(I4825:I4826)</f>
        <v>75</v>
      </c>
    </row>
    <row r="4828" spans="2:9" ht="15.75">
      <c r="C4828" s="949"/>
      <c r="D4828" s="946"/>
      <c r="E4828" s="947"/>
      <c r="F4828" s="1054"/>
      <c r="G4828" s="946"/>
      <c r="H4828" s="1031"/>
      <c r="I4828" s="948"/>
    </row>
    <row r="4829" spans="2:9" ht="15.75">
      <c r="C4829" s="945" t="s">
        <v>923</v>
      </c>
      <c r="D4829" s="946"/>
      <c r="E4829" s="947"/>
      <c r="F4829" s="1054"/>
      <c r="G4829" s="946"/>
      <c r="H4829" s="1031"/>
      <c r="I4829" s="948"/>
    </row>
    <row r="4830" spans="2:9" ht="15.75">
      <c r="C4830" s="949" t="s">
        <v>924</v>
      </c>
      <c r="D4830" s="946"/>
      <c r="E4830" s="947" t="str">
        <f>+VLOOKUP(C4830,'Basic (equilibrio) (2)'!B:D,2,FALSE)</f>
        <v>n/a</v>
      </c>
      <c r="F4830" s="1054">
        <f>+VLOOKUP(C4830,'Basic (equilibrio) (2)'!B:D,3,FALSE)</f>
        <v>0</v>
      </c>
      <c r="G4830" s="946">
        <f>F4830-(F4830/1.18)</f>
        <v>0</v>
      </c>
      <c r="H4830" s="1039"/>
      <c r="I4830" s="955">
        <f>D4830*F4830</f>
        <v>0</v>
      </c>
    </row>
    <row r="4831" spans="2:9" ht="15.75">
      <c r="C4831" s="951" t="s">
        <v>918</v>
      </c>
      <c r="D4831" s="946"/>
      <c r="E4831" s="947"/>
      <c r="F4831" s="1054"/>
      <c r="G4831" s="946"/>
      <c r="H4831" s="1031"/>
      <c r="I4831" s="952">
        <f>SUM(I4830:I4830)</f>
        <v>0</v>
      </c>
    </row>
    <row r="4832" spans="2:9" ht="15.75">
      <c r="C4832" s="949"/>
      <c r="D4832" s="946"/>
      <c r="E4832" s="947"/>
      <c r="F4832" s="1054"/>
      <c r="G4832" s="946"/>
      <c r="H4832" s="1031"/>
      <c r="I4832" s="948"/>
    </row>
    <row r="4833" spans="2:9" ht="15.75">
      <c r="C4833" s="945" t="s">
        <v>925</v>
      </c>
      <c r="D4833" s="946"/>
      <c r="E4833" s="947"/>
      <c r="F4833" s="1054"/>
      <c r="G4833" s="946"/>
      <c r="H4833" s="1031"/>
      <c r="I4833" s="948"/>
    </row>
    <row r="4834" spans="2:9" ht="15.75">
      <c r="C4834" s="949" t="s">
        <v>924</v>
      </c>
      <c r="D4834" s="946"/>
      <c r="E4834" s="947" t="str">
        <f>+VLOOKUP(C4834,'Basic (equilibrio) (2)'!B:D,2,FALSE)</f>
        <v>n/a</v>
      </c>
      <c r="F4834" s="1054">
        <f>+VLOOKUP(C4834,'Basic (equilibrio) (2)'!B:D,3,FALSE)</f>
        <v>0</v>
      </c>
      <c r="G4834" s="946"/>
      <c r="H4834" s="1031"/>
      <c r="I4834" s="948">
        <f>D4834*F4834</f>
        <v>0</v>
      </c>
    </row>
    <row r="4835" spans="2:9" ht="15.75">
      <c r="C4835" s="951" t="s">
        <v>918</v>
      </c>
      <c r="D4835" s="946"/>
      <c r="E4835" s="947"/>
      <c r="F4835" s="1054"/>
      <c r="G4835" s="946"/>
      <c r="H4835" s="1031"/>
      <c r="I4835" s="952">
        <f>SUM(I4834)</f>
        <v>0</v>
      </c>
    </row>
    <row r="4836" spans="2:9" ht="15.75">
      <c r="C4836" s="951"/>
      <c r="D4836" s="946"/>
      <c r="E4836" s="947"/>
      <c r="F4836" s="1054"/>
      <c r="G4836" s="946"/>
      <c r="H4836" s="1031"/>
      <c r="I4836" s="952"/>
    </row>
    <row r="4837" spans="2:9" ht="15.75">
      <c r="C4837" s="956" t="s">
        <v>926</v>
      </c>
      <c r="D4837" s="957"/>
      <c r="E4837" s="958"/>
      <c r="F4837" s="1069"/>
      <c r="G4837" s="957"/>
      <c r="H4837" s="1032"/>
      <c r="I4837" s="959">
        <f>+I4822</f>
        <v>93.48</v>
      </c>
    </row>
    <row r="4838" spans="2:9" ht="15.75">
      <c r="C4838" s="956" t="s">
        <v>927</v>
      </c>
      <c r="D4838" s="957"/>
      <c r="E4838" s="958"/>
      <c r="F4838" s="1069"/>
      <c r="G4838" s="957"/>
      <c r="H4838" s="1032"/>
      <c r="I4838" s="959">
        <f>+I4827</f>
        <v>75</v>
      </c>
    </row>
    <row r="4839" spans="2:9" ht="15.75">
      <c r="C4839" s="956" t="s">
        <v>928</v>
      </c>
      <c r="D4839" s="957"/>
      <c r="E4839" s="958"/>
      <c r="F4839" s="1069"/>
      <c r="G4839" s="957"/>
      <c r="H4839" s="1032"/>
      <c r="I4839" s="959">
        <f>+I4831</f>
        <v>0</v>
      </c>
    </row>
    <row r="4840" spans="2:9" ht="15.75">
      <c r="C4840" s="956" t="s">
        <v>929</v>
      </c>
      <c r="D4840" s="957"/>
      <c r="E4840" s="958"/>
      <c r="F4840" s="1069"/>
      <c r="G4840" s="957"/>
      <c r="H4840" s="1032"/>
      <c r="I4840" s="959">
        <f>+I4835</f>
        <v>0</v>
      </c>
    </row>
    <row r="4841" spans="2:9" ht="15.75">
      <c r="C4841" s="949"/>
      <c r="D4841" s="946"/>
      <c r="E4841" s="947"/>
      <c r="F4841" s="1054"/>
      <c r="G4841" s="946"/>
      <c r="H4841" s="1031"/>
      <c r="I4841" s="948"/>
    </row>
    <row r="4842" spans="2:9" ht="15.75">
      <c r="C4842" s="951" t="s">
        <v>930</v>
      </c>
      <c r="D4842" s="960"/>
      <c r="E4842" s="975" t="str">
        <f>+E4817</f>
        <v>M2</v>
      </c>
      <c r="F4842" s="1070"/>
      <c r="G4842" s="960"/>
      <c r="H4842" s="1033"/>
      <c r="I4842" s="952">
        <f>SUM(I4837:I4840)</f>
        <v>168.48</v>
      </c>
    </row>
    <row r="4843" spans="2:9" ht="15.75">
      <c r="C4843" s="951"/>
      <c r="D4843" s="960"/>
      <c r="E4843" s="943"/>
      <c r="F4843" s="1070"/>
      <c r="G4843" s="960"/>
      <c r="H4843" s="1033"/>
      <c r="I4843" s="952"/>
    </row>
    <row r="4844" spans="2:9" ht="15.75">
      <c r="C4844" s="951"/>
      <c r="D4844" s="960"/>
      <c r="E4844" s="943"/>
      <c r="F4844" s="1070"/>
      <c r="G4844" s="960"/>
      <c r="H4844" s="1033"/>
      <c r="I4844" s="952"/>
    </row>
    <row r="4845" spans="2:9" ht="15.75">
      <c r="B4845" s="1026">
        <v>6.2</v>
      </c>
      <c r="C4845" s="937" t="str">
        <f>+Presupuesto!B311</f>
        <v>Pintura acrílica en muros</v>
      </c>
      <c r="D4845" s="938"/>
      <c r="E4845" s="962" t="s">
        <v>20</v>
      </c>
      <c r="F4845" s="1066"/>
      <c r="G4845" s="938"/>
      <c r="H4845" s="1029"/>
      <c r="I4845" s="940">
        <f>+I4870</f>
        <v>168.48</v>
      </c>
    </row>
    <row r="4846" spans="2:9" ht="15.75">
      <c r="C4846" s="941" t="s">
        <v>908</v>
      </c>
      <c r="D4846" s="942" t="s">
        <v>9</v>
      </c>
      <c r="E4846" s="943" t="s">
        <v>10</v>
      </c>
      <c r="F4846" s="1067" t="s">
        <v>909</v>
      </c>
      <c r="G4846" s="942" t="s">
        <v>910</v>
      </c>
      <c r="H4846" s="1030" t="s">
        <v>911</v>
      </c>
      <c r="I4846" s="944" t="s">
        <v>912</v>
      </c>
    </row>
    <row r="4847" spans="2:9" ht="15.75">
      <c r="C4847" s="945" t="s">
        <v>913</v>
      </c>
      <c r="D4847" s="946"/>
      <c r="E4847" s="947"/>
      <c r="F4847" s="1054"/>
      <c r="G4847" s="946"/>
      <c r="H4847" s="1031"/>
      <c r="I4847" s="948"/>
    </row>
    <row r="4848" spans="2:9" ht="15.75">
      <c r="C4848" s="949" t="s">
        <v>1208</v>
      </c>
      <c r="D4848" s="946">
        <v>0.08</v>
      </c>
      <c r="E4848" s="947" t="s">
        <v>1183</v>
      </c>
      <c r="F4848" s="1068">
        <f>'Basic (equilibrio) (2)'!$D$311</f>
        <v>963.5</v>
      </c>
      <c r="G4848" s="946">
        <f>F4848-(F4848/1.18)</f>
        <v>146.97</v>
      </c>
      <c r="H4848" s="1031"/>
      <c r="I4848" s="948">
        <f>D4848*F4848</f>
        <v>77.08</v>
      </c>
    </row>
    <row r="4849" spans="3:9" ht="15.75">
      <c r="C4849" s="949" t="s">
        <v>1209</v>
      </c>
      <c r="D4849" s="946">
        <v>82</v>
      </c>
      <c r="E4849" s="947" t="s">
        <v>1025</v>
      </c>
      <c r="F4849" s="1068">
        <v>0.2</v>
      </c>
      <c r="G4849" s="946">
        <f>F4849-(F4849/1.18)</f>
        <v>0.03</v>
      </c>
      <c r="H4849" s="1031"/>
      <c r="I4849" s="948">
        <f>D4849*F4849</f>
        <v>16.399999999999999</v>
      </c>
    </row>
    <row r="4850" spans="3:9" ht="15.75">
      <c r="C4850" s="951" t="s">
        <v>918</v>
      </c>
      <c r="D4850" s="946"/>
      <c r="E4850" s="947"/>
      <c r="F4850" s="1068"/>
      <c r="G4850" s="946"/>
      <c r="H4850" s="1031"/>
      <c r="I4850" s="952">
        <f>SUM(I4848:I4849)</f>
        <v>93.48</v>
      </c>
    </row>
    <row r="4851" spans="3:9" ht="15.75">
      <c r="C4851" s="949"/>
      <c r="D4851" s="946"/>
      <c r="E4851" s="947"/>
      <c r="F4851" s="1068"/>
      <c r="G4851" s="946"/>
      <c r="H4851" s="1031"/>
      <c r="I4851" s="948"/>
    </row>
    <row r="4852" spans="3:9" ht="15.75">
      <c r="C4852" s="945" t="s">
        <v>919</v>
      </c>
      <c r="D4852" s="946"/>
      <c r="E4852" s="947"/>
      <c r="F4852" s="1068"/>
      <c r="G4852" s="946"/>
      <c r="H4852" s="1031"/>
      <c r="I4852" s="948"/>
    </row>
    <row r="4853" spans="3:9" ht="15.75">
      <c r="C4853" s="949" t="s">
        <v>1083</v>
      </c>
      <c r="D4853" s="953">
        <v>1</v>
      </c>
      <c r="E4853" s="954" t="str">
        <f>+VLOOKUP(C4853,'Basic (equilibrio) (2)'!B:D,2,FALSE)</f>
        <v>m2</v>
      </c>
      <c r="F4853" s="1068">
        <f>'Basic (equilibrio) (2)'!$D$34</f>
        <v>10</v>
      </c>
      <c r="G4853" s="946">
        <v>0</v>
      </c>
      <c r="H4853" s="1031"/>
      <c r="I4853" s="948">
        <f>(D4853*F4853)</f>
        <v>10</v>
      </c>
    </row>
    <row r="4854" spans="3:9" ht="15.75">
      <c r="C4854" s="949" t="s">
        <v>1084</v>
      </c>
      <c r="D4854" s="953">
        <v>1</v>
      </c>
      <c r="E4854" s="954" t="str">
        <f>+VLOOKUP(C4854,'Basic (equilibrio) (2)'!B:D,2,FALSE)</f>
        <v>m2</v>
      </c>
      <c r="F4854" s="1068">
        <f>'Basic (equilibrio) (2)'!$D$35</f>
        <v>65</v>
      </c>
      <c r="G4854" s="946">
        <v>0</v>
      </c>
      <c r="H4854" s="1031"/>
      <c r="I4854" s="948">
        <f>(D4854*F4854)</f>
        <v>65</v>
      </c>
    </row>
    <row r="4855" spans="3:9" ht="15.75">
      <c r="C4855" s="951" t="s">
        <v>918</v>
      </c>
      <c r="D4855" s="946"/>
      <c r="E4855" s="947"/>
      <c r="F4855" s="1054"/>
      <c r="G4855" s="946"/>
      <c r="H4855" s="1031"/>
      <c r="I4855" s="952">
        <f>SUM(I4853:I4854)</f>
        <v>75</v>
      </c>
    </row>
    <row r="4856" spans="3:9" ht="15.75">
      <c r="C4856" s="949"/>
      <c r="D4856" s="946"/>
      <c r="E4856" s="947"/>
      <c r="F4856" s="1054"/>
      <c r="G4856" s="946"/>
      <c r="H4856" s="1031"/>
      <c r="I4856" s="948"/>
    </row>
    <row r="4857" spans="3:9" ht="15.75">
      <c r="C4857" s="945" t="s">
        <v>923</v>
      </c>
      <c r="D4857" s="946"/>
      <c r="E4857" s="947"/>
      <c r="F4857" s="1054"/>
      <c r="G4857" s="946"/>
      <c r="H4857" s="1031"/>
      <c r="I4857" s="948"/>
    </row>
    <row r="4858" spans="3:9" ht="15.75">
      <c r="C4858" s="949" t="s">
        <v>924</v>
      </c>
      <c r="D4858" s="946"/>
      <c r="E4858" s="947" t="str">
        <f>+VLOOKUP(C4858,'Basic (equilibrio) (2)'!B:D,2,FALSE)</f>
        <v>n/a</v>
      </c>
      <c r="F4858" s="1054">
        <f>+VLOOKUP(C4858,'Basic (equilibrio) (2)'!B:D,3,FALSE)</f>
        <v>0</v>
      </c>
      <c r="G4858" s="946">
        <f>F4858-(F4858/1.18)</f>
        <v>0</v>
      </c>
      <c r="H4858" s="1039"/>
      <c r="I4858" s="955">
        <f>D4858*F4858</f>
        <v>0</v>
      </c>
    </row>
    <row r="4859" spans="3:9" ht="15.75">
      <c r="C4859" s="951" t="s">
        <v>918</v>
      </c>
      <c r="D4859" s="946"/>
      <c r="E4859" s="947"/>
      <c r="F4859" s="1054"/>
      <c r="G4859" s="946"/>
      <c r="H4859" s="1031"/>
      <c r="I4859" s="952">
        <f>SUM(I4858:I4858)</f>
        <v>0</v>
      </c>
    </row>
    <row r="4860" spans="3:9" ht="15.75">
      <c r="C4860" s="949"/>
      <c r="D4860" s="946"/>
      <c r="E4860" s="947"/>
      <c r="F4860" s="1054"/>
      <c r="G4860" s="946"/>
      <c r="H4860" s="1031"/>
      <c r="I4860" s="948"/>
    </row>
    <row r="4861" spans="3:9" ht="15.75">
      <c r="C4861" s="945" t="s">
        <v>925</v>
      </c>
      <c r="D4861" s="946"/>
      <c r="E4861" s="947"/>
      <c r="F4861" s="1054"/>
      <c r="G4861" s="946"/>
      <c r="H4861" s="1031"/>
      <c r="I4861" s="948"/>
    </row>
    <row r="4862" spans="3:9" ht="15.75">
      <c r="C4862" s="949" t="s">
        <v>924</v>
      </c>
      <c r="D4862" s="946"/>
      <c r="E4862" s="947" t="str">
        <f>+VLOOKUP(C4862,'Basic (equilibrio) (2)'!B:D,2,FALSE)</f>
        <v>n/a</v>
      </c>
      <c r="F4862" s="1054">
        <f>+VLOOKUP(C4862,'Basic (equilibrio) (2)'!B:D,3,FALSE)</f>
        <v>0</v>
      </c>
      <c r="G4862" s="946"/>
      <c r="H4862" s="1031"/>
      <c r="I4862" s="948">
        <f>D4862*F4862</f>
        <v>0</v>
      </c>
    </row>
    <row r="4863" spans="3:9" ht="15.75">
      <c r="C4863" s="951" t="s">
        <v>918</v>
      </c>
      <c r="D4863" s="946"/>
      <c r="E4863" s="947"/>
      <c r="F4863" s="1054"/>
      <c r="G4863" s="946"/>
      <c r="H4863" s="1031"/>
      <c r="I4863" s="952">
        <f>SUM(I4862)</f>
        <v>0</v>
      </c>
    </row>
    <row r="4864" spans="3:9" ht="15.75">
      <c r="C4864" s="951"/>
      <c r="D4864" s="946"/>
      <c r="E4864" s="947"/>
      <c r="F4864" s="1054"/>
      <c r="G4864" s="946"/>
      <c r="H4864" s="1031"/>
      <c r="I4864" s="952"/>
    </row>
    <row r="4865" spans="2:9" ht="15.75">
      <c r="C4865" s="956" t="s">
        <v>926</v>
      </c>
      <c r="D4865" s="957"/>
      <c r="E4865" s="958"/>
      <c r="F4865" s="1069"/>
      <c r="G4865" s="957"/>
      <c r="H4865" s="1032"/>
      <c r="I4865" s="959">
        <f>+I4850</f>
        <v>93.48</v>
      </c>
    </row>
    <row r="4866" spans="2:9" ht="15.75">
      <c r="C4866" s="956" t="s">
        <v>927</v>
      </c>
      <c r="D4866" s="957"/>
      <c r="E4866" s="958"/>
      <c r="F4866" s="1069"/>
      <c r="G4866" s="957"/>
      <c r="H4866" s="1032"/>
      <c r="I4866" s="959">
        <f>+I4855</f>
        <v>75</v>
      </c>
    </row>
    <row r="4867" spans="2:9" ht="15.75">
      <c r="C4867" s="956" t="s">
        <v>928</v>
      </c>
      <c r="D4867" s="957"/>
      <c r="E4867" s="958"/>
      <c r="F4867" s="1069"/>
      <c r="G4867" s="957"/>
      <c r="H4867" s="1032"/>
      <c r="I4867" s="959">
        <f>+I4859</f>
        <v>0</v>
      </c>
    </row>
    <row r="4868" spans="2:9" ht="15.75">
      <c r="C4868" s="956" t="s">
        <v>929</v>
      </c>
      <c r="D4868" s="957"/>
      <c r="E4868" s="958"/>
      <c r="F4868" s="1069"/>
      <c r="G4868" s="957"/>
      <c r="H4868" s="1032"/>
      <c r="I4868" s="959">
        <f>+I4863</f>
        <v>0</v>
      </c>
    </row>
    <row r="4869" spans="2:9" ht="15.75">
      <c r="C4869" s="949"/>
      <c r="D4869" s="946"/>
      <c r="E4869" s="947"/>
      <c r="F4869" s="1054"/>
      <c r="G4869" s="946"/>
      <c r="H4869" s="1031"/>
      <c r="I4869" s="948"/>
    </row>
    <row r="4870" spans="2:9" ht="15.75">
      <c r="C4870" s="951" t="s">
        <v>930</v>
      </c>
      <c r="D4870" s="960"/>
      <c r="E4870" s="975" t="str">
        <f>+E4845</f>
        <v>M2</v>
      </c>
      <c r="F4870" s="1070"/>
      <c r="G4870" s="960"/>
      <c r="H4870" s="1033"/>
      <c r="I4870" s="952">
        <f>SUM(I4865:I4868)</f>
        <v>168.48</v>
      </c>
    </row>
    <row r="4871" spans="2:9" ht="15.75">
      <c r="C4871" s="951"/>
      <c r="D4871" s="960"/>
      <c r="E4871" s="943"/>
      <c r="F4871" s="1070"/>
      <c r="G4871" s="960"/>
      <c r="H4871" s="1033"/>
      <c r="I4871" s="952"/>
    </row>
    <row r="4872" spans="2:9" ht="15.75">
      <c r="B4872" s="1038">
        <v>7.1</v>
      </c>
      <c r="C4872" s="937" t="str">
        <f>+Presupuesto!B314</f>
        <v>Barandas de H.G. sobre muros de bloques</v>
      </c>
      <c r="D4872" s="938"/>
      <c r="E4872" s="962" t="s">
        <v>10</v>
      </c>
      <c r="F4872" s="1066"/>
      <c r="G4872" s="938"/>
      <c r="H4872" s="1029"/>
      <c r="I4872" s="940">
        <f>I4896</f>
        <v>3830.56</v>
      </c>
    </row>
    <row r="4873" spans="2:9" ht="15.75">
      <c r="C4873" s="941" t="s">
        <v>908</v>
      </c>
      <c r="D4873" s="942" t="s">
        <v>9</v>
      </c>
      <c r="E4873" s="943" t="s">
        <v>10</v>
      </c>
      <c r="F4873" s="1067" t="s">
        <v>909</v>
      </c>
      <c r="G4873" s="942" t="s">
        <v>910</v>
      </c>
      <c r="H4873" s="1030" t="s">
        <v>911</v>
      </c>
      <c r="I4873" s="944" t="s">
        <v>912</v>
      </c>
    </row>
    <row r="4874" spans="2:9" ht="15.75">
      <c r="C4874" s="945" t="s">
        <v>913</v>
      </c>
      <c r="D4874" s="946"/>
      <c r="E4874" s="947"/>
      <c r="F4874" s="1054"/>
      <c r="G4874" s="946"/>
      <c r="H4874" s="1031"/>
      <c r="I4874" s="948"/>
    </row>
    <row r="4875" spans="2:9" ht="63">
      <c r="C4875" s="949" t="s">
        <v>966</v>
      </c>
      <c r="D4875" s="946">
        <v>10.76</v>
      </c>
      <c r="E4875" s="947" t="s">
        <v>1557</v>
      </c>
      <c r="F4875" s="1068">
        <f>'Basic (equilibrio) (2)'!$D$454</f>
        <v>356</v>
      </c>
      <c r="G4875" s="946">
        <f>F4875-(F4875/1.18)</f>
        <v>54.31</v>
      </c>
      <c r="H4875" s="1031"/>
      <c r="I4875" s="948">
        <f>D4875*F4875</f>
        <v>3830.56</v>
      </c>
    </row>
    <row r="4876" spans="2:9" ht="15.75">
      <c r="C4876" s="951" t="s">
        <v>918</v>
      </c>
      <c r="D4876" s="946"/>
      <c r="E4876" s="947"/>
      <c r="F4876" s="1068"/>
      <c r="G4876" s="946"/>
      <c r="H4876" s="1031"/>
      <c r="I4876" s="952">
        <f>SUM(I4875:I4875)</f>
        <v>3830.56</v>
      </c>
    </row>
    <row r="4877" spans="2:9" ht="15.75">
      <c r="C4877" s="949"/>
      <c r="D4877" s="946"/>
      <c r="E4877" s="947"/>
      <c r="F4877" s="1068"/>
      <c r="G4877" s="946"/>
      <c r="H4877" s="1031"/>
      <c r="I4877" s="948"/>
    </row>
    <row r="4878" spans="2:9" ht="15.75">
      <c r="C4878" s="945" t="s">
        <v>919</v>
      </c>
      <c r="D4878" s="946"/>
      <c r="E4878" s="947"/>
      <c r="F4878" s="1068"/>
      <c r="G4878" s="946"/>
      <c r="H4878" s="1031"/>
      <c r="I4878" s="948"/>
    </row>
    <row r="4879" spans="2:9" ht="15.75">
      <c r="C4879" s="949" t="s">
        <v>924</v>
      </c>
      <c r="D4879" s="953"/>
      <c r="E4879" s="954"/>
      <c r="F4879" s="1068">
        <f>+VLOOKUP(C4879,'Basic (equilibrio) (2)'!B:D,3,FALSE)</f>
        <v>0</v>
      </c>
      <c r="G4879" s="946">
        <f>F4879-(F4879/1.18)</f>
        <v>0</v>
      </c>
      <c r="H4879" s="1031"/>
      <c r="I4879" s="948">
        <f>D4879*F4879</f>
        <v>0</v>
      </c>
    </row>
    <row r="4880" spans="2:9" ht="15.75">
      <c r="C4880" s="951" t="s">
        <v>918</v>
      </c>
      <c r="D4880" s="946"/>
      <c r="E4880" s="947"/>
      <c r="F4880" s="1054"/>
      <c r="G4880" s="946"/>
      <c r="H4880" s="1031"/>
      <c r="I4880" s="952">
        <f>SUM(I4879:I4879)</f>
        <v>0</v>
      </c>
    </row>
    <row r="4881" spans="3:9" ht="15.75">
      <c r="C4881" s="949"/>
      <c r="D4881" s="946"/>
      <c r="E4881" s="947"/>
      <c r="F4881" s="1054"/>
      <c r="G4881" s="946"/>
      <c r="H4881" s="1031"/>
      <c r="I4881" s="948"/>
    </row>
    <row r="4882" spans="3:9" ht="15.75">
      <c r="C4882" s="945" t="s">
        <v>923</v>
      </c>
      <c r="D4882" s="946"/>
      <c r="E4882" s="947"/>
      <c r="F4882" s="1054"/>
      <c r="G4882" s="946"/>
      <c r="H4882" s="1031"/>
      <c r="I4882" s="948"/>
    </row>
    <row r="4883" spans="3:9" ht="15.75">
      <c r="C4883" s="949" t="s">
        <v>924</v>
      </c>
      <c r="D4883" s="946"/>
      <c r="E4883" s="947"/>
      <c r="F4883" s="1068">
        <f>+VLOOKUP(C4883,'Basic (equilibrio) (2)'!B:D,3,FALSE)</f>
        <v>0</v>
      </c>
      <c r="G4883" s="946">
        <f>F4883-(F4883/1.18)</f>
        <v>0</v>
      </c>
      <c r="H4883" s="1031"/>
      <c r="I4883" s="948">
        <f>D4883*F4883</f>
        <v>0</v>
      </c>
    </row>
    <row r="4884" spans="3:9" ht="15.75">
      <c r="C4884" s="951" t="s">
        <v>918</v>
      </c>
      <c r="D4884" s="946"/>
      <c r="E4884" s="947"/>
      <c r="F4884" s="1054"/>
      <c r="G4884" s="946"/>
      <c r="H4884" s="1031"/>
      <c r="I4884" s="952">
        <f>SUM(I4883:I4883)</f>
        <v>0</v>
      </c>
    </row>
    <row r="4885" spans="3:9" ht="15.75">
      <c r="C4885" s="949"/>
      <c r="D4885" s="946"/>
      <c r="E4885" s="947"/>
      <c r="F4885" s="1054"/>
      <c r="G4885" s="946"/>
      <c r="H4885" s="1031"/>
      <c r="I4885" s="948"/>
    </row>
    <row r="4886" spans="3:9" ht="15.75">
      <c r="C4886" s="945" t="s">
        <v>925</v>
      </c>
      <c r="D4886" s="946"/>
      <c r="E4886" s="947"/>
      <c r="F4886" s="1054"/>
      <c r="G4886" s="946"/>
      <c r="H4886" s="1031"/>
      <c r="I4886" s="948"/>
    </row>
    <row r="4887" spans="3:9" ht="15.75">
      <c r="C4887" s="949" t="s">
        <v>924</v>
      </c>
      <c r="D4887" s="946"/>
      <c r="E4887" s="947" t="str">
        <f>VLOOKUP(C4887,[50]BASICS!B:D,2,FALSE)</f>
        <v>n/a</v>
      </c>
      <c r="F4887" s="1054">
        <f>+VLOOKUP(C4887,[49]BASICS!B:E,3,FALSE)</f>
        <v>0</v>
      </c>
      <c r="G4887" s="946"/>
      <c r="H4887" s="1031"/>
      <c r="I4887" s="948">
        <f>D4887*F4887</f>
        <v>0</v>
      </c>
    </row>
    <row r="4888" spans="3:9" ht="15.75">
      <c r="C4888" s="951" t="s">
        <v>918</v>
      </c>
      <c r="D4888" s="946"/>
      <c r="E4888" s="947"/>
      <c r="F4888" s="1054"/>
      <c r="G4888" s="946"/>
      <c r="H4888" s="1031"/>
      <c r="I4888" s="952">
        <f>SUM(I4887)</f>
        <v>0</v>
      </c>
    </row>
    <row r="4889" spans="3:9" ht="15.75">
      <c r="C4889" s="951"/>
      <c r="D4889" s="946"/>
      <c r="E4889" s="947"/>
      <c r="F4889" s="1054"/>
      <c r="G4889" s="946"/>
      <c r="H4889" s="1031"/>
      <c r="I4889" s="952"/>
    </row>
    <row r="4890" spans="3:9" ht="15.75">
      <c r="C4890" s="956" t="s">
        <v>926</v>
      </c>
      <c r="D4890" s="957"/>
      <c r="E4890" s="958"/>
      <c r="F4890" s="1069"/>
      <c r="G4890" s="957"/>
      <c r="H4890" s="1032"/>
      <c r="I4890" s="959">
        <f>+I4876</f>
        <v>3830.56</v>
      </c>
    </row>
    <row r="4891" spans="3:9" ht="15.75">
      <c r="C4891" s="956" t="s">
        <v>927</v>
      </c>
      <c r="D4891" s="957"/>
      <c r="E4891" s="958"/>
      <c r="F4891" s="1069"/>
      <c r="G4891" s="957"/>
      <c r="H4891" s="1032"/>
      <c r="I4891" s="959">
        <f>+I4880</f>
        <v>0</v>
      </c>
    </row>
    <row r="4892" spans="3:9" ht="15.75">
      <c r="C4892" s="956" t="s">
        <v>928</v>
      </c>
      <c r="D4892" s="957"/>
      <c r="E4892" s="958"/>
      <c r="F4892" s="1069"/>
      <c r="G4892" s="957"/>
      <c r="H4892" s="1032"/>
      <c r="I4892" s="959">
        <f>+I4884</f>
        <v>0</v>
      </c>
    </row>
    <row r="4893" spans="3:9" ht="15.75">
      <c r="C4893" s="956" t="s">
        <v>929</v>
      </c>
      <c r="D4893" s="957"/>
      <c r="E4893" s="958"/>
      <c r="F4893" s="1069"/>
      <c r="G4893" s="957"/>
      <c r="H4893" s="1032"/>
      <c r="I4893" s="959">
        <f>+I4888</f>
        <v>0</v>
      </c>
    </row>
    <row r="4894" spans="3:9" ht="15.75">
      <c r="C4894" s="949"/>
      <c r="D4894" s="946"/>
      <c r="E4894" s="947"/>
      <c r="F4894" s="1054"/>
      <c r="G4894" s="946"/>
      <c r="H4894" s="1031"/>
      <c r="I4894" s="948"/>
    </row>
    <row r="4895" spans="3:9" ht="15.75">
      <c r="C4895" s="949"/>
      <c r="D4895" s="946"/>
      <c r="E4895" s="947"/>
      <c r="F4895" s="1054"/>
      <c r="G4895" s="946"/>
      <c r="H4895" s="1031"/>
      <c r="I4895" s="948"/>
    </row>
    <row r="4896" spans="3:9" ht="15.75">
      <c r="C4896" s="951" t="s">
        <v>930</v>
      </c>
      <c r="D4896" s="960"/>
      <c r="E4896" s="943" t="str">
        <f>+E4872</f>
        <v>Ud</v>
      </c>
      <c r="F4896" s="1070"/>
      <c r="G4896" s="960"/>
      <c r="H4896" s="1033"/>
      <c r="I4896" s="952">
        <f>SUM(I4890:I4893)</f>
        <v>3830.56</v>
      </c>
    </row>
    <row r="4897" spans="2:9" ht="15.75">
      <c r="C4897" s="949"/>
      <c r="D4897" s="946"/>
      <c r="E4897" s="947"/>
      <c r="F4897" s="1054"/>
      <c r="G4897" s="946"/>
      <c r="H4897" s="1031"/>
      <c r="I4897" s="948"/>
    </row>
    <row r="4898" spans="2:9" ht="15.75">
      <c r="B4898" s="1026">
        <v>7.2</v>
      </c>
      <c r="C4898" s="937" t="str">
        <f>+Presupuesto!B315</f>
        <v>Escalones de cemento</v>
      </c>
      <c r="D4898" s="938"/>
      <c r="E4898" s="962" t="s">
        <v>15</v>
      </c>
      <c r="F4898" s="1066"/>
      <c r="G4898" s="938"/>
      <c r="H4898" s="1029"/>
      <c r="I4898" s="940">
        <f>+I4927</f>
        <v>1079.22</v>
      </c>
    </row>
    <row r="4899" spans="2:9" ht="15.75">
      <c r="C4899" s="941" t="s">
        <v>908</v>
      </c>
      <c r="D4899" s="942" t="s">
        <v>9</v>
      </c>
      <c r="E4899" s="943" t="s">
        <v>10</v>
      </c>
      <c r="F4899" s="1067" t="s">
        <v>909</v>
      </c>
      <c r="G4899" s="942" t="s">
        <v>910</v>
      </c>
      <c r="H4899" s="1030" t="s">
        <v>911</v>
      </c>
      <c r="I4899" s="944" t="s">
        <v>912</v>
      </c>
    </row>
    <row r="4900" spans="2:9" ht="15.75">
      <c r="C4900" s="945" t="s">
        <v>913</v>
      </c>
      <c r="D4900" s="946"/>
      <c r="E4900" s="947"/>
      <c r="F4900" s="1054"/>
      <c r="G4900" s="946"/>
      <c r="H4900" s="1031"/>
      <c r="I4900" s="948"/>
    </row>
    <row r="4901" spans="2:9" ht="15.75">
      <c r="C4901" s="949" t="s">
        <v>994</v>
      </c>
      <c r="D4901" s="946">
        <v>1.05</v>
      </c>
      <c r="E4901" s="947" t="str">
        <f>+VLOOKUP(C4901,'Basic (equilibrio) (2)'!B:D,2,FALSE)</f>
        <v>m3</v>
      </c>
      <c r="F4901" s="1068">
        <f>'Basic (equilibrio) (2)'!$D$179</f>
        <v>7600</v>
      </c>
      <c r="G4901" s="946">
        <f>F4901-(F4901/1.18)</f>
        <v>1159.32</v>
      </c>
      <c r="H4901" s="1031"/>
      <c r="I4901" s="948">
        <f>D4901*F4901</f>
        <v>7980</v>
      </c>
    </row>
    <row r="4902" spans="2:9" ht="15.75">
      <c r="C4902" s="949" t="s">
        <v>1188</v>
      </c>
      <c r="D4902" s="946">
        <v>2.78</v>
      </c>
      <c r="E4902" s="947" t="str">
        <f>+VLOOKUP(C4902,'Basic (equilibrio) (2)'!B:D,2,FALSE)</f>
        <v>qq</v>
      </c>
      <c r="F4902" s="1068">
        <f>'Basic (equilibrio) (2)'!$D$183</f>
        <v>3600</v>
      </c>
      <c r="G4902" s="946">
        <f>F4902-(F4902/1.18)</f>
        <v>549.15</v>
      </c>
      <c r="H4902" s="1031"/>
      <c r="I4902" s="948">
        <f>D4902*F4902</f>
        <v>10008</v>
      </c>
    </row>
    <row r="4903" spans="2:9" ht="15.75">
      <c r="C4903" s="949" t="s">
        <v>1328</v>
      </c>
      <c r="D4903" s="946">
        <v>5.56</v>
      </c>
      <c r="E4903" s="947" t="str">
        <f>+VLOOKUP(C4903,'Basic (equilibrio) (2)'!B:D,2,FALSE)</f>
        <v>lb</v>
      </c>
      <c r="F4903" s="1068">
        <f>'Basic (equilibrio) (2)'!$D$334</f>
        <v>31.1</v>
      </c>
      <c r="G4903" s="946">
        <f>F4903-(F4903/1.18)</f>
        <v>4.74</v>
      </c>
      <c r="H4903" s="1031"/>
      <c r="I4903" s="948">
        <f>D4903*F4903</f>
        <v>172.92</v>
      </c>
    </row>
    <row r="4904" spans="2:9" ht="15.75">
      <c r="C4904" s="949" t="s">
        <v>1072</v>
      </c>
      <c r="D4904" s="946">
        <v>25</v>
      </c>
      <c r="E4904" s="947" t="str">
        <f>+VLOOKUP(C4904,'Basic (equilibrio) (2)'!B:D,2,FALSE)</f>
        <v>ml</v>
      </c>
      <c r="F4904" s="1068">
        <f>'Basic (equilibrio) (2)'!$D$22</f>
        <v>351</v>
      </c>
      <c r="G4904" s="946">
        <f>F4904-(F4904/1.18)</f>
        <v>53.54</v>
      </c>
      <c r="H4904" s="1031"/>
      <c r="I4904" s="948">
        <f>D4904*F4904</f>
        <v>8775</v>
      </c>
    </row>
    <row r="4905" spans="2:9" ht="15.75">
      <c r="C4905" s="951" t="s">
        <v>918</v>
      </c>
      <c r="D4905" s="946"/>
      <c r="E4905" s="947"/>
      <c r="F4905" s="1068"/>
      <c r="G4905" s="946"/>
      <c r="H4905" s="1031"/>
      <c r="I4905" s="952">
        <f>SUM(I4901:I4904)</f>
        <v>26935.919999999998</v>
      </c>
    </row>
    <row r="4906" spans="2:9" ht="15.75">
      <c r="C4906" s="949"/>
      <c r="D4906" s="946"/>
      <c r="E4906" s="947"/>
      <c r="F4906" s="1068"/>
      <c r="G4906" s="946"/>
      <c r="H4906" s="1031"/>
      <c r="I4906" s="948"/>
    </row>
    <row r="4907" spans="2:9" ht="15.75">
      <c r="C4907" s="945" t="s">
        <v>919</v>
      </c>
      <c r="D4907" s="946"/>
      <c r="E4907" s="947"/>
      <c r="F4907" s="1068"/>
      <c r="G4907" s="946"/>
      <c r="H4907" s="1031"/>
      <c r="I4907" s="948"/>
    </row>
    <row r="4908" spans="2:9" ht="15.75">
      <c r="C4908" s="949" t="s">
        <v>1073</v>
      </c>
      <c r="D4908" s="953">
        <v>25</v>
      </c>
      <c r="E4908" s="954" t="str">
        <f>+VLOOKUP(C4908,'Basic (equilibrio) (2)'!B:D,2,FALSE)</f>
        <v>ml</v>
      </c>
      <c r="F4908" s="1068">
        <f>'Basic (equilibrio) (2)'!$D$25</f>
        <v>125</v>
      </c>
      <c r="G4908" s="946">
        <v>0</v>
      </c>
      <c r="H4908" s="1031">
        <v>70</v>
      </c>
      <c r="I4908" s="948">
        <f>(D4908*F4908)/H4908</f>
        <v>44.64</v>
      </c>
    </row>
    <row r="4909" spans="2:9" ht="15.75">
      <c r="C4909" s="951" t="s">
        <v>918</v>
      </c>
      <c r="D4909" s="946"/>
      <c r="E4909" s="947"/>
      <c r="F4909" s="1054"/>
      <c r="G4909" s="946"/>
      <c r="H4909" s="1031"/>
      <c r="I4909" s="952">
        <f>SUM(I4908:I4908)</f>
        <v>44.64</v>
      </c>
    </row>
    <row r="4910" spans="2:9" ht="15.75">
      <c r="C4910" s="949"/>
      <c r="D4910" s="946"/>
      <c r="E4910" s="947"/>
      <c r="F4910" s="1054"/>
      <c r="G4910" s="946"/>
      <c r="H4910" s="1031"/>
      <c r="I4910" s="948"/>
    </row>
    <row r="4911" spans="2:9" ht="15.75">
      <c r="C4911" s="945" t="s">
        <v>923</v>
      </c>
      <c r="D4911" s="946"/>
      <c r="E4911" s="947"/>
      <c r="F4911" s="1054"/>
      <c r="G4911" s="946"/>
      <c r="H4911" s="1031"/>
      <c r="I4911" s="948"/>
    </row>
    <row r="4912" spans="2:9" ht="15.75">
      <c r="C4912" s="949" t="s">
        <v>924</v>
      </c>
      <c r="D4912" s="946"/>
      <c r="E4912" s="947" t="str">
        <f>+VLOOKUP(C4912,'Basic (equilibrio) (2)'!B:D,2,FALSE)</f>
        <v>n/a</v>
      </c>
      <c r="F4912" s="1054">
        <f>+VLOOKUP(C4912,'Basic (equilibrio) (2)'!B:D,3,FALSE)</f>
        <v>0</v>
      </c>
      <c r="G4912" s="946">
        <f>F4912-(F4912/1.18)</f>
        <v>0</v>
      </c>
      <c r="H4912" s="1039"/>
      <c r="I4912" s="955">
        <f>D4912*F4912</f>
        <v>0</v>
      </c>
    </row>
    <row r="4913" spans="3:9" ht="15.75">
      <c r="C4913" s="951" t="s">
        <v>918</v>
      </c>
      <c r="D4913" s="946"/>
      <c r="E4913" s="947"/>
      <c r="F4913" s="1054"/>
      <c r="G4913" s="946"/>
      <c r="H4913" s="1031"/>
      <c r="I4913" s="952">
        <f>SUM(I4912:I4912)</f>
        <v>0</v>
      </c>
    </row>
    <row r="4914" spans="3:9" ht="15.75">
      <c r="C4914" s="949"/>
      <c r="D4914" s="946"/>
      <c r="E4914" s="947"/>
      <c r="F4914" s="1054"/>
      <c r="G4914" s="946"/>
      <c r="H4914" s="1031"/>
      <c r="I4914" s="948"/>
    </row>
    <row r="4915" spans="3:9" ht="15.75">
      <c r="C4915" s="945" t="s">
        <v>925</v>
      </c>
      <c r="D4915" s="946"/>
      <c r="E4915" s="947"/>
      <c r="F4915" s="1054"/>
      <c r="G4915" s="946"/>
      <c r="H4915" s="1031"/>
      <c r="I4915" s="948"/>
    </row>
    <row r="4916" spans="3:9" ht="15.75">
      <c r="C4916" s="949" t="s">
        <v>924</v>
      </c>
      <c r="D4916" s="946"/>
      <c r="E4916" s="947" t="str">
        <f>+VLOOKUP(C4916,'Basic (equilibrio) (2)'!B:D,2,FALSE)</f>
        <v>n/a</v>
      </c>
      <c r="F4916" s="1054">
        <f>+VLOOKUP(C4916,'Basic (equilibrio) (2)'!B:D,3,FALSE)</f>
        <v>0</v>
      </c>
      <c r="G4916" s="946"/>
      <c r="H4916" s="1031"/>
      <c r="I4916" s="948">
        <f>D4916*F4916</f>
        <v>0</v>
      </c>
    </row>
    <row r="4917" spans="3:9" ht="15.75">
      <c r="C4917" s="951" t="s">
        <v>918</v>
      </c>
      <c r="D4917" s="946"/>
      <c r="E4917" s="947"/>
      <c r="F4917" s="1054"/>
      <c r="G4917" s="946"/>
      <c r="H4917" s="1031"/>
      <c r="I4917" s="952">
        <f>SUM(I4916)</f>
        <v>0</v>
      </c>
    </row>
    <row r="4918" spans="3:9" ht="15.75">
      <c r="C4918" s="951"/>
      <c r="D4918" s="946"/>
      <c r="E4918" s="947"/>
      <c r="F4918" s="1054"/>
      <c r="G4918" s="946"/>
      <c r="H4918" s="1031"/>
      <c r="I4918" s="952"/>
    </row>
    <row r="4919" spans="3:9" ht="15.75">
      <c r="C4919" s="956" t="s">
        <v>926</v>
      </c>
      <c r="D4919" s="957"/>
      <c r="E4919" s="958"/>
      <c r="F4919" s="1069"/>
      <c r="G4919" s="957"/>
      <c r="H4919" s="1032"/>
      <c r="I4919" s="959">
        <f>+I4905</f>
        <v>26935.919999999998</v>
      </c>
    </row>
    <row r="4920" spans="3:9" ht="15.75">
      <c r="C4920" s="956" t="s">
        <v>927</v>
      </c>
      <c r="D4920" s="957"/>
      <c r="E4920" s="958"/>
      <c r="F4920" s="1069"/>
      <c r="G4920" s="957"/>
      <c r="H4920" s="1032"/>
      <c r="I4920" s="959">
        <f>+I4909</f>
        <v>44.64</v>
      </c>
    </row>
    <row r="4921" spans="3:9" ht="15.75">
      <c r="C4921" s="956" t="s">
        <v>928</v>
      </c>
      <c r="D4921" s="957"/>
      <c r="E4921" s="958"/>
      <c r="F4921" s="1069"/>
      <c r="G4921" s="957"/>
      <c r="H4921" s="1032"/>
      <c r="I4921" s="959">
        <f>+I4913</f>
        <v>0</v>
      </c>
    </row>
    <row r="4922" spans="3:9" ht="15.75">
      <c r="C4922" s="956" t="s">
        <v>929</v>
      </c>
      <c r="D4922" s="957"/>
      <c r="E4922" s="958"/>
      <c r="F4922" s="1069"/>
      <c r="G4922" s="957"/>
      <c r="H4922" s="1032"/>
      <c r="I4922" s="959">
        <f>+I4917</f>
        <v>0</v>
      </c>
    </row>
    <row r="4923" spans="3:9" ht="15.75">
      <c r="C4923" s="949"/>
      <c r="D4923" s="946"/>
      <c r="E4923" s="947"/>
      <c r="F4923" s="1054"/>
      <c r="G4923" s="946"/>
      <c r="H4923" s="1031"/>
      <c r="I4923" s="948"/>
    </row>
    <row r="4924" spans="3:9" ht="15.75">
      <c r="C4924" s="949"/>
      <c r="D4924" s="946"/>
      <c r="E4924" s="947"/>
      <c r="F4924" s="1054"/>
      <c r="G4924" s="946"/>
      <c r="H4924" s="1031"/>
      <c r="I4924" s="948"/>
    </row>
    <row r="4925" spans="3:9" ht="15.75">
      <c r="C4925" s="951" t="s">
        <v>930</v>
      </c>
      <c r="D4925" s="960"/>
      <c r="E4925" s="943" t="str">
        <f>+E4898</f>
        <v>M</v>
      </c>
      <c r="F4925" s="1070"/>
      <c r="G4925" s="960"/>
      <c r="H4925" s="1033"/>
      <c r="I4925" s="952">
        <f>SUM(I4919:I4922)</f>
        <v>26980.560000000001</v>
      </c>
    </row>
    <row r="4926" spans="3:9" ht="15.75">
      <c r="C4926" s="951"/>
      <c r="D4926" s="960">
        <v>25</v>
      </c>
      <c r="E4926" s="943" t="s">
        <v>1558</v>
      </c>
      <c r="F4926" s="1070"/>
      <c r="G4926" s="960"/>
      <c r="H4926" s="1033"/>
      <c r="I4926" s="952"/>
    </row>
    <row r="4927" spans="3:9" ht="15.75">
      <c r="C4927" s="951"/>
      <c r="D4927" s="960"/>
      <c r="E4927" s="943" t="s">
        <v>15</v>
      </c>
      <c r="F4927" s="1070"/>
      <c r="G4927" s="960"/>
      <c r="H4927" s="1033"/>
      <c r="I4927" s="952">
        <f>+I4925/D4926</f>
        <v>1079.22</v>
      </c>
    </row>
    <row r="4928" spans="3:9" ht="15.75">
      <c r="C4928" s="951"/>
      <c r="D4928" s="960"/>
      <c r="E4928" s="943"/>
      <c r="F4928" s="1070"/>
      <c r="G4928" s="960"/>
      <c r="H4928" s="1033"/>
      <c r="I4928" s="952"/>
    </row>
    <row r="4929" spans="2:9" ht="18.75" customHeight="1">
      <c r="B4929" s="1435" t="s">
        <v>1561</v>
      </c>
      <c r="C4929" s="1435"/>
      <c r="D4929" s="1435"/>
      <c r="E4929" s="1435"/>
      <c r="F4929" s="1435"/>
      <c r="G4929" s="1435"/>
      <c r="H4929" s="1435"/>
      <c r="I4929" s="1436"/>
    </row>
    <row r="4930" spans="2:9" ht="15.75">
      <c r="C4930" s="951"/>
      <c r="D4930" s="960"/>
      <c r="E4930" s="943"/>
      <c r="F4930" s="1070"/>
      <c r="G4930" s="960"/>
      <c r="H4930" s="1033"/>
      <c r="I4930" s="952"/>
    </row>
    <row r="4931" spans="2:9" ht="15.75">
      <c r="B4931" s="1024">
        <v>1.1000000000000001</v>
      </c>
      <c r="C4931" s="937" t="str">
        <f>+Presupuesto!B323</f>
        <v xml:space="preserve">Replanteo </v>
      </c>
      <c r="D4931" s="938"/>
      <c r="E4931" s="939" t="s">
        <v>140</v>
      </c>
      <c r="F4931" s="1066"/>
      <c r="G4931" s="938"/>
      <c r="H4931" s="1029"/>
      <c r="I4931" s="940">
        <f>I4960</f>
        <v>32457.25</v>
      </c>
    </row>
    <row r="4932" spans="2:9" ht="15.75">
      <c r="C4932" s="941" t="s">
        <v>908</v>
      </c>
      <c r="D4932" s="942" t="s">
        <v>9</v>
      </c>
      <c r="E4932" s="943" t="s">
        <v>10</v>
      </c>
      <c r="F4932" s="1067" t="s">
        <v>909</v>
      </c>
      <c r="G4932" s="942" t="s">
        <v>910</v>
      </c>
      <c r="H4932" s="1030" t="s">
        <v>911</v>
      </c>
      <c r="I4932" s="944" t="s">
        <v>912</v>
      </c>
    </row>
    <row r="4933" spans="2:9" ht="15.75">
      <c r="C4933" s="945" t="s">
        <v>913</v>
      </c>
      <c r="D4933" s="946"/>
      <c r="E4933" s="947"/>
      <c r="F4933" s="1054"/>
      <c r="G4933" s="946"/>
      <c r="H4933" s="1031"/>
      <c r="I4933" s="948"/>
    </row>
    <row r="4934" spans="2:9" ht="15.75">
      <c r="C4934" s="949" t="s">
        <v>914</v>
      </c>
      <c r="D4934" s="946">
        <f>33.94/28.83</f>
        <v>1.18</v>
      </c>
      <c r="E4934" s="947" t="str">
        <f>+VLOOKUP(C4934,'Basic (equilibrio) (2)'!B:D,2,FALSE)</f>
        <v>lb</v>
      </c>
      <c r="F4934" s="1068">
        <f>'Basic (equilibrio) (2)'!$D$326</f>
        <v>78.2</v>
      </c>
      <c r="G4934" s="946">
        <f>F4934-(F4934/1.18)</f>
        <v>11.93</v>
      </c>
      <c r="H4934" s="1031"/>
      <c r="I4934" s="948">
        <f>D4934*F4934</f>
        <v>92.28</v>
      </c>
    </row>
    <row r="4935" spans="2:9" ht="15.75">
      <c r="C4935" s="949" t="s">
        <v>915</v>
      </c>
      <c r="D4935" s="946">
        <f>22/28.83</f>
        <v>0.76</v>
      </c>
      <c r="E4935" s="950" t="str">
        <f>+VLOOKUP(C4935,'Basic (equilibrio) (2)'!B:D,2,FALSE)</f>
        <v>fda</v>
      </c>
      <c r="F4935" s="1068">
        <f>'Basic (equilibrio) (2)'!$D$327</f>
        <v>153.6</v>
      </c>
      <c r="G4935" s="946">
        <f>F4935-(F4935/1.18)</f>
        <v>23.43</v>
      </c>
      <c r="H4935" s="1031"/>
      <c r="I4935" s="948">
        <f>D4935*F4935</f>
        <v>116.74</v>
      </c>
    </row>
    <row r="4936" spans="2:9" ht="15.75">
      <c r="C4936" s="949" t="s">
        <v>916</v>
      </c>
      <c r="D4936" s="946">
        <f>160.42/28.83</f>
        <v>5.56</v>
      </c>
      <c r="E4936" s="947" t="str">
        <f>+VLOOKUP(C4936,'Basic (equilibrio) (2)'!B:D,2,FALSE)</f>
        <v>pt</v>
      </c>
      <c r="F4936" s="1068">
        <f>'Basic (equilibrio) (2)'!$D$194</f>
        <v>107.7</v>
      </c>
      <c r="G4936" s="946">
        <f>F4936-(F4936/1.18)</f>
        <v>16.43</v>
      </c>
      <c r="H4936" s="1031"/>
      <c r="I4936" s="948">
        <f>D4936*F4936</f>
        <v>598.80999999999995</v>
      </c>
    </row>
    <row r="4937" spans="2:9" ht="15.75">
      <c r="C4937" s="949" t="s">
        <v>917</v>
      </c>
      <c r="D4937" s="946">
        <f>3/28.83</f>
        <v>0.1</v>
      </c>
      <c r="E4937" s="950" t="str">
        <f>+VLOOKUP(C4937,'Basic (equilibrio) (2)'!B:D,2,FALSE)</f>
        <v>u</v>
      </c>
      <c r="F4937" s="1068">
        <f>'Basic (equilibrio) (2)'!$D$329</f>
        <v>139.19999999999999</v>
      </c>
      <c r="G4937" s="946">
        <f>F4937-(F4937/1.18)</f>
        <v>21.23</v>
      </c>
      <c r="H4937" s="1031"/>
      <c r="I4937" s="948">
        <f>D4937*F4937</f>
        <v>13.92</v>
      </c>
    </row>
    <row r="4938" spans="2:9" ht="15.75">
      <c r="C4938" s="951" t="s">
        <v>918</v>
      </c>
      <c r="D4938" s="946"/>
      <c r="E4938" s="947"/>
      <c r="F4938" s="1068"/>
      <c r="G4938" s="946"/>
      <c r="H4938" s="1031"/>
      <c r="I4938" s="952">
        <f>SUM(I4934:I4937)</f>
        <v>821.75</v>
      </c>
    </row>
    <row r="4939" spans="2:9" ht="15.75">
      <c r="C4939" s="949"/>
      <c r="D4939" s="946"/>
      <c r="E4939" s="947"/>
      <c r="F4939" s="1068"/>
      <c r="G4939" s="946"/>
      <c r="H4939" s="1031"/>
      <c r="I4939" s="948"/>
    </row>
    <row r="4940" spans="2:9" ht="15.75">
      <c r="C4940" s="945" t="s">
        <v>919</v>
      </c>
      <c r="D4940" s="946"/>
      <c r="E4940" s="947"/>
      <c r="F4940" s="1068"/>
      <c r="G4940" s="946"/>
      <c r="H4940" s="1031"/>
      <c r="I4940" s="948"/>
    </row>
    <row r="4941" spans="2:9" ht="15.75">
      <c r="C4941" s="949" t="s">
        <v>920</v>
      </c>
      <c r="D4941" s="953">
        <v>1</v>
      </c>
      <c r="E4941" s="954" t="str">
        <f>+VLOOKUP(C4941,'Basic (equilibrio) (2)'!B:D,2,FALSE)</f>
        <v>dia</v>
      </c>
      <c r="F4941" s="1068">
        <f>+'Basic (equilibrio) (2)'!$D$18</f>
        <v>28535.5</v>
      </c>
      <c r="G4941" s="946">
        <v>0</v>
      </c>
      <c r="H4941" s="1031"/>
      <c r="I4941" s="948">
        <f>D4941*F4941</f>
        <v>28535.5</v>
      </c>
    </row>
    <row r="4942" spans="2:9" ht="15.75">
      <c r="C4942" s="949" t="s">
        <v>921</v>
      </c>
      <c r="D4942" s="946">
        <v>1</v>
      </c>
      <c r="E4942" s="954" t="str">
        <f>+VLOOKUP(C4942,'Basic (equilibrio) (2)'!B:D,2,FALSE)</f>
        <v>dia</v>
      </c>
      <c r="F4942" s="1054">
        <f>'Basic (equilibrio) (2)'!$D$12</f>
        <v>1900</v>
      </c>
      <c r="G4942" s="946">
        <v>0</v>
      </c>
      <c r="H4942" s="1031"/>
      <c r="I4942" s="948">
        <f>D4942*F4942</f>
        <v>1900</v>
      </c>
    </row>
    <row r="4943" spans="2:9" ht="15.75">
      <c r="C4943" s="949" t="s">
        <v>922</v>
      </c>
      <c r="D4943" s="946">
        <v>1</v>
      </c>
      <c r="E4943" s="954" t="str">
        <f>+VLOOKUP(C4943,'Basic (equilibrio) (2)'!B:D,2,FALSE)</f>
        <v>dia</v>
      </c>
      <c r="F4943" s="1054">
        <f>'Basic (equilibrio) (2)'!$D$13</f>
        <v>1200</v>
      </c>
      <c r="G4943" s="946">
        <v>0</v>
      </c>
      <c r="H4943" s="1031"/>
      <c r="I4943" s="948">
        <f>D4943*F4943</f>
        <v>1200</v>
      </c>
    </row>
    <row r="4944" spans="2:9" ht="15.75">
      <c r="C4944" s="951" t="s">
        <v>918</v>
      </c>
      <c r="D4944" s="946"/>
      <c r="E4944" s="947"/>
      <c r="F4944" s="1054"/>
      <c r="G4944" s="946"/>
      <c r="H4944" s="1031"/>
      <c r="I4944" s="952">
        <f>SUM(I4941:I4943)</f>
        <v>31635.5</v>
      </c>
    </row>
    <row r="4945" spans="3:9" ht="15.75">
      <c r="C4945" s="949"/>
      <c r="D4945" s="946"/>
      <c r="E4945" s="947"/>
      <c r="F4945" s="1054"/>
      <c r="G4945" s="946"/>
      <c r="H4945" s="1031"/>
      <c r="I4945" s="948"/>
    </row>
    <row r="4946" spans="3:9" ht="15.75">
      <c r="C4946" s="945" t="s">
        <v>923</v>
      </c>
      <c r="D4946" s="946"/>
      <c r="E4946" s="947"/>
      <c r="F4946" s="1054"/>
      <c r="G4946" s="946"/>
      <c r="H4946" s="1031"/>
      <c r="I4946" s="948"/>
    </row>
    <row r="4947" spans="3:9" ht="15.75">
      <c r="C4947" s="949" t="s">
        <v>924</v>
      </c>
      <c r="D4947" s="946"/>
      <c r="E4947" s="947"/>
      <c r="F4947" s="1054">
        <f>+VLOOKUP(C4947,[49]BASICS!B:E,3,FALSE)</f>
        <v>0</v>
      </c>
      <c r="G4947" s="946">
        <f>F4947-(F4947/1.18)</f>
        <v>0</v>
      </c>
      <c r="H4947" s="1039"/>
      <c r="I4947" s="955">
        <f>D4947*F4947</f>
        <v>0</v>
      </c>
    </row>
    <row r="4948" spans="3:9" ht="15.75">
      <c r="C4948" s="951" t="s">
        <v>918</v>
      </c>
      <c r="D4948" s="946"/>
      <c r="E4948" s="947"/>
      <c r="F4948" s="1054"/>
      <c r="G4948" s="946"/>
      <c r="H4948" s="1031"/>
      <c r="I4948" s="952">
        <f>SUM(I4947)</f>
        <v>0</v>
      </c>
    </row>
    <row r="4949" spans="3:9" ht="15.75">
      <c r="C4949" s="949"/>
      <c r="D4949" s="946"/>
      <c r="E4949" s="947"/>
      <c r="F4949" s="1054"/>
      <c r="G4949" s="946"/>
      <c r="H4949" s="1031"/>
      <c r="I4949" s="948"/>
    </row>
    <row r="4950" spans="3:9" ht="15.75">
      <c r="C4950" s="945" t="s">
        <v>925</v>
      </c>
      <c r="D4950" s="946"/>
      <c r="E4950" s="947"/>
      <c r="F4950" s="1054"/>
      <c r="G4950" s="946"/>
      <c r="H4950" s="1031"/>
      <c r="I4950" s="948"/>
    </row>
    <row r="4951" spans="3:9" ht="15.75">
      <c r="C4951" s="949" t="s">
        <v>925</v>
      </c>
      <c r="D4951" s="946">
        <f>+I4938</f>
        <v>821.75</v>
      </c>
      <c r="E4951" s="947" t="str">
        <f>+VLOOKUP(C4951,'Basic (equilibrio) (2)'!B:D,2,FALSE)</f>
        <v>Pa</v>
      </c>
      <c r="F4951" s="1054">
        <f>+VLOOKUP(C4951,'Basic (equilibrio) (2)'!B:D,3,FALSE)</f>
        <v>0</v>
      </c>
      <c r="G4951" s="946">
        <f>F4951-(F4951/1.18)</f>
        <v>0</v>
      </c>
      <c r="H4951" s="1031"/>
      <c r="I4951" s="948">
        <f>D4951*F4951</f>
        <v>0</v>
      </c>
    </row>
    <row r="4952" spans="3:9" ht="15.75">
      <c r="C4952" s="951" t="s">
        <v>918</v>
      </c>
      <c r="D4952" s="946"/>
      <c r="E4952" s="947"/>
      <c r="F4952" s="1054"/>
      <c r="G4952" s="946"/>
      <c r="H4952" s="1031"/>
      <c r="I4952" s="952">
        <f>SUM(I4951)</f>
        <v>0</v>
      </c>
    </row>
    <row r="4953" spans="3:9" ht="15.75">
      <c r="C4953" s="951"/>
      <c r="D4953" s="946"/>
      <c r="E4953" s="947"/>
      <c r="F4953" s="1054"/>
      <c r="G4953" s="946"/>
      <c r="H4953" s="1031"/>
      <c r="I4953" s="952"/>
    </row>
    <row r="4954" spans="3:9" ht="15.75">
      <c r="C4954" s="956" t="s">
        <v>926</v>
      </c>
      <c r="D4954" s="957"/>
      <c r="E4954" s="958"/>
      <c r="F4954" s="1069"/>
      <c r="G4954" s="957"/>
      <c r="H4954" s="1032"/>
      <c r="I4954" s="959">
        <f>+I4938</f>
        <v>821.75</v>
      </c>
    </row>
    <row r="4955" spans="3:9" ht="15.75">
      <c r="C4955" s="956" t="s">
        <v>927</v>
      </c>
      <c r="D4955" s="957"/>
      <c r="E4955" s="958"/>
      <c r="F4955" s="1069"/>
      <c r="G4955" s="957"/>
      <c r="H4955" s="1032"/>
      <c r="I4955" s="959">
        <f>+I4944</f>
        <v>31635.5</v>
      </c>
    </row>
    <row r="4956" spans="3:9" ht="15.75">
      <c r="C4956" s="956" t="s">
        <v>928</v>
      </c>
      <c r="D4956" s="957"/>
      <c r="E4956" s="958"/>
      <c r="F4956" s="1069"/>
      <c r="G4956" s="957"/>
      <c r="H4956" s="1032"/>
      <c r="I4956" s="959">
        <f>+I4948</f>
        <v>0</v>
      </c>
    </row>
    <row r="4957" spans="3:9" ht="15.75">
      <c r="C4957" s="956" t="s">
        <v>929</v>
      </c>
      <c r="D4957" s="957"/>
      <c r="E4957" s="958"/>
      <c r="F4957" s="1069"/>
      <c r="G4957" s="957"/>
      <c r="H4957" s="1032"/>
      <c r="I4957" s="959">
        <f>+I4952</f>
        <v>0</v>
      </c>
    </row>
    <row r="4958" spans="3:9" ht="15.75">
      <c r="C4958" s="949"/>
      <c r="D4958" s="946"/>
      <c r="E4958" s="947"/>
      <c r="F4958" s="1054"/>
      <c r="G4958" s="946"/>
      <c r="H4958" s="1031"/>
      <c r="I4958" s="948"/>
    </row>
    <row r="4959" spans="3:9" ht="15.75">
      <c r="C4959" s="949"/>
      <c r="D4959" s="946"/>
      <c r="E4959" s="947"/>
      <c r="F4959" s="1054"/>
      <c r="G4959" s="946"/>
      <c r="H4959" s="1031"/>
      <c r="I4959" s="948"/>
    </row>
    <row r="4960" spans="3:9" ht="15.75">
      <c r="C4960" s="951" t="s">
        <v>930</v>
      </c>
      <c r="D4960" s="960"/>
      <c r="E4960" s="943" t="str">
        <f>+E4931</f>
        <v>P.A</v>
      </c>
      <c r="F4960" s="1070"/>
      <c r="G4960" s="960"/>
      <c r="H4960" s="1033"/>
      <c r="I4960" s="952">
        <f>SUM(I4954:I4957)</f>
        <v>32457.25</v>
      </c>
    </row>
    <row r="4961" spans="2:9" ht="15.75">
      <c r="C4961" s="949"/>
      <c r="D4961" s="946"/>
      <c r="E4961" s="947"/>
      <c r="F4961" s="1054"/>
      <c r="G4961" s="946"/>
      <c r="H4961" s="1031"/>
      <c r="I4961" s="948"/>
    </row>
    <row r="4962" spans="2:9" ht="15.75">
      <c r="B4962" s="1026">
        <v>2.1</v>
      </c>
      <c r="C4962" s="937" t="str">
        <f>+Presupuesto!B326</f>
        <v>Excavación de material compacto a mano</v>
      </c>
      <c r="D4962" s="938"/>
      <c r="E4962" s="962" t="s">
        <v>1554</v>
      </c>
      <c r="F4962" s="1066"/>
      <c r="G4962" s="938"/>
      <c r="H4962" s="1029"/>
      <c r="I4962" s="940">
        <f>I4987</f>
        <v>118.09</v>
      </c>
    </row>
    <row r="4963" spans="2:9" ht="15.75">
      <c r="C4963" s="941" t="s">
        <v>908</v>
      </c>
      <c r="D4963" s="942" t="s">
        <v>9</v>
      </c>
      <c r="E4963" s="943" t="s">
        <v>10</v>
      </c>
      <c r="F4963" s="1067" t="s">
        <v>909</v>
      </c>
      <c r="G4963" s="942" t="s">
        <v>910</v>
      </c>
      <c r="H4963" s="1030" t="s">
        <v>911</v>
      </c>
      <c r="I4963" s="944" t="s">
        <v>912</v>
      </c>
    </row>
    <row r="4964" spans="2:9" ht="15.75">
      <c r="C4964" s="945" t="s">
        <v>913</v>
      </c>
      <c r="D4964" s="946"/>
      <c r="E4964" s="947"/>
      <c r="F4964" s="1054"/>
      <c r="G4964" s="946"/>
      <c r="H4964" s="1031"/>
      <c r="I4964" s="948"/>
    </row>
    <row r="4965" spans="2:9" ht="15.75">
      <c r="C4965" s="949" t="s">
        <v>924</v>
      </c>
      <c r="D4965" s="946"/>
      <c r="E4965" s="947" t="str">
        <f>+VLOOKUP(C4965,'Basic (equilibrio) (2)'!B:D,2,FALSE)</f>
        <v>n/a</v>
      </c>
      <c r="F4965" s="1068">
        <f>+VLOOKUP(C4965,'Basic (equilibrio) (2)'!B:D,3,FALSE)</f>
        <v>0</v>
      </c>
      <c r="G4965" s="946">
        <f>F4965-(F4965/1.18)</f>
        <v>0</v>
      </c>
      <c r="H4965" s="1031"/>
      <c r="I4965" s="948">
        <f>D4965*F4965</f>
        <v>0</v>
      </c>
    </row>
    <row r="4966" spans="2:9" ht="15.75">
      <c r="C4966" s="951" t="s">
        <v>918</v>
      </c>
      <c r="D4966" s="946"/>
      <c r="E4966" s="947"/>
      <c r="F4966" s="1068"/>
      <c r="G4966" s="946"/>
      <c r="H4966" s="1031"/>
      <c r="I4966" s="952">
        <f>SUM(I4965:I4965)</f>
        <v>0</v>
      </c>
    </row>
    <row r="4967" spans="2:9" ht="15.75">
      <c r="C4967" s="949"/>
      <c r="D4967" s="946"/>
      <c r="E4967" s="947"/>
      <c r="F4967" s="1068"/>
      <c r="G4967" s="946"/>
      <c r="H4967" s="1031"/>
      <c r="I4967" s="948"/>
    </row>
    <row r="4968" spans="2:9" ht="15.75">
      <c r="C4968" s="945" t="s">
        <v>919</v>
      </c>
      <c r="D4968" s="946"/>
      <c r="E4968" s="947"/>
      <c r="F4968" s="1068"/>
      <c r="G4968" s="946"/>
      <c r="H4968" s="1031"/>
      <c r="I4968" s="948"/>
    </row>
    <row r="4969" spans="2:9" ht="15.75">
      <c r="C4969" s="949" t="s">
        <v>931</v>
      </c>
      <c r="D4969" s="953">
        <v>0.13</v>
      </c>
      <c r="E4969" s="954" t="str">
        <f>+VLOOKUP(C4969,'Basic (equilibrio) (2)'!B:D,2,FALSE)</f>
        <v>dia</v>
      </c>
      <c r="F4969" s="1068">
        <f>'Basic (equilibrio) (2)'!$D$14</f>
        <v>900</v>
      </c>
      <c r="G4969" s="946">
        <v>0</v>
      </c>
      <c r="H4969" s="1031">
        <v>70</v>
      </c>
      <c r="I4969" s="948">
        <f>(D4969*F4969)/H4969</f>
        <v>1.67</v>
      </c>
    </row>
    <row r="4970" spans="2:9" ht="15.75">
      <c r="C4970" s="951" t="s">
        <v>918</v>
      </c>
      <c r="D4970" s="946"/>
      <c r="E4970" s="947"/>
      <c r="F4970" s="1054"/>
      <c r="G4970" s="946"/>
      <c r="H4970" s="1031"/>
      <c r="I4970" s="952">
        <f>SUM(I4969:I4969)</f>
        <v>1.67</v>
      </c>
    </row>
    <row r="4971" spans="2:9" ht="15.75">
      <c r="C4971" s="949"/>
      <c r="D4971" s="946"/>
      <c r="E4971" s="947"/>
      <c r="F4971" s="1054"/>
      <c r="G4971" s="946"/>
      <c r="H4971" s="1031"/>
      <c r="I4971" s="948"/>
    </row>
    <row r="4972" spans="2:9" ht="15.75">
      <c r="C4972" s="945" t="s">
        <v>923</v>
      </c>
      <c r="D4972" s="946"/>
      <c r="E4972" s="947"/>
      <c r="F4972" s="1054"/>
      <c r="G4972" s="946"/>
      <c r="H4972" s="1031"/>
      <c r="I4972" s="948"/>
    </row>
    <row r="4973" spans="2:9" ht="31.5">
      <c r="C4973" s="949" t="s">
        <v>932</v>
      </c>
      <c r="D4973" s="946">
        <v>1</v>
      </c>
      <c r="E4973" s="947" t="str">
        <f>+VLOOKUP(C4973,'Basic (equilibrio) (2)'!B:D,2,FALSE)</f>
        <v>hr</v>
      </c>
      <c r="F4973" s="1054">
        <f>'Basic (equilibrio) (2)'!$D$690</f>
        <v>3900</v>
      </c>
      <c r="G4973" s="946">
        <f>F4973-(F4973/1.18)</f>
        <v>594.91999999999996</v>
      </c>
      <c r="H4973" s="1039">
        <v>70</v>
      </c>
      <c r="I4973" s="955">
        <f>D4973*F4973/H4973</f>
        <v>55.71</v>
      </c>
    </row>
    <row r="4974" spans="2:9" ht="15.75">
      <c r="C4974" s="949" t="s">
        <v>933</v>
      </c>
      <c r="D4974" s="946">
        <v>1</v>
      </c>
      <c r="E4974" s="947" t="str">
        <f>+VLOOKUP(C4974,'Basic (equilibrio) (2)'!B:D,2,FALSE)</f>
        <v>hr</v>
      </c>
      <c r="F4974" s="1054">
        <f>'Basic (equilibrio) (2)'!$D$682</f>
        <v>4250</v>
      </c>
      <c r="G4974" s="946">
        <f>F4974-(F4974/1.18)</f>
        <v>648.30999999999995</v>
      </c>
      <c r="H4974" s="1039">
        <v>70</v>
      </c>
      <c r="I4974" s="955">
        <f>D4974*F4974/H4974</f>
        <v>60.71</v>
      </c>
    </row>
    <row r="4975" spans="2:9" ht="15.75">
      <c r="C4975" s="951" t="s">
        <v>918</v>
      </c>
      <c r="D4975" s="946"/>
      <c r="E4975" s="947"/>
      <c r="F4975" s="1054"/>
      <c r="G4975" s="946"/>
      <c r="H4975" s="1031"/>
      <c r="I4975" s="952">
        <f>SUM(I4973:I4974)</f>
        <v>116.42</v>
      </c>
    </row>
    <row r="4976" spans="2:9" ht="15.75">
      <c r="C4976" s="949"/>
      <c r="D4976" s="946"/>
      <c r="E4976" s="947"/>
      <c r="F4976" s="1054"/>
      <c r="G4976" s="946"/>
      <c r="H4976" s="1031"/>
      <c r="I4976" s="948"/>
    </row>
    <row r="4977" spans="2:9" ht="15.75">
      <c r="C4977" s="945" t="s">
        <v>925</v>
      </c>
      <c r="D4977" s="946"/>
      <c r="E4977" s="947"/>
      <c r="F4977" s="1054"/>
      <c r="G4977" s="946"/>
      <c r="H4977" s="1031"/>
      <c r="I4977" s="948"/>
    </row>
    <row r="4978" spans="2:9" ht="15.75">
      <c r="C4978" s="949" t="s">
        <v>925</v>
      </c>
      <c r="D4978" s="946">
        <f>+I4975</f>
        <v>116.42</v>
      </c>
      <c r="E4978" s="947" t="str">
        <f>+VLOOKUP(C4978,'Basic (equilibrio) (2)'!B:D,2,FALSE)</f>
        <v>Pa</v>
      </c>
      <c r="F4978" s="1054">
        <f>+VLOOKUP(C4978,'Basic (equilibrio) (2)'!B:D,3,FALSE)</f>
        <v>0</v>
      </c>
      <c r="G4978" s="946"/>
      <c r="H4978" s="1031"/>
      <c r="I4978" s="948">
        <f>D4978*F4978</f>
        <v>0</v>
      </c>
    </row>
    <row r="4979" spans="2:9" ht="15.75">
      <c r="C4979" s="951" t="s">
        <v>918</v>
      </c>
      <c r="D4979" s="946"/>
      <c r="E4979" s="947"/>
      <c r="F4979" s="1054"/>
      <c r="G4979" s="946"/>
      <c r="H4979" s="1031"/>
      <c r="I4979" s="952">
        <f>SUM(I4978)</f>
        <v>0</v>
      </c>
    </row>
    <row r="4980" spans="2:9" ht="15.75">
      <c r="C4980" s="951"/>
      <c r="D4980" s="946"/>
      <c r="E4980" s="947"/>
      <c r="F4980" s="1054"/>
      <c r="G4980" s="946"/>
      <c r="H4980" s="1031"/>
      <c r="I4980" s="952"/>
    </row>
    <row r="4981" spans="2:9" ht="15.75">
      <c r="C4981" s="956" t="s">
        <v>926</v>
      </c>
      <c r="D4981" s="957"/>
      <c r="E4981" s="958"/>
      <c r="F4981" s="1069"/>
      <c r="G4981" s="957"/>
      <c r="H4981" s="1032"/>
      <c r="I4981" s="959">
        <f>+I4966</f>
        <v>0</v>
      </c>
    </row>
    <row r="4982" spans="2:9" ht="15.75">
      <c r="C4982" s="956" t="s">
        <v>927</v>
      </c>
      <c r="D4982" s="957"/>
      <c r="E4982" s="958"/>
      <c r="F4982" s="1069"/>
      <c r="G4982" s="957"/>
      <c r="H4982" s="1032"/>
      <c r="I4982" s="959">
        <f>+I4970</f>
        <v>1.67</v>
      </c>
    </row>
    <row r="4983" spans="2:9" ht="15.75">
      <c r="C4983" s="956" t="s">
        <v>928</v>
      </c>
      <c r="D4983" s="957"/>
      <c r="E4983" s="958"/>
      <c r="F4983" s="1069"/>
      <c r="G4983" s="957"/>
      <c r="H4983" s="1032"/>
      <c r="I4983" s="959">
        <f>+I4975</f>
        <v>116.42</v>
      </c>
    </row>
    <row r="4984" spans="2:9" ht="15.75">
      <c r="C4984" s="956" t="s">
        <v>929</v>
      </c>
      <c r="D4984" s="957"/>
      <c r="E4984" s="958"/>
      <c r="F4984" s="1069"/>
      <c r="G4984" s="957"/>
      <c r="H4984" s="1032"/>
      <c r="I4984" s="959">
        <f>+I4979</f>
        <v>0</v>
      </c>
    </row>
    <row r="4985" spans="2:9" ht="15.75">
      <c r="C4985" s="949"/>
      <c r="D4985" s="946"/>
      <c r="E4985" s="947"/>
      <c r="F4985" s="1054"/>
      <c r="G4985" s="946"/>
      <c r="H4985" s="1031"/>
      <c r="I4985" s="948"/>
    </row>
    <row r="4986" spans="2:9" ht="15.75">
      <c r="C4986" s="949"/>
      <c r="D4986" s="946"/>
      <c r="E4986" s="947"/>
      <c r="F4986" s="1054"/>
      <c r="G4986" s="946"/>
      <c r="H4986" s="1031"/>
      <c r="I4986" s="948"/>
    </row>
    <row r="4987" spans="2:9" ht="15.75">
      <c r="C4987" s="951" t="s">
        <v>930</v>
      </c>
      <c r="D4987" s="960"/>
      <c r="E4987" s="943" t="str">
        <f>+E4962</f>
        <v>M3N</v>
      </c>
      <c r="F4987" s="1070"/>
      <c r="G4987" s="960"/>
      <c r="H4987" s="1033"/>
      <c r="I4987" s="952">
        <f>SUM(I4981:I4984)</f>
        <v>118.09</v>
      </c>
    </row>
    <row r="4988" spans="2:9" ht="15.75">
      <c r="C4988" s="949"/>
      <c r="D4988" s="946"/>
      <c r="E4988" s="947"/>
      <c r="F4988" s="1054"/>
      <c r="G4988" s="946"/>
      <c r="H4988" s="1031"/>
      <c r="I4988" s="948"/>
    </row>
    <row r="4989" spans="2:9" ht="15.75">
      <c r="B4989" s="1026">
        <v>2.2000000000000002</v>
      </c>
      <c r="C4989" s="937" t="str">
        <f>+Presupuesto!B327</f>
        <v>Relleno compactado c/compactador mecánico</v>
      </c>
      <c r="D4989" s="938"/>
      <c r="E4989" s="962" t="s">
        <v>219</v>
      </c>
      <c r="F4989" s="1066"/>
      <c r="G4989" s="938"/>
      <c r="H4989" s="1029"/>
      <c r="I4989" s="940">
        <f>I5015</f>
        <v>87.49</v>
      </c>
    </row>
    <row r="4990" spans="2:9" ht="15.75">
      <c r="C4990" s="941" t="s">
        <v>908</v>
      </c>
      <c r="D4990" s="942" t="s">
        <v>9</v>
      </c>
      <c r="E4990" s="943" t="s">
        <v>10</v>
      </c>
      <c r="F4990" s="1067" t="s">
        <v>909</v>
      </c>
      <c r="G4990" s="942" t="s">
        <v>910</v>
      </c>
      <c r="H4990" s="1030" t="s">
        <v>911</v>
      </c>
      <c r="I4990" s="944" t="s">
        <v>912</v>
      </c>
    </row>
    <row r="4991" spans="2:9" ht="15.75">
      <c r="C4991" s="945" t="s">
        <v>913</v>
      </c>
      <c r="D4991" s="946"/>
      <c r="E4991" s="947"/>
      <c r="F4991" s="1054"/>
      <c r="G4991" s="946"/>
      <c r="H4991" s="1031"/>
      <c r="I4991" s="948"/>
    </row>
    <row r="4992" spans="2:9" ht="15.75">
      <c r="C4992" s="949" t="s">
        <v>924</v>
      </c>
      <c r="D4992" s="946">
        <v>1.3</v>
      </c>
      <c r="E4992" s="947" t="str">
        <f>+VLOOKUP(C4992,'Basic (equilibrio) (2)'!B:D,2,FALSE)</f>
        <v>n/a</v>
      </c>
      <c r="F4992" s="1068">
        <f>+VLOOKUP(C4992,'Basic (equilibrio) (2)'!B:D,3,FALSE)</f>
        <v>0</v>
      </c>
      <c r="G4992" s="946">
        <f>F4992-(F4992/1.18)</f>
        <v>0</v>
      </c>
      <c r="H4992" s="1031"/>
      <c r="I4992" s="948">
        <f>D4992*F4992</f>
        <v>0</v>
      </c>
    </row>
    <row r="4993" spans="3:9" ht="15.75">
      <c r="C4993" s="951" t="s">
        <v>918</v>
      </c>
      <c r="D4993" s="946"/>
      <c r="E4993" s="947"/>
      <c r="F4993" s="1068"/>
      <c r="G4993" s="946"/>
      <c r="H4993" s="1031"/>
      <c r="I4993" s="952">
        <f>SUM(I4992:I4992)</f>
        <v>0</v>
      </c>
    </row>
    <row r="4994" spans="3:9" ht="15.75">
      <c r="C4994" s="949"/>
      <c r="D4994" s="946"/>
      <c r="E4994" s="947"/>
      <c r="F4994" s="1068"/>
      <c r="G4994" s="946"/>
      <c r="H4994" s="1031"/>
      <c r="I4994" s="948"/>
    </row>
    <row r="4995" spans="3:9" ht="15.75">
      <c r="C4995" s="945" t="s">
        <v>919</v>
      </c>
      <c r="D4995" s="946"/>
      <c r="E4995" s="947"/>
      <c r="F4995" s="1068"/>
      <c r="G4995" s="946"/>
      <c r="H4995" s="1031"/>
      <c r="I4995" s="948"/>
    </row>
    <row r="4996" spans="3:9" ht="15.75">
      <c r="C4996" s="949" t="s">
        <v>931</v>
      </c>
      <c r="D4996" s="953">
        <v>0.25</v>
      </c>
      <c r="E4996" s="954" t="str">
        <f>+VLOOKUP(C4996,'Basic (equilibrio) (2)'!B:D,2,FALSE)</f>
        <v>dia</v>
      </c>
      <c r="F4996" s="1068">
        <f>'Basic (equilibrio) (2)'!$D$14</f>
        <v>900</v>
      </c>
      <c r="G4996" s="946">
        <v>0</v>
      </c>
      <c r="H4996" s="1031">
        <v>70</v>
      </c>
      <c r="I4996" s="948">
        <f>(D4996*F4996)/H4996</f>
        <v>3.21</v>
      </c>
    </row>
    <row r="4997" spans="3:9" ht="15.75">
      <c r="C4997" s="951" t="s">
        <v>918</v>
      </c>
      <c r="D4997" s="946"/>
      <c r="E4997" s="947"/>
      <c r="F4997" s="1054"/>
      <c r="G4997" s="946"/>
      <c r="H4997" s="1031"/>
      <c r="I4997" s="952">
        <f>SUM(I4996:I4996)</f>
        <v>3.21</v>
      </c>
    </row>
    <row r="4998" spans="3:9" ht="15.75">
      <c r="C4998" s="949"/>
      <c r="D4998" s="946"/>
      <c r="E4998" s="947"/>
      <c r="F4998" s="1054"/>
      <c r="G4998" s="946"/>
      <c r="H4998" s="1031"/>
      <c r="I4998" s="948"/>
    </row>
    <row r="4999" spans="3:9" ht="15.75">
      <c r="C4999" s="945" t="s">
        <v>923</v>
      </c>
      <c r="D4999" s="946"/>
      <c r="E4999" s="947"/>
      <c r="F4999" s="1054"/>
      <c r="G4999" s="946"/>
      <c r="H4999" s="1031"/>
      <c r="I4999" s="948"/>
    </row>
    <row r="5000" spans="3:9" ht="15.75">
      <c r="C5000" s="949" t="s">
        <v>938</v>
      </c>
      <c r="D5000" s="946">
        <v>1</v>
      </c>
      <c r="E5000" s="947" t="str">
        <f>+VLOOKUP(C5000,'Basic (equilibrio) (2)'!B:D,2,FALSE)</f>
        <v>hr</v>
      </c>
      <c r="F5000" s="1054">
        <f>'Basic (equilibrio) (2)'!$D$683</f>
        <v>2500</v>
      </c>
      <c r="G5000" s="946">
        <f>F5000-(F5000/1.18)</f>
        <v>381.36</v>
      </c>
      <c r="H5000" s="1039">
        <v>70</v>
      </c>
      <c r="I5000" s="955">
        <f>D5000*F5000/H5000</f>
        <v>35.71</v>
      </c>
    </row>
    <row r="5001" spans="3:9" ht="15.75">
      <c r="C5001" s="949" t="s">
        <v>935</v>
      </c>
      <c r="D5001" s="946">
        <v>1</v>
      </c>
      <c r="E5001" s="947" t="str">
        <f>+VLOOKUP(C5001,'Basic (equilibrio) (2)'!B:D,2,FALSE)</f>
        <v>hr</v>
      </c>
      <c r="F5001" s="1054">
        <f>'Basic (equilibrio) (2)'!$D$684</f>
        <v>3000</v>
      </c>
      <c r="G5001" s="946">
        <f>F5001-(F5001/1.18)</f>
        <v>457.63</v>
      </c>
      <c r="H5001" s="1039">
        <v>70</v>
      </c>
      <c r="I5001" s="955">
        <f t="shared" ref="I5001:I5002" si="31">D5001*F5001/H5001</f>
        <v>42.86</v>
      </c>
    </row>
    <row r="5002" spans="3:9" ht="15.75">
      <c r="C5002" s="949" t="s">
        <v>939</v>
      </c>
      <c r="D5002" s="946">
        <v>1</v>
      </c>
      <c r="E5002" s="947" t="str">
        <f>+VLOOKUP(C5002,'Basic (equilibrio) (2)'!B:D,2,FALSE)</f>
        <v>hr</v>
      </c>
      <c r="F5002" s="1054">
        <f>'Basic (equilibrio) (2)'!$D$688</f>
        <v>400</v>
      </c>
      <c r="G5002" s="946">
        <f>F5002-(F5002/1.18)</f>
        <v>61.02</v>
      </c>
      <c r="H5002" s="1039">
        <v>70</v>
      </c>
      <c r="I5002" s="955">
        <f t="shared" si="31"/>
        <v>5.71</v>
      </c>
    </row>
    <row r="5003" spans="3:9" ht="15.75">
      <c r="C5003" s="951" t="s">
        <v>918</v>
      </c>
      <c r="D5003" s="946"/>
      <c r="E5003" s="947"/>
      <c r="F5003" s="1054"/>
      <c r="G5003" s="946"/>
      <c r="H5003" s="1031"/>
      <c r="I5003" s="952">
        <f>SUM(I5000:I5002)</f>
        <v>84.28</v>
      </c>
    </row>
    <row r="5004" spans="3:9" ht="15.75">
      <c r="C5004" s="949"/>
      <c r="D5004" s="946"/>
      <c r="E5004" s="947"/>
      <c r="F5004" s="1054"/>
      <c r="G5004" s="946"/>
      <c r="H5004" s="1031"/>
      <c r="I5004" s="948"/>
    </row>
    <row r="5005" spans="3:9" ht="15.75">
      <c r="C5005" s="945" t="s">
        <v>925</v>
      </c>
      <c r="D5005" s="946"/>
      <c r="E5005" s="947"/>
      <c r="F5005" s="1054"/>
      <c r="G5005" s="946"/>
      <c r="H5005" s="1031"/>
      <c r="I5005" s="948"/>
    </row>
    <row r="5006" spans="3:9" ht="15.75">
      <c r="C5006" s="949" t="s">
        <v>924</v>
      </c>
      <c r="D5006" s="946"/>
      <c r="E5006" s="947" t="str">
        <f>+VLOOKUP(C5006,'Basic (equilibrio) (2)'!B:D,2,FALSE)</f>
        <v>n/a</v>
      </c>
      <c r="F5006" s="1054">
        <f>+VLOOKUP(C5006,'Basic (equilibrio) (2)'!B:D,3,FALSE)</f>
        <v>0</v>
      </c>
      <c r="G5006" s="946"/>
      <c r="H5006" s="1031"/>
      <c r="I5006" s="948">
        <f>D5006*F5006</f>
        <v>0</v>
      </c>
    </row>
    <row r="5007" spans="3:9" ht="15.75">
      <c r="C5007" s="951" t="s">
        <v>918</v>
      </c>
      <c r="D5007" s="946"/>
      <c r="E5007" s="947"/>
      <c r="F5007" s="1054"/>
      <c r="G5007" s="946"/>
      <c r="H5007" s="1031"/>
      <c r="I5007" s="952">
        <f>SUM(I5006)</f>
        <v>0</v>
      </c>
    </row>
    <row r="5008" spans="3:9" ht="15.75">
      <c r="C5008" s="951"/>
      <c r="D5008" s="946"/>
      <c r="E5008" s="947"/>
      <c r="F5008" s="1054"/>
      <c r="G5008" s="946"/>
      <c r="H5008" s="1031"/>
      <c r="I5008" s="952"/>
    </row>
    <row r="5009" spans="2:9" ht="15.75">
      <c r="C5009" s="956" t="s">
        <v>926</v>
      </c>
      <c r="D5009" s="957"/>
      <c r="E5009" s="958"/>
      <c r="F5009" s="1069"/>
      <c r="G5009" s="957"/>
      <c r="H5009" s="1032"/>
      <c r="I5009" s="959">
        <f>+I4993</f>
        <v>0</v>
      </c>
    </row>
    <row r="5010" spans="2:9" ht="15.75">
      <c r="C5010" s="956" t="s">
        <v>927</v>
      </c>
      <c r="D5010" s="957"/>
      <c r="E5010" s="958"/>
      <c r="F5010" s="1069"/>
      <c r="G5010" s="957"/>
      <c r="H5010" s="1032"/>
      <c r="I5010" s="959">
        <f>+I4997</f>
        <v>3.21</v>
      </c>
    </row>
    <row r="5011" spans="2:9" ht="15.75">
      <c r="C5011" s="956" t="s">
        <v>928</v>
      </c>
      <c r="D5011" s="957"/>
      <c r="E5011" s="958"/>
      <c r="F5011" s="1069"/>
      <c r="G5011" s="957"/>
      <c r="H5011" s="1032"/>
      <c r="I5011" s="959">
        <f>+I5003</f>
        <v>84.28</v>
      </c>
    </row>
    <row r="5012" spans="2:9" ht="15.75">
      <c r="C5012" s="956" t="s">
        <v>929</v>
      </c>
      <c r="D5012" s="957"/>
      <c r="E5012" s="958"/>
      <c r="F5012" s="1069"/>
      <c r="G5012" s="957"/>
      <c r="H5012" s="1032"/>
      <c r="I5012" s="959">
        <f>+I5007</f>
        <v>0</v>
      </c>
    </row>
    <row r="5013" spans="2:9" ht="15.75">
      <c r="C5013" s="949"/>
      <c r="D5013" s="946"/>
      <c r="E5013" s="947"/>
      <c r="F5013" s="1054"/>
      <c r="G5013" s="946"/>
      <c r="H5013" s="1031"/>
      <c r="I5013" s="948"/>
    </row>
    <row r="5014" spans="2:9" ht="15.75">
      <c r="C5014" s="949"/>
      <c r="D5014" s="946"/>
      <c r="E5014" s="947"/>
      <c r="F5014" s="1054"/>
      <c r="G5014" s="946"/>
      <c r="H5014" s="1031"/>
      <c r="I5014" s="948"/>
    </row>
    <row r="5015" spans="2:9" ht="15.75">
      <c r="C5015" s="951" t="s">
        <v>930</v>
      </c>
      <c r="D5015" s="960"/>
      <c r="E5015" s="943" t="str">
        <f>+E4989</f>
        <v>M3C</v>
      </c>
      <c r="F5015" s="1070"/>
      <c r="G5015" s="960"/>
      <c r="H5015" s="1033"/>
      <c r="I5015" s="952">
        <f>SUM(I5009:I5012)</f>
        <v>87.49</v>
      </c>
    </row>
    <row r="5016" spans="2:9" ht="15.75">
      <c r="C5016" s="949"/>
      <c r="D5016" s="946"/>
      <c r="E5016" s="947"/>
      <c r="F5016" s="1054"/>
      <c r="G5016" s="946"/>
      <c r="H5016" s="1031"/>
      <c r="I5016" s="948"/>
    </row>
    <row r="5017" spans="2:9" ht="31.5">
      <c r="B5017" s="1026">
        <v>2.2999999999999998</v>
      </c>
      <c r="C5017" s="937" t="str">
        <f>+Presupuesto!B328</f>
        <v>Bote de material sobrante c/camión (Incluye esparcimiento en botadero)</v>
      </c>
      <c r="D5017" s="938"/>
      <c r="E5017" s="962" t="s">
        <v>213</v>
      </c>
      <c r="F5017" s="1066"/>
      <c r="G5017" s="938"/>
      <c r="H5017" s="1029"/>
      <c r="I5017" s="940">
        <f>I5043</f>
        <v>455.24</v>
      </c>
    </row>
    <row r="5018" spans="2:9" ht="15.75">
      <c r="C5018" s="941" t="s">
        <v>908</v>
      </c>
      <c r="D5018" s="942" t="s">
        <v>9</v>
      </c>
      <c r="E5018" s="943" t="s">
        <v>10</v>
      </c>
      <c r="F5018" s="1067" t="s">
        <v>909</v>
      </c>
      <c r="G5018" s="942" t="s">
        <v>910</v>
      </c>
      <c r="H5018" s="1030" t="s">
        <v>911</v>
      </c>
      <c r="I5018" s="944" t="s">
        <v>912</v>
      </c>
    </row>
    <row r="5019" spans="2:9" ht="15.75">
      <c r="C5019" s="945" t="s">
        <v>913</v>
      </c>
      <c r="D5019" s="946"/>
      <c r="E5019" s="947"/>
      <c r="F5019" s="1054"/>
      <c r="G5019" s="946"/>
      <c r="H5019" s="1031"/>
      <c r="I5019" s="948"/>
    </row>
    <row r="5020" spans="2:9" ht="15.75">
      <c r="C5020" s="949" t="s">
        <v>924</v>
      </c>
      <c r="D5020" s="946"/>
      <c r="E5020" s="947" t="str">
        <f>+VLOOKUP(C5020,'Basic (equilibrio) (2)'!B:D,2,FALSE)</f>
        <v>n/a</v>
      </c>
      <c r="F5020" s="1068">
        <f>+VLOOKUP(C5020,'Basic (equilibrio) (2)'!B:D,3,FALSE)</f>
        <v>0</v>
      </c>
      <c r="G5020" s="946">
        <f>F5020-(F5020/1.18)</f>
        <v>0</v>
      </c>
      <c r="H5020" s="1031"/>
      <c r="I5020" s="948">
        <f>D5020*F5020</f>
        <v>0</v>
      </c>
    </row>
    <row r="5021" spans="2:9" ht="15.75">
      <c r="C5021" s="951" t="s">
        <v>918</v>
      </c>
      <c r="D5021" s="946"/>
      <c r="E5021" s="947"/>
      <c r="F5021" s="1068"/>
      <c r="G5021" s="946"/>
      <c r="H5021" s="1031"/>
      <c r="I5021" s="952">
        <f>SUM(I5020:I5020)</f>
        <v>0</v>
      </c>
    </row>
    <row r="5022" spans="2:9" ht="15.75">
      <c r="C5022" s="949"/>
      <c r="D5022" s="946"/>
      <c r="E5022" s="947"/>
      <c r="F5022" s="1068"/>
      <c r="G5022" s="946"/>
      <c r="H5022" s="1031"/>
      <c r="I5022" s="948"/>
    </row>
    <row r="5023" spans="2:9" ht="15.75">
      <c r="C5023" s="945" t="s">
        <v>919</v>
      </c>
      <c r="D5023" s="946"/>
      <c r="E5023" s="947"/>
      <c r="F5023" s="1068"/>
      <c r="G5023" s="946"/>
      <c r="H5023" s="1031"/>
      <c r="I5023" s="948"/>
    </row>
    <row r="5024" spans="2:9" ht="15.75">
      <c r="C5024" s="949" t="s">
        <v>931</v>
      </c>
      <c r="D5024" s="953">
        <v>0.13</v>
      </c>
      <c r="E5024" s="954" t="str">
        <f>+VLOOKUP(C5024,'Basic (equilibrio) (2)'!B:D,2,FALSE)</f>
        <v>dia</v>
      </c>
      <c r="F5024" s="1068">
        <f>'Basic (equilibrio) (2)'!$D$14</f>
        <v>900</v>
      </c>
      <c r="G5024" s="946">
        <v>0</v>
      </c>
      <c r="H5024" s="1031">
        <v>70</v>
      </c>
      <c r="I5024" s="948">
        <f>(D5024*F5024)/H5024</f>
        <v>1.67</v>
      </c>
    </row>
    <row r="5025" spans="3:9" ht="15.75">
      <c r="C5025" s="951" t="s">
        <v>918</v>
      </c>
      <c r="D5025" s="946"/>
      <c r="E5025" s="947"/>
      <c r="F5025" s="1054"/>
      <c r="G5025" s="946"/>
      <c r="H5025" s="1031"/>
      <c r="I5025" s="952">
        <f>SUM(I5024:I5024)</f>
        <v>1.67</v>
      </c>
    </row>
    <row r="5026" spans="3:9" ht="15.75">
      <c r="C5026" s="949"/>
      <c r="D5026" s="946"/>
      <c r="E5026" s="947"/>
      <c r="F5026" s="1054"/>
      <c r="G5026" s="946"/>
      <c r="H5026" s="1031"/>
      <c r="I5026" s="948"/>
    </row>
    <row r="5027" spans="3:9" ht="15.75">
      <c r="C5027" s="945" t="s">
        <v>923</v>
      </c>
      <c r="D5027" s="946"/>
      <c r="E5027" s="947"/>
      <c r="F5027" s="1054"/>
      <c r="G5027" s="946"/>
      <c r="H5027" s="1031"/>
      <c r="I5027" s="948"/>
    </row>
    <row r="5028" spans="3:9" ht="15.75">
      <c r="C5028" s="949" t="s">
        <v>934</v>
      </c>
      <c r="D5028" s="946">
        <v>1</v>
      </c>
      <c r="E5028" s="947" t="str">
        <f>+VLOOKUP(C5028,'Basic (equilibrio) (2)'!B:D,2,FALSE)</f>
        <v>m3e</v>
      </c>
      <c r="F5028" s="1054">
        <f>'Basic (equilibrio) (2)'!$D$685</f>
        <v>350</v>
      </c>
      <c r="G5028" s="946">
        <f>F5028-(F5028/1.18)</f>
        <v>53.39</v>
      </c>
      <c r="H5028" s="1039"/>
      <c r="I5028" s="955">
        <f>D5028*F5028</f>
        <v>350</v>
      </c>
    </row>
    <row r="5029" spans="3:9" ht="15.75">
      <c r="C5029" s="949" t="s">
        <v>933</v>
      </c>
      <c r="D5029" s="946">
        <v>1</v>
      </c>
      <c r="E5029" s="947" t="str">
        <f>+VLOOKUP(C5029,'Basic (equilibrio) (2)'!B:D,2,FALSE)</f>
        <v>hr</v>
      </c>
      <c r="F5029" s="1054">
        <f>'Basic (equilibrio) (2)'!$D$682</f>
        <v>4250</v>
      </c>
      <c r="G5029" s="946">
        <f>F5029-(F5029/1.18)</f>
        <v>648.30999999999995</v>
      </c>
      <c r="H5029" s="1039">
        <v>70</v>
      </c>
      <c r="I5029" s="955">
        <f t="shared" ref="I5029:I5030" si="32">D5029*F5029/H5029</f>
        <v>60.71</v>
      </c>
    </row>
    <row r="5030" spans="3:9" ht="15.75">
      <c r="C5030" s="949" t="s">
        <v>935</v>
      </c>
      <c r="D5030" s="946">
        <v>1</v>
      </c>
      <c r="E5030" s="947" t="str">
        <f>+VLOOKUP(C5030,'Basic (equilibrio) (2)'!B:D,2,FALSE)</f>
        <v>hr</v>
      </c>
      <c r="F5030" s="1054">
        <f>'Basic (equilibrio) (2)'!$D$684</f>
        <v>3000</v>
      </c>
      <c r="G5030" s="946">
        <f>F5030-(F5030/1.18)</f>
        <v>457.63</v>
      </c>
      <c r="H5030" s="1039">
        <v>70</v>
      </c>
      <c r="I5030" s="955">
        <f t="shared" si="32"/>
        <v>42.86</v>
      </c>
    </row>
    <row r="5031" spans="3:9" ht="15.75">
      <c r="C5031" s="951" t="s">
        <v>918</v>
      </c>
      <c r="D5031" s="946"/>
      <c r="E5031" s="947"/>
      <c r="F5031" s="1054"/>
      <c r="G5031" s="946"/>
      <c r="H5031" s="1031"/>
      <c r="I5031" s="952">
        <f>SUM(I5028:I5030)</f>
        <v>453.57</v>
      </c>
    </row>
    <row r="5032" spans="3:9" ht="15.75">
      <c r="C5032" s="949"/>
      <c r="D5032" s="946"/>
      <c r="E5032" s="947"/>
      <c r="F5032" s="1054"/>
      <c r="G5032" s="946"/>
      <c r="H5032" s="1031"/>
      <c r="I5032" s="948"/>
    </row>
    <row r="5033" spans="3:9" ht="15.75">
      <c r="C5033" s="945" t="s">
        <v>925</v>
      </c>
      <c r="D5033" s="946"/>
      <c r="E5033" s="947"/>
      <c r="F5033" s="1054"/>
      <c r="G5033" s="946"/>
      <c r="H5033" s="1031"/>
      <c r="I5033" s="948"/>
    </row>
    <row r="5034" spans="3:9" ht="15.75">
      <c r="C5034" s="949" t="s">
        <v>924</v>
      </c>
      <c r="D5034" s="946">
        <f>+I5031</f>
        <v>453.57</v>
      </c>
      <c r="E5034" s="947" t="str">
        <f>+VLOOKUP(C5034,'Basic (equilibrio) (2)'!B:D,2,FALSE)</f>
        <v>n/a</v>
      </c>
      <c r="F5034" s="1054">
        <f>+VLOOKUP(C5034,'Basic (equilibrio) (2)'!B:D,3,FALSE)</f>
        <v>0</v>
      </c>
      <c r="G5034" s="946"/>
      <c r="H5034" s="1031"/>
      <c r="I5034" s="948">
        <f>D5034*F5034</f>
        <v>0</v>
      </c>
    </row>
    <row r="5035" spans="3:9" ht="15.75">
      <c r="C5035" s="951" t="s">
        <v>918</v>
      </c>
      <c r="D5035" s="946"/>
      <c r="E5035" s="947"/>
      <c r="F5035" s="1054"/>
      <c r="G5035" s="946"/>
      <c r="H5035" s="1031"/>
      <c r="I5035" s="952">
        <f>SUM(I5034)</f>
        <v>0</v>
      </c>
    </row>
    <row r="5036" spans="3:9" ht="15.75">
      <c r="C5036" s="951"/>
      <c r="D5036" s="946"/>
      <c r="E5036" s="947"/>
      <c r="F5036" s="1054"/>
      <c r="G5036" s="946"/>
      <c r="H5036" s="1031"/>
      <c r="I5036" s="952"/>
    </row>
    <row r="5037" spans="3:9" ht="15.75">
      <c r="C5037" s="956" t="s">
        <v>926</v>
      </c>
      <c r="D5037" s="957"/>
      <c r="E5037" s="958"/>
      <c r="F5037" s="1069"/>
      <c r="G5037" s="957"/>
      <c r="H5037" s="1032"/>
      <c r="I5037" s="959">
        <f>+I5021</f>
        <v>0</v>
      </c>
    </row>
    <row r="5038" spans="3:9" ht="15.75">
      <c r="C5038" s="956" t="s">
        <v>927</v>
      </c>
      <c r="D5038" s="957"/>
      <c r="E5038" s="958"/>
      <c r="F5038" s="1069"/>
      <c r="G5038" s="957"/>
      <c r="H5038" s="1032"/>
      <c r="I5038" s="959">
        <f>+I5025</f>
        <v>1.67</v>
      </c>
    </row>
    <row r="5039" spans="3:9" ht="15.75">
      <c r="C5039" s="956" t="s">
        <v>928</v>
      </c>
      <c r="D5039" s="957"/>
      <c r="E5039" s="958"/>
      <c r="F5039" s="1069"/>
      <c r="G5039" s="957"/>
      <c r="H5039" s="1032"/>
      <c r="I5039" s="959">
        <f>+I5031</f>
        <v>453.57</v>
      </c>
    </row>
    <row r="5040" spans="3:9" ht="15.75">
      <c r="C5040" s="956" t="s">
        <v>929</v>
      </c>
      <c r="D5040" s="957"/>
      <c r="E5040" s="958"/>
      <c r="F5040" s="1069"/>
      <c r="G5040" s="957"/>
      <c r="H5040" s="1032"/>
      <c r="I5040" s="959">
        <f>+I5035</f>
        <v>0</v>
      </c>
    </row>
    <row r="5041" spans="2:9" ht="15.75">
      <c r="C5041" s="949"/>
      <c r="D5041" s="946"/>
      <c r="E5041" s="947"/>
      <c r="F5041" s="1054"/>
      <c r="G5041" s="946"/>
      <c r="H5041" s="1031"/>
      <c r="I5041" s="948"/>
    </row>
    <row r="5042" spans="2:9" ht="15.75">
      <c r="C5042" s="949"/>
      <c r="D5042" s="946"/>
      <c r="E5042" s="947"/>
      <c r="F5042" s="1054"/>
      <c r="G5042" s="946"/>
      <c r="H5042" s="1031"/>
      <c r="I5042" s="948"/>
    </row>
    <row r="5043" spans="2:9" ht="15.75">
      <c r="C5043" s="951" t="s">
        <v>930</v>
      </c>
      <c r="D5043" s="960"/>
      <c r="E5043" s="943" t="str">
        <f>+E5017</f>
        <v>M3E</v>
      </c>
      <c r="F5043" s="1070"/>
      <c r="G5043" s="960"/>
      <c r="H5043" s="1033"/>
      <c r="I5043" s="952">
        <f>SUM(I5037:I5040)</f>
        <v>455.24</v>
      </c>
    </row>
    <row r="5044" spans="2:9" ht="15.75">
      <c r="C5044" s="949"/>
      <c r="D5044" s="946"/>
      <c r="E5044" s="947"/>
      <c r="F5044" s="1054"/>
      <c r="G5044" s="946"/>
      <c r="H5044" s="1031"/>
      <c r="I5044" s="948"/>
    </row>
    <row r="5045" spans="2:9" ht="15.75">
      <c r="B5045" s="1026">
        <v>3.1</v>
      </c>
      <c r="C5045" s="937" t="str">
        <f>+Presupuesto!B331</f>
        <v>Zapata de columna (1.00m x 1.00m x 0.30m) - 1.86qq/m³</v>
      </c>
      <c r="D5045" s="938"/>
      <c r="E5045" s="962" t="s">
        <v>22</v>
      </c>
      <c r="F5045" s="1066"/>
      <c r="G5045" s="938"/>
      <c r="H5045" s="1029"/>
      <c r="I5045" s="940">
        <f>I5071</f>
        <v>14836.49</v>
      </c>
    </row>
    <row r="5046" spans="2:9" ht="15.75">
      <c r="C5046" s="941" t="s">
        <v>908</v>
      </c>
      <c r="D5046" s="942" t="s">
        <v>9</v>
      </c>
      <c r="E5046" s="943" t="s">
        <v>10</v>
      </c>
      <c r="F5046" s="1067" t="s">
        <v>909</v>
      </c>
      <c r="G5046" s="942" t="s">
        <v>910</v>
      </c>
      <c r="H5046" s="1030" t="s">
        <v>911</v>
      </c>
      <c r="I5046" s="944" t="s">
        <v>912</v>
      </c>
    </row>
    <row r="5047" spans="2:9" ht="15.75">
      <c r="C5047" s="945" t="s">
        <v>913</v>
      </c>
      <c r="D5047" s="946"/>
      <c r="E5047" s="947"/>
      <c r="F5047" s="1054"/>
      <c r="G5047" s="946"/>
      <c r="H5047" s="1031"/>
      <c r="I5047" s="948"/>
    </row>
    <row r="5048" spans="2:9" ht="15.75">
      <c r="C5048" s="949" t="s">
        <v>994</v>
      </c>
      <c r="D5048" s="946">
        <v>1.05</v>
      </c>
      <c r="E5048" s="947" t="str">
        <f>+VLOOKUP(C5048,'Basic (equilibrio) (2)'!B:D,2,FALSE)</f>
        <v>m3</v>
      </c>
      <c r="F5048" s="1068">
        <f>'Basic (equilibrio) (2)'!$D$179</f>
        <v>7600</v>
      </c>
      <c r="G5048" s="946">
        <f>F5048-(F5048/1.18)</f>
        <v>1159.32</v>
      </c>
      <c r="H5048" s="1031"/>
      <c r="I5048" s="948">
        <f>D5048*F5048</f>
        <v>7980</v>
      </c>
    </row>
    <row r="5049" spans="2:9" ht="15.75">
      <c r="C5049" s="949" t="s">
        <v>1188</v>
      </c>
      <c r="D5049" s="946">
        <v>1.86</v>
      </c>
      <c r="E5049" s="947" t="str">
        <f>+VLOOKUP(C5049,'Basic (equilibrio) (2)'!B:D,2,FALSE)</f>
        <v>qq</v>
      </c>
      <c r="F5049" s="1068">
        <f>'Basic (equilibrio) (2)'!$D$183</f>
        <v>3600</v>
      </c>
      <c r="G5049" s="946">
        <f>F5049-(F5049/1.18)</f>
        <v>549.15</v>
      </c>
      <c r="H5049" s="1031"/>
      <c r="I5049" s="948">
        <f>D5049*F5049</f>
        <v>6696</v>
      </c>
    </row>
    <row r="5050" spans="2:9" ht="15.75">
      <c r="C5050" s="949" t="s">
        <v>1212</v>
      </c>
      <c r="D5050" s="946">
        <v>4.17</v>
      </c>
      <c r="E5050" s="947" t="str">
        <f>+VLOOKUP(C5050,'Basic (equilibrio) (2)'!B:D,2,FALSE)</f>
        <v>lb</v>
      </c>
      <c r="F5050" s="1068">
        <f>'Basic (equilibrio) (2)'!$D$312</f>
        <v>26.5</v>
      </c>
      <c r="G5050" s="946">
        <f>F5050-(F5050/1.18)</f>
        <v>4.04</v>
      </c>
      <c r="H5050" s="1031"/>
      <c r="I5050" s="948">
        <f>D5050*F5050</f>
        <v>110.51</v>
      </c>
    </row>
    <row r="5051" spans="2:9" ht="15.75">
      <c r="C5051" s="951" t="s">
        <v>918</v>
      </c>
      <c r="D5051" s="946"/>
      <c r="E5051" s="947"/>
      <c r="F5051" s="1068"/>
      <c r="G5051" s="946"/>
      <c r="H5051" s="1031"/>
      <c r="I5051" s="952">
        <f>SUM(I5048:I5050)</f>
        <v>14786.51</v>
      </c>
    </row>
    <row r="5052" spans="2:9" ht="15.75">
      <c r="C5052" s="949"/>
      <c r="D5052" s="946"/>
      <c r="E5052" s="947"/>
      <c r="F5052" s="1068"/>
      <c r="G5052" s="946"/>
      <c r="H5052" s="1031"/>
      <c r="I5052" s="948"/>
    </row>
    <row r="5053" spans="2:9" ht="15.75">
      <c r="C5053" s="945" t="s">
        <v>919</v>
      </c>
      <c r="D5053" s="946"/>
      <c r="E5053" s="947"/>
      <c r="F5053" s="1068"/>
      <c r="G5053" s="946"/>
      <c r="H5053" s="1031"/>
      <c r="I5053" s="948"/>
    </row>
    <row r="5054" spans="2:9" ht="15.75">
      <c r="C5054" s="949" t="s">
        <v>1121</v>
      </c>
      <c r="D5054" s="953">
        <v>8.33</v>
      </c>
      <c r="E5054" s="954" t="str">
        <f>+VLOOKUP(C5054,'Basic (equilibrio) (2)'!B:D,2,FALSE)</f>
        <v>qq</v>
      </c>
      <c r="F5054" s="1068">
        <f>'Basic (equilibrio) (2)'!$D$45</f>
        <v>420</v>
      </c>
      <c r="G5054" s="946">
        <v>0</v>
      </c>
      <c r="H5054" s="1031">
        <v>70</v>
      </c>
      <c r="I5054" s="948">
        <f>(D5054*F5054)/H5054</f>
        <v>49.98</v>
      </c>
    </row>
    <row r="5055" spans="2:9" ht="15.75">
      <c r="C5055" s="951" t="s">
        <v>918</v>
      </c>
      <c r="D5055" s="946"/>
      <c r="E5055" s="947"/>
      <c r="F5055" s="1054"/>
      <c r="G5055" s="946"/>
      <c r="H5055" s="1031"/>
      <c r="I5055" s="952">
        <f>SUM(I5054:I5054)</f>
        <v>49.98</v>
      </c>
    </row>
    <row r="5056" spans="2:9" ht="15.75">
      <c r="C5056" s="949"/>
      <c r="D5056" s="946"/>
      <c r="E5056" s="947"/>
      <c r="F5056" s="1054"/>
      <c r="G5056" s="946"/>
      <c r="H5056" s="1031"/>
      <c r="I5056" s="948"/>
    </row>
    <row r="5057" spans="3:9" ht="15.75">
      <c r="C5057" s="945" t="s">
        <v>923</v>
      </c>
      <c r="D5057" s="946"/>
      <c r="E5057" s="947"/>
      <c r="F5057" s="1054"/>
      <c r="G5057" s="946"/>
      <c r="H5057" s="1031"/>
      <c r="I5057" s="948"/>
    </row>
    <row r="5058" spans="3:9" ht="15.75">
      <c r="C5058" s="949" t="s">
        <v>924</v>
      </c>
      <c r="D5058" s="946"/>
      <c r="E5058" s="947" t="str">
        <f>+VLOOKUP(C5058,'Basic (equilibrio) (2)'!B:D,2,FALSE)</f>
        <v>n/a</v>
      </c>
      <c r="F5058" s="1054">
        <f>+VLOOKUP(C5058,'Basic (equilibrio) (2)'!B:D,3,FALSE)</f>
        <v>0</v>
      </c>
      <c r="G5058" s="946">
        <f>F5058-(F5058/1.18)</f>
        <v>0</v>
      </c>
      <c r="H5058" s="1039"/>
      <c r="I5058" s="955">
        <f>D5058*F5058</f>
        <v>0</v>
      </c>
    </row>
    <row r="5059" spans="3:9" ht="15.75">
      <c r="C5059" s="951" t="s">
        <v>918</v>
      </c>
      <c r="D5059" s="946"/>
      <c r="E5059" s="947"/>
      <c r="F5059" s="1054"/>
      <c r="G5059" s="946"/>
      <c r="H5059" s="1031"/>
      <c r="I5059" s="952">
        <f>SUM(I5058:I5058)</f>
        <v>0</v>
      </c>
    </row>
    <row r="5060" spans="3:9" ht="15.75">
      <c r="C5060" s="949"/>
      <c r="D5060" s="946"/>
      <c r="E5060" s="947"/>
      <c r="F5060" s="1054"/>
      <c r="G5060" s="946"/>
      <c r="H5060" s="1031"/>
      <c r="I5060" s="948"/>
    </row>
    <row r="5061" spans="3:9" ht="15.75">
      <c r="C5061" s="945" t="s">
        <v>925</v>
      </c>
      <c r="D5061" s="946"/>
      <c r="E5061" s="947"/>
      <c r="F5061" s="1054"/>
      <c r="G5061" s="946"/>
      <c r="H5061" s="1031"/>
      <c r="I5061" s="948"/>
    </row>
    <row r="5062" spans="3:9" ht="15.75">
      <c r="C5062" s="949" t="s">
        <v>924</v>
      </c>
      <c r="D5062" s="946"/>
      <c r="E5062" s="947" t="str">
        <f>+VLOOKUP(C5062,'Basic (equilibrio) (2)'!B:D,2,FALSE)</f>
        <v>n/a</v>
      </c>
      <c r="F5062" s="1054">
        <f>+VLOOKUP(C5062,'Basic (equilibrio) (2)'!B:D,3,FALSE)</f>
        <v>0</v>
      </c>
      <c r="G5062" s="946"/>
      <c r="H5062" s="1031"/>
      <c r="I5062" s="948">
        <f>D5062*F5062</f>
        <v>0</v>
      </c>
    </row>
    <row r="5063" spans="3:9" ht="15.75">
      <c r="C5063" s="951" t="s">
        <v>918</v>
      </c>
      <c r="D5063" s="946"/>
      <c r="E5063" s="947"/>
      <c r="F5063" s="1054"/>
      <c r="G5063" s="946"/>
      <c r="H5063" s="1031"/>
      <c r="I5063" s="952">
        <f>SUM(I5062)</f>
        <v>0</v>
      </c>
    </row>
    <row r="5064" spans="3:9" ht="15.75">
      <c r="C5064" s="951"/>
      <c r="D5064" s="946"/>
      <c r="E5064" s="947"/>
      <c r="F5064" s="1054"/>
      <c r="G5064" s="946"/>
      <c r="H5064" s="1031"/>
      <c r="I5064" s="952"/>
    </row>
    <row r="5065" spans="3:9" ht="15.75">
      <c r="C5065" s="956" t="s">
        <v>926</v>
      </c>
      <c r="D5065" s="957"/>
      <c r="E5065" s="958"/>
      <c r="F5065" s="1069"/>
      <c r="G5065" s="957"/>
      <c r="H5065" s="1032"/>
      <c r="I5065" s="959">
        <f>+I5051</f>
        <v>14786.51</v>
      </c>
    </row>
    <row r="5066" spans="3:9" ht="15.75">
      <c r="C5066" s="956" t="s">
        <v>927</v>
      </c>
      <c r="D5066" s="957"/>
      <c r="E5066" s="958"/>
      <c r="F5066" s="1069"/>
      <c r="G5066" s="957"/>
      <c r="H5066" s="1032"/>
      <c r="I5066" s="959">
        <f>+I5055</f>
        <v>49.98</v>
      </c>
    </row>
    <row r="5067" spans="3:9" ht="15.75">
      <c r="C5067" s="956" t="s">
        <v>928</v>
      </c>
      <c r="D5067" s="957"/>
      <c r="E5067" s="958"/>
      <c r="F5067" s="1069"/>
      <c r="G5067" s="957"/>
      <c r="H5067" s="1032"/>
      <c r="I5067" s="959">
        <f>+I5059</f>
        <v>0</v>
      </c>
    </row>
    <row r="5068" spans="3:9" ht="15.75">
      <c r="C5068" s="956" t="s">
        <v>929</v>
      </c>
      <c r="D5068" s="957"/>
      <c r="E5068" s="958"/>
      <c r="F5068" s="1069"/>
      <c r="G5068" s="957"/>
      <c r="H5068" s="1032"/>
      <c r="I5068" s="959">
        <f>+I5063</f>
        <v>0</v>
      </c>
    </row>
    <row r="5069" spans="3:9" ht="15.75">
      <c r="C5069" s="949"/>
      <c r="D5069" s="946"/>
      <c r="E5069" s="947"/>
      <c r="F5069" s="1054"/>
      <c r="G5069" s="946"/>
      <c r="H5069" s="1031"/>
      <c r="I5069" s="948"/>
    </row>
    <row r="5070" spans="3:9" ht="15.75">
      <c r="C5070" s="949"/>
      <c r="D5070" s="946"/>
      <c r="E5070" s="947"/>
      <c r="F5070" s="1054"/>
      <c r="G5070" s="946"/>
      <c r="H5070" s="1031"/>
      <c r="I5070" s="948"/>
    </row>
    <row r="5071" spans="3:9" ht="15.75">
      <c r="C5071" s="951" t="s">
        <v>930</v>
      </c>
      <c r="D5071" s="960"/>
      <c r="E5071" s="943" t="str">
        <f>+E5045</f>
        <v>M3</v>
      </c>
      <c r="F5071" s="1070"/>
      <c r="G5071" s="960"/>
      <c r="H5071" s="1033"/>
      <c r="I5071" s="952">
        <f>SUM(I5065:I5068)</f>
        <v>14836.49</v>
      </c>
    </row>
    <row r="5072" spans="3:9" ht="15.75">
      <c r="C5072" s="951"/>
      <c r="D5072" s="960"/>
      <c r="E5072" s="943"/>
      <c r="F5072" s="1070"/>
      <c r="G5072" s="960"/>
      <c r="H5072" s="1033"/>
      <c r="I5072" s="952"/>
    </row>
    <row r="5073" spans="2:9" ht="15.75">
      <c r="C5073" s="951"/>
      <c r="D5073" s="960"/>
      <c r="E5073" s="943"/>
      <c r="F5073" s="1070"/>
      <c r="G5073" s="960"/>
      <c r="H5073" s="1033"/>
      <c r="I5073" s="952"/>
    </row>
    <row r="5074" spans="2:9" ht="15.75">
      <c r="B5074" s="1026">
        <v>3.2</v>
      </c>
      <c r="C5074" s="937" t="str">
        <f>+Presupuesto!B332</f>
        <v>Columna D=0.40m - 2.11 qq/m³</v>
      </c>
      <c r="D5074" s="938"/>
      <c r="E5074" s="962" t="s">
        <v>22</v>
      </c>
      <c r="F5074" s="1066"/>
      <c r="G5074" s="938"/>
      <c r="H5074" s="1029"/>
      <c r="I5074" s="940">
        <f>I5106</f>
        <v>35445.22</v>
      </c>
    </row>
    <row r="5075" spans="2:9" ht="15.75">
      <c r="C5075" s="941" t="s">
        <v>908</v>
      </c>
      <c r="D5075" s="942" t="s">
        <v>9</v>
      </c>
      <c r="E5075" s="943" t="s">
        <v>10</v>
      </c>
      <c r="F5075" s="1067" t="s">
        <v>909</v>
      </c>
      <c r="G5075" s="942" t="s">
        <v>910</v>
      </c>
      <c r="H5075" s="1030" t="s">
        <v>911</v>
      </c>
      <c r="I5075" s="944" t="s">
        <v>912</v>
      </c>
    </row>
    <row r="5076" spans="2:9" ht="15.75">
      <c r="C5076" s="945" t="s">
        <v>913</v>
      </c>
      <c r="D5076" s="946"/>
      <c r="E5076" s="947"/>
      <c r="F5076" s="1054"/>
      <c r="G5076" s="946"/>
      <c r="H5076" s="1031"/>
      <c r="I5076" s="948"/>
    </row>
    <row r="5077" spans="2:9" ht="15.75">
      <c r="C5077" s="949" t="s">
        <v>994</v>
      </c>
      <c r="D5077" s="946">
        <v>1.05</v>
      </c>
      <c r="E5077" s="947" t="str">
        <f>+VLOOKUP(C5077,'Basic (equilibrio) (2)'!B:D,2,FALSE)</f>
        <v>m3</v>
      </c>
      <c r="F5077" s="1068">
        <f>'Basic (equilibrio) (2)'!$D$179</f>
        <v>7600</v>
      </c>
      <c r="G5077" s="946">
        <f t="shared" ref="G5077:G5082" si="33">F5077-(F5077/1.18)</f>
        <v>1159.32</v>
      </c>
      <c r="H5077" s="1031"/>
      <c r="I5077" s="948">
        <f t="shared" ref="I5077:I5082" si="34">D5077*F5077</f>
        <v>7980</v>
      </c>
    </row>
    <row r="5078" spans="2:9" ht="15.75">
      <c r="C5078" s="949" t="s">
        <v>1188</v>
      </c>
      <c r="D5078" s="946">
        <v>2.11</v>
      </c>
      <c r="E5078" s="947" t="str">
        <f>+VLOOKUP(C5078,'Basic (equilibrio) (2)'!B:D,2,FALSE)</f>
        <v>qq</v>
      </c>
      <c r="F5078" s="1068">
        <f>'Basic (equilibrio) (2)'!$D$183</f>
        <v>3600</v>
      </c>
      <c r="G5078" s="946">
        <f t="shared" si="33"/>
        <v>549.15</v>
      </c>
      <c r="H5078" s="1031"/>
      <c r="I5078" s="948">
        <f t="shared" si="34"/>
        <v>7596</v>
      </c>
    </row>
    <row r="5079" spans="2:9" ht="15.75">
      <c r="C5079" s="949" t="s">
        <v>1212</v>
      </c>
      <c r="D5079" s="946">
        <v>5.7</v>
      </c>
      <c r="E5079" s="947" t="str">
        <f>+VLOOKUP(C5079,'Basic (equilibrio) (2)'!B:D,2,FALSE)</f>
        <v>lb</v>
      </c>
      <c r="F5079" s="1068">
        <f>'Basic (equilibrio) (2)'!$D$312</f>
        <v>26.5</v>
      </c>
      <c r="G5079" s="946">
        <f t="shared" si="33"/>
        <v>4.04</v>
      </c>
      <c r="H5079" s="1031"/>
      <c r="I5079" s="948">
        <f t="shared" si="34"/>
        <v>151.05000000000001</v>
      </c>
    </row>
    <row r="5080" spans="2:9" ht="15.75">
      <c r="C5080" s="949" t="s">
        <v>916</v>
      </c>
      <c r="D5080" s="946">
        <v>144</v>
      </c>
      <c r="E5080" s="947" t="str">
        <f>+VLOOKUP(C5080,'Basic (equilibrio) (2)'!B:D,2,FALSE)</f>
        <v>pt</v>
      </c>
      <c r="F5080" s="1068">
        <f>'Basic (equilibrio) (2)'!$D$194</f>
        <v>107.7</v>
      </c>
      <c r="G5080" s="946">
        <f t="shared" si="33"/>
        <v>16.43</v>
      </c>
      <c r="H5080" s="1031"/>
      <c r="I5080" s="948">
        <f t="shared" si="34"/>
        <v>15508.8</v>
      </c>
    </row>
    <row r="5081" spans="2:9" ht="15.75">
      <c r="C5081" s="949" t="s">
        <v>1194</v>
      </c>
      <c r="D5081" s="946">
        <v>23.09</v>
      </c>
      <c r="E5081" s="947" t="str">
        <f>+VLOOKUP(C5081,'Basic (equilibrio) (2)'!B:D,2,FALSE)</f>
        <v>lb</v>
      </c>
      <c r="F5081" s="1068">
        <f>'Basic (equilibrio) (2)'!$D$192</f>
        <v>78.2</v>
      </c>
      <c r="G5081" s="946">
        <f t="shared" si="33"/>
        <v>11.93</v>
      </c>
      <c r="H5081" s="1031"/>
      <c r="I5081" s="948">
        <f t="shared" si="34"/>
        <v>1805.64</v>
      </c>
    </row>
    <row r="5082" spans="2:9" ht="15.75">
      <c r="C5082" s="949" t="s">
        <v>1299</v>
      </c>
      <c r="D5082" s="946">
        <v>6.93</v>
      </c>
      <c r="E5082" s="947" t="str">
        <f>+VLOOKUP(C5082,'Basic (equilibrio) (2)'!B:D,2,FALSE)</f>
        <v>lb</v>
      </c>
      <c r="F5082" s="1068">
        <f>'Basic (equilibrio) (2)'!$D$335</f>
        <v>78.2</v>
      </c>
      <c r="G5082" s="946">
        <f t="shared" si="33"/>
        <v>11.93</v>
      </c>
      <c r="H5082" s="1031"/>
      <c r="I5082" s="948">
        <f t="shared" si="34"/>
        <v>541.92999999999995</v>
      </c>
    </row>
    <row r="5083" spans="2:9" ht="15.75">
      <c r="C5083" s="951" t="s">
        <v>918</v>
      </c>
      <c r="D5083" s="946"/>
      <c r="E5083" s="947"/>
      <c r="F5083" s="1068"/>
      <c r="G5083" s="946"/>
      <c r="H5083" s="1031"/>
      <c r="I5083" s="952">
        <f>SUM(I5077:I5082)</f>
        <v>33583.42</v>
      </c>
    </row>
    <row r="5084" spans="2:9" ht="15.75">
      <c r="C5084" s="949"/>
      <c r="D5084" s="946"/>
      <c r="E5084" s="947"/>
      <c r="F5084" s="1068"/>
      <c r="G5084" s="946"/>
      <c r="H5084" s="1031"/>
      <c r="I5084" s="948"/>
    </row>
    <row r="5085" spans="2:9" ht="15.75">
      <c r="C5085" s="945" t="s">
        <v>919</v>
      </c>
      <c r="D5085" s="946"/>
      <c r="E5085" s="947"/>
      <c r="F5085" s="1068"/>
      <c r="G5085" s="946"/>
      <c r="H5085" s="1031"/>
      <c r="I5085" s="948"/>
    </row>
    <row r="5086" spans="2:9" ht="15.75">
      <c r="C5086" s="949" t="s">
        <v>1131</v>
      </c>
      <c r="D5086" s="953">
        <v>2.2999999999999998</v>
      </c>
      <c r="E5086" s="954" t="str">
        <f>+VLOOKUP(C5086,'Basic (equilibrio) (2)'!B:D,2,FALSE)</f>
        <v>ml</v>
      </c>
      <c r="F5086" s="1068">
        <f>'Basic (equilibrio) (2)'!$D$48</f>
        <v>400</v>
      </c>
      <c r="G5086" s="946">
        <v>0</v>
      </c>
      <c r="H5086" s="1031"/>
      <c r="I5086" s="948">
        <f>(D5086*F5086)</f>
        <v>920</v>
      </c>
    </row>
    <row r="5087" spans="2:9" ht="31.5">
      <c r="C5087" s="949" t="s">
        <v>1132</v>
      </c>
      <c r="D5087" s="946">
        <v>2.2999999999999998</v>
      </c>
      <c r="E5087" s="947" t="str">
        <f>+VLOOKUP(C5087,'Basic (equilibrio) (2)'!B:D,2,FALSE)</f>
        <v>ml</v>
      </c>
      <c r="F5087" s="1068">
        <f>'Basic (equilibrio) (2)'!$D$49</f>
        <v>211</v>
      </c>
      <c r="G5087" s="946">
        <f>F5087-(F5087/1.18)</f>
        <v>32.19</v>
      </c>
      <c r="H5087" s="1031"/>
      <c r="I5087" s="948">
        <f>D5087*F5087</f>
        <v>485.3</v>
      </c>
    </row>
    <row r="5088" spans="2:9" ht="15.75">
      <c r="C5088" s="949" t="s">
        <v>1117</v>
      </c>
      <c r="D5088" s="946">
        <v>9.52</v>
      </c>
      <c r="E5088" s="947" t="str">
        <f>+VLOOKUP(C5088,'Basic (equilibrio) (2)'!B:D,2,FALSE)</f>
        <v>m2</v>
      </c>
      <c r="F5088" s="1068">
        <f>'Basic (equilibrio) (2)'!$D$41</f>
        <v>25</v>
      </c>
      <c r="G5088" s="946">
        <f>F5088-(F5088/1.18)</f>
        <v>3.81</v>
      </c>
      <c r="H5088" s="1031"/>
      <c r="I5088" s="948">
        <f>D5088*F5088</f>
        <v>238</v>
      </c>
    </row>
    <row r="5089" spans="3:9" ht="15.75">
      <c r="C5089" s="949" t="s">
        <v>1118</v>
      </c>
      <c r="D5089" s="946">
        <v>2.2999999999999998</v>
      </c>
      <c r="E5089" s="947" t="str">
        <f>+VLOOKUP(C5089,'Basic (equilibrio) (2)'!B:D,2,FALSE)</f>
        <v>m</v>
      </c>
      <c r="F5089" s="1068">
        <f>'Basic (equilibrio) (2)'!$D$42</f>
        <v>95</v>
      </c>
      <c r="G5089" s="946">
        <f>F5089-(F5089/1.18)</f>
        <v>14.49</v>
      </c>
      <c r="H5089" s="1031"/>
      <c r="I5089" s="948">
        <f>D5089*F5089</f>
        <v>218.5</v>
      </c>
    </row>
    <row r="5090" spans="3:9" ht="15.75">
      <c r="C5090" s="951" t="s">
        <v>918</v>
      </c>
      <c r="D5090" s="946"/>
      <c r="E5090" s="947"/>
      <c r="F5090" s="1054"/>
      <c r="G5090" s="946"/>
      <c r="H5090" s="1031"/>
      <c r="I5090" s="952">
        <f>SUM(I5086:I5089)</f>
        <v>1861.8</v>
      </c>
    </row>
    <row r="5091" spans="3:9" ht="15.75">
      <c r="C5091" s="949"/>
      <c r="D5091" s="946"/>
      <c r="E5091" s="947"/>
      <c r="F5091" s="1054"/>
      <c r="G5091" s="946"/>
      <c r="H5091" s="1031"/>
      <c r="I5091" s="948"/>
    </row>
    <row r="5092" spans="3:9" ht="15.75">
      <c r="C5092" s="945" t="s">
        <v>923</v>
      </c>
      <c r="D5092" s="946"/>
      <c r="E5092" s="947"/>
      <c r="F5092" s="1054"/>
      <c r="G5092" s="946"/>
      <c r="H5092" s="1031"/>
      <c r="I5092" s="948"/>
    </row>
    <row r="5093" spans="3:9" ht="15.75">
      <c r="C5093" s="949" t="s">
        <v>924</v>
      </c>
      <c r="D5093" s="946"/>
      <c r="E5093" s="947" t="str">
        <f>+VLOOKUP(C5093,'Basic (equilibrio) (2)'!B:D,2,FALSE)</f>
        <v>n/a</v>
      </c>
      <c r="F5093" s="1054">
        <f>+VLOOKUP(C5093,'Basic (equilibrio) (2)'!B:D,3,FALSE)</f>
        <v>0</v>
      </c>
      <c r="G5093" s="946">
        <f>F5093-(F5093/1.18)</f>
        <v>0</v>
      </c>
      <c r="H5093" s="1039"/>
      <c r="I5093" s="955">
        <f>D5093*F5093</f>
        <v>0</v>
      </c>
    </row>
    <row r="5094" spans="3:9" ht="15.75">
      <c r="C5094" s="951" t="s">
        <v>918</v>
      </c>
      <c r="D5094" s="946"/>
      <c r="E5094" s="947"/>
      <c r="F5094" s="1054"/>
      <c r="G5094" s="946"/>
      <c r="H5094" s="1031"/>
      <c r="I5094" s="952">
        <f>SUM(I5093:I5093)</f>
        <v>0</v>
      </c>
    </row>
    <row r="5095" spans="3:9" ht="15.75">
      <c r="C5095" s="949"/>
      <c r="D5095" s="946"/>
      <c r="E5095" s="947"/>
      <c r="F5095" s="1054"/>
      <c r="G5095" s="946"/>
      <c r="H5095" s="1031"/>
      <c r="I5095" s="948"/>
    </row>
    <row r="5096" spans="3:9" ht="15.75">
      <c r="C5096" s="945" t="s">
        <v>925</v>
      </c>
      <c r="D5096" s="946"/>
      <c r="E5096" s="947"/>
      <c r="F5096" s="1054"/>
      <c r="G5096" s="946"/>
      <c r="H5096" s="1031"/>
      <c r="I5096" s="948"/>
    </row>
    <row r="5097" spans="3:9" ht="15.75">
      <c r="C5097" s="949" t="s">
        <v>924</v>
      </c>
      <c r="D5097" s="946"/>
      <c r="E5097" s="947" t="str">
        <f>+VLOOKUP(C5097,'Basic (equilibrio) (2)'!B:D,2,FALSE)</f>
        <v>n/a</v>
      </c>
      <c r="F5097" s="1054">
        <f>+VLOOKUP(C5097,'Basic (equilibrio) (2)'!B:D,3,FALSE)</f>
        <v>0</v>
      </c>
      <c r="G5097" s="946"/>
      <c r="H5097" s="1031"/>
      <c r="I5097" s="948">
        <f>D5097*F5097</f>
        <v>0</v>
      </c>
    </row>
    <row r="5098" spans="3:9" ht="15.75">
      <c r="C5098" s="951" t="s">
        <v>918</v>
      </c>
      <c r="D5098" s="946"/>
      <c r="E5098" s="947"/>
      <c r="F5098" s="1054"/>
      <c r="G5098" s="946"/>
      <c r="H5098" s="1031"/>
      <c r="I5098" s="952">
        <f>SUM(I5097)</f>
        <v>0</v>
      </c>
    </row>
    <row r="5099" spans="3:9" ht="15.75">
      <c r="C5099" s="951"/>
      <c r="D5099" s="946"/>
      <c r="E5099" s="947"/>
      <c r="F5099" s="1054"/>
      <c r="G5099" s="946"/>
      <c r="H5099" s="1031"/>
      <c r="I5099" s="952"/>
    </row>
    <row r="5100" spans="3:9" ht="15.75">
      <c r="C5100" s="956" t="s">
        <v>926</v>
      </c>
      <c r="D5100" s="957"/>
      <c r="E5100" s="958"/>
      <c r="F5100" s="1069"/>
      <c r="G5100" s="957"/>
      <c r="H5100" s="1032"/>
      <c r="I5100" s="959">
        <f>+I5083</f>
        <v>33583.42</v>
      </c>
    </row>
    <row r="5101" spans="3:9" ht="15.75">
      <c r="C5101" s="956" t="s">
        <v>927</v>
      </c>
      <c r="D5101" s="957"/>
      <c r="E5101" s="958"/>
      <c r="F5101" s="1069"/>
      <c r="G5101" s="957"/>
      <c r="H5101" s="1032"/>
      <c r="I5101" s="959">
        <f>+I5090</f>
        <v>1861.8</v>
      </c>
    </row>
    <row r="5102" spans="3:9" ht="15.75">
      <c r="C5102" s="956" t="s">
        <v>928</v>
      </c>
      <c r="D5102" s="957"/>
      <c r="E5102" s="958"/>
      <c r="F5102" s="1069"/>
      <c r="G5102" s="957"/>
      <c r="H5102" s="1032"/>
      <c r="I5102" s="959">
        <f>+I5094</f>
        <v>0</v>
      </c>
    </row>
    <row r="5103" spans="3:9" ht="15.75">
      <c r="C5103" s="956" t="s">
        <v>929</v>
      </c>
      <c r="D5103" s="957"/>
      <c r="E5103" s="958"/>
      <c r="F5103" s="1069"/>
      <c r="G5103" s="957"/>
      <c r="H5103" s="1032"/>
      <c r="I5103" s="959">
        <f>+I5098</f>
        <v>0</v>
      </c>
    </row>
    <row r="5104" spans="3:9" ht="15.75">
      <c r="C5104" s="949"/>
      <c r="D5104" s="946"/>
      <c r="E5104" s="947"/>
      <c r="F5104" s="1054"/>
      <c r="G5104" s="946"/>
      <c r="H5104" s="1031"/>
      <c r="I5104" s="948"/>
    </row>
    <row r="5105" spans="2:9" ht="15.75">
      <c r="C5105" s="949"/>
      <c r="D5105" s="946"/>
      <c r="E5105" s="947"/>
      <c r="F5105" s="1054"/>
      <c r="G5105" s="946"/>
      <c r="H5105" s="1031"/>
      <c r="I5105" s="948"/>
    </row>
    <row r="5106" spans="2:9" ht="15.75">
      <c r="C5106" s="951" t="s">
        <v>930</v>
      </c>
      <c r="D5106" s="960"/>
      <c r="E5106" s="943" t="str">
        <f>+E5074</f>
        <v>M3</v>
      </c>
      <c r="F5106" s="1070"/>
      <c r="G5106" s="960"/>
      <c r="H5106" s="1033"/>
      <c r="I5106" s="952">
        <f>SUM(I5100:I5103)</f>
        <v>35445.22</v>
      </c>
    </row>
    <row r="5107" spans="2:9" ht="15.75">
      <c r="C5107" s="951"/>
      <c r="D5107" s="960"/>
      <c r="E5107" s="943"/>
      <c r="F5107" s="1070"/>
      <c r="G5107" s="960"/>
      <c r="H5107" s="1033"/>
      <c r="I5107" s="952"/>
    </row>
    <row r="5108" spans="2:9" ht="15.75">
      <c r="B5108" s="1026">
        <v>3.3</v>
      </c>
      <c r="C5108" s="937" t="str">
        <f>+Presupuesto!B333</f>
        <v>Viga Canal VT - 2.50 qq/m³</v>
      </c>
      <c r="D5108" s="938"/>
      <c r="E5108" s="962" t="s">
        <v>22</v>
      </c>
      <c r="F5108" s="1066"/>
      <c r="G5108" s="938"/>
      <c r="H5108" s="1029"/>
      <c r="I5108" s="940">
        <f>I5135</f>
        <v>25972.560000000001</v>
      </c>
    </row>
    <row r="5109" spans="2:9" ht="15.75">
      <c r="C5109" s="941" t="s">
        <v>908</v>
      </c>
      <c r="D5109" s="942" t="s">
        <v>9</v>
      </c>
      <c r="E5109" s="943" t="s">
        <v>10</v>
      </c>
      <c r="F5109" s="1067" t="s">
        <v>909</v>
      </c>
      <c r="G5109" s="942" t="s">
        <v>910</v>
      </c>
      <c r="H5109" s="1030" t="s">
        <v>911</v>
      </c>
      <c r="I5109" s="944" t="s">
        <v>912</v>
      </c>
    </row>
    <row r="5110" spans="2:9" ht="15.75">
      <c r="C5110" s="945" t="s">
        <v>913</v>
      </c>
      <c r="D5110" s="946"/>
      <c r="E5110" s="947"/>
      <c r="F5110" s="1054"/>
      <c r="G5110" s="946"/>
      <c r="H5110" s="1031"/>
      <c r="I5110" s="948"/>
    </row>
    <row r="5111" spans="2:9" ht="15.75">
      <c r="C5111" s="949" t="s">
        <v>994</v>
      </c>
      <c r="D5111" s="946">
        <v>1.05</v>
      </c>
      <c r="E5111" s="947" t="str">
        <f>+VLOOKUP(C5111,'Basic (equilibrio) (2)'!B:D,2,FALSE)</f>
        <v>m3</v>
      </c>
      <c r="F5111" s="1068">
        <f>'Basic (equilibrio) (2)'!$D$179</f>
        <v>7600</v>
      </c>
      <c r="G5111" s="946">
        <f>F5111-(F5111/1.18)</f>
        <v>1159.32</v>
      </c>
      <c r="H5111" s="1031"/>
      <c r="I5111" s="948">
        <f>D5111*F5111</f>
        <v>7980</v>
      </c>
    </row>
    <row r="5112" spans="2:9" ht="15.75">
      <c r="C5112" s="949" t="s">
        <v>1188</v>
      </c>
      <c r="D5112" s="946">
        <v>2.5</v>
      </c>
      <c r="E5112" s="947" t="str">
        <f>+VLOOKUP(C5112,'Basic (equilibrio) (2)'!B:D,2,FALSE)</f>
        <v>qq</v>
      </c>
      <c r="F5112" s="1068">
        <f>'Basic (equilibrio) (2)'!$D$183</f>
        <v>3600</v>
      </c>
      <c r="G5112" s="946">
        <f>F5112-(F5112/1.18)</f>
        <v>549.15</v>
      </c>
      <c r="H5112" s="1031"/>
      <c r="I5112" s="948">
        <f>D5112*F5112</f>
        <v>9000</v>
      </c>
    </row>
    <row r="5113" spans="2:9" ht="15.75">
      <c r="C5113" s="949" t="s">
        <v>1328</v>
      </c>
      <c r="D5113" s="946">
        <v>5.56</v>
      </c>
      <c r="E5113" s="947" t="str">
        <f>+VLOOKUP(C5113,'Basic (equilibrio) (2)'!B:D,2,FALSE)</f>
        <v>lb</v>
      </c>
      <c r="F5113" s="1068">
        <f>'Basic (equilibrio) (2)'!$D$334</f>
        <v>31.1</v>
      </c>
      <c r="G5113" s="946">
        <f>F5113-(F5113/1.18)</f>
        <v>4.74</v>
      </c>
      <c r="H5113" s="1031"/>
      <c r="I5113" s="948">
        <f>D5113*F5113</f>
        <v>172.92</v>
      </c>
    </row>
    <row r="5114" spans="2:9" ht="15.75">
      <c r="C5114" s="949" t="s">
        <v>1072</v>
      </c>
      <c r="D5114" s="946">
        <v>25</v>
      </c>
      <c r="E5114" s="947" t="str">
        <f>+VLOOKUP(C5114,'Basic (equilibrio) (2)'!B:D,2,FALSE)</f>
        <v>ml</v>
      </c>
      <c r="F5114" s="1068">
        <f>'Basic (equilibrio) (2)'!$D$22</f>
        <v>351</v>
      </c>
      <c r="G5114" s="946">
        <f>F5114-(F5114/1.18)</f>
        <v>53.54</v>
      </c>
      <c r="H5114" s="1031"/>
      <c r="I5114" s="948">
        <f>D5114*F5114</f>
        <v>8775</v>
      </c>
    </row>
    <row r="5115" spans="2:9" ht="15.75">
      <c r="C5115" s="951" t="s">
        <v>918</v>
      </c>
      <c r="D5115" s="946"/>
      <c r="E5115" s="947"/>
      <c r="F5115" s="1068"/>
      <c r="G5115" s="946"/>
      <c r="H5115" s="1031"/>
      <c r="I5115" s="952">
        <f>SUM(I5111:I5114)</f>
        <v>25927.919999999998</v>
      </c>
    </row>
    <row r="5116" spans="2:9" ht="15.75">
      <c r="C5116" s="949"/>
      <c r="D5116" s="946"/>
      <c r="E5116" s="947"/>
      <c r="F5116" s="1068"/>
      <c r="G5116" s="946"/>
      <c r="H5116" s="1031"/>
      <c r="I5116" s="948"/>
    </row>
    <row r="5117" spans="2:9" ht="15.75">
      <c r="C5117" s="945" t="s">
        <v>919</v>
      </c>
      <c r="D5117" s="946"/>
      <c r="E5117" s="947"/>
      <c r="F5117" s="1068"/>
      <c r="G5117" s="946"/>
      <c r="H5117" s="1031"/>
      <c r="I5117" s="948"/>
    </row>
    <row r="5118" spans="2:9" ht="15.75">
      <c r="C5118" s="949" t="s">
        <v>1073</v>
      </c>
      <c r="D5118" s="953">
        <v>25</v>
      </c>
      <c r="E5118" s="954" t="str">
        <f>+VLOOKUP(C5118,'Basic (equilibrio) (2)'!B:D,2,FALSE)</f>
        <v>ml</v>
      </c>
      <c r="F5118" s="1068">
        <f>'Basic (equilibrio) (2)'!$D$25</f>
        <v>125</v>
      </c>
      <c r="G5118" s="946">
        <v>0</v>
      </c>
      <c r="H5118" s="1031">
        <v>70</v>
      </c>
      <c r="I5118" s="948">
        <f>(D5118*F5118)/H5118</f>
        <v>44.64</v>
      </c>
    </row>
    <row r="5119" spans="2:9" ht="15.75">
      <c r="C5119" s="951" t="s">
        <v>918</v>
      </c>
      <c r="D5119" s="946"/>
      <c r="E5119" s="947"/>
      <c r="F5119" s="1054"/>
      <c r="G5119" s="946"/>
      <c r="H5119" s="1031"/>
      <c r="I5119" s="952">
        <f>SUM(I5118:I5118)</f>
        <v>44.64</v>
      </c>
    </row>
    <row r="5120" spans="2:9" ht="15.75">
      <c r="C5120" s="949"/>
      <c r="D5120" s="946"/>
      <c r="E5120" s="947"/>
      <c r="F5120" s="1054"/>
      <c r="G5120" s="946"/>
      <c r="H5120" s="1031"/>
      <c r="I5120" s="948"/>
    </row>
    <row r="5121" spans="3:9" ht="15.75">
      <c r="C5121" s="945" t="s">
        <v>923</v>
      </c>
      <c r="D5121" s="946"/>
      <c r="E5121" s="947"/>
      <c r="F5121" s="1054"/>
      <c r="G5121" s="946"/>
      <c r="H5121" s="1031"/>
      <c r="I5121" s="948"/>
    </row>
    <row r="5122" spans="3:9" ht="15.75">
      <c r="C5122" s="949" t="s">
        <v>924</v>
      </c>
      <c r="D5122" s="946"/>
      <c r="E5122" s="947" t="str">
        <f>+VLOOKUP(C5122,'Basic (equilibrio) (2)'!B:D,2,FALSE)</f>
        <v>n/a</v>
      </c>
      <c r="F5122" s="1054">
        <f>+VLOOKUP(C5122,'Basic (equilibrio) (2)'!B:D,3,FALSE)</f>
        <v>0</v>
      </c>
      <c r="G5122" s="946">
        <f>F5122-(F5122/1.18)</f>
        <v>0</v>
      </c>
      <c r="H5122" s="1039"/>
      <c r="I5122" s="955">
        <f>D5122*F5122</f>
        <v>0</v>
      </c>
    </row>
    <row r="5123" spans="3:9" ht="15.75">
      <c r="C5123" s="951" t="s">
        <v>918</v>
      </c>
      <c r="D5123" s="946"/>
      <c r="E5123" s="947"/>
      <c r="F5123" s="1054"/>
      <c r="G5123" s="946"/>
      <c r="H5123" s="1031"/>
      <c r="I5123" s="952">
        <f>SUM(I5122:I5122)</f>
        <v>0</v>
      </c>
    </row>
    <row r="5124" spans="3:9" ht="15.75">
      <c r="C5124" s="949"/>
      <c r="D5124" s="946"/>
      <c r="E5124" s="947"/>
      <c r="F5124" s="1054"/>
      <c r="G5124" s="946"/>
      <c r="H5124" s="1031"/>
      <c r="I5124" s="948"/>
    </row>
    <row r="5125" spans="3:9" ht="15.75">
      <c r="C5125" s="945" t="s">
        <v>925</v>
      </c>
      <c r="D5125" s="946"/>
      <c r="E5125" s="947"/>
      <c r="F5125" s="1054"/>
      <c r="G5125" s="946"/>
      <c r="H5125" s="1031"/>
      <c r="I5125" s="948"/>
    </row>
    <row r="5126" spans="3:9" ht="15.75">
      <c r="C5126" s="949" t="s">
        <v>924</v>
      </c>
      <c r="D5126" s="946"/>
      <c r="E5126" s="947" t="str">
        <f>+VLOOKUP(C5126,'Basic (equilibrio) (2)'!B:D,2,FALSE)</f>
        <v>n/a</v>
      </c>
      <c r="F5126" s="1054">
        <f>+VLOOKUP(C5126,'Basic (equilibrio) (2)'!B:D,3,FALSE)</f>
        <v>0</v>
      </c>
      <c r="G5126" s="946"/>
      <c r="H5126" s="1031"/>
      <c r="I5126" s="948">
        <f>D5126*F5126</f>
        <v>0</v>
      </c>
    </row>
    <row r="5127" spans="3:9" ht="15.75">
      <c r="C5127" s="951" t="s">
        <v>918</v>
      </c>
      <c r="D5127" s="946"/>
      <c r="E5127" s="947"/>
      <c r="F5127" s="1054"/>
      <c r="G5127" s="946"/>
      <c r="H5127" s="1031"/>
      <c r="I5127" s="952">
        <f>SUM(I5126)</f>
        <v>0</v>
      </c>
    </row>
    <row r="5128" spans="3:9" ht="15.75">
      <c r="C5128" s="951"/>
      <c r="D5128" s="946"/>
      <c r="E5128" s="947"/>
      <c r="F5128" s="1054"/>
      <c r="G5128" s="946"/>
      <c r="H5128" s="1031"/>
      <c r="I5128" s="952"/>
    </row>
    <row r="5129" spans="3:9" ht="15.75">
      <c r="C5129" s="956" t="s">
        <v>926</v>
      </c>
      <c r="D5129" s="957"/>
      <c r="E5129" s="958"/>
      <c r="F5129" s="1069"/>
      <c r="G5129" s="957"/>
      <c r="H5129" s="1032"/>
      <c r="I5129" s="959">
        <f>+I5115</f>
        <v>25927.919999999998</v>
      </c>
    </row>
    <row r="5130" spans="3:9" ht="15.75">
      <c r="C5130" s="956" t="s">
        <v>927</v>
      </c>
      <c r="D5130" s="957"/>
      <c r="E5130" s="958"/>
      <c r="F5130" s="1069"/>
      <c r="G5130" s="957"/>
      <c r="H5130" s="1032"/>
      <c r="I5130" s="959">
        <f>+I5119</f>
        <v>44.64</v>
      </c>
    </row>
    <row r="5131" spans="3:9" ht="15.75">
      <c r="C5131" s="956" t="s">
        <v>928</v>
      </c>
      <c r="D5131" s="957"/>
      <c r="E5131" s="958"/>
      <c r="F5131" s="1069"/>
      <c r="G5131" s="957"/>
      <c r="H5131" s="1032"/>
      <c r="I5131" s="959">
        <f>+I5123</f>
        <v>0</v>
      </c>
    </row>
    <row r="5132" spans="3:9" ht="15.75">
      <c r="C5132" s="956" t="s">
        <v>929</v>
      </c>
      <c r="D5132" s="957"/>
      <c r="E5132" s="958"/>
      <c r="F5132" s="1069"/>
      <c r="G5132" s="957"/>
      <c r="H5132" s="1032"/>
      <c r="I5132" s="959">
        <f>+I5127</f>
        <v>0</v>
      </c>
    </row>
    <row r="5133" spans="3:9" ht="15.75">
      <c r="C5133" s="949"/>
      <c r="D5133" s="946"/>
      <c r="E5133" s="947"/>
      <c r="F5133" s="1054"/>
      <c r="G5133" s="946"/>
      <c r="H5133" s="1031"/>
      <c r="I5133" s="948"/>
    </row>
    <row r="5134" spans="3:9" ht="15.75">
      <c r="C5134" s="949"/>
      <c r="D5134" s="946"/>
      <c r="E5134" s="947"/>
      <c r="F5134" s="1054"/>
      <c r="G5134" s="946"/>
      <c r="H5134" s="1031"/>
      <c r="I5134" s="948"/>
    </row>
    <row r="5135" spans="3:9" ht="15.75">
      <c r="C5135" s="951" t="s">
        <v>930</v>
      </c>
      <c r="D5135" s="960"/>
      <c r="E5135" s="943" t="str">
        <f>+E5108</f>
        <v>M3</v>
      </c>
      <c r="F5135" s="1070"/>
      <c r="G5135" s="960"/>
      <c r="H5135" s="1033"/>
      <c r="I5135" s="952">
        <f>SUM(I5129:I5132)</f>
        <v>25972.560000000001</v>
      </c>
    </row>
    <row r="5136" spans="3:9" ht="15.75">
      <c r="C5136" s="951"/>
      <c r="D5136" s="960"/>
      <c r="E5136" s="943"/>
      <c r="F5136" s="1070"/>
      <c r="G5136" s="960"/>
      <c r="H5136" s="1033"/>
      <c r="I5136" s="952"/>
    </row>
    <row r="5137" spans="2:9" ht="15.75">
      <c r="B5137" s="1026">
        <v>3.4</v>
      </c>
      <c r="C5137" s="937" t="str">
        <f>+Presupuesto!B334</f>
        <v>Losa de fondo e=0.15m - 0.82 qq/m³</v>
      </c>
      <c r="D5137" s="938"/>
      <c r="E5137" s="962" t="s">
        <v>22</v>
      </c>
      <c r="F5137" s="1066"/>
      <c r="G5137" s="938"/>
      <c r="H5137" s="1029"/>
      <c r="I5137" s="940">
        <f>I5163</f>
        <v>11962.86</v>
      </c>
    </row>
    <row r="5138" spans="2:9" ht="15.75">
      <c r="C5138" s="941" t="s">
        <v>908</v>
      </c>
      <c r="D5138" s="942" t="s">
        <v>9</v>
      </c>
      <c r="E5138" s="943" t="s">
        <v>10</v>
      </c>
      <c r="F5138" s="1067" t="s">
        <v>909</v>
      </c>
      <c r="G5138" s="942" t="s">
        <v>910</v>
      </c>
      <c r="H5138" s="1030" t="s">
        <v>911</v>
      </c>
      <c r="I5138" s="944" t="s">
        <v>912</v>
      </c>
    </row>
    <row r="5139" spans="2:9" ht="15.75">
      <c r="C5139" s="945" t="s">
        <v>913</v>
      </c>
      <c r="D5139" s="946"/>
      <c r="E5139" s="947"/>
      <c r="F5139" s="1054"/>
      <c r="G5139" s="946"/>
      <c r="H5139" s="1031"/>
      <c r="I5139" s="948"/>
    </row>
    <row r="5140" spans="2:9" ht="15.75">
      <c r="C5140" s="949" t="s">
        <v>994</v>
      </c>
      <c r="D5140" s="946">
        <v>1.02</v>
      </c>
      <c r="E5140" s="947" t="str">
        <f>+VLOOKUP(C5140,'Basic (equilibrio) (2)'!B:D,2,FALSE)</f>
        <v>m3</v>
      </c>
      <c r="F5140" s="1068">
        <f>'Basic (equilibrio) (2)'!$D$179</f>
        <v>7600</v>
      </c>
      <c r="G5140" s="946">
        <f>F5140-(F5140/1.18)</f>
        <v>1159.32</v>
      </c>
      <c r="H5140" s="1031"/>
      <c r="I5140" s="948">
        <f>D5140*F5140</f>
        <v>7752</v>
      </c>
    </row>
    <row r="5141" spans="2:9" ht="15.75">
      <c r="C5141" s="949" t="s">
        <v>1188</v>
      </c>
      <c r="D5141" s="946">
        <v>0.82</v>
      </c>
      <c r="E5141" s="947" t="str">
        <f>+VLOOKUP(C5141,'Basic (equilibrio) (2)'!B:D,2,FALSE)</f>
        <v>qq</v>
      </c>
      <c r="F5141" s="1068">
        <f>'Basic (equilibrio) (2)'!$D$183</f>
        <v>3600</v>
      </c>
      <c r="G5141" s="946">
        <f>F5141-(F5141/1.18)</f>
        <v>549.15</v>
      </c>
      <c r="H5141" s="1031"/>
      <c r="I5141" s="948">
        <f>D5141*F5141</f>
        <v>2952</v>
      </c>
    </row>
    <row r="5142" spans="2:9" ht="15.75">
      <c r="C5142" s="949" t="s">
        <v>1066</v>
      </c>
      <c r="D5142" s="946">
        <v>1.07</v>
      </c>
      <c r="E5142" s="947" t="str">
        <f>+VLOOKUP(C5142,'Basic (equilibrio) (2)'!B:D,2,FALSE)</f>
        <v>ml</v>
      </c>
      <c r="F5142" s="1068">
        <f>'Basic (equilibrio) (2)'!$D$20</f>
        <v>144</v>
      </c>
      <c r="G5142" s="946">
        <f>F5142-(F5142/1.18)</f>
        <v>21.97</v>
      </c>
      <c r="H5142" s="1031"/>
      <c r="I5142" s="948">
        <f>D5142*F5142</f>
        <v>154.08000000000001</v>
      </c>
    </row>
    <row r="5143" spans="2:9" ht="15.75">
      <c r="C5143" s="951" t="s">
        <v>918</v>
      </c>
      <c r="D5143" s="946"/>
      <c r="E5143" s="947"/>
      <c r="F5143" s="1068"/>
      <c r="G5143" s="946"/>
      <c r="H5143" s="1031"/>
      <c r="I5143" s="952">
        <f>SUM(I5140:I5142)</f>
        <v>10858.08</v>
      </c>
    </row>
    <row r="5144" spans="2:9" ht="15.75">
      <c r="C5144" s="949"/>
      <c r="D5144" s="946"/>
      <c r="E5144" s="947"/>
      <c r="F5144" s="1068"/>
      <c r="G5144" s="946"/>
      <c r="H5144" s="1031"/>
      <c r="I5144" s="948"/>
    </row>
    <row r="5145" spans="2:9" ht="15.75">
      <c r="C5145" s="945" t="s">
        <v>919</v>
      </c>
      <c r="D5145" s="946"/>
      <c r="E5145" s="947"/>
      <c r="F5145" s="1068"/>
      <c r="G5145" s="946"/>
      <c r="H5145" s="1031"/>
      <c r="I5145" s="948"/>
    </row>
    <row r="5146" spans="2:9" ht="15.75">
      <c r="C5146" s="949" t="s">
        <v>1121</v>
      </c>
      <c r="D5146" s="953">
        <f>+D5141</f>
        <v>0.82</v>
      </c>
      <c r="E5146" s="954" t="str">
        <f>+VLOOKUP(C5146,'Basic (equilibrio) (2)'!B:D,2,FALSE)</f>
        <v>qq</v>
      </c>
      <c r="F5146" s="1068">
        <f>'Basic (equilibrio) (2)'!$D$45</f>
        <v>420</v>
      </c>
      <c r="G5146" s="946">
        <v>0</v>
      </c>
      <c r="H5146" s="1031"/>
      <c r="I5146" s="948">
        <f>(D5146*F5146)</f>
        <v>344.4</v>
      </c>
    </row>
    <row r="5147" spans="2:9" ht="15.75">
      <c r="C5147" s="949" t="s">
        <v>1064</v>
      </c>
      <c r="D5147" s="953">
        <f>1/0.15</f>
        <v>6.67</v>
      </c>
      <c r="E5147" s="954" t="str">
        <f>+VLOOKUP(C5147,'Basic (equilibrio) (2)'!B:D,2,FALSE)</f>
        <v>m2</v>
      </c>
      <c r="F5147" s="1068">
        <f>'Basic (equilibrio) (2)'!$D$19</f>
        <v>114</v>
      </c>
      <c r="G5147" s="946">
        <v>0</v>
      </c>
      <c r="H5147" s="1031"/>
      <c r="I5147" s="948">
        <f>(D5147*F5147)</f>
        <v>760.38</v>
      </c>
    </row>
    <row r="5148" spans="2:9" ht="15.75">
      <c r="C5148" s="951" t="s">
        <v>918</v>
      </c>
      <c r="D5148" s="946"/>
      <c r="E5148" s="947"/>
      <c r="F5148" s="1054"/>
      <c r="G5148" s="946"/>
      <c r="H5148" s="1031"/>
      <c r="I5148" s="952">
        <f>SUM(I5146:I5147)</f>
        <v>1104.78</v>
      </c>
    </row>
    <row r="5149" spans="2:9" ht="15.75">
      <c r="C5149" s="949"/>
      <c r="D5149" s="946"/>
      <c r="E5149" s="947"/>
      <c r="F5149" s="1054"/>
      <c r="G5149" s="946"/>
      <c r="H5149" s="1031"/>
      <c r="I5149" s="948"/>
    </row>
    <row r="5150" spans="2:9" ht="15.75">
      <c r="C5150" s="945" t="s">
        <v>923</v>
      </c>
      <c r="D5150" s="946"/>
      <c r="E5150" s="947"/>
      <c r="F5150" s="1054"/>
      <c r="G5150" s="946"/>
      <c r="H5150" s="1031"/>
      <c r="I5150" s="948"/>
    </row>
    <row r="5151" spans="2:9" ht="15.75">
      <c r="C5151" s="949" t="s">
        <v>924</v>
      </c>
      <c r="D5151" s="946"/>
      <c r="E5151" s="947" t="str">
        <f>+VLOOKUP(C5151,'Basic (equilibrio) (2)'!B:D,2,FALSE)</f>
        <v>n/a</v>
      </c>
      <c r="F5151" s="1054">
        <f>+VLOOKUP(C5151,'Basic (equilibrio) (2)'!B:D,3,FALSE)</f>
        <v>0</v>
      </c>
      <c r="G5151" s="946">
        <f>F5151-(F5151/1.18)</f>
        <v>0</v>
      </c>
      <c r="H5151" s="1039"/>
      <c r="I5151" s="955">
        <f>D5151*F5151</f>
        <v>0</v>
      </c>
    </row>
    <row r="5152" spans="2:9" ht="15.75">
      <c r="C5152" s="951" t="s">
        <v>918</v>
      </c>
      <c r="D5152" s="946"/>
      <c r="E5152" s="947"/>
      <c r="F5152" s="1054"/>
      <c r="G5152" s="946"/>
      <c r="H5152" s="1031"/>
      <c r="I5152" s="952">
        <f>SUM(I5151:I5151)</f>
        <v>0</v>
      </c>
    </row>
    <row r="5153" spans="2:9" ht="15.75">
      <c r="C5153" s="949"/>
      <c r="D5153" s="946"/>
      <c r="E5153" s="947"/>
      <c r="F5153" s="1054"/>
      <c r="G5153" s="946"/>
      <c r="H5153" s="1031"/>
      <c r="I5153" s="948"/>
    </row>
    <row r="5154" spans="2:9" ht="15.75">
      <c r="C5154" s="945" t="s">
        <v>925</v>
      </c>
      <c r="D5154" s="946"/>
      <c r="E5154" s="947"/>
      <c r="F5154" s="1054"/>
      <c r="G5154" s="946"/>
      <c r="H5154" s="1031"/>
      <c r="I5154" s="948"/>
    </row>
    <row r="5155" spans="2:9" ht="15.75">
      <c r="C5155" s="949" t="s">
        <v>924</v>
      </c>
      <c r="D5155" s="946"/>
      <c r="E5155" s="947" t="str">
        <f>+VLOOKUP(C5155,'Basic (equilibrio) (2)'!B:D,2,FALSE)</f>
        <v>n/a</v>
      </c>
      <c r="F5155" s="1054">
        <f>+VLOOKUP(C5155,'Basic (equilibrio) (2)'!B:D,3,FALSE)</f>
        <v>0</v>
      </c>
      <c r="G5155" s="946"/>
      <c r="H5155" s="1031"/>
      <c r="I5155" s="948">
        <f>D5155*F5155</f>
        <v>0</v>
      </c>
    </row>
    <row r="5156" spans="2:9" ht="15.75">
      <c r="C5156" s="951" t="s">
        <v>918</v>
      </c>
      <c r="D5156" s="946"/>
      <c r="E5156" s="947"/>
      <c r="F5156" s="1054"/>
      <c r="G5156" s="946"/>
      <c r="H5156" s="1031"/>
      <c r="I5156" s="952">
        <f>SUM(I5155)</f>
        <v>0</v>
      </c>
    </row>
    <row r="5157" spans="2:9" ht="15.75">
      <c r="C5157" s="951"/>
      <c r="D5157" s="946"/>
      <c r="E5157" s="947"/>
      <c r="F5157" s="1054"/>
      <c r="G5157" s="946"/>
      <c r="H5157" s="1031"/>
      <c r="I5157" s="952"/>
    </row>
    <row r="5158" spans="2:9" ht="15.75">
      <c r="C5158" s="956" t="s">
        <v>926</v>
      </c>
      <c r="D5158" s="957"/>
      <c r="E5158" s="958"/>
      <c r="F5158" s="1069"/>
      <c r="G5158" s="957"/>
      <c r="H5158" s="1032"/>
      <c r="I5158" s="959">
        <f>+I5143</f>
        <v>10858.08</v>
      </c>
    </row>
    <row r="5159" spans="2:9" ht="15.75">
      <c r="C5159" s="956" t="s">
        <v>927</v>
      </c>
      <c r="D5159" s="957"/>
      <c r="E5159" s="958"/>
      <c r="F5159" s="1069"/>
      <c r="G5159" s="957"/>
      <c r="H5159" s="1032"/>
      <c r="I5159" s="959">
        <f>+I5148</f>
        <v>1104.78</v>
      </c>
    </row>
    <row r="5160" spans="2:9" ht="15.75">
      <c r="C5160" s="956" t="s">
        <v>928</v>
      </c>
      <c r="D5160" s="957"/>
      <c r="E5160" s="958"/>
      <c r="F5160" s="1069"/>
      <c r="G5160" s="957"/>
      <c r="H5160" s="1032"/>
      <c r="I5160" s="959">
        <f>+I5152</f>
        <v>0</v>
      </c>
    </row>
    <row r="5161" spans="2:9" ht="15.75">
      <c r="C5161" s="956" t="s">
        <v>929</v>
      </c>
      <c r="D5161" s="957"/>
      <c r="E5161" s="958"/>
      <c r="F5161" s="1069"/>
      <c r="G5161" s="957"/>
      <c r="H5161" s="1032"/>
      <c r="I5161" s="959">
        <f>+I5156</f>
        <v>0</v>
      </c>
    </row>
    <row r="5162" spans="2:9" ht="15.75">
      <c r="C5162" s="949"/>
      <c r="D5162" s="946"/>
      <c r="E5162" s="947"/>
      <c r="F5162" s="1054"/>
      <c r="G5162" s="946"/>
      <c r="H5162" s="1031"/>
      <c r="I5162" s="948"/>
    </row>
    <row r="5163" spans="2:9" ht="15.75">
      <c r="C5163" s="951" t="s">
        <v>930</v>
      </c>
      <c r="D5163" s="960"/>
      <c r="E5163" s="943" t="str">
        <f>+E5137</f>
        <v>M3</v>
      </c>
      <c r="F5163" s="1070"/>
      <c r="G5163" s="960"/>
      <c r="H5163" s="1033"/>
      <c r="I5163" s="952">
        <f>SUM(I5158:I5161)</f>
        <v>11962.86</v>
      </c>
    </row>
    <row r="5164" spans="2:9" ht="15.75">
      <c r="C5164" s="951"/>
      <c r="D5164" s="960"/>
      <c r="E5164" s="943"/>
      <c r="F5164" s="1070"/>
      <c r="G5164" s="960"/>
      <c r="H5164" s="1033"/>
      <c r="I5164" s="952"/>
    </row>
    <row r="5165" spans="2:9" ht="15.75">
      <c r="B5165" s="1026">
        <v>4.0999999999999996</v>
      </c>
      <c r="C5165" s="937" t="str">
        <f>+Presupuesto!B337</f>
        <v xml:space="preserve">Pañete general </v>
      </c>
      <c r="D5165" s="938"/>
      <c r="E5165" s="962" t="s">
        <v>20</v>
      </c>
      <c r="F5165" s="1066"/>
      <c r="G5165" s="938"/>
      <c r="H5165" s="1029"/>
      <c r="I5165" s="940">
        <f>I5190</f>
        <v>453.5</v>
      </c>
    </row>
    <row r="5166" spans="2:9" ht="15.75">
      <c r="C5166" s="941" t="s">
        <v>908</v>
      </c>
      <c r="D5166" s="942" t="s">
        <v>9</v>
      </c>
      <c r="E5166" s="943" t="s">
        <v>10</v>
      </c>
      <c r="F5166" s="1067" t="s">
        <v>909</v>
      </c>
      <c r="G5166" s="942" t="s">
        <v>910</v>
      </c>
      <c r="H5166" s="1030" t="s">
        <v>911</v>
      </c>
      <c r="I5166" s="944" t="s">
        <v>912</v>
      </c>
    </row>
    <row r="5167" spans="2:9" ht="15.75">
      <c r="C5167" s="945" t="s">
        <v>913</v>
      </c>
      <c r="D5167" s="946"/>
      <c r="E5167" s="947"/>
      <c r="F5167" s="1054"/>
      <c r="G5167" s="946"/>
      <c r="H5167" s="1031"/>
      <c r="I5167" s="948"/>
    </row>
    <row r="5168" spans="2:9" ht="15.75">
      <c r="C5168" s="949" t="s">
        <v>958</v>
      </c>
      <c r="D5168" s="946">
        <v>0.03</v>
      </c>
      <c r="E5168" s="947" t="str">
        <f>+VLOOKUP(C5168,'Basic (equilibrio) (2)'!B:D,2,FALSE)</f>
        <v>m3</v>
      </c>
      <c r="F5168" s="1068">
        <f>'Basic (equilibrio) (2)'!$D$309</f>
        <v>6820</v>
      </c>
      <c r="G5168" s="946">
        <f>F5168-(F5168/1.18)</f>
        <v>1040.3399999999999</v>
      </c>
      <c r="H5168" s="1031"/>
      <c r="I5168" s="948">
        <f>D5168*F5168</f>
        <v>204.6</v>
      </c>
    </row>
    <row r="5169" spans="3:9" ht="15.75">
      <c r="C5169" s="949" t="s">
        <v>1206</v>
      </c>
      <c r="D5169" s="946">
        <v>0.03</v>
      </c>
      <c r="E5169" s="947" t="str">
        <f>+VLOOKUP(C5169,'Basic (equilibrio) (2)'!B:D,2,FALSE)</f>
        <v>pt</v>
      </c>
      <c r="F5169" s="1068">
        <f>'Basic (equilibrio) (2)'!$D$310</f>
        <v>230</v>
      </c>
      <c r="G5169" s="946">
        <f>F5169-(F5169/1.18)</f>
        <v>35.08</v>
      </c>
      <c r="H5169" s="1031"/>
      <c r="I5169" s="948">
        <f>D5169*F5169</f>
        <v>6.9</v>
      </c>
    </row>
    <row r="5170" spans="3:9" ht="15.75">
      <c r="C5170" s="949" t="s">
        <v>1079</v>
      </c>
      <c r="D5170" s="946">
        <v>1</v>
      </c>
      <c r="E5170" s="947" t="str">
        <f>+VLOOKUP(C5170,'Basic (equilibrio) (2)'!B:D,2,FALSE)</f>
        <v>m2</v>
      </c>
      <c r="F5170" s="1068">
        <f>'Basic (equilibrio) (2)'!$D$31</f>
        <v>52</v>
      </c>
      <c r="G5170" s="946">
        <f>F5170-(F5170/1.18)</f>
        <v>7.93</v>
      </c>
      <c r="H5170" s="1031"/>
      <c r="I5170" s="948">
        <f>D5170*F5170</f>
        <v>52</v>
      </c>
    </row>
    <row r="5171" spans="3:9" ht="15.75">
      <c r="C5171" s="951" t="s">
        <v>918</v>
      </c>
      <c r="D5171" s="946"/>
      <c r="E5171" s="947"/>
      <c r="F5171" s="1068"/>
      <c r="G5171" s="946"/>
      <c r="H5171" s="1031"/>
      <c r="I5171" s="952">
        <f>SUM(I5168:I5170)</f>
        <v>263.5</v>
      </c>
    </row>
    <row r="5172" spans="3:9" ht="15.75">
      <c r="C5172" s="949"/>
      <c r="D5172" s="946"/>
      <c r="E5172" s="947"/>
      <c r="F5172" s="1068"/>
      <c r="G5172" s="946"/>
      <c r="H5172" s="1031"/>
      <c r="I5172" s="948"/>
    </row>
    <row r="5173" spans="3:9" ht="15.75">
      <c r="C5173" s="945" t="s">
        <v>919</v>
      </c>
      <c r="D5173" s="946"/>
      <c r="E5173" s="947"/>
      <c r="F5173" s="1068"/>
      <c r="G5173" s="946"/>
      <c r="H5173" s="1031"/>
      <c r="I5173" s="948"/>
    </row>
    <row r="5174" spans="3:9" ht="15.75">
      <c r="C5174" s="949" t="s">
        <v>1078</v>
      </c>
      <c r="D5174" s="953">
        <v>1</v>
      </c>
      <c r="E5174" s="954" t="str">
        <f>+VLOOKUP(C5174,'Basic (equilibrio) (2)'!B:D,2,FALSE)</f>
        <v>m2</v>
      </c>
      <c r="F5174" s="1068">
        <f>'Basic (equilibrio) (2)'!$D$30</f>
        <v>190</v>
      </c>
      <c r="G5174" s="946">
        <v>0</v>
      </c>
      <c r="H5174" s="1031"/>
      <c r="I5174" s="948">
        <f>(D5174*F5174)</f>
        <v>190</v>
      </c>
    </row>
    <row r="5175" spans="3:9" ht="15.75">
      <c r="C5175" s="951" t="s">
        <v>918</v>
      </c>
      <c r="D5175" s="946"/>
      <c r="E5175" s="947"/>
      <c r="F5175" s="1054"/>
      <c r="G5175" s="946"/>
      <c r="H5175" s="1031"/>
      <c r="I5175" s="952">
        <f>SUM(I5174:I5174)</f>
        <v>190</v>
      </c>
    </row>
    <row r="5176" spans="3:9" ht="15.75">
      <c r="C5176" s="949"/>
      <c r="D5176" s="946"/>
      <c r="E5176" s="947"/>
      <c r="F5176" s="1054"/>
      <c r="G5176" s="946"/>
      <c r="H5176" s="1031"/>
      <c r="I5176" s="948"/>
    </row>
    <row r="5177" spans="3:9" ht="15.75">
      <c r="C5177" s="945" t="s">
        <v>923</v>
      </c>
      <c r="D5177" s="946"/>
      <c r="E5177" s="947"/>
      <c r="F5177" s="1054"/>
      <c r="G5177" s="946"/>
      <c r="H5177" s="1031"/>
      <c r="I5177" s="948"/>
    </row>
    <row r="5178" spans="3:9" ht="15.75">
      <c r="C5178" s="949" t="s">
        <v>924</v>
      </c>
      <c r="D5178" s="946"/>
      <c r="E5178" s="947" t="str">
        <f>+VLOOKUP(C5178,'Basic (equilibrio) (2)'!B:D,2,FALSE)</f>
        <v>n/a</v>
      </c>
      <c r="F5178" s="1054">
        <f>+VLOOKUP(C5178,'Basic (equilibrio) (2)'!B:D,3,FALSE)</f>
        <v>0</v>
      </c>
      <c r="G5178" s="946">
        <f>F5178-(F5178/1.18)</f>
        <v>0</v>
      </c>
      <c r="H5178" s="1039"/>
      <c r="I5178" s="955">
        <f>D5178*F5178</f>
        <v>0</v>
      </c>
    </row>
    <row r="5179" spans="3:9" ht="15.75">
      <c r="C5179" s="951" t="s">
        <v>918</v>
      </c>
      <c r="D5179" s="946"/>
      <c r="E5179" s="947"/>
      <c r="F5179" s="1054"/>
      <c r="G5179" s="946"/>
      <c r="H5179" s="1031"/>
      <c r="I5179" s="952">
        <f>SUM(I5178:I5178)</f>
        <v>0</v>
      </c>
    </row>
    <row r="5180" spans="3:9" ht="15.75">
      <c r="C5180" s="949"/>
      <c r="D5180" s="946"/>
      <c r="E5180" s="947"/>
      <c r="F5180" s="1054"/>
      <c r="G5180" s="946"/>
      <c r="H5180" s="1031"/>
      <c r="I5180" s="948"/>
    </row>
    <row r="5181" spans="3:9" ht="15.75">
      <c r="C5181" s="945" t="s">
        <v>925</v>
      </c>
      <c r="D5181" s="946"/>
      <c r="E5181" s="947"/>
      <c r="F5181" s="1054"/>
      <c r="G5181" s="946"/>
      <c r="H5181" s="1031"/>
      <c r="I5181" s="948"/>
    </row>
    <row r="5182" spans="3:9" ht="15.75">
      <c r="C5182" s="949" t="s">
        <v>924</v>
      </c>
      <c r="D5182" s="946"/>
      <c r="E5182" s="947" t="str">
        <f>+VLOOKUP(C5182,'Basic (equilibrio) (2)'!B:D,2,FALSE)</f>
        <v>n/a</v>
      </c>
      <c r="F5182" s="1054">
        <f>+VLOOKUP(C5182,'Basic (equilibrio) (2)'!B:D,3,FALSE)</f>
        <v>0</v>
      </c>
      <c r="G5182" s="946"/>
      <c r="H5182" s="1031"/>
      <c r="I5182" s="948">
        <f>D5182*F5182</f>
        <v>0</v>
      </c>
    </row>
    <row r="5183" spans="3:9" ht="15.75">
      <c r="C5183" s="951" t="s">
        <v>918</v>
      </c>
      <c r="D5183" s="946"/>
      <c r="E5183" s="947"/>
      <c r="F5183" s="1054"/>
      <c r="G5183" s="946"/>
      <c r="H5183" s="1031"/>
      <c r="I5183" s="952">
        <f>SUM(I5182)</f>
        <v>0</v>
      </c>
    </row>
    <row r="5184" spans="3:9" ht="15.75">
      <c r="C5184" s="951"/>
      <c r="D5184" s="946"/>
      <c r="E5184" s="947"/>
      <c r="F5184" s="1054"/>
      <c r="G5184" s="946"/>
      <c r="H5184" s="1031"/>
      <c r="I5184" s="952"/>
    </row>
    <row r="5185" spans="2:9" ht="15.75">
      <c r="C5185" s="956" t="s">
        <v>926</v>
      </c>
      <c r="D5185" s="957"/>
      <c r="E5185" s="958"/>
      <c r="F5185" s="1069"/>
      <c r="G5185" s="957"/>
      <c r="H5185" s="1032"/>
      <c r="I5185" s="959">
        <f>+I5171</f>
        <v>263.5</v>
      </c>
    </row>
    <row r="5186" spans="2:9" ht="15.75">
      <c r="C5186" s="956" t="s">
        <v>927</v>
      </c>
      <c r="D5186" s="957"/>
      <c r="E5186" s="958"/>
      <c r="F5186" s="1069"/>
      <c r="G5186" s="957"/>
      <c r="H5186" s="1032"/>
      <c r="I5186" s="959">
        <f>+I5175</f>
        <v>190</v>
      </c>
    </row>
    <row r="5187" spans="2:9" ht="15.75">
      <c r="C5187" s="956" t="s">
        <v>928</v>
      </c>
      <c r="D5187" s="957"/>
      <c r="E5187" s="958"/>
      <c r="F5187" s="1069"/>
      <c r="G5187" s="957"/>
      <c r="H5187" s="1032"/>
      <c r="I5187" s="959">
        <f>+I5179</f>
        <v>0</v>
      </c>
    </row>
    <row r="5188" spans="2:9" ht="15.75">
      <c r="C5188" s="956" t="s">
        <v>929</v>
      </c>
      <c r="D5188" s="957"/>
      <c r="E5188" s="958"/>
      <c r="F5188" s="1069"/>
      <c r="G5188" s="957"/>
      <c r="H5188" s="1032"/>
      <c r="I5188" s="959">
        <f>+I5183</f>
        <v>0</v>
      </c>
    </row>
    <row r="5189" spans="2:9" ht="15.75">
      <c r="C5189" s="949"/>
      <c r="D5189" s="946"/>
      <c r="E5189" s="947"/>
      <c r="F5189" s="1054"/>
      <c r="G5189" s="946"/>
      <c r="H5189" s="1031"/>
      <c r="I5189" s="948"/>
    </row>
    <row r="5190" spans="2:9" ht="15.75">
      <c r="C5190" s="951" t="s">
        <v>930</v>
      </c>
      <c r="D5190" s="960"/>
      <c r="E5190" s="943" t="str">
        <f>+E5165</f>
        <v>M2</v>
      </c>
      <c r="F5190" s="1070"/>
      <c r="G5190" s="960"/>
      <c r="H5190" s="1033"/>
      <c r="I5190" s="952">
        <f>SUM(I5185:I5188)</f>
        <v>453.5</v>
      </c>
    </row>
    <row r="5191" spans="2:9" ht="15.75">
      <c r="C5191" s="951"/>
      <c r="D5191" s="960"/>
      <c r="E5191" s="943"/>
      <c r="F5191" s="1070"/>
      <c r="G5191" s="960"/>
      <c r="H5191" s="1033"/>
      <c r="I5191" s="952"/>
    </row>
    <row r="5192" spans="2:9" ht="15.75">
      <c r="B5192" s="1026">
        <v>4.2</v>
      </c>
      <c r="C5192" s="937" t="str">
        <f>+Presupuesto!B338</f>
        <v>Fraguache</v>
      </c>
      <c r="D5192" s="938"/>
      <c r="E5192" s="962" t="s">
        <v>20</v>
      </c>
      <c r="F5192" s="1066"/>
      <c r="G5192" s="938"/>
      <c r="H5192" s="1029"/>
      <c r="I5192" s="940">
        <f>I5216</f>
        <v>101.1</v>
      </c>
    </row>
    <row r="5193" spans="2:9" ht="15.75">
      <c r="C5193" s="941" t="s">
        <v>908</v>
      </c>
      <c r="D5193" s="942" t="s">
        <v>9</v>
      </c>
      <c r="E5193" s="943" t="s">
        <v>10</v>
      </c>
      <c r="F5193" s="1067" t="s">
        <v>909</v>
      </c>
      <c r="G5193" s="942" t="s">
        <v>910</v>
      </c>
      <c r="H5193" s="1030" t="s">
        <v>911</v>
      </c>
      <c r="I5193" s="944" t="s">
        <v>912</v>
      </c>
    </row>
    <row r="5194" spans="2:9" ht="15.75">
      <c r="C5194" s="945" t="s">
        <v>913</v>
      </c>
      <c r="D5194" s="946"/>
      <c r="E5194" s="947"/>
      <c r="F5194" s="1054"/>
      <c r="G5194" s="946"/>
      <c r="H5194" s="1031"/>
      <c r="I5194" s="948"/>
    </row>
    <row r="5195" spans="2:9" ht="15.75">
      <c r="C5195" s="949" t="s">
        <v>958</v>
      </c>
      <c r="D5195" s="946">
        <v>0.01</v>
      </c>
      <c r="E5195" s="947" t="str">
        <f>+VLOOKUP(C5195,'Basic (equilibrio) (2)'!B:D,2,FALSE)</f>
        <v>m3</v>
      </c>
      <c r="F5195" s="1068">
        <f>'Basic (equilibrio) (2)'!$D$309</f>
        <v>6820</v>
      </c>
      <c r="G5195" s="946">
        <f>F5195-(F5195/1.18)</f>
        <v>1040.3399999999999</v>
      </c>
      <c r="H5195" s="1031"/>
      <c r="I5195" s="948">
        <f>D5195*F5195</f>
        <v>68.2</v>
      </c>
    </row>
    <row r="5196" spans="2:9" ht="15.75">
      <c r="C5196" s="949" t="s">
        <v>1206</v>
      </c>
      <c r="D5196" s="946">
        <v>0.03</v>
      </c>
      <c r="E5196" s="947" t="str">
        <f>+VLOOKUP(C5196,'Basic (equilibrio) (2)'!B:D,2,FALSE)</f>
        <v>pt</v>
      </c>
      <c r="F5196" s="1068">
        <f>'Basic (equilibrio) (2)'!$D$310</f>
        <v>230</v>
      </c>
      <c r="G5196" s="946">
        <f>F5196-(F5196/1.18)</f>
        <v>35.08</v>
      </c>
      <c r="H5196" s="1031"/>
      <c r="I5196" s="948">
        <f>D5196*F5196</f>
        <v>6.9</v>
      </c>
    </row>
    <row r="5197" spans="2:9" ht="15.75">
      <c r="C5197" s="951" t="s">
        <v>918</v>
      </c>
      <c r="D5197" s="946"/>
      <c r="E5197" s="947"/>
      <c r="F5197" s="1068"/>
      <c r="G5197" s="946"/>
      <c r="H5197" s="1031"/>
      <c r="I5197" s="952">
        <f>SUM(I5195:I5196)</f>
        <v>75.099999999999994</v>
      </c>
    </row>
    <row r="5198" spans="2:9" ht="15.75">
      <c r="C5198" s="949"/>
      <c r="D5198" s="946"/>
      <c r="E5198" s="947"/>
      <c r="F5198" s="1068"/>
      <c r="G5198" s="946"/>
      <c r="H5198" s="1031"/>
      <c r="I5198" s="948"/>
    </row>
    <row r="5199" spans="2:9" ht="15.75">
      <c r="C5199" s="945" t="s">
        <v>919</v>
      </c>
      <c r="D5199" s="946"/>
      <c r="E5199" s="947"/>
      <c r="F5199" s="1068"/>
      <c r="G5199" s="946"/>
      <c r="H5199" s="1031"/>
      <c r="I5199" s="948"/>
    </row>
    <row r="5200" spans="2:9" ht="15.75">
      <c r="C5200" s="949" t="s">
        <v>1080</v>
      </c>
      <c r="D5200" s="953">
        <v>1</v>
      </c>
      <c r="E5200" s="954" t="str">
        <f>+VLOOKUP(C5200,'Basic (equilibrio) (2)'!B:D,2,FALSE)</f>
        <v>m2</v>
      </c>
      <c r="F5200" s="1068">
        <f>'Basic (equilibrio) (2)'!$D$32</f>
        <v>26</v>
      </c>
      <c r="G5200" s="946">
        <v>0</v>
      </c>
      <c r="H5200" s="1031"/>
      <c r="I5200" s="948">
        <f>(D5200*F5200)</f>
        <v>26</v>
      </c>
    </row>
    <row r="5201" spans="3:9" ht="15.75">
      <c r="C5201" s="951" t="s">
        <v>918</v>
      </c>
      <c r="D5201" s="946"/>
      <c r="E5201" s="947"/>
      <c r="F5201" s="1054"/>
      <c r="G5201" s="946"/>
      <c r="H5201" s="1031"/>
      <c r="I5201" s="952">
        <f>SUM(I5200:I5200)</f>
        <v>26</v>
      </c>
    </row>
    <row r="5202" spans="3:9" ht="15.75">
      <c r="C5202" s="949"/>
      <c r="D5202" s="946"/>
      <c r="E5202" s="947"/>
      <c r="F5202" s="1054"/>
      <c r="G5202" s="946"/>
      <c r="H5202" s="1031"/>
      <c r="I5202" s="948"/>
    </row>
    <row r="5203" spans="3:9" ht="15.75">
      <c r="C5203" s="945" t="s">
        <v>923</v>
      </c>
      <c r="D5203" s="946"/>
      <c r="E5203" s="947"/>
      <c r="F5203" s="1054"/>
      <c r="G5203" s="946"/>
      <c r="H5203" s="1031"/>
      <c r="I5203" s="948"/>
    </row>
    <row r="5204" spans="3:9" ht="15.75">
      <c r="C5204" s="949" t="s">
        <v>924</v>
      </c>
      <c r="D5204" s="946"/>
      <c r="E5204" s="947" t="str">
        <f>+VLOOKUP(C5204,'Basic (equilibrio) (2)'!B:D,2,FALSE)</f>
        <v>n/a</v>
      </c>
      <c r="F5204" s="1054">
        <f>+VLOOKUP(C5204,'Basic (equilibrio) (2)'!B:D,3,FALSE)</f>
        <v>0</v>
      </c>
      <c r="G5204" s="946">
        <f>F5204-(F5204/1.18)</f>
        <v>0</v>
      </c>
      <c r="H5204" s="1039"/>
      <c r="I5204" s="955">
        <f>D5204*F5204</f>
        <v>0</v>
      </c>
    </row>
    <row r="5205" spans="3:9" ht="15.75">
      <c r="C5205" s="951" t="s">
        <v>918</v>
      </c>
      <c r="D5205" s="946"/>
      <c r="E5205" s="947"/>
      <c r="F5205" s="1054"/>
      <c r="G5205" s="946"/>
      <c r="H5205" s="1031"/>
      <c r="I5205" s="952">
        <f>SUM(I5204:I5204)</f>
        <v>0</v>
      </c>
    </row>
    <row r="5206" spans="3:9" ht="15.75">
      <c r="C5206" s="949"/>
      <c r="D5206" s="946"/>
      <c r="E5206" s="947"/>
      <c r="F5206" s="1054"/>
      <c r="G5206" s="946"/>
      <c r="H5206" s="1031"/>
      <c r="I5206" s="948"/>
    </row>
    <row r="5207" spans="3:9" ht="15.75">
      <c r="C5207" s="945" t="s">
        <v>925</v>
      </c>
      <c r="D5207" s="946"/>
      <c r="E5207" s="947"/>
      <c r="F5207" s="1054"/>
      <c r="G5207" s="946"/>
      <c r="H5207" s="1031"/>
      <c r="I5207" s="948"/>
    </row>
    <row r="5208" spans="3:9" ht="15.75">
      <c r="C5208" s="949" t="s">
        <v>924</v>
      </c>
      <c r="D5208" s="946"/>
      <c r="E5208" s="947" t="str">
        <f>+VLOOKUP(C5208,'Basic (equilibrio) (2)'!B:D,2,FALSE)</f>
        <v>n/a</v>
      </c>
      <c r="F5208" s="1054">
        <f>+VLOOKUP(C5208,'Basic (equilibrio) (2)'!B:D,3,FALSE)</f>
        <v>0</v>
      </c>
      <c r="G5208" s="946"/>
      <c r="H5208" s="1031"/>
      <c r="I5208" s="948">
        <f>D5208*F5208</f>
        <v>0</v>
      </c>
    </row>
    <row r="5209" spans="3:9" ht="15.75">
      <c r="C5209" s="951" t="s">
        <v>918</v>
      </c>
      <c r="D5209" s="946"/>
      <c r="E5209" s="947"/>
      <c r="F5209" s="1054"/>
      <c r="G5209" s="946"/>
      <c r="H5209" s="1031"/>
      <c r="I5209" s="952">
        <f>SUM(I5208)</f>
        <v>0</v>
      </c>
    </row>
    <row r="5210" spans="3:9" ht="15.75">
      <c r="C5210" s="951"/>
      <c r="D5210" s="946"/>
      <c r="E5210" s="947"/>
      <c r="F5210" s="1054"/>
      <c r="G5210" s="946"/>
      <c r="H5210" s="1031"/>
      <c r="I5210" s="952"/>
    </row>
    <row r="5211" spans="3:9" ht="15.75">
      <c r="C5211" s="956" t="s">
        <v>926</v>
      </c>
      <c r="D5211" s="957"/>
      <c r="E5211" s="958"/>
      <c r="F5211" s="1069"/>
      <c r="G5211" s="957"/>
      <c r="H5211" s="1032"/>
      <c r="I5211" s="959">
        <f>+I5197</f>
        <v>75.099999999999994</v>
      </c>
    </row>
    <row r="5212" spans="3:9" ht="15.75">
      <c r="C5212" s="956" t="s">
        <v>927</v>
      </c>
      <c r="D5212" s="957"/>
      <c r="E5212" s="958"/>
      <c r="F5212" s="1069"/>
      <c r="G5212" s="957"/>
      <c r="H5212" s="1032"/>
      <c r="I5212" s="959">
        <f>+I5201</f>
        <v>26</v>
      </c>
    </row>
    <row r="5213" spans="3:9" ht="15.75">
      <c r="C5213" s="956" t="s">
        <v>928</v>
      </c>
      <c r="D5213" s="957"/>
      <c r="E5213" s="958"/>
      <c r="F5213" s="1069"/>
      <c r="G5213" s="957"/>
      <c r="H5213" s="1032"/>
      <c r="I5213" s="959">
        <f>+I5205</f>
        <v>0</v>
      </c>
    </row>
    <row r="5214" spans="3:9" ht="15.75">
      <c r="C5214" s="956" t="s">
        <v>929</v>
      </c>
      <c r="D5214" s="957"/>
      <c r="E5214" s="958"/>
      <c r="F5214" s="1069"/>
      <c r="G5214" s="957"/>
      <c r="H5214" s="1032"/>
      <c r="I5214" s="959">
        <f>+I5209</f>
        <v>0</v>
      </c>
    </row>
    <row r="5215" spans="3:9" ht="15.75">
      <c r="C5215" s="949"/>
      <c r="D5215" s="946"/>
      <c r="E5215" s="947"/>
      <c r="F5215" s="1054"/>
      <c r="G5215" s="946"/>
      <c r="H5215" s="1031"/>
      <c r="I5215" s="948"/>
    </row>
    <row r="5216" spans="3:9" ht="15.75">
      <c r="C5216" s="951" t="s">
        <v>930</v>
      </c>
      <c r="D5216" s="960"/>
      <c r="E5216" s="943" t="str">
        <f>+E5192</f>
        <v>M2</v>
      </c>
      <c r="F5216" s="1070"/>
      <c r="G5216" s="960"/>
      <c r="H5216" s="1033"/>
      <c r="I5216" s="952">
        <f>SUM(I5211:I5214)</f>
        <v>101.1</v>
      </c>
    </row>
    <row r="5217" spans="2:9" ht="15.75">
      <c r="C5217" s="951"/>
      <c r="D5217" s="960"/>
      <c r="E5217" s="943"/>
      <c r="F5217" s="1070"/>
      <c r="G5217" s="960"/>
      <c r="H5217" s="1033"/>
      <c r="I5217" s="952"/>
    </row>
    <row r="5218" spans="2:9" ht="15.75">
      <c r="B5218" s="1026">
        <v>4.3</v>
      </c>
      <c r="C5218" s="937" t="str">
        <f>+Presupuesto!B339</f>
        <v>Pintura en general</v>
      </c>
      <c r="D5218" s="938"/>
      <c r="E5218" s="962" t="s">
        <v>20</v>
      </c>
      <c r="F5218" s="1066"/>
      <c r="G5218" s="938"/>
      <c r="H5218" s="1029"/>
      <c r="I5218" s="940">
        <f>+I5243</f>
        <v>168.48</v>
      </c>
    </row>
    <row r="5219" spans="2:9" ht="15.75">
      <c r="C5219" s="941" t="s">
        <v>908</v>
      </c>
      <c r="D5219" s="942" t="s">
        <v>9</v>
      </c>
      <c r="E5219" s="943" t="s">
        <v>10</v>
      </c>
      <c r="F5219" s="1067" t="s">
        <v>909</v>
      </c>
      <c r="G5219" s="942" t="s">
        <v>910</v>
      </c>
      <c r="H5219" s="1030" t="s">
        <v>911</v>
      </c>
      <c r="I5219" s="944" t="s">
        <v>912</v>
      </c>
    </row>
    <row r="5220" spans="2:9" ht="15.75">
      <c r="C5220" s="945" t="s">
        <v>913</v>
      </c>
      <c r="D5220" s="946"/>
      <c r="E5220" s="947"/>
      <c r="F5220" s="1054"/>
      <c r="G5220" s="946"/>
      <c r="H5220" s="1031"/>
      <c r="I5220" s="948"/>
    </row>
    <row r="5221" spans="2:9" ht="15.75">
      <c r="C5221" s="949" t="s">
        <v>1208</v>
      </c>
      <c r="D5221" s="946">
        <v>0.08</v>
      </c>
      <c r="E5221" s="947" t="s">
        <v>1183</v>
      </c>
      <c r="F5221" s="1068">
        <f>'Basic (equilibrio) (2)'!$D$311</f>
        <v>963.5</v>
      </c>
      <c r="G5221" s="946">
        <f>F5221-(F5221/1.18)</f>
        <v>146.97</v>
      </c>
      <c r="H5221" s="1031"/>
      <c r="I5221" s="948">
        <f>D5221*F5221</f>
        <v>77.08</v>
      </c>
    </row>
    <row r="5222" spans="2:9" ht="15.75">
      <c r="C5222" s="949" t="s">
        <v>1209</v>
      </c>
      <c r="D5222" s="946">
        <v>82</v>
      </c>
      <c r="E5222" s="947" t="s">
        <v>1025</v>
      </c>
      <c r="F5222" s="1068">
        <v>0.2</v>
      </c>
      <c r="G5222" s="946">
        <f>F5222-(F5222/1.18)</f>
        <v>0.03</v>
      </c>
      <c r="H5222" s="1031"/>
      <c r="I5222" s="948">
        <f>D5222*F5222</f>
        <v>16.399999999999999</v>
      </c>
    </row>
    <row r="5223" spans="2:9" ht="15.75">
      <c r="C5223" s="951" t="s">
        <v>918</v>
      </c>
      <c r="D5223" s="946"/>
      <c r="E5223" s="947"/>
      <c r="F5223" s="1068"/>
      <c r="G5223" s="946"/>
      <c r="H5223" s="1031"/>
      <c r="I5223" s="952">
        <f>SUM(I5221:I5222)</f>
        <v>93.48</v>
      </c>
    </row>
    <row r="5224" spans="2:9" ht="15.75">
      <c r="C5224" s="949"/>
      <c r="D5224" s="946"/>
      <c r="E5224" s="947"/>
      <c r="F5224" s="1068"/>
      <c r="G5224" s="946"/>
      <c r="H5224" s="1031"/>
      <c r="I5224" s="948"/>
    </row>
    <row r="5225" spans="2:9" ht="15.75">
      <c r="C5225" s="945" t="s">
        <v>919</v>
      </c>
      <c r="D5225" s="946"/>
      <c r="E5225" s="947"/>
      <c r="F5225" s="1068"/>
      <c r="G5225" s="946"/>
      <c r="H5225" s="1031"/>
      <c r="I5225" s="948"/>
    </row>
    <row r="5226" spans="2:9" ht="15.75">
      <c r="C5226" s="949" t="s">
        <v>1083</v>
      </c>
      <c r="D5226" s="953">
        <v>1</v>
      </c>
      <c r="E5226" s="954" t="str">
        <f>+VLOOKUP(C5226,'Basic (equilibrio) (2)'!B:D,2,FALSE)</f>
        <v>m2</v>
      </c>
      <c r="F5226" s="1068">
        <f>'Basic (equilibrio) (2)'!$D$34</f>
        <v>10</v>
      </c>
      <c r="G5226" s="946">
        <v>0</v>
      </c>
      <c r="H5226" s="1031"/>
      <c r="I5226" s="948">
        <f>(D5226*F5226)</f>
        <v>10</v>
      </c>
    </row>
    <row r="5227" spans="2:9" ht="15.75">
      <c r="C5227" s="949" t="s">
        <v>1084</v>
      </c>
      <c r="D5227" s="953">
        <v>1</v>
      </c>
      <c r="E5227" s="954" t="str">
        <f>+VLOOKUP(C5227,'Basic (equilibrio) (2)'!B:D,2,FALSE)</f>
        <v>m2</v>
      </c>
      <c r="F5227" s="1068">
        <f>'Basic (equilibrio) (2)'!$D$35</f>
        <v>65</v>
      </c>
      <c r="G5227" s="946">
        <v>0</v>
      </c>
      <c r="H5227" s="1031"/>
      <c r="I5227" s="948">
        <f>(D5227*F5227)</f>
        <v>65</v>
      </c>
    </row>
    <row r="5228" spans="2:9" ht="15.75">
      <c r="C5228" s="951" t="s">
        <v>918</v>
      </c>
      <c r="D5228" s="946"/>
      <c r="E5228" s="947"/>
      <c r="F5228" s="1054"/>
      <c r="G5228" s="946"/>
      <c r="H5228" s="1031"/>
      <c r="I5228" s="952">
        <f>SUM(I5226:I5227)</f>
        <v>75</v>
      </c>
    </row>
    <row r="5229" spans="2:9" ht="15.75">
      <c r="C5229" s="949"/>
      <c r="D5229" s="946"/>
      <c r="E5229" s="947"/>
      <c r="F5229" s="1054"/>
      <c r="G5229" s="946"/>
      <c r="H5229" s="1031"/>
      <c r="I5229" s="948"/>
    </row>
    <row r="5230" spans="2:9" ht="15.75">
      <c r="C5230" s="945" t="s">
        <v>923</v>
      </c>
      <c r="D5230" s="946"/>
      <c r="E5230" s="947"/>
      <c r="F5230" s="1054"/>
      <c r="G5230" s="946"/>
      <c r="H5230" s="1031"/>
      <c r="I5230" s="948"/>
    </row>
    <row r="5231" spans="2:9" ht="15.75">
      <c r="C5231" s="949" t="s">
        <v>924</v>
      </c>
      <c r="D5231" s="946"/>
      <c r="E5231" s="947" t="str">
        <f>+VLOOKUP(C5231,'Basic (equilibrio) (2)'!B:D,2,FALSE)</f>
        <v>n/a</v>
      </c>
      <c r="F5231" s="1054">
        <f>+VLOOKUP(C5231,'Basic (equilibrio) (2)'!B:D,3,FALSE)</f>
        <v>0</v>
      </c>
      <c r="G5231" s="946">
        <f>F5231-(F5231/1.18)</f>
        <v>0</v>
      </c>
      <c r="H5231" s="1039"/>
      <c r="I5231" s="955">
        <f>D5231*F5231</f>
        <v>0</v>
      </c>
    </row>
    <row r="5232" spans="2:9" ht="15.75">
      <c r="C5232" s="951" t="s">
        <v>918</v>
      </c>
      <c r="D5232" s="946"/>
      <c r="E5232" s="947"/>
      <c r="F5232" s="1054"/>
      <c r="G5232" s="946"/>
      <c r="H5232" s="1031"/>
      <c r="I5232" s="952">
        <f>SUM(I5231:I5231)</f>
        <v>0</v>
      </c>
    </row>
    <row r="5233" spans="2:9" ht="15.75">
      <c r="C5233" s="949"/>
      <c r="D5233" s="946"/>
      <c r="E5233" s="947"/>
      <c r="F5233" s="1054"/>
      <c r="G5233" s="946"/>
      <c r="H5233" s="1031"/>
      <c r="I5233" s="948"/>
    </row>
    <row r="5234" spans="2:9" ht="15.75">
      <c r="C5234" s="945" t="s">
        <v>925</v>
      </c>
      <c r="D5234" s="946"/>
      <c r="E5234" s="947"/>
      <c r="F5234" s="1054"/>
      <c r="G5234" s="946"/>
      <c r="H5234" s="1031"/>
      <c r="I5234" s="948"/>
    </row>
    <row r="5235" spans="2:9" ht="15.75">
      <c r="C5235" s="949" t="s">
        <v>924</v>
      </c>
      <c r="D5235" s="946"/>
      <c r="E5235" s="947" t="str">
        <f>+VLOOKUP(C5235,'Basic (equilibrio) (2)'!B:D,2,FALSE)</f>
        <v>n/a</v>
      </c>
      <c r="F5235" s="1054">
        <f>+VLOOKUP(C5235,'Basic (equilibrio) (2)'!B:D,3,FALSE)</f>
        <v>0</v>
      </c>
      <c r="G5235" s="946"/>
      <c r="H5235" s="1031"/>
      <c r="I5235" s="948">
        <f>D5235*F5235</f>
        <v>0</v>
      </c>
    </row>
    <row r="5236" spans="2:9" ht="15.75">
      <c r="C5236" s="951" t="s">
        <v>918</v>
      </c>
      <c r="D5236" s="946"/>
      <c r="E5236" s="947"/>
      <c r="F5236" s="1054"/>
      <c r="G5236" s="946"/>
      <c r="H5236" s="1031"/>
      <c r="I5236" s="952">
        <f>SUM(I5235)</f>
        <v>0</v>
      </c>
    </row>
    <row r="5237" spans="2:9" ht="15.75">
      <c r="C5237" s="951"/>
      <c r="D5237" s="946"/>
      <c r="E5237" s="947"/>
      <c r="F5237" s="1054"/>
      <c r="G5237" s="946"/>
      <c r="H5237" s="1031"/>
      <c r="I5237" s="952"/>
    </row>
    <row r="5238" spans="2:9" ht="15.75">
      <c r="C5238" s="956" t="s">
        <v>926</v>
      </c>
      <c r="D5238" s="957"/>
      <c r="E5238" s="958"/>
      <c r="F5238" s="1069"/>
      <c r="G5238" s="957"/>
      <c r="H5238" s="1032"/>
      <c r="I5238" s="959">
        <f>+I5223</f>
        <v>93.48</v>
      </c>
    </row>
    <row r="5239" spans="2:9" ht="15.75">
      <c r="C5239" s="956" t="s">
        <v>927</v>
      </c>
      <c r="D5239" s="957"/>
      <c r="E5239" s="958"/>
      <c r="F5239" s="1069"/>
      <c r="G5239" s="957"/>
      <c r="H5239" s="1032"/>
      <c r="I5239" s="959">
        <f>+I5228</f>
        <v>75</v>
      </c>
    </row>
    <row r="5240" spans="2:9" ht="15.75">
      <c r="C5240" s="956" t="s">
        <v>928</v>
      </c>
      <c r="D5240" s="957"/>
      <c r="E5240" s="958"/>
      <c r="F5240" s="1069"/>
      <c r="G5240" s="957"/>
      <c r="H5240" s="1032"/>
      <c r="I5240" s="959">
        <f>+I5232</f>
        <v>0</v>
      </c>
    </row>
    <row r="5241" spans="2:9" ht="15.75">
      <c r="C5241" s="956" t="s">
        <v>929</v>
      </c>
      <c r="D5241" s="957"/>
      <c r="E5241" s="958"/>
      <c r="F5241" s="1069"/>
      <c r="G5241" s="957"/>
      <c r="H5241" s="1032"/>
      <c r="I5241" s="959">
        <f>+I5236</f>
        <v>0</v>
      </c>
    </row>
    <row r="5242" spans="2:9" ht="15.75">
      <c r="C5242" s="949"/>
      <c r="D5242" s="946"/>
      <c r="E5242" s="947"/>
      <c r="F5242" s="1054"/>
      <c r="G5242" s="946"/>
      <c r="H5242" s="1031"/>
      <c r="I5242" s="948"/>
    </row>
    <row r="5243" spans="2:9" ht="15.75">
      <c r="C5243" s="951" t="s">
        <v>930</v>
      </c>
      <c r="D5243" s="960"/>
      <c r="E5243" s="975" t="str">
        <f>+E5218</f>
        <v>M2</v>
      </c>
      <c r="F5243" s="1070"/>
      <c r="G5243" s="960"/>
      <c r="H5243" s="1033"/>
      <c r="I5243" s="952">
        <f>SUM(I5238:I5241)</f>
        <v>168.48</v>
      </c>
    </row>
    <row r="5244" spans="2:9" ht="15.75">
      <c r="C5244" s="951"/>
      <c r="D5244" s="960"/>
      <c r="E5244" s="943"/>
      <c r="F5244" s="1070"/>
      <c r="G5244" s="960"/>
      <c r="H5244" s="1033"/>
      <c r="I5244" s="952"/>
    </row>
    <row r="5245" spans="2:9" ht="63">
      <c r="B5245" s="1026">
        <v>4.4000000000000004</v>
      </c>
      <c r="C5245" s="937" t="str">
        <f>+Presupuesto!B340</f>
        <v>Capitel decorativo sobre columna de D= 40 cms a base de mezcla cemento-arena 1:3, con un alambron de 1/4″ como refuerzo por temperatura, acabado pulido, incluye: material, mano de obra y herramienten columnas</v>
      </c>
      <c r="D5245" s="938"/>
      <c r="E5245" s="962" t="s">
        <v>1106</v>
      </c>
      <c r="F5245" s="1066"/>
      <c r="G5245" s="938"/>
      <c r="H5245" s="1029"/>
      <c r="I5245" s="940">
        <f>+I5268</f>
        <v>10000</v>
      </c>
    </row>
    <row r="5246" spans="2:9" ht="15.75">
      <c r="C5246" s="941" t="s">
        <v>908</v>
      </c>
      <c r="D5246" s="942" t="s">
        <v>9</v>
      </c>
      <c r="E5246" s="943" t="s">
        <v>10</v>
      </c>
      <c r="F5246" s="1067" t="s">
        <v>909</v>
      </c>
      <c r="G5246" s="942" t="s">
        <v>910</v>
      </c>
      <c r="H5246" s="1030" t="s">
        <v>911</v>
      </c>
      <c r="I5246" s="944" t="s">
        <v>912</v>
      </c>
    </row>
    <row r="5247" spans="2:9" ht="15.75">
      <c r="C5247" s="945" t="s">
        <v>913</v>
      </c>
      <c r="D5247" s="946"/>
      <c r="E5247" s="947"/>
      <c r="F5247" s="1054"/>
      <c r="G5247" s="946"/>
      <c r="H5247" s="1031"/>
      <c r="I5247" s="948"/>
    </row>
    <row r="5248" spans="2:9" ht="15.75">
      <c r="C5248" s="949" t="s">
        <v>1562</v>
      </c>
      <c r="D5248" s="946">
        <v>1</v>
      </c>
      <c r="E5248" s="947" t="str">
        <f>+VLOOKUP(C5248,'Basic (equilibrio) (2)'!B:D,2,FALSE)</f>
        <v>und</v>
      </c>
      <c r="F5248" s="1068">
        <f>'Basic (equilibrio) (2)'!$D$313</f>
        <v>10000</v>
      </c>
      <c r="G5248" s="946">
        <f>F5248-(F5248/1.18)</f>
        <v>1525.42</v>
      </c>
      <c r="H5248" s="1031"/>
      <c r="I5248" s="948">
        <f>D5248*F5248</f>
        <v>10000</v>
      </c>
    </row>
    <row r="5249" spans="3:9" ht="15.75">
      <c r="C5249" s="951" t="s">
        <v>918</v>
      </c>
      <c r="D5249" s="946"/>
      <c r="E5249" s="947"/>
      <c r="F5249" s="1068"/>
      <c r="G5249" s="946"/>
      <c r="H5249" s="1031"/>
      <c r="I5249" s="952">
        <f>SUM(I5248:I5248)</f>
        <v>10000</v>
      </c>
    </row>
    <row r="5250" spans="3:9" ht="15.75">
      <c r="C5250" s="949"/>
      <c r="D5250" s="946"/>
      <c r="E5250" s="947"/>
      <c r="F5250" s="1068"/>
      <c r="G5250" s="946"/>
      <c r="H5250" s="1031"/>
      <c r="I5250" s="948"/>
    </row>
    <row r="5251" spans="3:9" ht="15.75">
      <c r="C5251" s="945" t="s">
        <v>919</v>
      </c>
      <c r="D5251" s="946"/>
      <c r="E5251" s="947"/>
      <c r="F5251" s="1068"/>
      <c r="G5251" s="946"/>
      <c r="H5251" s="1031"/>
      <c r="I5251" s="948"/>
    </row>
    <row r="5252" spans="3:9" ht="15.75">
      <c r="C5252" s="949" t="s">
        <v>924</v>
      </c>
      <c r="D5252" s="953"/>
      <c r="E5252" s="954" t="str">
        <f>+VLOOKUP(C5252,'Basic (equilibrio) (2)'!B:D,2,FALSE)</f>
        <v>n/a</v>
      </c>
      <c r="F5252" s="1068">
        <f>+VLOOKUP(C5252,'Basic (equilibrio) (2)'!B:D,3,FALSE)</f>
        <v>0</v>
      </c>
      <c r="G5252" s="946">
        <v>0</v>
      </c>
      <c r="H5252" s="1031"/>
      <c r="I5252" s="948">
        <f>(D5252*F5252)</f>
        <v>0</v>
      </c>
    </row>
    <row r="5253" spans="3:9" ht="15.75">
      <c r="C5253" s="951" t="s">
        <v>918</v>
      </c>
      <c r="D5253" s="946"/>
      <c r="E5253" s="947"/>
      <c r="F5253" s="1054"/>
      <c r="G5253" s="946"/>
      <c r="H5253" s="1031"/>
      <c r="I5253" s="952">
        <f>SUM(I5252:I5252)</f>
        <v>0</v>
      </c>
    </row>
    <row r="5254" spans="3:9" ht="15.75">
      <c r="C5254" s="949"/>
      <c r="D5254" s="946"/>
      <c r="E5254" s="947"/>
      <c r="F5254" s="1054"/>
      <c r="G5254" s="946"/>
      <c r="H5254" s="1031"/>
      <c r="I5254" s="948"/>
    </row>
    <row r="5255" spans="3:9" ht="15.75">
      <c r="C5255" s="945" t="s">
        <v>923</v>
      </c>
      <c r="D5255" s="946"/>
      <c r="E5255" s="947"/>
      <c r="F5255" s="1054"/>
      <c r="G5255" s="946"/>
      <c r="H5255" s="1031"/>
      <c r="I5255" s="948"/>
    </row>
    <row r="5256" spans="3:9" ht="15.75">
      <c r="C5256" s="949" t="s">
        <v>924</v>
      </c>
      <c r="D5256" s="946"/>
      <c r="E5256" s="947" t="str">
        <f>+VLOOKUP(C5256,'Basic (equilibrio) (2)'!B:D,2,FALSE)</f>
        <v>n/a</v>
      </c>
      <c r="F5256" s="1054">
        <f>+VLOOKUP(C5256,'Basic (equilibrio) (2)'!B:D,3,FALSE)</f>
        <v>0</v>
      </c>
      <c r="G5256" s="946">
        <f>F5256-(F5256/1.18)</f>
        <v>0</v>
      </c>
      <c r="H5256" s="1039"/>
      <c r="I5256" s="955">
        <f>D5256*F5256</f>
        <v>0</v>
      </c>
    </row>
    <row r="5257" spans="3:9" ht="15.75">
      <c r="C5257" s="951" t="s">
        <v>918</v>
      </c>
      <c r="D5257" s="946"/>
      <c r="E5257" s="947"/>
      <c r="F5257" s="1054"/>
      <c r="G5257" s="946"/>
      <c r="H5257" s="1031"/>
      <c r="I5257" s="952">
        <f>SUM(I5256:I5256)</f>
        <v>0</v>
      </c>
    </row>
    <row r="5258" spans="3:9" ht="15.75">
      <c r="C5258" s="949"/>
      <c r="D5258" s="946"/>
      <c r="E5258" s="947"/>
      <c r="F5258" s="1054"/>
      <c r="G5258" s="946"/>
      <c r="H5258" s="1031"/>
      <c r="I5258" s="948"/>
    </row>
    <row r="5259" spans="3:9" ht="15.75">
      <c r="C5259" s="945" t="s">
        <v>925</v>
      </c>
      <c r="D5259" s="946"/>
      <c r="E5259" s="947"/>
      <c r="F5259" s="1054"/>
      <c r="G5259" s="946"/>
      <c r="H5259" s="1031"/>
      <c r="I5259" s="948"/>
    </row>
    <row r="5260" spans="3:9" ht="15.75">
      <c r="C5260" s="949" t="s">
        <v>924</v>
      </c>
      <c r="D5260" s="946"/>
      <c r="E5260" s="947" t="str">
        <f>+VLOOKUP(C5260,'Basic (equilibrio) (2)'!B:D,2,FALSE)</f>
        <v>n/a</v>
      </c>
      <c r="F5260" s="1054">
        <f>+VLOOKUP(C5260,'Basic (equilibrio) (2)'!B:D,3,FALSE)</f>
        <v>0</v>
      </c>
      <c r="G5260" s="946"/>
      <c r="H5260" s="1031"/>
      <c r="I5260" s="948">
        <f>D5260*F5260</f>
        <v>0</v>
      </c>
    </row>
    <row r="5261" spans="3:9" ht="15.75">
      <c r="C5261" s="951" t="s">
        <v>918</v>
      </c>
      <c r="D5261" s="946"/>
      <c r="E5261" s="947"/>
      <c r="F5261" s="1054"/>
      <c r="G5261" s="946"/>
      <c r="H5261" s="1031"/>
      <c r="I5261" s="952">
        <f>SUM(I5260)</f>
        <v>0</v>
      </c>
    </row>
    <row r="5262" spans="3:9" ht="15.75">
      <c r="C5262" s="951"/>
      <c r="D5262" s="946"/>
      <c r="E5262" s="947"/>
      <c r="F5262" s="1054"/>
      <c r="G5262" s="946"/>
      <c r="H5262" s="1031"/>
      <c r="I5262" s="952"/>
    </row>
    <row r="5263" spans="3:9" ht="15.75">
      <c r="C5263" s="956" t="s">
        <v>926</v>
      </c>
      <c r="D5263" s="957"/>
      <c r="E5263" s="958"/>
      <c r="F5263" s="1069"/>
      <c r="G5263" s="957"/>
      <c r="H5263" s="1032"/>
      <c r="I5263" s="959">
        <f>+I5249</f>
        <v>10000</v>
      </c>
    </row>
    <row r="5264" spans="3:9" ht="15.75">
      <c r="C5264" s="956" t="s">
        <v>927</v>
      </c>
      <c r="D5264" s="957"/>
      <c r="E5264" s="958"/>
      <c r="F5264" s="1069"/>
      <c r="G5264" s="957"/>
      <c r="H5264" s="1032"/>
      <c r="I5264" s="959">
        <f>+I5253</f>
        <v>0</v>
      </c>
    </row>
    <row r="5265" spans="2:9" ht="15.75">
      <c r="C5265" s="956" t="s">
        <v>928</v>
      </c>
      <c r="D5265" s="957"/>
      <c r="E5265" s="958"/>
      <c r="F5265" s="1069"/>
      <c r="G5265" s="957"/>
      <c r="H5265" s="1032"/>
      <c r="I5265" s="959">
        <f>+I5257</f>
        <v>0</v>
      </c>
    </row>
    <row r="5266" spans="2:9" ht="15.75">
      <c r="C5266" s="956" t="s">
        <v>929</v>
      </c>
      <c r="D5266" s="957"/>
      <c r="E5266" s="958"/>
      <c r="F5266" s="1069"/>
      <c r="G5266" s="957"/>
      <c r="H5266" s="1032"/>
      <c r="I5266" s="959">
        <f>+I5261</f>
        <v>0</v>
      </c>
    </row>
    <row r="5267" spans="2:9" ht="15.75">
      <c r="C5267" s="949"/>
      <c r="D5267" s="946"/>
      <c r="E5267" s="947"/>
      <c r="F5267" s="1054"/>
      <c r="G5267" s="946"/>
      <c r="H5267" s="1031"/>
      <c r="I5267" s="948"/>
    </row>
    <row r="5268" spans="2:9" ht="15.75">
      <c r="C5268" s="951" t="s">
        <v>930</v>
      </c>
      <c r="D5268" s="960"/>
      <c r="E5268" s="975" t="str">
        <f>+E5245</f>
        <v>und</v>
      </c>
      <c r="F5268" s="1070"/>
      <c r="G5268" s="960"/>
      <c r="H5268" s="1033"/>
      <c r="I5268" s="952">
        <f>SUM(I5263:I5266)</f>
        <v>10000</v>
      </c>
    </row>
    <row r="5269" spans="2:9" ht="15.75">
      <c r="C5269" s="951"/>
      <c r="D5269" s="960"/>
      <c r="E5269" s="943"/>
      <c r="F5269" s="1070"/>
      <c r="G5269" s="960"/>
      <c r="H5269" s="1033"/>
      <c r="I5269" s="952"/>
    </row>
    <row r="5270" spans="2:9" ht="15.75">
      <c r="C5270" s="951"/>
      <c r="D5270" s="960"/>
      <c r="E5270" s="943"/>
      <c r="F5270" s="1070"/>
      <c r="G5270" s="960"/>
      <c r="H5270" s="1033"/>
      <c r="I5270" s="952"/>
    </row>
    <row r="5271" spans="2:9" ht="47.25">
      <c r="B5271" s="1026">
        <v>4.5</v>
      </c>
      <c r="C5271" s="937" t="str">
        <f>+Presupuesto!B341</f>
        <v xml:space="preserve">Basamento decorativo sobre columna de D= 40 cms a base de mezcla cemento-arena 1:3, con un alambron de 1/4″ como refuerzo por temperatura, acabado pulido, incluye: </v>
      </c>
      <c r="D5271" s="938"/>
      <c r="E5271" s="962" t="s">
        <v>1106</v>
      </c>
      <c r="F5271" s="1066"/>
      <c r="G5271" s="938"/>
      <c r="H5271" s="1029"/>
      <c r="I5271" s="940">
        <f>+I5294</f>
        <v>13500</v>
      </c>
    </row>
    <row r="5272" spans="2:9" ht="15.75">
      <c r="C5272" s="941" t="s">
        <v>908</v>
      </c>
      <c r="D5272" s="942" t="s">
        <v>9</v>
      </c>
      <c r="E5272" s="943" t="s">
        <v>10</v>
      </c>
      <c r="F5272" s="1067" t="s">
        <v>909</v>
      </c>
      <c r="G5272" s="942" t="s">
        <v>910</v>
      </c>
      <c r="H5272" s="1030" t="s">
        <v>911</v>
      </c>
      <c r="I5272" s="944" t="s">
        <v>912</v>
      </c>
    </row>
    <row r="5273" spans="2:9" ht="15.75">
      <c r="C5273" s="945" t="s">
        <v>913</v>
      </c>
      <c r="D5273" s="946"/>
      <c r="E5273" s="947"/>
      <c r="F5273" s="1054"/>
      <c r="G5273" s="946"/>
      <c r="H5273" s="1031"/>
      <c r="I5273" s="948"/>
    </row>
    <row r="5274" spans="2:9" ht="15.75">
      <c r="C5274" s="949" t="str">
        <f>+'Basic (equilibrio) (2)'!B314</f>
        <v xml:space="preserve">Basamento Decorativo </v>
      </c>
      <c r="D5274" s="946">
        <v>1</v>
      </c>
      <c r="E5274" s="947" t="str">
        <f>+VLOOKUP(C5274,'Basic (equilibrio) (2)'!B:D,2,FALSE)</f>
        <v>und</v>
      </c>
      <c r="F5274" s="1068">
        <f>'Basic (equilibrio) (2)'!$D$314</f>
        <v>13500</v>
      </c>
      <c r="G5274" s="946">
        <f>F5274-(F5274/1.18)</f>
        <v>2059.3200000000002</v>
      </c>
      <c r="H5274" s="1031"/>
      <c r="I5274" s="948">
        <f>D5274*F5274</f>
        <v>13500</v>
      </c>
    </row>
    <row r="5275" spans="2:9" ht="15.75">
      <c r="C5275" s="951" t="s">
        <v>918</v>
      </c>
      <c r="D5275" s="946"/>
      <c r="E5275" s="947"/>
      <c r="F5275" s="1068"/>
      <c r="G5275" s="946"/>
      <c r="H5275" s="1031"/>
      <c r="I5275" s="952">
        <f>SUM(I5274:I5274)</f>
        <v>13500</v>
      </c>
    </row>
    <row r="5276" spans="2:9" ht="15.75">
      <c r="C5276" s="949"/>
      <c r="D5276" s="946"/>
      <c r="E5276" s="947"/>
      <c r="F5276" s="1068"/>
      <c r="G5276" s="946"/>
      <c r="H5276" s="1031"/>
      <c r="I5276" s="948"/>
    </row>
    <row r="5277" spans="2:9" ht="15.75">
      <c r="C5277" s="945" t="s">
        <v>919</v>
      </c>
      <c r="D5277" s="946"/>
      <c r="E5277" s="947"/>
      <c r="F5277" s="1068"/>
      <c r="G5277" s="946"/>
      <c r="H5277" s="1031"/>
      <c r="I5277" s="948"/>
    </row>
    <row r="5278" spans="2:9" ht="15.75">
      <c r="C5278" s="949" t="s">
        <v>924</v>
      </c>
      <c r="D5278" s="953"/>
      <c r="E5278" s="954" t="str">
        <f>+VLOOKUP(C5278,'Basic (equilibrio) (2)'!B:D,2,FALSE)</f>
        <v>n/a</v>
      </c>
      <c r="F5278" s="1068">
        <f>+VLOOKUP(C5278,'Basic (equilibrio) (2)'!B:D,3,FALSE)</f>
        <v>0</v>
      </c>
      <c r="G5278" s="946">
        <v>0</v>
      </c>
      <c r="H5278" s="1031"/>
      <c r="I5278" s="948">
        <f>(D5278*F5278)</f>
        <v>0</v>
      </c>
    </row>
    <row r="5279" spans="2:9" ht="15.75">
      <c r="C5279" s="951" t="s">
        <v>918</v>
      </c>
      <c r="D5279" s="946"/>
      <c r="E5279" s="947"/>
      <c r="F5279" s="1054"/>
      <c r="G5279" s="946"/>
      <c r="H5279" s="1031"/>
      <c r="I5279" s="952">
        <f>SUM(I5278:I5278)</f>
        <v>0</v>
      </c>
    </row>
    <row r="5280" spans="2:9" ht="15.75">
      <c r="C5280" s="949"/>
      <c r="D5280" s="946"/>
      <c r="E5280" s="947"/>
      <c r="F5280" s="1054"/>
      <c r="G5280" s="946"/>
      <c r="H5280" s="1031"/>
      <c r="I5280" s="948"/>
    </row>
    <row r="5281" spans="2:9" ht="15.75">
      <c r="C5281" s="945" t="s">
        <v>923</v>
      </c>
      <c r="D5281" s="946"/>
      <c r="E5281" s="947"/>
      <c r="F5281" s="1054"/>
      <c r="G5281" s="946"/>
      <c r="H5281" s="1031"/>
      <c r="I5281" s="948"/>
    </row>
    <row r="5282" spans="2:9" ht="15.75">
      <c r="C5282" s="949" t="s">
        <v>924</v>
      </c>
      <c r="D5282" s="946"/>
      <c r="E5282" s="947" t="str">
        <f>+VLOOKUP(C5282,'Basic (equilibrio) (2)'!B:D,2,FALSE)</f>
        <v>n/a</v>
      </c>
      <c r="F5282" s="1054">
        <f>+VLOOKUP(C5282,'Basic (equilibrio) (2)'!B:D,3,FALSE)</f>
        <v>0</v>
      </c>
      <c r="G5282" s="946">
        <f>F5282-(F5282/1.18)</f>
        <v>0</v>
      </c>
      <c r="H5282" s="1039"/>
      <c r="I5282" s="955">
        <f>D5282*F5282</f>
        <v>0</v>
      </c>
    </row>
    <row r="5283" spans="2:9" ht="15.75">
      <c r="C5283" s="951" t="s">
        <v>918</v>
      </c>
      <c r="D5283" s="946"/>
      <c r="E5283" s="947"/>
      <c r="F5283" s="1054"/>
      <c r="G5283" s="946"/>
      <c r="H5283" s="1031"/>
      <c r="I5283" s="952">
        <f>SUM(I5282:I5282)</f>
        <v>0</v>
      </c>
    </row>
    <row r="5284" spans="2:9" ht="15.75">
      <c r="C5284" s="949"/>
      <c r="D5284" s="946"/>
      <c r="E5284" s="947"/>
      <c r="F5284" s="1054"/>
      <c r="G5284" s="946"/>
      <c r="H5284" s="1031"/>
      <c r="I5284" s="948"/>
    </row>
    <row r="5285" spans="2:9" ht="15.75">
      <c r="C5285" s="945" t="s">
        <v>925</v>
      </c>
      <c r="D5285" s="946"/>
      <c r="E5285" s="947"/>
      <c r="F5285" s="1054"/>
      <c r="G5285" s="946"/>
      <c r="H5285" s="1031"/>
      <c r="I5285" s="948"/>
    </row>
    <row r="5286" spans="2:9" ht="15.75">
      <c r="C5286" s="949" t="s">
        <v>924</v>
      </c>
      <c r="D5286" s="946"/>
      <c r="E5286" s="947" t="str">
        <f>+VLOOKUP(C5286,'Basic (equilibrio) (2)'!B:D,2,FALSE)</f>
        <v>n/a</v>
      </c>
      <c r="F5286" s="1054">
        <f>+VLOOKUP(C5286,'Basic (equilibrio) (2)'!B:D,3,FALSE)</f>
        <v>0</v>
      </c>
      <c r="G5286" s="946"/>
      <c r="H5286" s="1031"/>
      <c r="I5286" s="948">
        <f>D5286*F5286</f>
        <v>0</v>
      </c>
    </row>
    <row r="5287" spans="2:9" ht="15.75">
      <c r="C5287" s="951" t="s">
        <v>918</v>
      </c>
      <c r="D5287" s="946"/>
      <c r="E5287" s="947"/>
      <c r="F5287" s="1054"/>
      <c r="G5287" s="946"/>
      <c r="H5287" s="1031"/>
      <c r="I5287" s="952">
        <f>SUM(I5286)</f>
        <v>0</v>
      </c>
    </row>
    <row r="5288" spans="2:9" ht="15.75">
      <c r="C5288" s="951"/>
      <c r="D5288" s="946"/>
      <c r="E5288" s="947"/>
      <c r="F5288" s="1054"/>
      <c r="G5288" s="946"/>
      <c r="H5288" s="1031"/>
      <c r="I5288" s="952"/>
    </row>
    <row r="5289" spans="2:9" ht="15.75">
      <c r="C5289" s="956" t="s">
        <v>926</v>
      </c>
      <c r="D5289" s="957"/>
      <c r="E5289" s="958"/>
      <c r="F5289" s="1069"/>
      <c r="G5289" s="957"/>
      <c r="H5289" s="1032"/>
      <c r="I5289" s="959">
        <f>+I5275</f>
        <v>13500</v>
      </c>
    </row>
    <row r="5290" spans="2:9" ht="15.75">
      <c r="C5290" s="956" t="s">
        <v>927</v>
      </c>
      <c r="D5290" s="957"/>
      <c r="E5290" s="958"/>
      <c r="F5290" s="1069"/>
      <c r="G5290" s="957"/>
      <c r="H5290" s="1032"/>
      <c r="I5290" s="959">
        <f>+I5279</f>
        <v>0</v>
      </c>
    </row>
    <row r="5291" spans="2:9" ht="15.75">
      <c r="C5291" s="956" t="s">
        <v>928</v>
      </c>
      <c r="D5291" s="957"/>
      <c r="E5291" s="958"/>
      <c r="F5291" s="1069"/>
      <c r="G5291" s="957"/>
      <c r="H5291" s="1032"/>
      <c r="I5291" s="959">
        <f>+I5283</f>
        <v>0</v>
      </c>
    </row>
    <row r="5292" spans="2:9" ht="15.75">
      <c r="C5292" s="956" t="s">
        <v>929</v>
      </c>
      <c r="D5292" s="957"/>
      <c r="E5292" s="958"/>
      <c r="F5292" s="1069"/>
      <c r="G5292" s="957"/>
      <c r="H5292" s="1032"/>
      <c r="I5292" s="959">
        <f>+I5287</f>
        <v>0</v>
      </c>
    </row>
    <row r="5293" spans="2:9" ht="15.75">
      <c r="C5293" s="949"/>
      <c r="D5293" s="946"/>
      <c r="E5293" s="947"/>
      <c r="F5293" s="1054"/>
      <c r="G5293" s="946"/>
      <c r="H5293" s="1031"/>
      <c r="I5293" s="948"/>
    </row>
    <row r="5294" spans="2:9" ht="15.75">
      <c r="C5294" s="951" t="s">
        <v>930</v>
      </c>
      <c r="D5294" s="960"/>
      <c r="E5294" s="975" t="str">
        <f>+E5271</f>
        <v>und</v>
      </c>
      <c r="F5294" s="1070"/>
      <c r="G5294" s="960"/>
      <c r="H5294" s="1033"/>
      <c r="I5294" s="952">
        <f>SUM(I5289:I5292)</f>
        <v>13500</v>
      </c>
    </row>
    <row r="5295" spans="2:9" ht="15.75">
      <c r="C5295" s="951"/>
      <c r="D5295" s="960"/>
      <c r="E5295" s="943"/>
      <c r="F5295" s="1070"/>
      <c r="G5295" s="960"/>
      <c r="H5295" s="1033"/>
      <c r="I5295" s="952"/>
    </row>
    <row r="5296" spans="2:9" ht="15.75">
      <c r="B5296" s="1026">
        <v>4.5999999999999996</v>
      </c>
      <c r="C5296" s="937" t="str">
        <f>+Presupuesto!B342</f>
        <v>Cantos</v>
      </c>
      <c r="D5296" s="938"/>
      <c r="E5296" s="962" t="s">
        <v>15</v>
      </c>
      <c r="F5296" s="1066"/>
      <c r="G5296" s="938"/>
      <c r="H5296" s="1029"/>
      <c r="I5296" s="940">
        <f>I5320</f>
        <v>158.5</v>
      </c>
    </row>
    <row r="5297" spans="3:9" ht="15.75">
      <c r="C5297" s="941" t="s">
        <v>908</v>
      </c>
      <c r="D5297" s="942" t="s">
        <v>9</v>
      </c>
      <c r="E5297" s="943" t="s">
        <v>10</v>
      </c>
      <c r="F5297" s="1067" t="s">
        <v>909</v>
      </c>
      <c r="G5297" s="942" t="s">
        <v>910</v>
      </c>
      <c r="H5297" s="1030" t="s">
        <v>911</v>
      </c>
      <c r="I5297" s="944" t="s">
        <v>912</v>
      </c>
    </row>
    <row r="5298" spans="3:9" ht="15.75">
      <c r="C5298" s="945" t="s">
        <v>913</v>
      </c>
      <c r="D5298" s="946"/>
      <c r="E5298" s="947"/>
      <c r="F5298" s="1054"/>
      <c r="G5298" s="946"/>
      <c r="H5298" s="1031"/>
      <c r="I5298" s="948"/>
    </row>
    <row r="5299" spans="3:9" ht="15.75">
      <c r="C5299" s="949" t="s">
        <v>958</v>
      </c>
      <c r="D5299" s="946">
        <v>0.01</v>
      </c>
      <c r="E5299" s="947" t="str">
        <f>+VLOOKUP(C5299,'Basic (equilibrio) (2)'!B:D,2,FALSE)</f>
        <v>m3</v>
      </c>
      <c r="F5299" s="1068">
        <f>'Basic (equilibrio) (2)'!$D$309</f>
        <v>6820</v>
      </c>
      <c r="G5299" s="946">
        <f>F5299-(F5299/1.18)</f>
        <v>1040.3399999999999</v>
      </c>
      <c r="H5299" s="1031"/>
      <c r="I5299" s="948">
        <f>D5299*F5299</f>
        <v>68.2</v>
      </c>
    </row>
    <row r="5300" spans="3:9" ht="15.75">
      <c r="C5300" s="949" t="s">
        <v>1206</v>
      </c>
      <c r="D5300" s="946">
        <v>0.11</v>
      </c>
      <c r="E5300" s="947" t="str">
        <f>+VLOOKUP(C5300,'Basic (equilibrio) (2)'!B:D,2,FALSE)</f>
        <v>pt</v>
      </c>
      <c r="F5300" s="1068">
        <f>'Basic (equilibrio) (2)'!$D$310</f>
        <v>230</v>
      </c>
      <c r="G5300" s="946">
        <f>F5300-(F5300/1.18)</f>
        <v>35.08</v>
      </c>
      <c r="H5300" s="1031"/>
      <c r="I5300" s="948">
        <f>D5300*F5300</f>
        <v>25.3</v>
      </c>
    </row>
    <row r="5301" spans="3:9" ht="15.75">
      <c r="C5301" s="951" t="s">
        <v>918</v>
      </c>
      <c r="D5301" s="946"/>
      <c r="E5301" s="947"/>
      <c r="F5301" s="1068"/>
      <c r="G5301" s="946"/>
      <c r="H5301" s="1031"/>
      <c r="I5301" s="952">
        <f>SUM(I5299:I5300)</f>
        <v>93.5</v>
      </c>
    </row>
    <row r="5302" spans="3:9" ht="15.75">
      <c r="C5302" s="949"/>
      <c r="D5302" s="946"/>
      <c r="E5302" s="947"/>
      <c r="F5302" s="1068"/>
      <c r="G5302" s="946"/>
      <c r="H5302" s="1031"/>
      <c r="I5302" s="948"/>
    </row>
    <row r="5303" spans="3:9" ht="15.75">
      <c r="C5303" s="945" t="s">
        <v>919</v>
      </c>
      <c r="D5303" s="946"/>
      <c r="E5303" s="947"/>
      <c r="F5303" s="1068"/>
      <c r="G5303" s="946"/>
      <c r="H5303" s="1031"/>
      <c r="I5303" s="948"/>
    </row>
    <row r="5304" spans="3:9" ht="15.75">
      <c r="C5304" s="949" t="s">
        <v>1081</v>
      </c>
      <c r="D5304" s="953">
        <v>1</v>
      </c>
      <c r="E5304" s="954" t="str">
        <f>+VLOOKUP(C5304,'Basic (equilibrio) (2)'!B:D,2,FALSE)</f>
        <v>ml</v>
      </c>
      <c r="F5304" s="1068">
        <f>'Basic (equilibrio) (2)'!$D$33</f>
        <v>65</v>
      </c>
      <c r="G5304" s="946">
        <v>0</v>
      </c>
      <c r="H5304" s="1031"/>
      <c r="I5304" s="948">
        <f>(D5304*F5304)</f>
        <v>65</v>
      </c>
    </row>
    <row r="5305" spans="3:9" ht="15.75">
      <c r="C5305" s="951" t="s">
        <v>918</v>
      </c>
      <c r="D5305" s="946"/>
      <c r="E5305" s="947"/>
      <c r="F5305" s="1054"/>
      <c r="G5305" s="946"/>
      <c r="H5305" s="1031"/>
      <c r="I5305" s="952">
        <f>SUM(I5304:I5304)</f>
        <v>65</v>
      </c>
    </row>
    <row r="5306" spans="3:9" ht="15.75">
      <c r="C5306" s="949"/>
      <c r="D5306" s="946"/>
      <c r="E5306" s="947"/>
      <c r="F5306" s="1054"/>
      <c r="G5306" s="946"/>
      <c r="H5306" s="1031"/>
      <c r="I5306" s="948"/>
    </row>
    <row r="5307" spans="3:9" ht="15.75">
      <c r="C5307" s="945" t="s">
        <v>923</v>
      </c>
      <c r="D5307" s="946"/>
      <c r="E5307" s="947"/>
      <c r="F5307" s="1054"/>
      <c r="G5307" s="946"/>
      <c r="H5307" s="1031"/>
      <c r="I5307" s="948"/>
    </row>
    <row r="5308" spans="3:9" ht="15.75">
      <c r="C5308" s="949" t="s">
        <v>924</v>
      </c>
      <c r="D5308" s="946"/>
      <c r="E5308" s="947" t="str">
        <f>+VLOOKUP(C5308,'Basic (equilibrio) (2)'!B:D,2,FALSE)</f>
        <v>n/a</v>
      </c>
      <c r="F5308" s="1054">
        <f>+VLOOKUP(C5308,'Basic (equilibrio) (2)'!B:D,3,FALSE)</f>
        <v>0</v>
      </c>
      <c r="G5308" s="946">
        <f>F5308-(F5308/1.18)</f>
        <v>0</v>
      </c>
      <c r="H5308" s="1039"/>
      <c r="I5308" s="955">
        <f>D5308*F5308</f>
        <v>0</v>
      </c>
    </row>
    <row r="5309" spans="3:9" ht="15.75">
      <c r="C5309" s="951" t="s">
        <v>918</v>
      </c>
      <c r="D5309" s="946"/>
      <c r="E5309" s="947"/>
      <c r="F5309" s="1054"/>
      <c r="G5309" s="946"/>
      <c r="H5309" s="1031"/>
      <c r="I5309" s="952">
        <f>SUM(I5308:I5308)</f>
        <v>0</v>
      </c>
    </row>
    <row r="5310" spans="3:9" ht="15.75">
      <c r="C5310" s="949"/>
      <c r="D5310" s="946"/>
      <c r="E5310" s="947"/>
      <c r="F5310" s="1054"/>
      <c r="G5310" s="946"/>
      <c r="H5310" s="1031"/>
      <c r="I5310" s="948"/>
    </row>
    <row r="5311" spans="3:9" ht="15.75">
      <c r="C5311" s="945" t="s">
        <v>925</v>
      </c>
      <c r="D5311" s="946"/>
      <c r="E5311" s="947"/>
      <c r="F5311" s="1054"/>
      <c r="G5311" s="946"/>
      <c r="H5311" s="1031"/>
      <c r="I5311" s="948"/>
    </row>
    <row r="5312" spans="3:9" ht="15.75">
      <c r="C5312" s="949" t="s">
        <v>924</v>
      </c>
      <c r="D5312" s="946"/>
      <c r="E5312" s="947" t="str">
        <f>+VLOOKUP(C5312,'Basic (equilibrio) (2)'!B:D,2,FALSE)</f>
        <v>n/a</v>
      </c>
      <c r="F5312" s="1054">
        <f>+VLOOKUP(C5312,'Basic (equilibrio) (2)'!B:D,3,FALSE)</f>
        <v>0</v>
      </c>
      <c r="G5312" s="946"/>
      <c r="H5312" s="1031"/>
      <c r="I5312" s="948">
        <f>D5312*F5312</f>
        <v>0</v>
      </c>
    </row>
    <row r="5313" spans="2:9" ht="15.75">
      <c r="C5313" s="951" t="s">
        <v>918</v>
      </c>
      <c r="D5313" s="946"/>
      <c r="E5313" s="947"/>
      <c r="F5313" s="1054"/>
      <c r="G5313" s="946"/>
      <c r="H5313" s="1031"/>
      <c r="I5313" s="952">
        <f>SUM(I5312)</f>
        <v>0</v>
      </c>
    </row>
    <row r="5314" spans="2:9" ht="15.75">
      <c r="C5314" s="951"/>
      <c r="D5314" s="946"/>
      <c r="E5314" s="947"/>
      <c r="F5314" s="1054"/>
      <c r="G5314" s="946"/>
      <c r="H5314" s="1031"/>
      <c r="I5314" s="952"/>
    </row>
    <row r="5315" spans="2:9" ht="15.75">
      <c r="C5315" s="956" t="s">
        <v>926</v>
      </c>
      <c r="D5315" s="957"/>
      <c r="E5315" s="958"/>
      <c r="F5315" s="1069"/>
      <c r="G5315" s="957"/>
      <c r="H5315" s="1032"/>
      <c r="I5315" s="959">
        <f>+I5301</f>
        <v>93.5</v>
      </c>
    </row>
    <row r="5316" spans="2:9" ht="15.75">
      <c r="C5316" s="956" t="s">
        <v>927</v>
      </c>
      <c r="D5316" s="957"/>
      <c r="E5316" s="958"/>
      <c r="F5316" s="1069"/>
      <c r="G5316" s="957"/>
      <c r="H5316" s="1032"/>
      <c r="I5316" s="959">
        <f>+I5305</f>
        <v>65</v>
      </c>
    </row>
    <row r="5317" spans="2:9" ht="15.75">
      <c r="C5317" s="956" t="s">
        <v>928</v>
      </c>
      <c r="D5317" s="957"/>
      <c r="E5317" s="958"/>
      <c r="F5317" s="1069"/>
      <c r="G5317" s="957"/>
      <c r="H5317" s="1032"/>
      <c r="I5317" s="959">
        <f>+I5309</f>
        <v>0</v>
      </c>
    </row>
    <row r="5318" spans="2:9" ht="15.75">
      <c r="C5318" s="956" t="s">
        <v>929</v>
      </c>
      <c r="D5318" s="957"/>
      <c r="E5318" s="958"/>
      <c r="F5318" s="1069"/>
      <c r="G5318" s="957"/>
      <c r="H5318" s="1032"/>
      <c r="I5318" s="959">
        <f>+I5313</f>
        <v>0</v>
      </c>
    </row>
    <row r="5319" spans="2:9" ht="15.75">
      <c r="C5319" s="949"/>
      <c r="D5319" s="946"/>
      <c r="E5319" s="947"/>
      <c r="F5319" s="1054"/>
      <c r="G5319" s="946"/>
      <c r="H5319" s="1031"/>
      <c r="I5319" s="948"/>
    </row>
    <row r="5320" spans="2:9" ht="15.75">
      <c r="C5320" s="951" t="s">
        <v>930</v>
      </c>
      <c r="D5320" s="960"/>
      <c r="E5320" s="943" t="str">
        <f>+E5296</f>
        <v>M</v>
      </c>
      <c r="F5320" s="1070"/>
      <c r="G5320" s="960"/>
      <c r="H5320" s="1033"/>
      <c r="I5320" s="952">
        <f>SUM(I5315:I5318)</f>
        <v>158.5</v>
      </c>
    </row>
    <row r="5321" spans="2:9" ht="15.75">
      <c r="C5321" s="951"/>
      <c r="D5321" s="960"/>
      <c r="E5321" s="943"/>
      <c r="F5321" s="1070"/>
      <c r="G5321" s="960"/>
      <c r="H5321" s="1033"/>
      <c r="I5321" s="952"/>
    </row>
    <row r="5322" spans="2:9" ht="15.75">
      <c r="C5322" s="951"/>
      <c r="D5322" s="960"/>
      <c r="E5322" s="943"/>
      <c r="F5322" s="1070"/>
      <c r="G5322" s="960"/>
      <c r="H5322" s="1033"/>
      <c r="I5322" s="952"/>
    </row>
    <row r="5323" spans="2:9" ht="15.75">
      <c r="B5323" s="1026">
        <v>4.7</v>
      </c>
      <c r="C5323" s="937" t="str">
        <f>+Presupuesto!B343</f>
        <v>Gotero</v>
      </c>
      <c r="D5323" s="938"/>
      <c r="E5323" s="962" t="s">
        <v>15</v>
      </c>
      <c r="F5323" s="1066"/>
      <c r="G5323" s="938"/>
      <c r="H5323" s="1029"/>
      <c r="I5323" s="940">
        <f>I5347</f>
        <v>158.5</v>
      </c>
    </row>
    <row r="5324" spans="2:9" ht="15.75">
      <c r="C5324" s="941" t="s">
        <v>908</v>
      </c>
      <c r="D5324" s="942" t="s">
        <v>9</v>
      </c>
      <c r="E5324" s="943" t="s">
        <v>10</v>
      </c>
      <c r="F5324" s="1067" t="s">
        <v>909</v>
      </c>
      <c r="G5324" s="942" t="s">
        <v>910</v>
      </c>
      <c r="H5324" s="1030" t="s">
        <v>911</v>
      </c>
      <c r="I5324" s="944" t="s">
        <v>912</v>
      </c>
    </row>
    <row r="5325" spans="2:9" ht="15.75">
      <c r="C5325" s="945" t="s">
        <v>913</v>
      </c>
      <c r="D5325" s="946"/>
      <c r="E5325" s="947"/>
      <c r="F5325" s="1054"/>
      <c r="G5325" s="946"/>
      <c r="H5325" s="1031"/>
      <c r="I5325" s="948"/>
    </row>
    <row r="5326" spans="2:9" ht="15.75">
      <c r="C5326" s="949" t="s">
        <v>958</v>
      </c>
      <c r="D5326" s="946">
        <v>0.01</v>
      </c>
      <c r="E5326" s="947" t="str">
        <f>+VLOOKUP(C5326,'Basic (equilibrio) (2)'!B:D,2,FALSE)</f>
        <v>m3</v>
      </c>
      <c r="F5326" s="1068">
        <f>'Basic (equilibrio) (2)'!$D$309</f>
        <v>6820</v>
      </c>
      <c r="G5326" s="946">
        <f>F5326-(F5326/1.18)</f>
        <v>1040.3399999999999</v>
      </c>
      <c r="H5326" s="1031"/>
      <c r="I5326" s="948">
        <f>D5326*F5326</f>
        <v>68.2</v>
      </c>
    </row>
    <row r="5327" spans="2:9" ht="15.75">
      <c r="C5327" s="949" t="s">
        <v>1206</v>
      </c>
      <c r="D5327" s="946">
        <v>0.11</v>
      </c>
      <c r="E5327" s="947" t="str">
        <f>+VLOOKUP(C5327,'Basic (equilibrio) (2)'!B:D,2,FALSE)</f>
        <v>pt</v>
      </c>
      <c r="F5327" s="1068">
        <f>'Basic (equilibrio) (2)'!$D$310</f>
        <v>230</v>
      </c>
      <c r="G5327" s="946">
        <f>F5327-(F5327/1.18)</f>
        <v>35.08</v>
      </c>
      <c r="H5327" s="1031"/>
      <c r="I5327" s="948">
        <f>D5327*F5327</f>
        <v>25.3</v>
      </c>
    </row>
    <row r="5328" spans="2:9" ht="15.75">
      <c r="C5328" s="951" t="s">
        <v>918</v>
      </c>
      <c r="D5328" s="946"/>
      <c r="E5328" s="947"/>
      <c r="F5328" s="1068"/>
      <c r="G5328" s="946"/>
      <c r="H5328" s="1031"/>
      <c r="I5328" s="952">
        <f>SUM(I5326:I5327)</f>
        <v>93.5</v>
      </c>
    </row>
    <row r="5329" spans="3:9" ht="15.75">
      <c r="C5329" s="949"/>
      <c r="D5329" s="946"/>
      <c r="E5329" s="947"/>
      <c r="F5329" s="1068"/>
      <c r="G5329" s="946"/>
      <c r="H5329" s="1031"/>
      <c r="I5329" s="948"/>
    </row>
    <row r="5330" spans="3:9" ht="15.75">
      <c r="C5330" s="945" t="s">
        <v>919</v>
      </c>
      <c r="D5330" s="946"/>
      <c r="E5330" s="947"/>
      <c r="F5330" s="1068"/>
      <c r="G5330" s="946"/>
      <c r="H5330" s="1031"/>
      <c r="I5330" s="948"/>
    </row>
    <row r="5331" spans="3:9" ht="15.75">
      <c r="C5331" s="949" t="s">
        <v>1564</v>
      </c>
      <c r="D5331" s="953">
        <v>1</v>
      </c>
      <c r="E5331" s="954" t="str">
        <f>+VLOOKUP(C5331,'Basic (equilibrio) (2)'!B:D,2,FALSE)</f>
        <v>m</v>
      </c>
      <c r="F5331" s="1068">
        <f>'Basic (equilibrio) (2)'!$D$57</f>
        <v>65</v>
      </c>
      <c r="G5331" s="946">
        <v>0</v>
      </c>
      <c r="H5331" s="1031"/>
      <c r="I5331" s="948">
        <f>(D5331*F5331)</f>
        <v>65</v>
      </c>
    </row>
    <row r="5332" spans="3:9" ht="15.75">
      <c r="C5332" s="951" t="s">
        <v>918</v>
      </c>
      <c r="D5332" s="946"/>
      <c r="E5332" s="947"/>
      <c r="F5332" s="1054"/>
      <c r="G5332" s="946"/>
      <c r="H5332" s="1031"/>
      <c r="I5332" s="952">
        <f>SUM(I5331:I5331)</f>
        <v>65</v>
      </c>
    </row>
    <row r="5333" spans="3:9" ht="15.75">
      <c r="C5333" s="949"/>
      <c r="D5333" s="946"/>
      <c r="E5333" s="947"/>
      <c r="F5333" s="1054"/>
      <c r="G5333" s="946"/>
      <c r="H5333" s="1031"/>
      <c r="I5333" s="948"/>
    </row>
    <row r="5334" spans="3:9" ht="15.75">
      <c r="C5334" s="945" t="s">
        <v>923</v>
      </c>
      <c r="D5334" s="946"/>
      <c r="E5334" s="947"/>
      <c r="F5334" s="1054"/>
      <c r="G5334" s="946"/>
      <c r="H5334" s="1031"/>
      <c r="I5334" s="948"/>
    </row>
    <row r="5335" spans="3:9" ht="15.75">
      <c r="C5335" s="949" t="s">
        <v>924</v>
      </c>
      <c r="D5335" s="946"/>
      <c r="E5335" s="947" t="str">
        <f>+VLOOKUP(C5335,'Basic (equilibrio) (2)'!B:D,2,FALSE)</f>
        <v>n/a</v>
      </c>
      <c r="F5335" s="1054">
        <f>+VLOOKUP(C5335,'Basic (equilibrio) (2)'!B:D,3,FALSE)</f>
        <v>0</v>
      </c>
      <c r="G5335" s="946">
        <f>F5335-(F5335/1.18)</f>
        <v>0</v>
      </c>
      <c r="H5335" s="1039"/>
      <c r="I5335" s="955">
        <f>D5335*F5335</f>
        <v>0</v>
      </c>
    </row>
    <row r="5336" spans="3:9" ht="15.75">
      <c r="C5336" s="951" t="s">
        <v>918</v>
      </c>
      <c r="D5336" s="946"/>
      <c r="E5336" s="947"/>
      <c r="F5336" s="1054"/>
      <c r="G5336" s="946"/>
      <c r="H5336" s="1031"/>
      <c r="I5336" s="952">
        <f>SUM(I5335:I5335)</f>
        <v>0</v>
      </c>
    </row>
    <row r="5337" spans="3:9" ht="15.75">
      <c r="C5337" s="949"/>
      <c r="D5337" s="946"/>
      <c r="E5337" s="947"/>
      <c r="F5337" s="1054"/>
      <c r="G5337" s="946"/>
      <c r="H5337" s="1031"/>
      <c r="I5337" s="948"/>
    </row>
    <row r="5338" spans="3:9" ht="15.75">
      <c r="C5338" s="945" t="s">
        <v>925</v>
      </c>
      <c r="D5338" s="946"/>
      <c r="E5338" s="947"/>
      <c r="F5338" s="1054"/>
      <c r="G5338" s="946"/>
      <c r="H5338" s="1031"/>
      <c r="I5338" s="948"/>
    </row>
    <row r="5339" spans="3:9" ht="15.75">
      <c r="C5339" s="949" t="s">
        <v>924</v>
      </c>
      <c r="D5339" s="946"/>
      <c r="E5339" s="947" t="str">
        <f>+VLOOKUP(C5339,'Basic (equilibrio) (2)'!B:D,2,FALSE)</f>
        <v>n/a</v>
      </c>
      <c r="F5339" s="1054">
        <f>+VLOOKUP(C5339,'Basic (equilibrio) (2)'!B:D,3,FALSE)</f>
        <v>0</v>
      </c>
      <c r="G5339" s="946"/>
      <c r="H5339" s="1031"/>
      <c r="I5339" s="948">
        <f>D5339*F5339</f>
        <v>0</v>
      </c>
    </row>
    <row r="5340" spans="3:9" ht="15.75">
      <c r="C5340" s="951" t="s">
        <v>918</v>
      </c>
      <c r="D5340" s="946"/>
      <c r="E5340" s="947"/>
      <c r="F5340" s="1054"/>
      <c r="G5340" s="946"/>
      <c r="H5340" s="1031"/>
      <c r="I5340" s="952">
        <f>SUM(I5339)</f>
        <v>0</v>
      </c>
    </row>
    <row r="5341" spans="3:9" ht="15.75">
      <c r="C5341" s="951"/>
      <c r="D5341" s="946"/>
      <c r="E5341" s="947"/>
      <c r="F5341" s="1054"/>
      <c r="G5341" s="946"/>
      <c r="H5341" s="1031"/>
      <c r="I5341" s="952"/>
    </row>
    <row r="5342" spans="3:9" ht="15.75">
      <c r="C5342" s="956" t="s">
        <v>926</v>
      </c>
      <c r="D5342" s="957"/>
      <c r="E5342" s="958"/>
      <c r="F5342" s="1069"/>
      <c r="G5342" s="957"/>
      <c r="H5342" s="1032"/>
      <c r="I5342" s="959">
        <f>+I5328</f>
        <v>93.5</v>
      </c>
    </row>
    <row r="5343" spans="3:9" ht="15.75">
      <c r="C5343" s="956" t="s">
        <v>927</v>
      </c>
      <c r="D5343" s="957"/>
      <c r="E5343" s="958"/>
      <c r="F5343" s="1069"/>
      <c r="G5343" s="957"/>
      <c r="H5343" s="1032"/>
      <c r="I5343" s="959">
        <f>+I5332</f>
        <v>65</v>
      </c>
    </row>
    <row r="5344" spans="3:9" ht="15.75">
      <c r="C5344" s="956" t="s">
        <v>928</v>
      </c>
      <c r="D5344" s="957"/>
      <c r="E5344" s="958"/>
      <c r="F5344" s="1069"/>
      <c r="G5344" s="957"/>
      <c r="H5344" s="1032"/>
      <c r="I5344" s="959">
        <f>+I5336</f>
        <v>0</v>
      </c>
    </row>
    <row r="5345" spans="2:9" ht="15.75">
      <c r="C5345" s="956" t="s">
        <v>929</v>
      </c>
      <c r="D5345" s="957"/>
      <c r="E5345" s="958"/>
      <c r="F5345" s="1069"/>
      <c r="G5345" s="957"/>
      <c r="H5345" s="1032"/>
      <c r="I5345" s="959">
        <f>+I5340</f>
        <v>0</v>
      </c>
    </row>
    <row r="5346" spans="2:9" ht="15.75">
      <c r="C5346" s="949"/>
      <c r="D5346" s="946"/>
      <c r="E5346" s="947"/>
      <c r="F5346" s="1054"/>
      <c r="G5346" s="946"/>
      <c r="H5346" s="1031"/>
      <c r="I5346" s="948"/>
    </row>
    <row r="5347" spans="2:9" ht="15.75">
      <c r="C5347" s="951" t="s">
        <v>930</v>
      </c>
      <c r="D5347" s="960"/>
      <c r="E5347" s="943" t="str">
        <f>+E5323</f>
        <v>M</v>
      </c>
      <c r="F5347" s="1070"/>
      <c r="G5347" s="960"/>
      <c r="H5347" s="1033"/>
      <c r="I5347" s="952">
        <f>SUM(I5342:I5345)</f>
        <v>158.5</v>
      </c>
    </row>
    <row r="5348" spans="2:9" ht="15.75">
      <c r="C5348" s="951"/>
      <c r="D5348" s="960"/>
      <c r="E5348" s="943"/>
      <c r="F5348" s="1070"/>
      <c r="G5348" s="960"/>
      <c r="H5348" s="1033"/>
      <c r="I5348" s="952"/>
    </row>
    <row r="5349" spans="2:9" ht="15.75">
      <c r="B5349" s="1026">
        <v>4.8</v>
      </c>
      <c r="C5349" s="937" t="str">
        <f>+Presupuesto!B344</f>
        <v>Desagüe de techo de Ø3"  (Dseño según detalle de diseño.)</v>
      </c>
      <c r="D5349" s="938"/>
      <c r="E5349" s="962" t="s">
        <v>1106</v>
      </c>
      <c r="F5349" s="1066"/>
      <c r="G5349" s="938"/>
      <c r="H5349" s="1029"/>
      <c r="I5349" s="940">
        <f>I5375</f>
        <v>4018.2</v>
      </c>
    </row>
    <row r="5350" spans="2:9" ht="15.75">
      <c r="C5350" s="941" t="s">
        <v>908</v>
      </c>
      <c r="D5350" s="942" t="s">
        <v>9</v>
      </c>
      <c r="E5350" s="943" t="s">
        <v>10</v>
      </c>
      <c r="F5350" s="1067" t="s">
        <v>909</v>
      </c>
      <c r="G5350" s="942" t="s">
        <v>910</v>
      </c>
      <c r="H5350" s="1030" t="s">
        <v>911</v>
      </c>
      <c r="I5350" s="944" t="s">
        <v>912</v>
      </c>
    </row>
    <row r="5351" spans="2:9" ht="15.75">
      <c r="C5351" s="945" t="s">
        <v>913</v>
      </c>
      <c r="D5351" s="946"/>
      <c r="E5351" s="947"/>
      <c r="F5351" s="1054"/>
      <c r="G5351" s="946"/>
      <c r="H5351" s="1031"/>
      <c r="I5351" s="948"/>
    </row>
    <row r="5352" spans="2:9" ht="15.75">
      <c r="C5352" s="949" t="s">
        <v>1565</v>
      </c>
      <c r="D5352" s="946">
        <v>1</v>
      </c>
      <c r="E5352" s="947" t="str">
        <f>+VLOOKUP(C5352,'Basic (equilibrio) (2)'!B:D,2,FALSE)</f>
        <v>und</v>
      </c>
      <c r="F5352" s="1068">
        <f>'Basic (equilibrio) (2)'!$D$525</f>
        <v>1093</v>
      </c>
      <c r="G5352" s="946">
        <f>F5352-(F5352/1.18)</f>
        <v>166.73</v>
      </c>
      <c r="H5352" s="1031"/>
      <c r="I5352" s="948">
        <f>D5352*F5352</f>
        <v>1093</v>
      </c>
    </row>
    <row r="5353" spans="2:9" ht="15.75">
      <c r="C5353" s="949" t="s">
        <v>1568</v>
      </c>
      <c r="D5353" s="946">
        <v>2</v>
      </c>
      <c r="E5353" s="947" t="str">
        <f>+VLOOKUP(C5353,'Basic (equilibrio) (2)'!B:D,2,FALSE)</f>
        <v>u</v>
      </c>
      <c r="F5353" s="1068">
        <f>'Basic (equilibrio) (2)'!$D$315</f>
        <v>97.9</v>
      </c>
      <c r="G5353" s="946">
        <f>F5353-(F5353/1.18)</f>
        <v>14.93</v>
      </c>
      <c r="H5353" s="1031"/>
      <c r="I5353" s="948">
        <f>D5353*F5353</f>
        <v>195.8</v>
      </c>
    </row>
    <row r="5354" spans="2:9" ht="15.75">
      <c r="C5354" s="949" t="s">
        <v>1569</v>
      </c>
      <c r="D5354" s="946">
        <v>2</v>
      </c>
      <c r="E5354" s="947" t="str">
        <f>+VLOOKUP(C5354,'Basic (equilibrio) (2)'!B:D,2,FALSE)</f>
        <v>u</v>
      </c>
      <c r="F5354" s="1068">
        <f>'Basic (equilibrio) (2)'!$D$316</f>
        <v>109.7</v>
      </c>
      <c r="G5354" s="946">
        <f>F5354-(F5354/1.18)</f>
        <v>16.73</v>
      </c>
      <c r="H5354" s="1031"/>
      <c r="I5354" s="948">
        <f>D5354*F5354</f>
        <v>219.4</v>
      </c>
    </row>
    <row r="5355" spans="2:9" ht="15.75">
      <c r="C5355" s="949" t="s">
        <v>1570</v>
      </c>
      <c r="D5355" s="946">
        <v>1</v>
      </c>
      <c r="E5355" s="947" t="str">
        <f>+VLOOKUP(C5355,'Basic (equilibrio) (2)'!B:D,2,FALSE)</f>
        <v>u</v>
      </c>
      <c r="F5355" s="1068">
        <f>'Basic (equilibrio) (2)'!$D$317</f>
        <v>1314.5</v>
      </c>
      <c r="G5355" s="946">
        <f>F5355-(F5355/1.18)</f>
        <v>200.52</v>
      </c>
      <c r="H5355" s="1031"/>
      <c r="I5355" s="948">
        <f>D5355*F5355</f>
        <v>1314.5</v>
      </c>
    </row>
    <row r="5356" spans="2:9" ht="15.75">
      <c r="C5356" s="951" t="s">
        <v>918</v>
      </c>
      <c r="D5356" s="946"/>
      <c r="E5356" s="947"/>
      <c r="F5356" s="1068"/>
      <c r="G5356" s="946"/>
      <c r="H5356" s="1031"/>
      <c r="I5356" s="952">
        <f>SUM(I5352:I5355)</f>
        <v>2822.7</v>
      </c>
    </row>
    <row r="5357" spans="2:9" ht="15.75">
      <c r="C5357" s="949"/>
      <c r="D5357" s="946"/>
      <c r="E5357" s="947"/>
      <c r="F5357" s="1068"/>
      <c r="G5357" s="946"/>
      <c r="H5357" s="1031"/>
      <c r="I5357" s="948"/>
    </row>
    <row r="5358" spans="2:9" ht="15.75">
      <c r="C5358" s="945" t="s">
        <v>919</v>
      </c>
      <c r="D5358" s="946"/>
      <c r="E5358" s="947"/>
      <c r="F5358" s="1068"/>
      <c r="G5358" s="946"/>
      <c r="H5358" s="1031"/>
      <c r="I5358" s="948"/>
    </row>
    <row r="5359" spans="2:9" ht="15.75">
      <c r="C5359" s="949" t="s">
        <v>1571</v>
      </c>
      <c r="D5359" s="953">
        <v>1</v>
      </c>
      <c r="E5359" s="954" t="str">
        <f>+VLOOKUP(C5359,'Basic (equilibrio) (2)'!B:D,2,FALSE)</f>
        <v>u</v>
      </c>
      <c r="F5359" s="1068">
        <f>'Basic (equilibrio) (2)'!$D$58</f>
        <v>1195.5</v>
      </c>
      <c r="G5359" s="946">
        <v>0</v>
      </c>
      <c r="H5359" s="1031"/>
      <c r="I5359" s="948">
        <f>(D5359*F5359)</f>
        <v>1195.5</v>
      </c>
    </row>
    <row r="5360" spans="2:9" ht="15.75">
      <c r="C5360" s="951" t="s">
        <v>918</v>
      </c>
      <c r="D5360" s="946"/>
      <c r="E5360" s="947"/>
      <c r="F5360" s="1054"/>
      <c r="G5360" s="946"/>
      <c r="H5360" s="1031"/>
      <c r="I5360" s="952">
        <f>SUM(I5359:I5359)</f>
        <v>1195.5</v>
      </c>
    </row>
    <row r="5361" spans="3:9" ht="15.75">
      <c r="C5361" s="949"/>
      <c r="D5361" s="946"/>
      <c r="E5361" s="947"/>
      <c r="F5361" s="1054"/>
      <c r="G5361" s="946"/>
      <c r="H5361" s="1031"/>
      <c r="I5361" s="948"/>
    </row>
    <row r="5362" spans="3:9" ht="15.75">
      <c r="C5362" s="945" t="s">
        <v>923</v>
      </c>
      <c r="D5362" s="946"/>
      <c r="E5362" s="947"/>
      <c r="F5362" s="1054"/>
      <c r="G5362" s="946"/>
      <c r="H5362" s="1031"/>
      <c r="I5362" s="948"/>
    </row>
    <row r="5363" spans="3:9" ht="15.75">
      <c r="C5363" s="949" t="s">
        <v>924</v>
      </c>
      <c r="D5363" s="946"/>
      <c r="E5363" s="947" t="str">
        <f>+VLOOKUP(C5363,'Basic (equilibrio) (2)'!B:D,2,FALSE)</f>
        <v>n/a</v>
      </c>
      <c r="F5363" s="1054">
        <f>+VLOOKUP(C5363,'Basic (equilibrio) (2)'!B:D,3,FALSE)</f>
        <v>0</v>
      </c>
      <c r="G5363" s="946">
        <f>F5363-(F5363/1.18)</f>
        <v>0</v>
      </c>
      <c r="H5363" s="1039"/>
      <c r="I5363" s="955">
        <f>D5363*F5363</f>
        <v>0</v>
      </c>
    </row>
    <row r="5364" spans="3:9" ht="15.75">
      <c r="C5364" s="951" t="s">
        <v>918</v>
      </c>
      <c r="D5364" s="946"/>
      <c r="E5364" s="947"/>
      <c r="F5364" s="1054"/>
      <c r="G5364" s="946"/>
      <c r="H5364" s="1031"/>
      <c r="I5364" s="952">
        <f>SUM(I5363:I5363)</f>
        <v>0</v>
      </c>
    </row>
    <row r="5365" spans="3:9" ht="15.75">
      <c r="C5365" s="949"/>
      <c r="D5365" s="946"/>
      <c r="E5365" s="947"/>
      <c r="F5365" s="1054"/>
      <c r="G5365" s="946"/>
      <c r="H5365" s="1031"/>
      <c r="I5365" s="948"/>
    </row>
    <row r="5366" spans="3:9" ht="15.75">
      <c r="C5366" s="945" t="s">
        <v>925</v>
      </c>
      <c r="D5366" s="946"/>
      <c r="E5366" s="947"/>
      <c r="F5366" s="1054"/>
      <c r="G5366" s="946"/>
      <c r="H5366" s="1031"/>
      <c r="I5366" s="948"/>
    </row>
    <row r="5367" spans="3:9" ht="15.75">
      <c r="C5367" s="949" t="s">
        <v>924</v>
      </c>
      <c r="D5367" s="946"/>
      <c r="E5367" s="947" t="str">
        <f>+VLOOKUP(C5367,'Basic (equilibrio) (2)'!B:D,2,FALSE)</f>
        <v>n/a</v>
      </c>
      <c r="F5367" s="1054">
        <f>+VLOOKUP(C5367,'Basic (equilibrio) (2)'!B:D,3,FALSE)</f>
        <v>0</v>
      </c>
      <c r="G5367" s="946"/>
      <c r="H5367" s="1031"/>
      <c r="I5367" s="948">
        <f>D5367*F5367</f>
        <v>0</v>
      </c>
    </row>
    <row r="5368" spans="3:9" ht="15.75">
      <c r="C5368" s="951" t="s">
        <v>918</v>
      </c>
      <c r="D5368" s="946"/>
      <c r="E5368" s="947"/>
      <c r="F5368" s="1054"/>
      <c r="G5368" s="946"/>
      <c r="H5368" s="1031"/>
      <c r="I5368" s="952">
        <f>SUM(I5367)</f>
        <v>0</v>
      </c>
    </row>
    <row r="5369" spans="3:9" ht="15.75">
      <c r="C5369" s="951"/>
      <c r="D5369" s="946"/>
      <c r="E5369" s="947"/>
      <c r="F5369" s="1054"/>
      <c r="G5369" s="946"/>
      <c r="H5369" s="1031"/>
      <c r="I5369" s="952"/>
    </row>
    <row r="5370" spans="3:9" ht="15.75">
      <c r="C5370" s="956" t="s">
        <v>926</v>
      </c>
      <c r="D5370" s="957"/>
      <c r="E5370" s="958"/>
      <c r="F5370" s="1069"/>
      <c r="G5370" s="957"/>
      <c r="H5370" s="1032"/>
      <c r="I5370" s="959">
        <f>+I5356</f>
        <v>2822.7</v>
      </c>
    </row>
    <row r="5371" spans="3:9" ht="15.75">
      <c r="C5371" s="956" t="s">
        <v>927</v>
      </c>
      <c r="D5371" s="957"/>
      <c r="E5371" s="958"/>
      <c r="F5371" s="1069"/>
      <c r="G5371" s="957"/>
      <c r="H5371" s="1032"/>
      <c r="I5371" s="959">
        <f>+I5360</f>
        <v>1195.5</v>
      </c>
    </row>
    <row r="5372" spans="3:9" ht="15.75">
      <c r="C5372" s="956" t="s">
        <v>928</v>
      </c>
      <c r="D5372" s="957"/>
      <c r="E5372" s="958"/>
      <c r="F5372" s="1069"/>
      <c r="G5372" s="957"/>
      <c r="H5372" s="1032"/>
      <c r="I5372" s="959">
        <f>+I5364</f>
        <v>0</v>
      </c>
    </row>
    <row r="5373" spans="3:9" ht="15.75">
      <c r="C5373" s="956" t="s">
        <v>929</v>
      </c>
      <c r="D5373" s="957"/>
      <c r="E5373" s="958"/>
      <c r="F5373" s="1069"/>
      <c r="G5373" s="957"/>
      <c r="H5373" s="1032"/>
      <c r="I5373" s="959">
        <f>+I5368</f>
        <v>0</v>
      </c>
    </row>
    <row r="5374" spans="3:9" ht="15.75">
      <c r="C5374" s="949"/>
      <c r="D5374" s="946"/>
      <c r="E5374" s="947"/>
      <c r="F5374" s="1054"/>
      <c r="G5374" s="946"/>
      <c r="H5374" s="1031"/>
      <c r="I5374" s="948"/>
    </row>
    <row r="5375" spans="3:9" ht="15.75">
      <c r="C5375" s="951" t="s">
        <v>930</v>
      </c>
      <c r="D5375" s="960"/>
      <c r="E5375" s="943" t="str">
        <f>+E5349</f>
        <v>und</v>
      </c>
      <c r="F5375" s="1070"/>
      <c r="G5375" s="960"/>
      <c r="H5375" s="1033"/>
      <c r="I5375" s="952">
        <f>SUM(I5370:I5373)</f>
        <v>4018.2</v>
      </c>
    </row>
    <row r="5376" spans="3:9" ht="15.75">
      <c r="C5376" s="951"/>
      <c r="D5376" s="960"/>
      <c r="E5376" s="943"/>
      <c r="F5376" s="1070"/>
      <c r="G5376" s="960"/>
      <c r="H5376" s="1033"/>
      <c r="I5376" s="952"/>
    </row>
    <row r="5377" spans="2:9" ht="15.75">
      <c r="B5377" s="1026">
        <v>4.9000000000000004</v>
      </c>
      <c r="C5377" s="937" t="str">
        <f>+Presupuesto!B345</f>
        <v>Pintura Impermeabilizante en canaleta (3 Manos)</v>
      </c>
      <c r="D5377" s="938"/>
      <c r="E5377" s="962" t="s">
        <v>20</v>
      </c>
      <c r="F5377" s="1066"/>
      <c r="G5377" s="938"/>
      <c r="H5377" s="1029"/>
      <c r="I5377" s="940">
        <f>+I5401</f>
        <v>419.4</v>
      </c>
    </row>
    <row r="5378" spans="2:9" ht="15.75">
      <c r="C5378" s="941" t="s">
        <v>908</v>
      </c>
      <c r="D5378" s="942" t="s">
        <v>9</v>
      </c>
      <c r="E5378" s="943" t="s">
        <v>10</v>
      </c>
      <c r="F5378" s="1067" t="s">
        <v>909</v>
      </c>
      <c r="G5378" s="942" t="s">
        <v>910</v>
      </c>
      <c r="H5378" s="1030" t="s">
        <v>911</v>
      </c>
      <c r="I5378" s="944" t="s">
        <v>912</v>
      </c>
    </row>
    <row r="5379" spans="2:9" ht="15.75">
      <c r="C5379" s="945" t="s">
        <v>913</v>
      </c>
      <c r="D5379" s="946"/>
      <c r="E5379" s="947"/>
      <c r="F5379" s="1054"/>
      <c r="G5379" s="946"/>
      <c r="H5379" s="1031"/>
      <c r="I5379" s="948"/>
    </row>
    <row r="5380" spans="2:9" ht="15.75">
      <c r="C5380" s="949" t="s">
        <v>1573</v>
      </c>
      <c r="D5380" s="946">
        <v>0.16</v>
      </c>
      <c r="E5380" s="947" t="s">
        <v>1183</v>
      </c>
      <c r="F5380" s="1068">
        <f>'Basic (equilibrio) (2)'!$D$457</f>
        <v>2200</v>
      </c>
      <c r="G5380" s="946">
        <f>F5380-(F5380/1.18)</f>
        <v>335.59</v>
      </c>
      <c r="H5380" s="1031"/>
      <c r="I5380" s="948">
        <f>D5380*F5380</f>
        <v>352</v>
      </c>
    </row>
    <row r="5381" spans="2:9" ht="15.75">
      <c r="C5381" s="949" t="s">
        <v>1209</v>
      </c>
      <c r="D5381" s="946">
        <v>82</v>
      </c>
      <c r="E5381" s="947" t="s">
        <v>1025</v>
      </c>
      <c r="F5381" s="1068">
        <v>0.2</v>
      </c>
      <c r="G5381" s="946">
        <f>F5381-(F5381/1.18)</f>
        <v>0.03</v>
      </c>
      <c r="H5381" s="1031"/>
      <c r="I5381" s="948">
        <f>D5381*F5381</f>
        <v>16.399999999999999</v>
      </c>
    </row>
    <row r="5382" spans="2:9" ht="15.75">
      <c r="C5382" s="951" t="s">
        <v>918</v>
      </c>
      <c r="D5382" s="946"/>
      <c r="E5382" s="947"/>
      <c r="F5382" s="1068"/>
      <c r="G5382" s="946"/>
      <c r="H5382" s="1031"/>
      <c r="I5382" s="952">
        <f>SUM(I5380:I5381)</f>
        <v>368.4</v>
      </c>
    </row>
    <row r="5383" spans="2:9" ht="15.75">
      <c r="C5383" s="949"/>
      <c r="D5383" s="946"/>
      <c r="E5383" s="947"/>
      <c r="F5383" s="1068"/>
      <c r="G5383" s="946"/>
      <c r="H5383" s="1031"/>
      <c r="I5383" s="948"/>
    </row>
    <row r="5384" spans="2:9" ht="15.75">
      <c r="C5384" s="945" t="s">
        <v>919</v>
      </c>
      <c r="D5384" s="946"/>
      <c r="E5384" s="947"/>
      <c r="F5384" s="1068"/>
      <c r="G5384" s="946"/>
      <c r="H5384" s="1031"/>
      <c r="I5384" s="948"/>
    </row>
    <row r="5385" spans="2:9" ht="15.75">
      <c r="C5385" s="949" t="s">
        <v>1101</v>
      </c>
      <c r="D5385" s="953">
        <v>1</v>
      </c>
      <c r="E5385" s="954" t="str">
        <f>+VLOOKUP(C5385,'Basic (equilibrio) (2)'!B:D,2,FALSE)</f>
        <v>m2</v>
      </c>
      <c r="F5385" s="1068">
        <f>'Basic (equilibrio) (2)'!$D$37</f>
        <v>51</v>
      </c>
      <c r="G5385" s="946">
        <v>0</v>
      </c>
      <c r="H5385" s="1031"/>
      <c r="I5385" s="948">
        <f>(D5385*F5385)</f>
        <v>51</v>
      </c>
    </row>
    <row r="5386" spans="2:9" ht="15.75">
      <c r="C5386" s="951" t="s">
        <v>918</v>
      </c>
      <c r="D5386" s="946"/>
      <c r="E5386" s="947"/>
      <c r="F5386" s="1054"/>
      <c r="G5386" s="946"/>
      <c r="H5386" s="1031"/>
      <c r="I5386" s="952">
        <f>SUM(I5385:I5385)</f>
        <v>51</v>
      </c>
    </row>
    <row r="5387" spans="2:9" ht="15.75">
      <c r="C5387" s="949"/>
      <c r="D5387" s="946"/>
      <c r="E5387" s="947"/>
      <c r="F5387" s="1054"/>
      <c r="G5387" s="946"/>
      <c r="H5387" s="1031"/>
      <c r="I5387" s="948"/>
    </row>
    <row r="5388" spans="2:9" ht="15.75">
      <c r="C5388" s="945" t="s">
        <v>923</v>
      </c>
      <c r="D5388" s="946"/>
      <c r="E5388" s="947"/>
      <c r="F5388" s="1054"/>
      <c r="G5388" s="946"/>
      <c r="H5388" s="1031"/>
      <c r="I5388" s="948"/>
    </row>
    <row r="5389" spans="2:9" ht="15.75">
      <c r="C5389" s="949" t="s">
        <v>924</v>
      </c>
      <c r="D5389" s="946"/>
      <c r="E5389" s="947" t="str">
        <f>+VLOOKUP(C5389,'Basic (equilibrio) (2)'!B:D,2,FALSE)</f>
        <v>n/a</v>
      </c>
      <c r="F5389" s="1054">
        <f>+VLOOKUP(C5389,'Basic (equilibrio) (2)'!B:D,3,FALSE)</f>
        <v>0</v>
      </c>
      <c r="G5389" s="946">
        <f>F5389-(F5389/1.18)</f>
        <v>0</v>
      </c>
      <c r="H5389" s="1039"/>
      <c r="I5389" s="955">
        <f>D5389*F5389</f>
        <v>0</v>
      </c>
    </row>
    <row r="5390" spans="2:9" ht="15.75">
      <c r="C5390" s="951" t="s">
        <v>918</v>
      </c>
      <c r="D5390" s="946"/>
      <c r="E5390" s="947"/>
      <c r="F5390" s="1054"/>
      <c r="G5390" s="946"/>
      <c r="H5390" s="1031"/>
      <c r="I5390" s="952">
        <f>SUM(I5389:I5389)</f>
        <v>0</v>
      </c>
    </row>
    <row r="5391" spans="2:9" ht="15.75">
      <c r="C5391" s="949"/>
      <c r="D5391" s="946"/>
      <c r="E5391" s="947"/>
      <c r="F5391" s="1054"/>
      <c r="G5391" s="946"/>
      <c r="H5391" s="1031"/>
      <c r="I5391" s="948"/>
    </row>
    <row r="5392" spans="2:9" ht="15.75">
      <c r="C5392" s="945" t="s">
        <v>925</v>
      </c>
      <c r="D5392" s="946"/>
      <c r="E5392" s="947"/>
      <c r="F5392" s="1054"/>
      <c r="G5392" s="946"/>
      <c r="H5392" s="1031"/>
      <c r="I5392" s="948"/>
    </row>
    <row r="5393" spans="2:9" ht="15.75">
      <c r="C5393" s="949" t="s">
        <v>924</v>
      </c>
      <c r="D5393" s="946"/>
      <c r="E5393" s="947" t="str">
        <f>+VLOOKUP(C5393,'Basic (equilibrio) (2)'!B:D,2,FALSE)</f>
        <v>n/a</v>
      </c>
      <c r="F5393" s="1054">
        <f>+VLOOKUP(C5393,'Basic (equilibrio) (2)'!B:D,3,FALSE)</f>
        <v>0</v>
      </c>
      <c r="G5393" s="946"/>
      <c r="H5393" s="1031"/>
      <c r="I5393" s="948">
        <f>D5393*F5393</f>
        <v>0</v>
      </c>
    </row>
    <row r="5394" spans="2:9" ht="15.75">
      <c r="C5394" s="951" t="s">
        <v>918</v>
      </c>
      <c r="D5394" s="946"/>
      <c r="E5394" s="947"/>
      <c r="F5394" s="1054"/>
      <c r="G5394" s="946"/>
      <c r="H5394" s="1031"/>
      <c r="I5394" s="952">
        <f>SUM(I5393)</f>
        <v>0</v>
      </c>
    </row>
    <row r="5395" spans="2:9" ht="15.75">
      <c r="C5395" s="951"/>
      <c r="D5395" s="946"/>
      <c r="E5395" s="947"/>
      <c r="F5395" s="1054"/>
      <c r="G5395" s="946"/>
      <c r="H5395" s="1031"/>
      <c r="I5395" s="952"/>
    </row>
    <row r="5396" spans="2:9" ht="15.75">
      <c r="C5396" s="956" t="s">
        <v>926</v>
      </c>
      <c r="D5396" s="957"/>
      <c r="E5396" s="958"/>
      <c r="F5396" s="1069"/>
      <c r="G5396" s="957"/>
      <c r="H5396" s="1032"/>
      <c r="I5396" s="959">
        <f>+I5382</f>
        <v>368.4</v>
      </c>
    </row>
    <row r="5397" spans="2:9" ht="15.75">
      <c r="C5397" s="956" t="s">
        <v>927</v>
      </c>
      <c r="D5397" s="957"/>
      <c r="E5397" s="958"/>
      <c r="F5397" s="1069"/>
      <c r="G5397" s="957"/>
      <c r="H5397" s="1032"/>
      <c r="I5397" s="959">
        <f>+I5386</f>
        <v>51</v>
      </c>
    </row>
    <row r="5398" spans="2:9" ht="15.75">
      <c r="C5398" s="956" t="s">
        <v>928</v>
      </c>
      <c r="D5398" s="957"/>
      <c r="E5398" s="958"/>
      <c r="F5398" s="1069"/>
      <c r="G5398" s="957"/>
      <c r="H5398" s="1032"/>
      <c r="I5398" s="959">
        <f>+I5390</f>
        <v>0</v>
      </c>
    </row>
    <row r="5399" spans="2:9" ht="15.75">
      <c r="C5399" s="956" t="s">
        <v>929</v>
      </c>
      <c r="D5399" s="957"/>
      <c r="E5399" s="958"/>
      <c r="F5399" s="1069"/>
      <c r="G5399" s="957"/>
      <c r="H5399" s="1032"/>
      <c r="I5399" s="959">
        <f>+I5394</f>
        <v>0</v>
      </c>
    </row>
    <row r="5400" spans="2:9" ht="15.75">
      <c r="C5400" s="949"/>
      <c r="D5400" s="946"/>
      <c r="E5400" s="947"/>
      <c r="F5400" s="1054"/>
      <c r="G5400" s="946"/>
      <c r="H5400" s="1031"/>
      <c r="I5400" s="948"/>
    </row>
    <row r="5401" spans="2:9" ht="15.75">
      <c r="C5401" s="951" t="s">
        <v>930</v>
      </c>
      <c r="D5401" s="960"/>
      <c r="E5401" s="975" t="str">
        <f>+E5377</f>
        <v>M2</v>
      </c>
      <c r="F5401" s="1070"/>
      <c r="G5401" s="960"/>
      <c r="H5401" s="1033"/>
      <c r="I5401" s="952">
        <f>SUM(I5396:I5399)</f>
        <v>419.4</v>
      </c>
    </row>
    <row r="5402" spans="2:9" ht="15.75">
      <c r="C5402" s="951"/>
      <c r="D5402" s="960"/>
      <c r="E5402" s="975"/>
      <c r="F5402" s="1070"/>
      <c r="G5402" s="960"/>
      <c r="H5402" s="1033"/>
      <c r="I5402" s="952"/>
    </row>
    <row r="5403" spans="2:9" ht="15.75">
      <c r="B5403" s="1026">
        <v>5.0999999999999996</v>
      </c>
      <c r="C5403" s="937" t="e">
        <f>+#REF!</f>
        <v>#REF!</v>
      </c>
      <c r="D5403" s="938"/>
      <c r="E5403" s="962" t="s">
        <v>15</v>
      </c>
      <c r="F5403" s="1066"/>
      <c r="G5403" s="938"/>
      <c r="H5403" s="1029"/>
      <c r="I5403" s="940">
        <f>I5427</f>
        <v>14900</v>
      </c>
    </row>
    <row r="5404" spans="2:9" ht="15.75">
      <c r="C5404" s="941" t="s">
        <v>908</v>
      </c>
      <c r="D5404" s="942" t="s">
        <v>9</v>
      </c>
      <c r="E5404" s="943" t="s">
        <v>10</v>
      </c>
      <c r="F5404" s="1067" t="s">
        <v>909</v>
      </c>
      <c r="G5404" s="942" t="s">
        <v>910</v>
      </c>
      <c r="H5404" s="1030" t="s">
        <v>911</v>
      </c>
      <c r="I5404" s="944" t="s">
        <v>912</v>
      </c>
    </row>
    <row r="5405" spans="2:9" ht="15.75">
      <c r="C5405" s="945" t="s">
        <v>913</v>
      </c>
      <c r="D5405" s="946"/>
      <c r="E5405" s="947"/>
      <c r="F5405" s="1054"/>
      <c r="G5405" s="946"/>
      <c r="H5405" s="1031"/>
      <c r="I5405" s="948"/>
    </row>
    <row r="5406" spans="2:9" ht="15.75">
      <c r="C5406" s="949" t="s">
        <v>1731</v>
      </c>
      <c r="D5406" s="946">
        <v>1</v>
      </c>
      <c r="E5406" s="947" t="str">
        <f>+VLOOKUP(C5406,'Basic (equilibrio) (2)'!B:D,2,FALSE)</f>
        <v>Ud</v>
      </c>
      <c r="F5406" s="1068">
        <f>'Basic (equilibrio) (2)'!$D$471</f>
        <v>14000</v>
      </c>
      <c r="G5406" s="946">
        <f>F5406-(F5406/1.18)</f>
        <v>2135.59</v>
      </c>
      <c r="H5406" s="1031"/>
      <c r="I5406" s="948">
        <f>D5406*F5406</f>
        <v>14000</v>
      </c>
    </row>
    <row r="5407" spans="2:9" ht="15.75">
      <c r="C5407" s="949"/>
      <c r="D5407" s="946"/>
      <c r="E5407" s="947"/>
      <c r="F5407" s="1068"/>
      <c r="G5407" s="946"/>
      <c r="H5407" s="1031"/>
      <c r="I5407" s="948">
        <f>D5407*F5407</f>
        <v>0</v>
      </c>
    </row>
    <row r="5408" spans="2:9" ht="15.75">
      <c r="C5408" s="951" t="s">
        <v>918</v>
      </c>
      <c r="D5408" s="946"/>
      <c r="E5408" s="947"/>
      <c r="F5408" s="1068"/>
      <c r="G5408" s="946"/>
      <c r="H5408" s="1031"/>
      <c r="I5408" s="952">
        <f>SUM(I5406:I5407)</f>
        <v>14000</v>
      </c>
    </row>
    <row r="5409" spans="3:9" ht="15.75">
      <c r="C5409" s="949"/>
      <c r="D5409" s="946"/>
      <c r="E5409" s="947"/>
      <c r="F5409" s="1068"/>
      <c r="G5409" s="946"/>
      <c r="H5409" s="1031"/>
      <c r="I5409" s="948"/>
    </row>
    <row r="5410" spans="3:9" ht="15.75">
      <c r="C5410" s="945" t="s">
        <v>919</v>
      </c>
      <c r="D5410" s="946"/>
      <c r="E5410" s="947"/>
      <c r="F5410" s="1068"/>
      <c r="G5410" s="946"/>
      <c r="H5410" s="1031"/>
      <c r="I5410" s="948"/>
    </row>
    <row r="5411" spans="3:9" ht="15.75">
      <c r="C5411" s="949" t="s">
        <v>1732</v>
      </c>
      <c r="D5411" s="953">
        <v>10</v>
      </c>
      <c r="E5411" s="954" t="str">
        <f>+VLOOKUP(C5411,'Basic (equilibrio) (2)'!B:D,2,FALSE)</f>
        <v>pie</v>
      </c>
      <c r="F5411" s="1068">
        <f>'Basic (equilibrio) (2)'!$D$59</f>
        <v>90</v>
      </c>
      <c r="G5411" s="946">
        <v>0</v>
      </c>
      <c r="H5411" s="1031"/>
      <c r="I5411" s="948">
        <f>(D5411*F5411)</f>
        <v>900</v>
      </c>
    </row>
    <row r="5412" spans="3:9" ht="15.75">
      <c r="C5412" s="951" t="s">
        <v>918</v>
      </c>
      <c r="D5412" s="946"/>
      <c r="E5412" s="947"/>
      <c r="F5412" s="1054"/>
      <c r="G5412" s="946"/>
      <c r="H5412" s="1031"/>
      <c r="I5412" s="952">
        <f>SUM(I5411:I5411)</f>
        <v>900</v>
      </c>
    </row>
    <row r="5413" spans="3:9" ht="15.75">
      <c r="C5413" s="949"/>
      <c r="D5413" s="946"/>
      <c r="E5413" s="947"/>
      <c r="F5413" s="1054"/>
      <c r="G5413" s="946"/>
      <c r="H5413" s="1031"/>
      <c r="I5413" s="948"/>
    </row>
    <row r="5414" spans="3:9" ht="15.75">
      <c r="C5414" s="945" t="s">
        <v>923</v>
      </c>
      <c r="D5414" s="946"/>
      <c r="E5414" s="947"/>
      <c r="F5414" s="1054"/>
      <c r="G5414" s="946"/>
      <c r="H5414" s="1031"/>
      <c r="I5414" s="948"/>
    </row>
    <row r="5415" spans="3:9" ht="15.75">
      <c r="C5415" s="949" t="s">
        <v>924</v>
      </c>
      <c r="D5415" s="946"/>
      <c r="E5415" s="947" t="str">
        <f>+VLOOKUP(C5415,'Basic (equilibrio) (2)'!B:D,2,FALSE)</f>
        <v>n/a</v>
      </c>
      <c r="F5415" s="1054">
        <f>+VLOOKUP(C5415,'Basic (equilibrio) (2)'!B:D,3,FALSE)</f>
        <v>0</v>
      </c>
      <c r="G5415" s="946">
        <f>F5415-(F5415/1.18)</f>
        <v>0</v>
      </c>
      <c r="H5415" s="1039"/>
      <c r="I5415" s="955">
        <f>D5415*F5415</f>
        <v>0</v>
      </c>
    </row>
    <row r="5416" spans="3:9" ht="15.75">
      <c r="C5416" s="951" t="s">
        <v>918</v>
      </c>
      <c r="D5416" s="946"/>
      <c r="E5416" s="947"/>
      <c r="F5416" s="1054"/>
      <c r="G5416" s="946"/>
      <c r="H5416" s="1031"/>
      <c r="I5416" s="952">
        <f>SUM(I5415:I5415)</f>
        <v>0</v>
      </c>
    </row>
    <row r="5417" spans="3:9" ht="15.75">
      <c r="C5417" s="949"/>
      <c r="D5417" s="946"/>
      <c r="E5417" s="947"/>
      <c r="F5417" s="1054"/>
      <c r="G5417" s="946"/>
      <c r="H5417" s="1031"/>
      <c r="I5417" s="948"/>
    </row>
    <row r="5418" spans="3:9" ht="15.75">
      <c r="C5418" s="945" t="s">
        <v>925</v>
      </c>
      <c r="D5418" s="946"/>
      <c r="E5418" s="947"/>
      <c r="F5418" s="1054"/>
      <c r="G5418" s="946"/>
      <c r="H5418" s="1031"/>
      <c r="I5418" s="948"/>
    </row>
    <row r="5419" spans="3:9" ht="15.75">
      <c r="C5419" s="949" t="s">
        <v>924</v>
      </c>
      <c r="D5419" s="946"/>
      <c r="E5419" s="947" t="str">
        <f>+VLOOKUP(C5419,'Basic (equilibrio) (2)'!B:D,2,FALSE)</f>
        <v>n/a</v>
      </c>
      <c r="F5419" s="1054">
        <f>+VLOOKUP(C5419,'Basic (equilibrio) (2)'!B:D,3,FALSE)</f>
        <v>0</v>
      </c>
      <c r="G5419" s="946"/>
      <c r="H5419" s="1031"/>
      <c r="I5419" s="948">
        <f>D5419*F5419</f>
        <v>0</v>
      </c>
    </row>
    <row r="5420" spans="3:9" ht="15.75">
      <c r="C5420" s="951" t="s">
        <v>918</v>
      </c>
      <c r="D5420" s="946"/>
      <c r="E5420" s="947"/>
      <c r="F5420" s="1054"/>
      <c r="G5420" s="946"/>
      <c r="H5420" s="1031"/>
      <c r="I5420" s="952">
        <f>SUM(I5419)</f>
        <v>0</v>
      </c>
    </row>
    <row r="5421" spans="3:9" ht="15.75">
      <c r="C5421" s="951"/>
      <c r="D5421" s="946"/>
      <c r="E5421" s="947"/>
      <c r="F5421" s="1054"/>
      <c r="G5421" s="946"/>
      <c r="H5421" s="1031"/>
      <c r="I5421" s="952"/>
    </row>
    <row r="5422" spans="3:9" ht="15.75">
      <c r="C5422" s="956" t="s">
        <v>926</v>
      </c>
      <c r="D5422" s="957"/>
      <c r="E5422" s="958"/>
      <c r="F5422" s="1069"/>
      <c r="G5422" s="957"/>
      <c r="H5422" s="1032"/>
      <c r="I5422" s="959">
        <f>+I5408</f>
        <v>14000</v>
      </c>
    </row>
    <row r="5423" spans="3:9" ht="15.75">
      <c r="C5423" s="956" t="s">
        <v>927</v>
      </c>
      <c r="D5423" s="957"/>
      <c r="E5423" s="958"/>
      <c r="F5423" s="1069"/>
      <c r="G5423" s="957"/>
      <c r="H5423" s="1032"/>
      <c r="I5423" s="959">
        <f>+I5412</f>
        <v>900</v>
      </c>
    </row>
    <row r="5424" spans="3:9" ht="15.75">
      <c r="C5424" s="956" t="s">
        <v>928</v>
      </c>
      <c r="D5424" s="957"/>
      <c r="E5424" s="958"/>
      <c r="F5424" s="1069"/>
      <c r="G5424" s="957"/>
      <c r="H5424" s="1032"/>
      <c r="I5424" s="959">
        <f>+I5416</f>
        <v>0</v>
      </c>
    </row>
    <row r="5425" spans="2:9" ht="15.75">
      <c r="C5425" s="956" t="s">
        <v>929</v>
      </c>
      <c r="D5425" s="957"/>
      <c r="E5425" s="958"/>
      <c r="F5425" s="1069"/>
      <c r="G5425" s="957"/>
      <c r="H5425" s="1032"/>
      <c r="I5425" s="959">
        <f>+I5420</f>
        <v>0</v>
      </c>
    </row>
    <row r="5426" spans="2:9" ht="15.75">
      <c r="C5426" s="949"/>
      <c r="D5426" s="946"/>
      <c r="E5426" s="947"/>
      <c r="F5426" s="1054"/>
      <c r="G5426" s="946"/>
      <c r="H5426" s="1031"/>
      <c r="I5426" s="948"/>
    </row>
    <row r="5427" spans="2:9" ht="15.75">
      <c r="C5427" s="951" t="s">
        <v>930</v>
      </c>
      <c r="D5427" s="960"/>
      <c r="E5427" s="943" t="s">
        <v>10</v>
      </c>
      <c r="F5427" s="1070"/>
      <c r="G5427" s="960"/>
      <c r="H5427" s="1033"/>
      <c r="I5427" s="952">
        <f>SUM(I5422:I5425)</f>
        <v>14900</v>
      </c>
    </row>
    <row r="5428" spans="2:9" ht="14.25" customHeight="1">
      <c r="C5428" s="951"/>
      <c r="D5428" s="960"/>
      <c r="E5428" s="943"/>
      <c r="F5428" s="1070"/>
      <c r="G5428" s="960"/>
      <c r="H5428" s="1033"/>
      <c r="I5428" s="952"/>
    </row>
    <row r="5429" spans="2:9" ht="15.75">
      <c r="B5429" s="1026">
        <v>5.2</v>
      </c>
      <c r="C5429" s="937" t="e">
        <f>+#REF!</f>
        <v>#REF!</v>
      </c>
      <c r="D5429" s="938"/>
      <c r="E5429" s="962" t="s">
        <v>1056</v>
      </c>
      <c r="F5429" s="1066"/>
      <c r="G5429" s="938"/>
      <c r="H5429" s="1029"/>
      <c r="I5429" s="940">
        <f>+I5452</f>
        <v>11700</v>
      </c>
    </row>
    <row r="5430" spans="2:9" ht="15.75">
      <c r="C5430" s="941" t="s">
        <v>908</v>
      </c>
      <c r="D5430" s="942" t="s">
        <v>9</v>
      </c>
      <c r="E5430" s="943" t="s">
        <v>10</v>
      </c>
      <c r="F5430" s="1067" t="s">
        <v>909</v>
      </c>
      <c r="G5430" s="942" t="s">
        <v>910</v>
      </c>
      <c r="H5430" s="1030" t="s">
        <v>911</v>
      </c>
      <c r="I5430" s="944" t="s">
        <v>912</v>
      </c>
    </row>
    <row r="5431" spans="2:9" ht="15.75">
      <c r="C5431" s="945" t="s">
        <v>913</v>
      </c>
      <c r="D5431" s="946"/>
      <c r="E5431" s="947"/>
      <c r="F5431" s="1054"/>
      <c r="G5431" s="946"/>
      <c r="H5431" s="1031"/>
      <c r="I5431" s="948"/>
    </row>
    <row r="5432" spans="2:9" ht="15.75">
      <c r="C5432" s="949" t="s">
        <v>1730</v>
      </c>
      <c r="D5432" s="946">
        <v>1</v>
      </c>
      <c r="E5432" s="947" t="str">
        <f>+VLOOKUP(C5432,'Basic (equilibrio) (2)'!B:D,2,FALSE)</f>
        <v>Ud</v>
      </c>
      <c r="F5432" s="1068">
        <f>'Basic (equilibrio) (2)'!$D$470</f>
        <v>9000</v>
      </c>
      <c r="G5432" s="946">
        <f>F5432-(F5432/1.18)</f>
        <v>1372.88</v>
      </c>
      <c r="H5432" s="1031"/>
      <c r="I5432" s="948">
        <f>D5432*F5432</f>
        <v>9000</v>
      </c>
    </row>
    <row r="5433" spans="2:9" ht="15.75">
      <c r="C5433" s="951" t="s">
        <v>918</v>
      </c>
      <c r="D5433" s="946"/>
      <c r="E5433" s="947"/>
      <c r="F5433" s="1068"/>
      <c r="G5433" s="946"/>
      <c r="H5433" s="1031"/>
      <c r="I5433" s="952">
        <f>SUM(I5432:I5432)</f>
        <v>9000</v>
      </c>
    </row>
    <row r="5434" spans="2:9" ht="15.75">
      <c r="C5434" s="949"/>
      <c r="D5434" s="946"/>
      <c r="E5434" s="947"/>
      <c r="F5434" s="1068"/>
      <c r="G5434" s="946"/>
      <c r="H5434" s="1031"/>
      <c r="I5434" s="948"/>
    </row>
    <row r="5435" spans="2:9" ht="15.75">
      <c r="C5435" s="945" t="s">
        <v>919</v>
      </c>
      <c r="D5435" s="946"/>
      <c r="E5435" s="947"/>
      <c r="F5435" s="1068"/>
      <c r="G5435" s="946"/>
      <c r="H5435" s="1031"/>
      <c r="I5435" s="948"/>
    </row>
    <row r="5436" spans="2:9" ht="15.75">
      <c r="C5436" s="949" t="s">
        <v>1732</v>
      </c>
      <c r="D5436" s="953">
        <v>30</v>
      </c>
      <c r="E5436" s="954" t="str">
        <f>+VLOOKUP(C5436,'Basic (equilibrio) (2)'!B:D,2,FALSE)</f>
        <v>pie</v>
      </c>
      <c r="F5436" s="1068">
        <f>'Basic (equilibrio) (2)'!$D$59</f>
        <v>90</v>
      </c>
      <c r="G5436" s="946">
        <v>0</v>
      </c>
      <c r="H5436" s="1031"/>
      <c r="I5436" s="948">
        <f>(D5436*F5436)</f>
        <v>2700</v>
      </c>
    </row>
    <row r="5437" spans="2:9" ht="15.75">
      <c r="C5437" s="951" t="s">
        <v>918</v>
      </c>
      <c r="D5437" s="946"/>
      <c r="E5437" s="947"/>
      <c r="F5437" s="1054"/>
      <c r="G5437" s="946"/>
      <c r="H5437" s="1031"/>
      <c r="I5437" s="952">
        <f>SUM(I5436:I5436)</f>
        <v>2700</v>
      </c>
    </row>
    <row r="5438" spans="2:9" ht="15.75">
      <c r="C5438" s="949"/>
      <c r="D5438" s="946"/>
      <c r="E5438" s="947"/>
      <c r="F5438" s="1054"/>
      <c r="G5438" s="946"/>
      <c r="H5438" s="1031"/>
      <c r="I5438" s="948"/>
    </row>
    <row r="5439" spans="2:9" ht="15.75">
      <c r="C5439" s="945" t="s">
        <v>923</v>
      </c>
      <c r="D5439" s="946"/>
      <c r="E5439" s="947"/>
      <c r="F5439" s="1054"/>
      <c r="G5439" s="946"/>
      <c r="H5439" s="1031"/>
      <c r="I5439" s="948"/>
    </row>
    <row r="5440" spans="2:9" ht="15.75">
      <c r="C5440" s="949" t="s">
        <v>924</v>
      </c>
      <c r="D5440" s="946"/>
      <c r="E5440" s="947" t="str">
        <f>+VLOOKUP(C5440,'Basic (equilibrio) (2)'!B:D,2,FALSE)</f>
        <v>n/a</v>
      </c>
      <c r="F5440" s="1054">
        <f>+VLOOKUP(C5440,'Basic (equilibrio) (2)'!B:D,3,FALSE)</f>
        <v>0</v>
      </c>
      <c r="G5440" s="946">
        <f>F5440-(F5440/1.18)</f>
        <v>0</v>
      </c>
      <c r="H5440" s="1039"/>
      <c r="I5440" s="955">
        <f>D5440*F5440</f>
        <v>0</v>
      </c>
    </row>
    <row r="5441" spans="2:9" ht="15.75">
      <c r="C5441" s="951" t="s">
        <v>918</v>
      </c>
      <c r="D5441" s="946"/>
      <c r="E5441" s="947"/>
      <c r="F5441" s="1054"/>
      <c r="G5441" s="946"/>
      <c r="H5441" s="1031"/>
      <c r="I5441" s="952">
        <f>SUM(I5440:I5440)</f>
        <v>0</v>
      </c>
    </row>
    <row r="5442" spans="2:9" ht="15.75">
      <c r="C5442" s="949"/>
      <c r="D5442" s="946"/>
      <c r="E5442" s="947"/>
      <c r="F5442" s="1054"/>
      <c r="G5442" s="946"/>
      <c r="H5442" s="1031"/>
      <c r="I5442" s="948"/>
    </row>
    <row r="5443" spans="2:9" ht="15.75">
      <c r="C5443" s="945" t="s">
        <v>925</v>
      </c>
      <c r="D5443" s="946"/>
      <c r="E5443" s="947"/>
      <c r="F5443" s="1054"/>
      <c r="G5443" s="946"/>
      <c r="H5443" s="1031"/>
      <c r="I5443" s="948"/>
    </row>
    <row r="5444" spans="2:9" ht="15.75">
      <c r="C5444" s="949" t="s">
        <v>924</v>
      </c>
      <c r="D5444" s="946"/>
      <c r="E5444" s="947" t="str">
        <f>+VLOOKUP(C5444,'Basic (equilibrio) (2)'!B:D,2,FALSE)</f>
        <v>n/a</v>
      </c>
      <c r="F5444" s="1054">
        <f>+VLOOKUP(C5444,'Basic (equilibrio) (2)'!B:D,3,FALSE)</f>
        <v>0</v>
      </c>
      <c r="G5444" s="946"/>
      <c r="H5444" s="1031"/>
      <c r="I5444" s="948">
        <f>D5444*F5444</f>
        <v>0</v>
      </c>
    </row>
    <row r="5445" spans="2:9" ht="15.75">
      <c r="C5445" s="951" t="s">
        <v>918</v>
      </c>
      <c r="D5445" s="946"/>
      <c r="E5445" s="947"/>
      <c r="F5445" s="1054"/>
      <c r="G5445" s="946"/>
      <c r="H5445" s="1031"/>
      <c r="I5445" s="952">
        <f>SUM(I5444)</f>
        <v>0</v>
      </c>
    </row>
    <row r="5446" spans="2:9" ht="15.75">
      <c r="C5446" s="951"/>
      <c r="D5446" s="946"/>
      <c r="E5446" s="947"/>
      <c r="F5446" s="1054"/>
      <c r="G5446" s="946"/>
      <c r="H5446" s="1031"/>
      <c r="I5446" s="952"/>
    </row>
    <row r="5447" spans="2:9" ht="15.75">
      <c r="C5447" s="956" t="s">
        <v>926</v>
      </c>
      <c r="D5447" s="957"/>
      <c r="E5447" s="958"/>
      <c r="F5447" s="1069"/>
      <c r="G5447" s="957"/>
      <c r="H5447" s="1032"/>
      <c r="I5447" s="959">
        <f>+I5433</f>
        <v>9000</v>
      </c>
    </row>
    <row r="5448" spans="2:9" ht="15.75">
      <c r="C5448" s="956" t="s">
        <v>927</v>
      </c>
      <c r="D5448" s="957"/>
      <c r="E5448" s="958"/>
      <c r="F5448" s="1069"/>
      <c r="G5448" s="957"/>
      <c r="H5448" s="1032"/>
      <c r="I5448" s="959">
        <f>+I5437</f>
        <v>2700</v>
      </c>
    </row>
    <row r="5449" spans="2:9" ht="15.75">
      <c r="C5449" s="956" t="s">
        <v>928</v>
      </c>
      <c r="D5449" s="957"/>
      <c r="E5449" s="958"/>
      <c r="F5449" s="1069"/>
      <c r="G5449" s="957"/>
      <c r="H5449" s="1032"/>
      <c r="I5449" s="959">
        <f>+I5441</f>
        <v>0</v>
      </c>
    </row>
    <row r="5450" spans="2:9" ht="15.75">
      <c r="C5450" s="956" t="s">
        <v>929</v>
      </c>
      <c r="D5450" s="957"/>
      <c r="E5450" s="958"/>
      <c r="F5450" s="1069"/>
      <c r="G5450" s="957"/>
      <c r="H5450" s="1032"/>
      <c r="I5450" s="959">
        <f>+I5445</f>
        <v>0</v>
      </c>
    </row>
    <row r="5451" spans="2:9" ht="15.75">
      <c r="C5451" s="949"/>
      <c r="D5451" s="946"/>
      <c r="E5451" s="947"/>
      <c r="F5451" s="1054"/>
      <c r="G5451" s="946"/>
      <c r="H5451" s="1031"/>
      <c r="I5451" s="948"/>
    </row>
    <row r="5452" spans="2:9" ht="15.75">
      <c r="C5452" s="951" t="s">
        <v>930</v>
      </c>
      <c r="D5452" s="960"/>
      <c r="E5452" s="975" t="str">
        <f>+E5429</f>
        <v>ud</v>
      </c>
      <c r="F5452" s="1070"/>
      <c r="G5452" s="960"/>
      <c r="H5452" s="1033"/>
      <c r="I5452" s="952">
        <f>SUM(I5447:I5450)</f>
        <v>11700</v>
      </c>
    </row>
    <row r="5453" spans="2:9" ht="14.25" customHeight="1">
      <c r="C5453" s="951"/>
      <c r="D5453" s="960"/>
      <c r="E5453" s="943"/>
      <c r="F5453" s="1070"/>
      <c r="G5453" s="960"/>
      <c r="H5453" s="1033"/>
      <c r="I5453" s="952"/>
    </row>
    <row r="5454" spans="2:9" ht="15.75">
      <c r="B5454" s="1026">
        <v>5.3</v>
      </c>
      <c r="C5454" s="937" t="e">
        <f>+#REF!</f>
        <v>#REF!</v>
      </c>
      <c r="D5454" s="938"/>
      <c r="E5454" s="962" t="s">
        <v>1056</v>
      </c>
      <c r="F5454" s="1066"/>
      <c r="G5454" s="938"/>
      <c r="H5454" s="1029"/>
      <c r="I5454" s="940">
        <f>+I5477</f>
        <v>4250</v>
      </c>
    </row>
    <row r="5455" spans="2:9" ht="15.75">
      <c r="C5455" s="941" t="s">
        <v>908</v>
      </c>
      <c r="D5455" s="942" t="s">
        <v>9</v>
      </c>
      <c r="E5455" s="943" t="s">
        <v>10</v>
      </c>
      <c r="F5455" s="1067" t="s">
        <v>909</v>
      </c>
      <c r="G5455" s="942" t="s">
        <v>910</v>
      </c>
      <c r="H5455" s="1030" t="s">
        <v>911</v>
      </c>
      <c r="I5455" s="944" t="s">
        <v>912</v>
      </c>
    </row>
    <row r="5456" spans="2:9" ht="15.75">
      <c r="C5456" s="945" t="s">
        <v>913</v>
      </c>
      <c r="D5456" s="946"/>
      <c r="E5456" s="947"/>
      <c r="F5456" s="1054"/>
      <c r="G5456" s="946"/>
      <c r="H5456" s="1031"/>
      <c r="I5456" s="948"/>
    </row>
    <row r="5457" spans="3:9" ht="15.75">
      <c r="C5457" s="949" t="s">
        <v>573</v>
      </c>
      <c r="D5457" s="946">
        <v>1</v>
      </c>
      <c r="E5457" s="947" t="str">
        <f>+VLOOKUP(C5457,'Basic (equilibrio) (2)'!B:D,2,FALSE)</f>
        <v>M2</v>
      </c>
      <c r="F5457" s="1068">
        <f>'Basic (equilibrio) (2)'!$D$472</f>
        <v>1550</v>
      </c>
      <c r="G5457" s="946">
        <f>F5457-(F5457/1.18)</f>
        <v>236.44</v>
      </c>
      <c r="H5457" s="1031"/>
      <c r="I5457" s="948">
        <f>D5457*F5457</f>
        <v>1550</v>
      </c>
    </row>
    <row r="5458" spans="3:9" ht="15.75">
      <c r="C5458" s="951" t="s">
        <v>918</v>
      </c>
      <c r="D5458" s="946"/>
      <c r="E5458" s="947"/>
      <c r="F5458" s="1068"/>
      <c r="G5458" s="946"/>
      <c r="H5458" s="1031"/>
      <c r="I5458" s="952">
        <f>SUM(I5457:I5457)</f>
        <v>1550</v>
      </c>
    </row>
    <row r="5459" spans="3:9" ht="15.75">
      <c r="C5459" s="949"/>
      <c r="D5459" s="946"/>
      <c r="E5459" s="947"/>
      <c r="F5459" s="1068"/>
      <c r="G5459" s="946"/>
      <c r="H5459" s="1031"/>
      <c r="I5459" s="948"/>
    </row>
    <row r="5460" spans="3:9" ht="15.75">
      <c r="C5460" s="945" t="s">
        <v>919</v>
      </c>
      <c r="D5460" s="946"/>
      <c r="E5460" s="947"/>
      <c r="F5460" s="1068"/>
      <c r="G5460" s="946"/>
      <c r="H5460" s="1031"/>
      <c r="I5460" s="948"/>
    </row>
    <row r="5461" spans="3:9" ht="15.75">
      <c r="C5461" s="949" t="s">
        <v>1732</v>
      </c>
      <c r="D5461" s="953">
        <v>30</v>
      </c>
      <c r="E5461" s="954" t="str">
        <f>+VLOOKUP(C5461,'Basic (equilibrio) (2)'!B:D,2,FALSE)</f>
        <v>pie</v>
      </c>
      <c r="F5461" s="1068">
        <f>'Basic (equilibrio) (2)'!$D$59</f>
        <v>90</v>
      </c>
      <c r="G5461" s="946">
        <v>0</v>
      </c>
      <c r="H5461" s="1031"/>
      <c r="I5461" s="948">
        <f>(D5461*F5461)</f>
        <v>2700</v>
      </c>
    </row>
    <row r="5462" spans="3:9" ht="15.75">
      <c r="C5462" s="951" t="s">
        <v>918</v>
      </c>
      <c r="D5462" s="946"/>
      <c r="E5462" s="947"/>
      <c r="F5462" s="1054"/>
      <c r="G5462" s="946"/>
      <c r="H5462" s="1031"/>
      <c r="I5462" s="952">
        <f>SUM(I5461:I5461)</f>
        <v>2700</v>
      </c>
    </row>
    <row r="5463" spans="3:9" ht="15.75">
      <c r="C5463" s="949"/>
      <c r="D5463" s="946"/>
      <c r="E5463" s="947"/>
      <c r="F5463" s="1054"/>
      <c r="G5463" s="946"/>
      <c r="H5463" s="1031"/>
      <c r="I5463" s="948"/>
    </row>
    <row r="5464" spans="3:9" ht="15.75">
      <c r="C5464" s="945" t="s">
        <v>923</v>
      </c>
      <c r="D5464" s="946"/>
      <c r="E5464" s="947"/>
      <c r="F5464" s="1054"/>
      <c r="G5464" s="946"/>
      <c r="H5464" s="1031"/>
      <c r="I5464" s="948"/>
    </row>
    <row r="5465" spans="3:9" ht="15.75">
      <c r="C5465" s="949" t="s">
        <v>924</v>
      </c>
      <c r="D5465" s="946"/>
      <c r="E5465" s="947" t="str">
        <f>+VLOOKUP(C5465,'Basic (equilibrio) (2)'!B:D,2,FALSE)</f>
        <v>n/a</v>
      </c>
      <c r="F5465" s="1054">
        <f>+VLOOKUP(C5465,'Basic (equilibrio) (2)'!B:D,3,FALSE)</f>
        <v>0</v>
      </c>
      <c r="G5465" s="946">
        <f>F5465-(F5465/1.18)</f>
        <v>0</v>
      </c>
      <c r="H5465" s="1039"/>
      <c r="I5465" s="955">
        <f>D5465*F5465</f>
        <v>0</v>
      </c>
    </row>
    <row r="5466" spans="3:9" ht="15.75">
      <c r="C5466" s="951" t="s">
        <v>918</v>
      </c>
      <c r="D5466" s="946"/>
      <c r="E5466" s="947"/>
      <c r="F5466" s="1054"/>
      <c r="G5466" s="946"/>
      <c r="H5466" s="1031"/>
      <c r="I5466" s="952">
        <f>SUM(I5465:I5465)</f>
        <v>0</v>
      </c>
    </row>
    <row r="5467" spans="3:9" ht="15.75">
      <c r="C5467" s="949"/>
      <c r="D5467" s="946"/>
      <c r="E5467" s="947"/>
      <c r="F5467" s="1054"/>
      <c r="G5467" s="946"/>
      <c r="H5467" s="1031"/>
      <c r="I5467" s="948"/>
    </row>
    <row r="5468" spans="3:9" ht="15.75">
      <c r="C5468" s="945" t="s">
        <v>925</v>
      </c>
      <c r="D5468" s="946"/>
      <c r="E5468" s="947"/>
      <c r="F5468" s="1054"/>
      <c r="G5468" s="946"/>
      <c r="H5468" s="1031"/>
      <c r="I5468" s="948"/>
    </row>
    <row r="5469" spans="3:9" ht="15.75">
      <c r="C5469" s="949" t="s">
        <v>924</v>
      </c>
      <c r="D5469" s="946"/>
      <c r="E5469" s="947" t="str">
        <f>+VLOOKUP(C5469,'Basic (equilibrio) (2)'!B:D,2,FALSE)</f>
        <v>n/a</v>
      </c>
      <c r="F5469" s="1054">
        <f>+VLOOKUP(C5469,'Basic (equilibrio) (2)'!B:D,3,FALSE)</f>
        <v>0</v>
      </c>
      <c r="G5469" s="946"/>
      <c r="H5469" s="1031"/>
      <c r="I5469" s="948">
        <f>D5469*F5469</f>
        <v>0</v>
      </c>
    </row>
    <row r="5470" spans="3:9" ht="15.75">
      <c r="C5470" s="951" t="s">
        <v>918</v>
      </c>
      <c r="D5470" s="946"/>
      <c r="E5470" s="947"/>
      <c r="F5470" s="1054"/>
      <c r="G5470" s="946"/>
      <c r="H5470" s="1031"/>
      <c r="I5470" s="952">
        <f>SUM(I5469)</f>
        <v>0</v>
      </c>
    </row>
    <row r="5471" spans="3:9" ht="15.75">
      <c r="C5471" s="951"/>
      <c r="D5471" s="946"/>
      <c r="E5471" s="947"/>
      <c r="F5471" s="1054"/>
      <c r="G5471" s="946"/>
      <c r="H5471" s="1031"/>
      <c r="I5471" s="952"/>
    </row>
    <row r="5472" spans="3:9" ht="15.75">
      <c r="C5472" s="956" t="s">
        <v>926</v>
      </c>
      <c r="D5472" s="957"/>
      <c r="E5472" s="958"/>
      <c r="F5472" s="1069"/>
      <c r="G5472" s="957"/>
      <c r="H5472" s="1032"/>
      <c r="I5472" s="959">
        <f>+I5458</f>
        <v>1550</v>
      </c>
    </row>
    <row r="5473" spans="2:9" ht="15.75">
      <c r="C5473" s="956" t="s">
        <v>927</v>
      </c>
      <c r="D5473" s="957"/>
      <c r="E5473" s="958"/>
      <c r="F5473" s="1069"/>
      <c r="G5473" s="957"/>
      <c r="H5473" s="1032"/>
      <c r="I5473" s="959">
        <f>+I5462</f>
        <v>2700</v>
      </c>
    </row>
    <row r="5474" spans="2:9" ht="15.75">
      <c r="C5474" s="956" t="s">
        <v>928</v>
      </c>
      <c r="D5474" s="957"/>
      <c r="E5474" s="958"/>
      <c r="F5474" s="1069"/>
      <c r="G5474" s="957"/>
      <c r="H5474" s="1032"/>
      <c r="I5474" s="959">
        <f>+I5466</f>
        <v>0</v>
      </c>
    </row>
    <row r="5475" spans="2:9" ht="15.75">
      <c r="C5475" s="956" t="s">
        <v>929</v>
      </c>
      <c r="D5475" s="957"/>
      <c r="E5475" s="958"/>
      <c r="F5475" s="1069"/>
      <c r="G5475" s="957"/>
      <c r="H5475" s="1032"/>
      <c r="I5475" s="959">
        <f>+I5470</f>
        <v>0</v>
      </c>
    </row>
    <row r="5476" spans="2:9" ht="15.75">
      <c r="C5476" s="949"/>
      <c r="D5476" s="946"/>
      <c r="E5476" s="947"/>
      <c r="F5476" s="1054"/>
      <c r="G5476" s="946"/>
      <c r="H5476" s="1031"/>
      <c r="I5476" s="948"/>
    </row>
    <row r="5477" spans="2:9" ht="15.75">
      <c r="C5477" s="951" t="s">
        <v>930</v>
      </c>
      <c r="D5477" s="960"/>
      <c r="E5477" s="975" t="str">
        <f>+E5454</f>
        <v>ud</v>
      </c>
      <c r="F5477" s="1070"/>
      <c r="G5477" s="960"/>
      <c r="H5477" s="1033"/>
      <c r="I5477" s="952">
        <f>SUM(I5472:I5475)</f>
        <v>4250</v>
      </c>
    </row>
    <row r="5478" spans="2:9" ht="14.25" customHeight="1">
      <c r="C5478" s="951"/>
      <c r="D5478" s="960"/>
      <c r="E5478" s="943"/>
      <c r="F5478" s="1070"/>
      <c r="G5478" s="960"/>
      <c r="H5478" s="1033"/>
      <c r="I5478" s="952"/>
    </row>
    <row r="5479" spans="2:9" ht="15.75">
      <c r="B5479" s="1026">
        <v>5.4</v>
      </c>
      <c r="C5479" s="937" t="e">
        <f>+#REF!</f>
        <v>#REF!</v>
      </c>
      <c r="D5479" s="938"/>
      <c r="E5479" s="962" t="s">
        <v>1056</v>
      </c>
      <c r="F5479" s="1066"/>
      <c r="G5479" s="938"/>
      <c r="H5479" s="1029"/>
      <c r="I5479" s="940">
        <f>+I5502</f>
        <v>996.6</v>
      </c>
    </row>
    <row r="5480" spans="2:9" ht="15.75">
      <c r="C5480" s="941" t="s">
        <v>908</v>
      </c>
      <c r="D5480" s="942" t="s">
        <v>9</v>
      </c>
      <c r="E5480" s="943" t="s">
        <v>10</v>
      </c>
      <c r="F5480" s="1067" t="s">
        <v>909</v>
      </c>
      <c r="G5480" s="942" t="s">
        <v>910</v>
      </c>
      <c r="H5480" s="1030" t="s">
        <v>911</v>
      </c>
      <c r="I5480" s="944" t="s">
        <v>912</v>
      </c>
    </row>
    <row r="5481" spans="2:9" ht="15.75">
      <c r="C5481" s="945" t="s">
        <v>913</v>
      </c>
      <c r="D5481" s="946"/>
      <c r="E5481" s="947"/>
      <c r="F5481" s="1054"/>
      <c r="G5481" s="946"/>
      <c r="H5481" s="1031"/>
      <c r="I5481" s="948"/>
    </row>
    <row r="5482" spans="2:9" ht="48" customHeight="1">
      <c r="C5482" s="949" t="s">
        <v>1733</v>
      </c>
      <c r="D5482" s="946">
        <v>1</v>
      </c>
      <c r="E5482" s="947" t="str">
        <f>+VLOOKUP(C5482,'Basic (equilibrio) (2)'!B:D,2,FALSE)</f>
        <v>M²</v>
      </c>
      <c r="F5482" s="1068">
        <f>'Basic (equilibrio) (2)'!$D$462</f>
        <v>996.6</v>
      </c>
      <c r="G5482" s="946">
        <f>F5482-(F5482/1.18)</f>
        <v>152.02000000000001</v>
      </c>
      <c r="H5482" s="1031"/>
      <c r="I5482" s="948">
        <f>D5482*F5482</f>
        <v>996.6</v>
      </c>
    </row>
    <row r="5483" spans="2:9" ht="15.75">
      <c r="C5483" s="951" t="s">
        <v>918</v>
      </c>
      <c r="D5483" s="946"/>
      <c r="E5483" s="947"/>
      <c r="F5483" s="1068"/>
      <c r="G5483" s="946"/>
      <c r="H5483" s="1031"/>
      <c r="I5483" s="952">
        <f>SUM(I5482:I5482)</f>
        <v>996.6</v>
      </c>
    </row>
    <row r="5484" spans="2:9" ht="15.75">
      <c r="C5484" s="949"/>
      <c r="D5484" s="946"/>
      <c r="E5484" s="947"/>
      <c r="F5484" s="1068"/>
      <c r="G5484" s="946"/>
      <c r="H5484" s="1031"/>
      <c r="I5484" s="948"/>
    </row>
    <row r="5485" spans="2:9" ht="15.75">
      <c r="C5485" s="945" t="s">
        <v>919</v>
      </c>
      <c r="D5485" s="946"/>
      <c r="E5485" s="947"/>
      <c r="F5485" s="1068"/>
      <c r="G5485" s="946"/>
      <c r="H5485" s="1031"/>
      <c r="I5485" s="948"/>
    </row>
    <row r="5486" spans="2:9" ht="15.75">
      <c r="C5486" s="949" t="s">
        <v>924</v>
      </c>
      <c r="D5486" s="953">
        <v>1</v>
      </c>
      <c r="E5486" s="954" t="str">
        <f>+VLOOKUP(C5486,'Basic (equilibrio) (2)'!B:D,2,FALSE)</f>
        <v>n/a</v>
      </c>
      <c r="F5486" s="1068">
        <f>+VLOOKUP(C5486,'Basic (equilibrio) (2)'!B:D,3,FALSE)</f>
        <v>0</v>
      </c>
      <c r="G5486" s="946">
        <v>0</v>
      </c>
      <c r="H5486" s="1031"/>
      <c r="I5486" s="948">
        <f>(D5486*F5486)</f>
        <v>0</v>
      </c>
    </row>
    <row r="5487" spans="2:9" ht="15.75">
      <c r="C5487" s="951" t="s">
        <v>918</v>
      </c>
      <c r="D5487" s="946"/>
      <c r="E5487" s="947"/>
      <c r="F5487" s="1054"/>
      <c r="G5487" s="946"/>
      <c r="H5487" s="1031"/>
      <c r="I5487" s="952">
        <f>SUM(I5486:I5486)</f>
        <v>0</v>
      </c>
    </row>
    <row r="5488" spans="2:9" ht="15.75">
      <c r="C5488" s="949"/>
      <c r="D5488" s="946"/>
      <c r="E5488" s="947"/>
      <c r="F5488" s="1054"/>
      <c r="G5488" s="946"/>
      <c r="H5488" s="1031"/>
      <c r="I5488" s="948"/>
    </row>
    <row r="5489" spans="2:9" ht="15.75">
      <c r="C5489" s="945" t="s">
        <v>923</v>
      </c>
      <c r="D5489" s="946"/>
      <c r="E5489" s="947"/>
      <c r="F5489" s="1054"/>
      <c r="G5489" s="946"/>
      <c r="H5489" s="1031"/>
      <c r="I5489" s="948"/>
    </row>
    <row r="5490" spans="2:9" ht="15.75">
      <c r="C5490" s="949" t="s">
        <v>924</v>
      </c>
      <c r="D5490" s="946"/>
      <c r="E5490" s="947" t="str">
        <f>+VLOOKUP(C5490,'Basic (equilibrio) (2)'!B:D,2,FALSE)</f>
        <v>n/a</v>
      </c>
      <c r="F5490" s="1054">
        <f>+VLOOKUP(C5490,'Basic (equilibrio) (2)'!B:D,3,FALSE)</f>
        <v>0</v>
      </c>
      <c r="G5490" s="946">
        <f>F5490-(F5490/1.18)</f>
        <v>0</v>
      </c>
      <c r="H5490" s="1039"/>
      <c r="I5490" s="955">
        <f>D5490*F5490</f>
        <v>0</v>
      </c>
    </row>
    <row r="5491" spans="2:9" ht="15.75">
      <c r="C5491" s="951" t="s">
        <v>918</v>
      </c>
      <c r="D5491" s="946"/>
      <c r="E5491" s="947"/>
      <c r="F5491" s="1054"/>
      <c r="G5491" s="946"/>
      <c r="H5491" s="1031"/>
      <c r="I5491" s="952">
        <f>SUM(I5490:I5490)</f>
        <v>0</v>
      </c>
    </row>
    <row r="5492" spans="2:9" ht="15.75">
      <c r="C5492" s="949"/>
      <c r="D5492" s="946"/>
      <c r="E5492" s="947"/>
      <c r="F5492" s="1054"/>
      <c r="G5492" s="946"/>
      <c r="H5492" s="1031"/>
      <c r="I5492" s="948"/>
    </row>
    <row r="5493" spans="2:9" ht="15.75">
      <c r="C5493" s="945" t="s">
        <v>925</v>
      </c>
      <c r="D5493" s="946"/>
      <c r="E5493" s="947"/>
      <c r="F5493" s="1054"/>
      <c r="G5493" s="946"/>
      <c r="H5493" s="1031"/>
      <c r="I5493" s="948"/>
    </row>
    <row r="5494" spans="2:9" ht="15.75">
      <c r="C5494" s="949" t="s">
        <v>924</v>
      </c>
      <c r="D5494" s="946"/>
      <c r="E5494" s="947" t="str">
        <f>+VLOOKUP(C5494,'Basic (equilibrio) (2)'!B:D,2,FALSE)</f>
        <v>n/a</v>
      </c>
      <c r="F5494" s="1054">
        <f>+VLOOKUP(C5494,'Basic (equilibrio) (2)'!B:D,3,FALSE)</f>
        <v>0</v>
      </c>
      <c r="G5494" s="946"/>
      <c r="H5494" s="1031"/>
      <c r="I5494" s="948">
        <f>D5494*F5494</f>
        <v>0</v>
      </c>
    </row>
    <row r="5495" spans="2:9" ht="15.75">
      <c r="C5495" s="951" t="s">
        <v>918</v>
      </c>
      <c r="D5495" s="946"/>
      <c r="E5495" s="947"/>
      <c r="F5495" s="1054"/>
      <c r="G5495" s="946"/>
      <c r="H5495" s="1031"/>
      <c r="I5495" s="952">
        <f>SUM(I5494)</f>
        <v>0</v>
      </c>
    </row>
    <row r="5496" spans="2:9" ht="15.75">
      <c r="C5496" s="951"/>
      <c r="D5496" s="946"/>
      <c r="E5496" s="947"/>
      <c r="F5496" s="1054"/>
      <c r="G5496" s="946"/>
      <c r="H5496" s="1031"/>
      <c r="I5496" s="952"/>
    </row>
    <row r="5497" spans="2:9" ht="15.75">
      <c r="C5497" s="956" t="s">
        <v>926</v>
      </c>
      <c r="D5497" s="957"/>
      <c r="E5497" s="958"/>
      <c r="F5497" s="1069"/>
      <c r="G5497" s="957"/>
      <c r="H5497" s="1032"/>
      <c r="I5497" s="959">
        <f>+I5483</f>
        <v>996.6</v>
      </c>
    </row>
    <row r="5498" spans="2:9" ht="15.75">
      <c r="C5498" s="956" t="s">
        <v>927</v>
      </c>
      <c r="D5498" s="957"/>
      <c r="E5498" s="958"/>
      <c r="F5498" s="1069"/>
      <c r="G5498" s="957"/>
      <c r="H5498" s="1032"/>
      <c r="I5498" s="959">
        <f>+I5487</f>
        <v>0</v>
      </c>
    </row>
    <row r="5499" spans="2:9" ht="15.75">
      <c r="C5499" s="956" t="s">
        <v>928</v>
      </c>
      <c r="D5499" s="957"/>
      <c r="E5499" s="958"/>
      <c r="F5499" s="1069"/>
      <c r="G5499" s="957"/>
      <c r="H5499" s="1032"/>
      <c r="I5499" s="959">
        <f>+I5491</f>
        <v>0</v>
      </c>
    </row>
    <row r="5500" spans="2:9" ht="15.75">
      <c r="C5500" s="956" t="s">
        <v>929</v>
      </c>
      <c r="D5500" s="957"/>
      <c r="E5500" s="958"/>
      <c r="F5500" s="1069"/>
      <c r="G5500" s="957"/>
      <c r="H5500" s="1032"/>
      <c r="I5500" s="959">
        <f>+I5495</f>
        <v>0</v>
      </c>
    </row>
    <row r="5501" spans="2:9" ht="15.75">
      <c r="C5501" s="949"/>
      <c r="D5501" s="946"/>
      <c r="E5501" s="947"/>
      <c r="F5501" s="1054"/>
      <c r="G5501" s="946"/>
      <c r="H5501" s="1031"/>
      <c r="I5501" s="948"/>
    </row>
    <row r="5502" spans="2:9" ht="15.75">
      <c r="C5502" s="951" t="s">
        <v>930</v>
      </c>
      <c r="D5502" s="960"/>
      <c r="E5502" s="975" t="s">
        <v>20</v>
      </c>
      <c r="F5502" s="1070"/>
      <c r="G5502" s="960"/>
      <c r="H5502" s="1033"/>
      <c r="I5502" s="952">
        <f>SUM(I5497:I5500)</f>
        <v>996.6</v>
      </c>
    </row>
    <row r="5503" spans="2:9" ht="15.75">
      <c r="C5503" s="951"/>
      <c r="D5503" s="960"/>
      <c r="E5503" s="943"/>
      <c r="F5503" s="1070"/>
      <c r="G5503" s="960"/>
      <c r="H5503" s="1033"/>
      <c r="I5503" s="952"/>
    </row>
    <row r="5504" spans="2:9" ht="15.75">
      <c r="B5504" s="1026">
        <v>5.5</v>
      </c>
      <c r="C5504" s="937" t="e">
        <f>+#REF!</f>
        <v>#REF!</v>
      </c>
      <c r="D5504" s="938"/>
      <c r="E5504" s="962" t="s">
        <v>1056</v>
      </c>
      <c r="F5504" s="1066"/>
      <c r="G5504" s="938"/>
      <c r="H5504" s="1029"/>
      <c r="I5504" s="940">
        <f>+I5527</f>
        <v>1550</v>
      </c>
    </row>
    <row r="5505" spans="3:9" ht="15.75">
      <c r="C5505" s="941" t="s">
        <v>908</v>
      </c>
      <c r="D5505" s="942" t="s">
        <v>9</v>
      </c>
      <c r="E5505" s="943" t="s">
        <v>10</v>
      </c>
      <c r="F5505" s="1067" t="s">
        <v>909</v>
      </c>
      <c r="G5505" s="942" t="s">
        <v>910</v>
      </c>
      <c r="H5505" s="1030" t="s">
        <v>911</v>
      </c>
      <c r="I5505" s="944" t="s">
        <v>912</v>
      </c>
    </row>
    <row r="5506" spans="3:9" ht="15.75">
      <c r="C5506" s="945" t="s">
        <v>913</v>
      </c>
      <c r="D5506" s="946"/>
      <c r="E5506" s="947"/>
      <c r="F5506" s="1054"/>
      <c r="G5506" s="946"/>
      <c r="H5506" s="1031"/>
      <c r="I5506" s="948"/>
    </row>
    <row r="5507" spans="3:9" ht="48" customHeight="1">
      <c r="C5507" s="949" t="s">
        <v>575</v>
      </c>
      <c r="D5507" s="946">
        <v>1</v>
      </c>
      <c r="E5507" s="947" t="str">
        <f>+VLOOKUP(C5507,'Basic (equilibrio) (2)'!B:D,2,FALSE)</f>
        <v>M2</v>
      </c>
      <c r="F5507" s="1068">
        <f>'Basic (equilibrio) (2)'!$D$473</f>
        <v>1550</v>
      </c>
      <c r="G5507" s="946">
        <f>F5507-(F5507/1.18)</f>
        <v>236.44</v>
      </c>
      <c r="H5507" s="1031"/>
      <c r="I5507" s="948">
        <f>D5507*F5507</f>
        <v>1550</v>
      </c>
    </row>
    <row r="5508" spans="3:9" ht="15.75">
      <c r="C5508" s="951" t="s">
        <v>918</v>
      </c>
      <c r="D5508" s="946"/>
      <c r="E5508" s="947"/>
      <c r="F5508" s="1068"/>
      <c r="G5508" s="946"/>
      <c r="H5508" s="1031"/>
      <c r="I5508" s="952">
        <f>SUM(I5507:I5507)</f>
        <v>1550</v>
      </c>
    </row>
    <row r="5509" spans="3:9" ht="15.75">
      <c r="C5509" s="949"/>
      <c r="D5509" s="946"/>
      <c r="E5509" s="947"/>
      <c r="F5509" s="1068"/>
      <c r="G5509" s="946"/>
      <c r="H5509" s="1031"/>
      <c r="I5509" s="948"/>
    </row>
    <row r="5510" spans="3:9" ht="15.75">
      <c r="C5510" s="945" t="s">
        <v>919</v>
      </c>
      <c r="D5510" s="946"/>
      <c r="E5510" s="947"/>
      <c r="F5510" s="1068"/>
      <c r="G5510" s="946"/>
      <c r="H5510" s="1031"/>
      <c r="I5510" s="948"/>
    </row>
    <row r="5511" spans="3:9" ht="15.75">
      <c r="C5511" s="949" t="s">
        <v>924</v>
      </c>
      <c r="D5511" s="953">
        <v>1</v>
      </c>
      <c r="E5511" s="954" t="str">
        <f>+VLOOKUP(C5511,'Basic (equilibrio) (2)'!B:D,2,FALSE)</f>
        <v>n/a</v>
      </c>
      <c r="F5511" s="1068">
        <f>+VLOOKUP(C5511,'Basic (equilibrio) (2)'!B:D,3,FALSE)</f>
        <v>0</v>
      </c>
      <c r="G5511" s="946">
        <v>0</v>
      </c>
      <c r="H5511" s="1031"/>
      <c r="I5511" s="948">
        <f>(D5511*F5511)</f>
        <v>0</v>
      </c>
    </row>
    <row r="5512" spans="3:9" ht="15.75">
      <c r="C5512" s="951" t="s">
        <v>918</v>
      </c>
      <c r="D5512" s="946"/>
      <c r="E5512" s="947"/>
      <c r="F5512" s="1054"/>
      <c r="G5512" s="946"/>
      <c r="H5512" s="1031"/>
      <c r="I5512" s="952">
        <f>SUM(I5511:I5511)</f>
        <v>0</v>
      </c>
    </row>
    <row r="5513" spans="3:9" ht="15.75">
      <c r="C5513" s="949"/>
      <c r="D5513" s="946"/>
      <c r="E5513" s="947"/>
      <c r="F5513" s="1054"/>
      <c r="G5513" s="946"/>
      <c r="H5513" s="1031"/>
      <c r="I5513" s="948"/>
    </row>
    <row r="5514" spans="3:9" ht="15.75">
      <c r="C5514" s="945" t="s">
        <v>923</v>
      </c>
      <c r="D5514" s="946"/>
      <c r="E5514" s="947"/>
      <c r="F5514" s="1054"/>
      <c r="G5514" s="946"/>
      <c r="H5514" s="1031"/>
      <c r="I5514" s="948"/>
    </row>
    <row r="5515" spans="3:9" ht="15.75">
      <c r="C5515" s="949" t="s">
        <v>924</v>
      </c>
      <c r="D5515" s="946"/>
      <c r="E5515" s="947" t="str">
        <f>+VLOOKUP(C5515,'Basic (equilibrio) (2)'!B:D,2,FALSE)</f>
        <v>n/a</v>
      </c>
      <c r="F5515" s="1054">
        <f>+VLOOKUP(C5515,'Basic (equilibrio) (2)'!B:D,3,FALSE)</f>
        <v>0</v>
      </c>
      <c r="G5515" s="946">
        <f>F5515-(F5515/1.18)</f>
        <v>0</v>
      </c>
      <c r="H5515" s="1039"/>
      <c r="I5515" s="955">
        <f>D5515*F5515</f>
        <v>0</v>
      </c>
    </row>
    <row r="5516" spans="3:9" ht="15.75">
      <c r="C5516" s="951" t="s">
        <v>918</v>
      </c>
      <c r="D5516" s="946"/>
      <c r="E5516" s="947"/>
      <c r="F5516" s="1054"/>
      <c r="G5516" s="946"/>
      <c r="H5516" s="1031"/>
      <c r="I5516" s="952">
        <f>SUM(I5515:I5515)</f>
        <v>0</v>
      </c>
    </row>
    <row r="5517" spans="3:9" ht="15.75">
      <c r="C5517" s="949"/>
      <c r="D5517" s="946"/>
      <c r="E5517" s="947"/>
      <c r="F5517" s="1054"/>
      <c r="G5517" s="946"/>
      <c r="H5517" s="1031"/>
      <c r="I5517" s="948"/>
    </row>
    <row r="5518" spans="3:9" ht="15.75">
      <c r="C5518" s="945" t="s">
        <v>925</v>
      </c>
      <c r="D5518" s="946"/>
      <c r="E5518" s="947"/>
      <c r="F5518" s="1054"/>
      <c r="G5518" s="946"/>
      <c r="H5518" s="1031"/>
      <c r="I5518" s="948"/>
    </row>
    <row r="5519" spans="3:9" ht="15.75">
      <c r="C5519" s="949" t="s">
        <v>924</v>
      </c>
      <c r="D5519" s="946"/>
      <c r="E5519" s="947" t="str">
        <f>+VLOOKUP(C5519,'Basic (equilibrio) (2)'!B:D,2,FALSE)</f>
        <v>n/a</v>
      </c>
      <c r="F5519" s="1054">
        <f>+VLOOKUP(C5519,'Basic (equilibrio) (2)'!B:D,3,FALSE)</f>
        <v>0</v>
      </c>
      <c r="G5519" s="946"/>
      <c r="H5519" s="1031"/>
      <c r="I5519" s="948">
        <f>D5519*F5519</f>
        <v>0</v>
      </c>
    </row>
    <row r="5520" spans="3:9" ht="15.75">
      <c r="C5520" s="951" t="s">
        <v>918</v>
      </c>
      <c r="D5520" s="946"/>
      <c r="E5520" s="947"/>
      <c r="F5520" s="1054"/>
      <c r="G5520" s="946"/>
      <c r="H5520" s="1031"/>
      <c r="I5520" s="952">
        <f>SUM(I5519)</f>
        <v>0</v>
      </c>
    </row>
    <row r="5521" spans="2:9" ht="15.75">
      <c r="C5521" s="951"/>
      <c r="D5521" s="946"/>
      <c r="E5521" s="947"/>
      <c r="F5521" s="1054"/>
      <c r="G5521" s="946"/>
      <c r="H5521" s="1031"/>
      <c r="I5521" s="952"/>
    </row>
    <row r="5522" spans="2:9" ht="15.75">
      <c r="C5522" s="956" t="s">
        <v>926</v>
      </c>
      <c r="D5522" s="957"/>
      <c r="E5522" s="958"/>
      <c r="F5522" s="1069"/>
      <c r="G5522" s="957"/>
      <c r="H5522" s="1032"/>
      <c r="I5522" s="959">
        <f>+I5508</f>
        <v>1550</v>
      </c>
    </row>
    <row r="5523" spans="2:9" ht="15.75">
      <c r="C5523" s="956" t="s">
        <v>927</v>
      </c>
      <c r="D5523" s="957"/>
      <c r="E5523" s="958"/>
      <c r="F5523" s="1069"/>
      <c r="G5523" s="957"/>
      <c r="H5523" s="1032"/>
      <c r="I5523" s="959">
        <f>+I5512</f>
        <v>0</v>
      </c>
    </row>
    <row r="5524" spans="2:9" ht="15.75">
      <c r="C5524" s="956" t="s">
        <v>928</v>
      </c>
      <c r="D5524" s="957"/>
      <c r="E5524" s="958"/>
      <c r="F5524" s="1069"/>
      <c r="G5524" s="957"/>
      <c r="H5524" s="1032"/>
      <c r="I5524" s="959">
        <f>+I5516</f>
        <v>0</v>
      </c>
    </row>
    <row r="5525" spans="2:9" ht="15.75">
      <c r="C5525" s="956" t="s">
        <v>929</v>
      </c>
      <c r="D5525" s="957"/>
      <c r="E5525" s="958"/>
      <c r="F5525" s="1069"/>
      <c r="G5525" s="957"/>
      <c r="H5525" s="1032"/>
      <c r="I5525" s="959">
        <f>+I5520</f>
        <v>0</v>
      </c>
    </row>
    <row r="5526" spans="2:9" ht="15.75">
      <c r="C5526" s="949"/>
      <c r="D5526" s="946"/>
      <c r="E5526" s="947"/>
      <c r="F5526" s="1054"/>
      <c r="G5526" s="946"/>
      <c r="H5526" s="1031"/>
      <c r="I5526" s="948"/>
    </row>
    <row r="5527" spans="2:9" ht="15.75">
      <c r="C5527" s="951" t="s">
        <v>930</v>
      </c>
      <c r="D5527" s="960"/>
      <c r="E5527" s="975" t="s">
        <v>20</v>
      </c>
      <c r="F5527" s="1070"/>
      <c r="G5527" s="960"/>
      <c r="H5527" s="1033"/>
      <c r="I5527" s="952">
        <f>SUM(I5522:I5525)</f>
        <v>1550</v>
      </c>
    </row>
    <row r="5528" spans="2:9" ht="15.75">
      <c r="B5528" s="1075"/>
      <c r="C5528" s="1076"/>
      <c r="D5528" s="1077"/>
      <c r="E5528" s="1078"/>
      <c r="F5528" s="1079"/>
      <c r="G5528" s="1077"/>
      <c r="H5528" s="1080"/>
      <c r="I5528" s="1081"/>
    </row>
    <row r="5529" spans="2:9" ht="15.75">
      <c r="B5529" s="1038">
        <v>6.1</v>
      </c>
      <c r="C5529" s="937" t="str">
        <f>+Presupuesto!B356</f>
        <v>Acera perimetral de 1.00  M</v>
      </c>
      <c r="D5529" s="938"/>
      <c r="E5529" s="962" t="s">
        <v>15</v>
      </c>
      <c r="F5529" s="1066"/>
      <c r="G5529" s="938"/>
      <c r="H5529" s="1029"/>
      <c r="I5529" s="940">
        <f>I5558</f>
        <v>1589.22</v>
      </c>
    </row>
    <row r="5530" spans="2:9" ht="15.75">
      <c r="C5530" s="941" t="s">
        <v>908</v>
      </c>
      <c r="D5530" s="942" t="s">
        <v>9</v>
      </c>
      <c r="E5530" s="943" t="s">
        <v>10</v>
      </c>
      <c r="F5530" s="1067" t="s">
        <v>909</v>
      </c>
      <c r="G5530" s="942" t="s">
        <v>910</v>
      </c>
      <c r="H5530" s="1030" t="s">
        <v>911</v>
      </c>
      <c r="I5530" s="944" t="s">
        <v>912</v>
      </c>
    </row>
    <row r="5531" spans="2:9" ht="15.75">
      <c r="C5531" s="945" t="s">
        <v>913</v>
      </c>
      <c r="D5531" s="946"/>
      <c r="E5531" s="947"/>
      <c r="F5531" s="1054"/>
      <c r="G5531" s="946"/>
      <c r="H5531" s="1031"/>
      <c r="I5531" s="948"/>
    </row>
    <row r="5532" spans="2:9" ht="15.75">
      <c r="C5532" s="949" t="s">
        <v>956</v>
      </c>
      <c r="D5532" s="946">
        <v>1</v>
      </c>
      <c r="E5532" s="947" t="str">
        <f>+VLOOKUP(C5532,'Basic (equilibrio) (2)'!B:D,2,FALSE)</f>
        <v>rollo</v>
      </c>
      <c r="F5532" s="1068">
        <f>'Basic (equilibrio) (2)'!$D$330</f>
        <v>22294</v>
      </c>
      <c r="G5532" s="946">
        <f>F5532-(F5532/1.18)</f>
        <v>3400.78</v>
      </c>
      <c r="H5532" s="1031">
        <v>96</v>
      </c>
      <c r="I5532" s="948">
        <f>D5532*F5532/H5532</f>
        <v>232.23</v>
      </c>
    </row>
    <row r="5533" spans="2:9" ht="15.75">
      <c r="C5533" s="949" t="s">
        <v>957</v>
      </c>
      <c r="D5533" s="946">
        <f>1*0.1*1.05</f>
        <v>0.11</v>
      </c>
      <c r="E5533" s="947" t="str">
        <f>+VLOOKUP(C5533,'Basic (equilibrio) (2)'!B:D,2,FALSE)</f>
        <v>m3</v>
      </c>
      <c r="F5533" s="1068">
        <f>'Basic (equilibrio) (2)'!$D$178</f>
        <v>7900</v>
      </c>
      <c r="G5533" s="946">
        <f>F5533-(F5533/1.18)</f>
        <v>1205.08</v>
      </c>
      <c r="H5533" s="1031"/>
      <c r="I5533" s="948">
        <f>D5533*F5533</f>
        <v>869</v>
      </c>
    </row>
    <row r="5534" spans="2:9" ht="15.75">
      <c r="C5534" s="949" t="s">
        <v>958</v>
      </c>
      <c r="D5534" s="946">
        <v>0.02</v>
      </c>
      <c r="E5534" s="947" t="str">
        <f>+VLOOKUP(C5534,'Basic (equilibrio) (2)'!B:D,2,FALSE)</f>
        <v>m3</v>
      </c>
      <c r="F5534" s="1068">
        <f>'Basic (equilibrio) (2)'!$D$309</f>
        <v>6820</v>
      </c>
      <c r="G5534" s="946">
        <f>F5534-(F5534/1.18)</f>
        <v>1040.3399999999999</v>
      </c>
      <c r="H5534" s="1031"/>
      <c r="I5534" s="948">
        <f>D5534*F5534</f>
        <v>136.4</v>
      </c>
    </row>
    <row r="5535" spans="2:9" ht="15.75">
      <c r="C5535" s="949" t="s">
        <v>916</v>
      </c>
      <c r="D5535" s="946">
        <v>0.18</v>
      </c>
      <c r="E5535" s="947" t="str">
        <f>+VLOOKUP(C5535,'Basic (equilibrio) (2)'!B:D,2,FALSE)</f>
        <v>pt</v>
      </c>
      <c r="F5535" s="1068">
        <f>'Basic (equilibrio) (2)'!$D$194</f>
        <v>107.7</v>
      </c>
      <c r="G5535" s="946">
        <f>F5535-(F5535/1.18)</f>
        <v>16.43</v>
      </c>
      <c r="H5535" s="1031"/>
      <c r="I5535" s="948">
        <f>D5535*F5535</f>
        <v>19.39</v>
      </c>
    </row>
    <row r="5536" spans="2:9" ht="15.75">
      <c r="C5536" s="951" t="s">
        <v>918</v>
      </c>
      <c r="D5536" s="946"/>
      <c r="E5536" s="947"/>
      <c r="F5536" s="1068"/>
      <c r="G5536" s="946"/>
      <c r="H5536" s="1031"/>
      <c r="I5536" s="952">
        <f>SUM(I5532:I5535)</f>
        <v>1257.02</v>
      </c>
    </row>
    <row r="5537" spans="3:9" ht="15.75">
      <c r="C5537" s="949"/>
      <c r="D5537" s="946"/>
      <c r="E5537" s="947"/>
      <c r="F5537" s="1068"/>
      <c r="G5537" s="946"/>
      <c r="H5537" s="1031"/>
      <c r="I5537" s="948"/>
    </row>
    <row r="5538" spans="3:9" ht="15.75">
      <c r="C5538" s="945" t="s">
        <v>919</v>
      </c>
      <c r="D5538" s="946"/>
      <c r="E5538" s="947"/>
      <c r="F5538" s="1068"/>
      <c r="G5538" s="946"/>
      <c r="H5538" s="1031"/>
      <c r="I5538" s="948"/>
    </row>
    <row r="5539" spans="3:9" ht="15.75">
      <c r="C5539" s="949" t="s">
        <v>959</v>
      </c>
      <c r="D5539" s="953">
        <v>1</v>
      </c>
      <c r="E5539" s="954" t="str">
        <f>+VLOOKUP(C5539,'Basic (equilibrio) (2)'!B:D,2,FALSE)</f>
        <v>m2</v>
      </c>
      <c r="F5539" s="1068">
        <f>'Basic (equilibrio) (2)'!$D$17</f>
        <v>50</v>
      </c>
      <c r="G5539" s="946">
        <f>F5539-(F5539/1.18)</f>
        <v>7.63</v>
      </c>
      <c r="H5539" s="1031"/>
      <c r="I5539" s="948">
        <f>D5539*F5539</f>
        <v>50</v>
      </c>
    </row>
    <row r="5540" spans="3:9" ht="31.5">
      <c r="C5540" s="949" t="s">
        <v>960</v>
      </c>
      <c r="D5540" s="953">
        <v>1</v>
      </c>
      <c r="E5540" s="954" t="str">
        <f>+VLOOKUP(C5540,'Basic (equilibrio) (2)'!B:D,2,FALSE)</f>
        <v>m2</v>
      </c>
      <c r="F5540" s="1068">
        <f>'Basic (equilibrio) (2)'!$D$24</f>
        <v>196</v>
      </c>
      <c r="G5540" s="946">
        <f>F5540-(F5540/1.18)</f>
        <v>29.9</v>
      </c>
      <c r="H5540" s="1031"/>
      <c r="I5540" s="948">
        <f>D5540*F5540</f>
        <v>196</v>
      </c>
    </row>
    <row r="5541" spans="3:9" ht="15.75">
      <c r="C5541" s="949" t="s">
        <v>961</v>
      </c>
      <c r="D5541" s="953">
        <v>1</v>
      </c>
      <c r="E5541" s="954" t="str">
        <f>+VLOOKUP(C5541,'Basic (equilibrio) (2)'!B:D,2,FALSE)</f>
        <v>m2</v>
      </c>
      <c r="F5541" s="1068">
        <f>+'Basic (equilibrio) (2)'!$D$47</f>
        <v>86.2</v>
      </c>
      <c r="G5541" s="946">
        <f>F5541-(F5541/1.18)</f>
        <v>13.15</v>
      </c>
      <c r="H5541" s="1031"/>
      <c r="I5541" s="948">
        <f>D5541*F5541</f>
        <v>86.2</v>
      </c>
    </row>
    <row r="5542" spans="3:9" ht="15.75">
      <c r="C5542" s="951" t="s">
        <v>918</v>
      </c>
      <c r="D5542" s="946"/>
      <c r="E5542" s="947"/>
      <c r="F5542" s="1054"/>
      <c r="G5542" s="946"/>
      <c r="H5542" s="1031"/>
      <c r="I5542" s="952">
        <f>SUM(I5539:I5541)</f>
        <v>332.2</v>
      </c>
    </row>
    <row r="5543" spans="3:9" ht="15.75">
      <c r="C5543" s="949"/>
      <c r="D5543" s="946"/>
      <c r="E5543" s="947"/>
      <c r="F5543" s="1054"/>
      <c r="G5543" s="946"/>
      <c r="H5543" s="1031"/>
      <c r="I5543" s="948"/>
    </row>
    <row r="5544" spans="3:9" ht="15.75">
      <c r="C5544" s="945" t="s">
        <v>923</v>
      </c>
      <c r="D5544" s="946"/>
      <c r="E5544" s="947"/>
      <c r="F5544" s="1054"/>
      <c r="G5544" s="946"/>
      <c r="H5544" s="1031"/>
      <c r="I5544" s="948"/>
    </row>
    <row r="5545" spans="3:9" ht="15.75">
      <c r="C5545" s="949" t="s">
        <v>924</v>
      </c>
      <c r="D5545" s="946"/>
      <c r="E5545" s="947" t="str">
        <f>+VLOOKUP(C5545,[49]BASICS!B:E,2,FALSE)</f>
        <v>n/a</v>
      </c>
      <c r="F5545" s="1068">
        <f>+VLOOKUP(C5545,[49]BASICS!B:E,3,FALSE)</f>
        <v>0</v>
      </c>
      <c r="G5545" s="946">
        <f>F5545-(F5545/1.18)</f>
        <v>0</v>
      </c>
      <c r="H5545" s="1031"/>
      <c r="I5545" s="948">
        <f>D5545*F5545</f>
        <v>0</v>
      </c>
    </row>
    <row r="5546" spans="3:9" ht="15.75">
      <c r="C5546" s="951" t="s">
        <v>918</v>
      </c>
      <c r="D5546" s="946"/>
      <c r="E5546" s="947"/>
      <c r="F5546" s="1054"/>
      <c r="G5546" s="946"/>
      <c r="H5546" s="1031"/>
      <c r="I5546" s="952">
        <f>SUM(I5545:I5545)</f>
        <v>0</v>
      </c>
    </row>
    <row r="5547" spans="3:9" ht="15.75">
      <c r="C5547" s="949"/>
      <c r="D5547" s="946"/>
      <c r="E5547" s="947"/>
      <c r="F5547" s="1054"/>
      <c r="G5547" s="946"/>
      <c r="H5547" s="1031"/>
      <c r="I5547" s="948"/>
    </row>
    <row r="5548" spans="3:9" ht="15.75">
      <c r="C5548" s="945" t="s">
        <v>925</v>
      </c>
      <c r="D5548" s="946"/>
      <c r="E5548" s="947"/>
      <c r="F5548" s="1054"/>
      <c r="G5548" s="946"/>
      <c r="H5548" s="1031"/>
      <c r="I5548" s="948"/>
    </row>
    <row r="5549" spans="3:9" ht="15.75">
      <c r="C5549" s="949" t="s">
        <v>925</v>
      </c>
      <c r="D5549" s="946">
        <f>+I5542</f>
        <v>332.2</v>
      </c>
      <c r="E5549" s="947" t="str">
        <f>VLOOKUP(C5549,[50]BASICS!B:D,2,FALSE)</f>
        <v>Pa</v>
      </c>
      <c r="F5549" s="1054">
        <f>+VLOOKUP(C5549,[49]BASICS!B:E,3,FALSE)</f>
        <v>0</v>
      </c>
      <c r="G5549" s="946"/>
      <c r="H5549" s="1031"/>
      <c r="I5549" s="948">
        <f>D5549*F5549</f>
        <v>0</v>
      </c>
    </row>
    <row r="5550" spans="3:9" ht="15.75">
      <c r="C5550" s="951" t="s">
        <v>918</v>
      </c>
      <c r="D5550" s="946"/>
      <c r="E5550" s="947"/>
      <c r="F5550" s="1054"/>
      <c r="G5550" s="946"/>
      <c r="H5550" s="1031"/>
      <c r="I5550" s="952">
        <f>SUM(I5549)</f>
        <v>0</v>
      </c>
    </row>
    <row r="5551" spans="3:9" ht="15.75">
      <c r="C5551" s="951"/>
      <c r="D5551" s="946"/>
      <c r="E5551" s="947"/>
      <c r="F5551" s="1054"/>
      <c r="G5551" s="946"/>
      <c r="H5551" s="1031"/>
      <c r="I5551" s="952"/>
    </row>
    <row r="5552" spans="3:9" ht="15.75">
      <c r="C5552" s="956" t="s">
        <v>926</v>
      </c>
      <c r="D5552" s="957"/>
      <c r="E5552" s="958"/>
      <c r="F5552" s="1069"/>
      <c r="G5552" s="957"/>
      <c r="H5552" s="1032"/>
      <c r="I5552" s="959">
        <f>+I5536</f>
        <v>1257.02</v>
      </c>
    </row>
    <row r="5553" spans="3:9" ht="15.75">
      <c r="C5553" s="956" t="s">
        <v>927</v>
      </c>
      <c r="D5553" s="957"/>
      <c r="E5553" s="958"/>
      <c r="F5553" s="1069"/>
      <c r="G5553" s="957"/>
      <c r="H5553" s="1032"/>
      <c r="I5553" s="959">
        <f>+I5542</f>
        <v>332.2</v>
      </c>
    </row>
    <row r="5554" spans="3:9" ht="15.75">
      <c r="C5554" s="956" t="s">
        <v>928</v>
      </c>
      <c r="D5554" s="957"/>
      <c r="E5554" s="958"/>
      <c r="F5554" s="1069"/>
      <c r="G5554" s="957"/>
      <c r="H5554" s="1032"/>
      <c r="I5554" s="959">
        <f>+I5546</f>
        <v>0</v>
      </c>
    </row>
    <row r="5555" spans="3:9" ht="15.75">
      <c r="C5555" s="956" t="s">
        <v>929</v>
      </c>
      <c r="D5555" s="957"/>
      <c r="E5555" s="958"/>
      <c r="F5555" s="1069"/>
      <c r="G5555" s="957"/>
      <c r="H5555" s="1032"/>
      <c r="I5555" s="959">
        <f>+I5550</f>
        <v>0</v>
      </c>
    </row>
    <row r="5556" spans="3:9" ht="15.75">
      <c r="C5556" s="949"/>
      <c r="D5556" s="946"/>
      <c r="E5556" s="947"/>
      <c r="F5556" s="1054"/>
      <c r="G5556" s="946"/>
      <c r="H5556" s="1031"/>
      <c r="I5556" s="948"/>
    </row>
    <row r="5557" spans="3:9" ht="15.75">
      <c r="C5557" s="949"/>
      <c r="D5557" s="946"/>
      <c r="E5557" s="947"/>
      <c r="F5557" s="1054"/>
      <c r="G5557" s="946"/>
      <c r="H5557" s="1031"/>
      <c r="I5557" s="948"/>
    </row>
    <row r="5558" spans="3:9" ht="15.75">
      <c r="C5558" s="951" t="s">
        <v>930</v>
      </c>
      <c r="D5558" s="960"/>
      <c r="E5558" s="943" t="str">
        <f>+E5529</f>
        <v>M</v>
      </c>
      <c r="F5558" s="1070"/>
      <c r="G5558" s="960"/>
      <c r="H5558" s="1033"/>
      <c r="I5558" s="952">
        <f>SUM(I5552:I5555)</f>
        <v>1589.22</v>
      </c>
    </row>
    <row r="5559" spans="3:9" ht="15.75">
      <c r="C5559" s="949"/>
      <c r="D5559" s="946"/>
      <c r="E5559" s="947"/>
      <c r="F5559" s="1054"/>
      <c r="G5559" s="946"/>
      <c r="H5559" s="1031"/>
      <c r="I5559" s="948"/>
    </row>
    <row r="5560" spans="3:9" ht="15.75">
      <c r="C5560" s="937" t="str">
        <f>+Presupuesto!B357</f>
        <v xml:space="preserve">Limpieza final y continual </v>
      </c>
      <c r="D5560" s="938"/>
      <c r="E5560" s="962" t="s">
        <v>140</v>
      </c>
      <c r="F5560" s="1066"/>
      <c r="G5560" s="938"/>
      <c r="H5560" s="1029"/>
      <c r="I5560" s="940">
        <f>I5585</f>
        <v>87000</v>
      </c>
    </row>
    <row r="5561" spans="3:9" ht="15.75">
      <c r="C5561" s="941" t="s">
        <v>908</v>
      </c>
      <c r="D5561" s="942" t="s">
        <v>9</v>
      </c>
      <c r="E5561" s="943" t="s">
        <v>10</v>
      </c>
      <c r="F5561" s="1067" t="s">
        <v>909</v>
      </c>
      <c r="G5561" s="942" t="s">
        <v>910</v>
      </c>
      <c r="H5561" s="1030" t="s">
        <v>911</v>
      </c>
      <c r="I5561" s="944" t="s">
        <v>912</v>
      </c>
    </row>
    <row r="5562" spans="3:9" ht="15.75">
      <c r="C5562" s="945" t="s">
        <v>913</v>
      </c>
      <c r="D5562" s="946"/>
      <c r="E5562" s="947"/>
      <c r="F5562" s="1054"/>
      <c r="G5562" s="946"/>
      <c r="H5562" s="1031"/>
      <c r="I5562" s="948"/>
    </row>
    <row r="5563" spans="3:9" ht="15.75">
      <c r="C5563" s="949" t="s">
        <v>924</v>
      </c>
      <c r="D5563" s="946">
        <v>1</v>
      </c>
      <c r="E5563" s="947" t="str">
        <f>+VLOOKUP(C5563,[49]BASICS!B:E,2,FALSE)</f>
        <v>n/a</v>
      </c>
      <c r="F5563" s="1068">
        <f>+VLOOKUP(C5563,[49]BASICS!B:E,3,FALSE)</f>
        <v>0</v>
      </c>
      <c r="G5563" s="946">
        <f>F5563-(F5563/1.18)</f>
        <v>0</v>
      </c>
      <c r="H5563" s="1031"/>
      <c r="I5563" s="948">
        <f>D5563*F5563</f>
        <v>0</v>
      </c>
    </row>
    <row r="5564" spans="3:9" ht="15.75">
      <c r="C5564" s="951" t="s">
        <v>918</v>
      </c>
      <c r="D5564" s="946"/>
      <c r="E5564" s="947"/>
      <c r="F5564" s="1068"/>
      <c r="G5564" s="946"/>
      <c r="H5564" s="1031"/>
      <c r="I5564" s="952">
        <f>SUM(I5563:I5563)</f>
        <v>0</v>
      </c>
    </row>
    <row r="5565" spans="3:9" ht="15.75">
      <c r="C5565" s="949"/>
      <c r="D5565" s="946"/>
      <c r="E5565" s="947"/>
      <c r="F5565" s="1068"/>
      <c r="G5565" s="946"/>
      <c r="H5565" s="1031"/>
      <c r="I5565" s="948"/>
    </row>
    <row r="5566" spans="3:9" ht="15.75">
      <c r="C5566" s="945" t="s">
        <v>919</v>
      </c>
      <c r="D5566" s="946"/>
      <c r="E5566" s="947"/>
      <c r="F5566" s="1068"/>
      <c r="G5566" s="946"/>
      <c r="H5566" s="1031"/>
      <c r="I5566" s="948"/>
    </row>
    <row r="5567" spans="3:9" ht="15.75">
      <c r="C5567" s="949" t="s">
        <v>1029</v>
      </c>
      <c r="D5567" s="953">
        <v>30</v>
      </c>
      <c r="E5567" s="954" t="str">
        <f>+VLOOKUP(C5567,'Basic (equilibrio) (2)'!B:D,2,FALSE)</f>
        <v>dia</v>
      </c>
      <c r="F5567" s="1068">
        <f>'Basic (equilibrio) (2)'!$D$16</f>
        <v>900</v>
      </c>
      <c r="G5567" s="946">
        <f>F5567-(F5567/1.18)</f>
        <v>137.29</v>
      </c>
      <c r="H5567" s="1031"/>
      <c r="I5567" s="948">
        <f>(D5567*F5567)</f>
        <v>27000</v>
      </c>
    </row>
    <row r="5568" spans="3:9" ht="15.75">
      <c r="C5568" s="949" t="s">
        <v>973</v>
      </c>
      <c r="D5568" s="953">
        <v>500</v>
      </c>
      <c r="E5568" s="954" t="str">
        <f>+VLOOKUP(C5568,'Basic (equilibrio) (2)'!B:D,2,FALSE)</f>
        <v>m2</v>
      </c>
      <c r="F5568" s="1068">
        <f>'Basic (equilibrio) (2)'!$D$15</f>
        <v>120</v>
      </c>
      <c r="G5568" s="946">
        <f>F5568-(F5568/1.18)</f>
        <v>18.309999999999999</v>
      </c>
      <c r="H5568" s="1031"/>
      <c r="I5568" s="948">
        <f>(D5568*F5568)</f>
        <v>60000</v>
      </c>
    </row>
    <row r="5569" spans="3:9" ht="15.75">
      <c r="C5569" s="951" t="s">
        <v>918</v>
      </c>
      <c r="D5569" s="946"/>
      <c r="E5569" s="947"/>
      <c r="F5569" s="1054"/>
      <c r="G5569" s="946"/>
      <c r="H5569" s="1031"/>
      <c r="I5569" s="952">
        <f>SUM(I5567:I5568)</f>
        <v>87000</v>
      </c>
    </row>
    <row r="5570" spans="3:9" ht="15.75">
      <c r="C5570" s="949"/>
      <c r="D5570" s="946"/>
      <c r="E5570" s="947"/>
      <c r="F5570" s="1054"/>
      <c r="G5570" s="946"/>
      <c r="H5570" s="1031"/>
      <c r="I5570" s="948"/>
    </row>
    <row r="5571" spans="3:9" ht="15.75">
      <c r="C5571" s="945" t="s">
        <v>923</v>
      </c>
      <c r="D5571" s="946"/>
      <c r="E5571" s="947"/>
      <c r="F5571" s="1054"/>
      <c r="G5571" s="946"/>
      <c r="H5571" s="1031"/>
      <c r="I5571" s="948"/>
    </row>
    <row r="5572" spans="3:9" ht="15.75">
      <c r="C5572" s="949" t="s">
        <v>924</v>
      </c>
      <c r="D5572" s="946"/>
      <c r="E5572" s="947" t="str">
        <f>+VLOOKUP(C5572,[49]BASICS!B:E,2,FALSE)</f>
        <v>n/a</v>
      </c>
      <c r="F5572" s="1054">
        <f>+VLOOKUP(C5572,[49]BASICS!B:E,3,FALSE)</f>
        <v>0</v>
      </c>
      <c r="G5572" s="946">
        <f>F5572-(F5572/1.18)</f>
        <v>0</v>
      </c>
      <c r="H5572" s="1039"/>
      <c r="I5572" s="955">
        <f>D5572*F5572</f>
        <v>0</v>
      </c>
    </row>
    <row r="5573" spans="3:9" ht="15.75">
      <c r="C5573" s="951" t="s">
        <v>918</v>
      </c>
      <c r="D5573" s="946"/>
      <c r="E5573" s="947"/>
      <c r="F5573" s="1054"/>
      <c r="G5573" s="946"/>
      <c r="H5573" s="1031"/>
      <c r="I5573" s="952">
        <f>SUM(I5572:I5572)</f>
        <v>0</v>
      </c>
    </row>
    <row r="5574" spans="3:9" ht="15.75">
      <c r="C5574" s="949"/>
      <c r="D5574" s="946"/>
      <c r="E5574" s="947"/>
      <c r="F5574" s="1054"/>
      <c r="G5574" s="946"/>
      <c r="H5574" s="1031"/>
      <c r="I5574" s="948"/>
    </row>
    <row r="5575" spans="3:9" ht="15.75">
      <c r="C5575" s="945" t="s">
        <v>925</v>
      </c>
      <c r="D5575" s="946"/>
      <c r="E5575" s="947"/>
      <c r="F5575" s="1054"/>
      <c r="G5575" s="946"/>
      <c r="H5575" s="1031"/>
      <c r="I5575" s="948"/>
    </row>
    <row r="5576" spans="3:9" ht="15.75">
      <c r="C5576" s="949" t="s">
        <v>925</v>
      </c>
      <c r="D5576" s="946">
        <f>+I5569</f>
        <v>87000</v>
      </c>
      <c r="E5576" s="947" t="str">
        <f>VLOOKUP(C5576,[50]BASICS!B:D,2,FALSE)</f>
        <v>Pa</v>
      </c>
      <c r="F5576" s="1054">
        <f>+VLOOKUP(C5576,[49]BASICS!B:E,3,FALSE)</f>
        <v>0</v>
      </c>
      <c r="G5576" s="946"/>
      <c r="H5576" s="1031"/>
      <c r="I5576" s="948">
        <f>D5576*F5576</f>
        <v>0</v>
      </c>
    </row>
    <row r="5577" spans="3:9" ht="15.75">
      <c r="C5577" s="951" t="s">
        <v>918</v>
      </c>
      <c r="D5577" s="946"/>
      <c r="E5577" s="947"/>
      <c r="F5577" s="1054"/>
      <c r="G5577" s="946"/>
      <c r="H5577" s="1031"/>
      <c r="I5577" s="952">
        <f>SUM(I5576)</f>
        <v>0</v>
      </c>
    </row>
    <row r="5578" spans="3:9" ht="15.75">
      <c r="C5578" s="951"/>
      <c r="D5578" s="946"/>
      <c r="E5578" s="947"/>
      <c r="F5578" s="1054"/>
      <c r="G5578" s="946"/>
      <c r="H5578" s="1031"/>
      <c r="I5578" s="952"/>
    </row>
    <row r="5579" spans="3:9" ht="15.75">
      <c r="C5579" s="956" t="s">
        <v>926</v>
      </c>
      <c r="D5579" s="957"/>
      <c r="E5579" s="958"/>
      <c r="F5579" s="1069"/>
      <c r="G5579" s="957"/>
      <c r="H5579" s="1032"/>
      <c r="I5579" s="959">
        <f>+I5564</f>
        <v>0</v>
      </c>
    </row>
    <row r="5580" spans="3:9" ht="15.75">
      <c r="C5580" s="956" t="s">
        <v>927</v>
      </c>
      <c r="D5580" s="957"/>
      <c r="E5580" s="958"/>
      <c r="F5580" s="1069"/>
      <c r="G5580" s="957"/>
      <c r="H5580" s="1032"/>
      <c r="I5580" s="959">
        <f>+I5569</f>
        <v>87000</v>
      </c>
    </row>
    <row r="5581" spans="3:9" ht="15.75">
      <c r="C5581" s="956" t="s">
        <v>928</v>
      </c>
      <c r="D5581" s="957"/>
      <c r="E5581" s="958"/>
      <c r="F5581" s="1069"/>
      <c r="G5581" s="957"/>
      <c r="H5581" s="1032"/>
      <c r="I5581" s="959">
        <f>+I5573</f>
        <v>0</v>
      </c>
    </row>
    <row r="5582" spans="3:9" ht="15.75">
      <c r="C5582" s="956" t="s">
        <v>929</v>
      </c>
      <c r="D5582" s="957"/>
      <c r="E5582" s="958"/>
      <c r="F5582" s="1069"/>
      <c r="G5582" s="957"/>
      <c r="H5582" s="1032"/>
      <c r="I5582" s="959">
        <f>+I5577</f>
        <v>0</v>
      </c>
    </row>
    <row r="5583" spans="3:9" ht="15.75">
      <c r="C5583" s="949"/>
      <c r="D5583" s="946"/>
      <c r="E5583" s="947"/>
      <c r="F5583" s="1054"/>
      <c r="G5583" s="946"/>
      <c r="H5583" s="1031"/>
      <c r="I5583" s="948"/>
    </row>
    <row r="5584" spans="3:9" ht="15.75">
      <c r="C5584" s="949"/>
      <c r="D5584" s="946"/>
      <c r="E5584" s="947"/>
      <c r="F5584" s="1054"/>
      <c r="G5584" s="946"/>
      <c r="H5584" s="1031"/>
      <c r="I5584" s="948"/>
    </row>
    <row r="5585" spans="2:9" ht="15.75">
      <c r="C5585" s="951" t="s">
        <v>930</v>
      </c>
      <c r="D5585" s="960"/>
      <c r="E5585" s="943" t="str">
        <f>+E5560</f>
        <v>P.A</v>
      </c>
      <c r="F5585" s="1070"/>
      <c r="G5585" s="960"/>
      <c r="H5585" s="1033"/>
      <c r="I5585" s="952">
        <f>SUM(I5579:I5582)</f>
        <v>87000</v>
      </c>
    </row>
    <row r="5586" spans="2:9" ht="15.75">
      <c r="C5586" s="949"/>
      <c r="D5586" s="946"/>
      <c r="E5586" s="947"/>
      <c r="F5586" s="1054"/>
      <c r="G5586" s="946"/>
      <c r="H5586" s="1031"/>
      <c r="I5586" s="948"/>
    </row>
    <row r="5587" spans="2:9" ht="15.75">
      <c r="C5587" s="951"/>
      <c r="D5587" s="960"/>
      <c r="E5587" s="943"/>
      <c r="F5587" s="1070"/>
      <c r="G5587" s="960"/>
      <c r="H5587" s="1033"/>
      <c r="I5587" s="952"/>
    </row>
    <row r="5588" spans="2:9" ht="18.75" customHeight="1">
      <c r="B5588" s="1435" t="s">
        <v>1574</v>
      </c>
      <c r="C5588" s="1435"/>
      <c r="D5588" s="1435"/>
      <c r="E5588" s="1435"/>
      <c r="F5588" s="1435"/>
      <c r="G5588" s="1435"/>
      <c r="H5588" s="1435"/>
      <c r="I5588" s="1436"/>
    </row>
    <row r="5589" spans="2:9" ht="15.75">
      <c r="C5589" s="951"/>
      <c r="D5589" s="960"/>
      <c r="E5589" s="943"/>
      <c r="F5589" s="1070"/>
      <c r="G5589" s="960"/>
      <c r="H5589" s="1033"/>
      <c r="I5589" s="952"/>
    </row>
    <row r="5590" spans="2:9" ht="15.75">
      <c r="B5590" s="1026">
        <v>1.1000000000000001</v>
      </c>
      <c r="C5590" s="937" t="str">
        <f>+Presupuesto!B364</f>
        <v>Remoción de capa vegetal 330m²  e=0.20m</v>
      </c>
      <c r="D5590" s="938"/>
      <c r="E5590" s="962" t="s">
        <v>1554</v>
      </c>
      <c r="F5590" s="1066"/>
      <c r="G5590" s="938"/>
      <c r="H5590" s="1029"/>
      <c r="I5590" s="940">
        <f>I5614</f>
        <v>67.5</v>
      </c>
    </row>
    <row r="5591" spans="2:9" ht="15.75">
      <c r="C5591" s="941" t="s">
        <v>908</v>
      </c>
      <c r="D5591" s="942" t="s">
        <v>9</v>
      </c>
      <c r="E5591" s="943" t="s">
        <v>10</v>
      </c>
      <c r="F5591" s="1067" t="s">
        <v>909</v>
      </c>
      <c r="G5591" s="942" t="s">
        <v>910</v>
      </c>
      <c r="H5591" s="1030" t="s">
        <v>911</v>
      </c>
      <c r="I5591" s="944" t="s">
        <v>912</v>
      </c>
    </row>
    <row r="5592" spans="2:9" ht="15.75">
      <c r="C5592" s="945" t="s">
        <v>913</v>
      </c>
      <c r="D5592" s="946"/>
      <c r="E5592" s="947"/>
      <c r="F5592" s="1054"/>
      <c r="G5592" s="946"/>
      <c r="H5592" s="1031"/>
      <c r="I5592" s="948"/>
    </row>
    <row r="5593" spans="2:9" ht="15.75">
      <c r="C5593" s="949" t="s">
        <v>924</v>
      </c>
      <c r="D5593" s="946"/>
      <c r="E5593" s="947" t="str">
        <f>+VLOOKUP(C5593,'Basic (equilibrio) (2)'!B:D,2,FALSE)</f>
        <v>n/a</v>
      </c>
      <c r="F5593" s="1068">
        <f>+VLOOKUP(C5593,'Basic (equilibrio) (2)'!B:D,3,FALSE)</f>
        <v>0</v>
      </c>
      <c r="G5593" s="946">
        <f>F5593-(F5593/1.18)</f>
        <v>0</v>
      </c>
      <c r="H5593" s="1031"/>
      <c r="I5593" s="948">
        <f>D5593*F5593</f>
        <v>0</v>
      </c>
    </row>
    <row r="5594" spans="2:9" ht="15.75">
      <c r="C5594" s="951" t="s">
        <v>918</v>
      </c>
      <c r="D5594" s="946"/>
      <c r="E5594" s="947"/>
      <c r="F5594" s="1068"/>
      <c r="G5594" s="946"/>
      <c r="H5594" s="1031"/>
      <c r="I5594" s="952">
        <f>SUM(I5593:I5593)</f>
        <v>0</v>
      </c>
    </row>
    <row r="5595" spans="2:9" ht="15.75">
      <c r="C5595" s="949"/>
      <c r="D5595" s="946"/>
      <c r="E5595" s="947"/>
      <c r="F5595" s="1068"/>
      <c r="G5595" s="946"/>
      <c r="H5595" s="1031"/>
      <c r="I5595" s="948"/>
    </row>
    <row r="5596" spans="2:9" ht="15.75">
      <c r="C5596" s="945" t="s">
        <v>919</v>
      </c>
      <c r="D5596" s="946"/>
      <c r="E5596" s="947"/>
      <c r="F5596" s="1068"/>
      <c r="G5596" s="946"/>
      <c r="H5596" s="1031"/>
      <c r="I5596" s="948"/>
    </row>
    <row r="5597" spans="2:9" ht="15.75">
      <c r="C5597" s="949" t="s">
        <v>933</v>
      </c>
      <c r="D5597" s="1060">
        <v>0.01</v>
      </c>
      <c r="E5597" s="954" t="str">
        <f>+VLOOKUP(C5597,'Basic (equilibrio) (2)'!B:D,2,FALSE)</f>
        <v>hr</v>
      </c>
      <c r="F5597" s="1068">
        <f>'Basic (equilibrio) (2)'!$D$682</f>
        <v>4250</v>
      </c>
      <c r="G5597" s="946">
        <v>0</v>
      </c>
      <c r="H5597" s="1031"/>
      <c r="I5597" s="948">
        <f>(D5597*F5597)</f>
        <v>42.5</v>
      </c>
    </row>
    <row r="5598" spans="2:9" ht="15.75">
      <c r="C5598" s="949" t="s">
        <v>938</v>
      </c>
      <c r="D5598" s="1060">
        <v>0.01</v>
      </c>
      <c r="E5598" s="954" t="str">
        <f>+VLOOKUP(C5598,'Basic (equilibrio) (2)'!B:D,2,FALSE)</f>
        <v>hr</v>
      </c>
      <c r="F5598" s="1068">
        <f>'Basic (equilibrio) (2)'!$D$683</f>
        <v>2500</v>
      </c>
      <c r="G5598" s="946">
        <v>0</v>
      </c>
      <c r="H5598" s="1031"/>
      <c r="I5598" s="948">
        <f>(D5598*F5598)</f>
        <v>25</v>
      </c>
    </row>
    <row r="5599" spans="2:9" ht="15.75">
      <c r="C5599" s="951" t="s">
        <v>918</v>
      </c>
      <c r="D5599" s="946"/>
      <c r="E5599" s="947"/>
      <c r="F5599" s="1054"/>
      <c r="G5599" s="946"/>
      <c r="H5599" s="1031"/>
      <c r="I5599" s="952">
        <f>SUM(I5597:I5598)</f>
        <v>67.5</v>
      </c>
    </row>
    <row r="5600" spans="2:9" ht="15.75">
      <c r="C5600" s="949"/>
      <c r="D5600" s="946"/>
      <c r="E5600" s="947"/>
      <c r="F5600" s="1054"/>
      <c r="G5600" s="946"/>
      <c r="H5600" s="1031"/>
      <c r="I5600" s="948"/>
    </row>
    <row r="5601" spans="2:9" ht="15.75">
      <c r="C5601" s="945" t="s">
        <v>923</v>
      </c>
      <c r="D5601" s="946"/>
      <c r="E5601" s="947"/>
      <c r="F5601" s="1054"/>
      <c r="G5601" s="946"/>
      <c r="H5601" s="1031"/>
      <c r="I5601" s="948"/>
    </row>
    <row r="5602" spans="2:9" ht="15.75">
      <c r="C5602" s="949" t="s">
        <v>924</v>
      </c>
      <c r="D5602" s="946"/>
      <c r="E5602" s="947" t="str">
        <f>+VLOOKUP(C5602,'Basic (equilibrio) (2)'!B:D,2,FALSE)</f>
        <v>n/a</v>
      </c>
      <c r="F5602" s="1054">
        <f>+VLOOKUP(C5602,'Basic (equilibrio) (2)'!B:D,3,FALSE)</f>
        <v>0</v>
      </c>
      <c r="G5602" s="946">
        <f>F5602-(F5602/1.18)</f>
        <v>0</v>
      </c>
      <c r="H5602" s="1039"/>
      <c r="I5602" s="955">
        <f>D5602*F5602</f>
        <v>0</v>
      </c>
    </row>
    <row r="5603" spans="2:9" ht="15.75">
      <c r="C5603" s="951" t="s">
        <v>918</v>
      </c>
      <c r="D5603" s="946"/>
      <c r="E5603" s="947"/>
      <c r="F5603" s="1054"/>
      <c r="G5603" s="946"/>
      <c r="H5603" s="1031"/>
      <c r="I5603" s="952">
        <f>SUM(I5602:I5602)</f>
        <v>0</v>
      </c>
    </row>
    <row r="5604" spans="2:9" ht="15.75">
      <c r="C5604" s="949"/>
      <c r="D5604" s="946"/>
      <c r="E5604" s="947"/>
      <c r="F5604" s="1054"/>
      <c r="G5604" s="946"/>
      <c r="H5604" s="1031"/>
      <c r="I5604" s="948"/>
    </row>
    <row r="5605" spans="2:9" ht="15.75">
      <c r="C5605" s="945" t="s">
        <v>925</v>
      </c>
      <c r="D5605" s="946"/>
      <c r="E5605" s="947"/>
      <c r="F5605" s="1054"/>
      <c r="G5605" s="946"/>
      <c r="H5605" s="1031"/>
      <c r="I5605" s="948"/>
    </row>
    <row r="5606" spans="2:9" ht="15.75">
      <c r="C5606" s="949" t="s">
        <v>924</v>
      </c>
      <c r="D5606" s="946"/>
      <c r="E5606" s="947" t="str">
        <f>+VLOOKUP(C5606,'Basic (equilibrio) (2)'!B:D,2,FALSE)</f>
        <v>n/a</v>
      </c>
      <c r="F5606" s="1054">
        <f>+VLOOKUP(C5606,'Basic (equilibrio) (2)'!B:D,3,FALSE)</f>
        <v>0</v>
      </c>
      <c r="G5606" s="946"/>
      <c r="H5606" s="1031"/>
      <c r="I5606" s="948">
        <f>D5606*F5606</f>
        <v>0</v>
      </c>
    </row>
    <row r="5607" spans="2:9" ht="15.75">
      <c r="C5607" s="951" t="s">
        <v>918</v>
      </c>
      <c r="D5607" s="946"/>
      <c r="E5607" s="947"/>
      <c r="F5607" s="1054"/>
      <c r="G5607" s="946"/>
      <c r="H5607" s="1031"/>
      <c r="I5607" s="952">
        <f>SUM(I5606)</f>
        <v>0</v>
      </c>
    </row>
    <row r="5608" spans="2:9" ht="15.75">
      <c r="C5608" s="951"/>
      <c r="D5608" s="946"/>
      <c r="E5608" s="947"/>
      <c r="F5608" s="1054"/>
      <c r="G5608" s="946"/>
      <c r="H5608" s="1031"/>
      <c r="I5608" s="952"/>
    </row>
    <row r="5609" spans="2:9" ht="15.75">
      <c r="C5609" s="956" t="s">
        <v>926</v>
      </c>
      <c r="D5609" s="957"/>
      <c r="E5609" s="958"/>
      <c r="F5609" s="1069"/>
      <c r="G5609" s="957"/>
      <c r="H5609" s="1032"/>
      <c r="I5609" s="959">
        <f>+I5594</f>
        <v>0</v>
      </c>
    </row>
    <row r="5610" spans="2:9" ht="15.75">
      <c r="C5610" s="956" t="s">
        <v>927</v>
      </c>
      <c r="D5610" s="957"/>
      <c r="E5610" s="958"/>
      <c r="F5610" s="1069"/>
      <c r="G5610" s="957"/>
      <c r="H5610" s="1032"/>
      <c r="I5610" s="959">
        <f>+I5599</f>
        <v>67.5</v>
      </c>
    </row>
    <row r="5611" spans="2:9" ht="15.75">
      <c r="C5611" s="956" t="s">
        <v>928</v>
      </c>
      <c r="D5611" s="957"/>
      <c r="E5611" s="958"/>
      <c r="F5611" s="1069"/>
      <c r="G5611" s="957"/>
      <c r="H5611" s="1032"/>
      <c r="I5611" s="959">
        <f>+I5603</f>
        <v>0</v>
      </c>
    </row>
    <row r="5612" spans="2:9" ht="15.75">
      <c r="C5612" s="956" t="s">
        <v>929</v>
      </c>
      <c r="D5612" s="957"/>
      <c r="E5612" s="958"/>
      <c r="F5612" s="1069"/>
      <c r="G5612" s="957"/>
      <c r="H5612" s="1032"/>
      <c r="I5612" s="959">
        <f>+I5607</f>
        <v>0</v>
      </c>
    </row>
    <row r="5613" spans="2:9" ht="15.75">
      <c r="C5613" s="949"/>
      <c r="D5613" s="946"/>
      <c r="E5613" s="947"/>
      <c r="F5613" s="1054"/>
      <c r="G5613" s="946"/>
      <c r="H5613" s="1031"/>
      <c r="I5613" s="948"/>
    </row>
    <row r="5614" spans="2:9" ht="15.75">
      <c r="C5614" s="951" t="s">
        <v>930</v>
      </c>
      <c r="D5614" s="960"/>
      <c r="E5614" s="943" t="str">
        <f>+E5590</f>
        <v>M3N</v>
      </c>
      <c r="F5614" s="1070"/>
      <c r="G5614" s="960"/>
      <c r="H5614" s="1033"/>
      <c r="I5614" s="952">
        <f>SUM(I5609:I5612)</f>
        <v>67.5</v>
      </c>
    </row>
    <row r="5615" spans="2:9" ht="15.75">
      <c r="C5615" s="951"/>
      <c r="D5615" s="960"/>
      <c r="E5615" s="943"/>
      <c r="F5615" s="1070"/>
      <c r="G5615" s="960"/>
      <c r="H5615" s="1033"/>
      <c r="I5615" s="952"/>
    </row>
    <row r="5616" spans="2:9" ht="31.5">
      <c r="B5616" s="1026">
        <v>1.2</v>
      </c>
      <c r="C5616" s="937" t="str">
        <f>+Presupuesto!B365</f>
        <v>Bote de material sobrante c/camión (Incluye esparcimiento en botadero)</v>
      </c>
      <c r="D5616" s="938"/>
      <c r="E5616" s="962" t="s">
        <v>219</v>
      </c>
      <c r="F5616" s="1066"/>
      <c r="G5616" s="938"/>
      <c r="H5616" s="1029"/>
      <c r="I5616" s="940">
        <f>I5641</f>
        <v>455.24</v>
      </c>
    </row>
    <row r="5617" spans="3:9" ht="15.75">
      <c r="C5617" s="941" t="s">
        <v>908</v>
      </c>
      <c r="D5617" s="942" t="s">
        <v>9</v>
      </c>
      <c r="E5617" s="943" t="s">
        <v>10</v>
      </c>
      <c r="F5617" s="1067" t="s">
        <v>909</v>
      </c>
      <c r="G5617" s="942" t="s">
        <v>910</v>
      </c>
      <c r="H5617" s="1030" t="s">
        <v>911</v>
      </c>
      <c r="I5617" s="944" t="s">
        <v>912</v>
      </c>
    </row>
    <row r="5618" spans="3:9" ht="15.75">
      <c r="C5618" s="945" t="s">
        <v>913</v>
      </c>
      <c r="D5618" s="946"/>
      <c r="E5618" s="947"/>
      <c r="F5618" s="1054"/>
      <c r="G5618" s="946"/>
      <c r="H5618" s="1031"/>
      <c r="I5618" s="948"/>
    </row>
    <row r="5619" spans="3:9" ht="15.75">
      <c r="C5619" s="949" t="s">
        <v>924</v>
      </c>
      <c r="D5619" s="946"/>
      <c r="E5619" s="947" t="str">
        <f>+VLOOKUP(C5619,'Basic (equilibrio) (2)'!B:D,2,FALSE)</f>
        <v>n/a</v>
      </c>
      <c r="F5619" s="1068">
        <f>+VLOOKUP(C5619,'Basic (equilibrio) (2)'!B:D,3,FALSE)</f>
        <v>0</v>
      </c>
      <c r="G5619" s="946">
        <f>F5619-(F5619/1.18)</f>
        <v>0</v>
      </c>
      <c r="H5619" s="1031"/>
      <c r="I5619" s="948">
        <f>D5619*F5619</f>
        <v>0</v>
      </c>
    </row>
    <row r="5620" spans="3:9" ht="15.75">
      <c r="C5620" s="951" t="s">
        <v>918</v>
      </c>
      <c r="D5620" s="946"/>
      <c r="E5620" s="947"/>
      <c r="F5620" s="1068"/>
      <c r="G5620" s="946"/>
      <c r="H5620" s="1031"/>
      <c r="I5620" s="952">
        <f>SUM(I5619:I5619)</f>
        <v>0</v>
      </c>
    </row>
    <row r="5621" spans="3:9" ht="15.75">
      <c r="C5621" s="949"/>
      <c r="D5621" s="946"/>
      <c r="E5621" s="947"/>
      <c r="F5621" s="1068"/>
      <c r="G5621" s="946"/>
      <c r="H5621" s="1031"/>
      <c r="I5621" s="948"/>
    </row>
    <row r="5622" spans="3:9" ht="15.75">
      <c r="C5622" s="945" t="s">
        <v>919</v>
      </c>
      <c r="D5622" s="946"/>
      <c r="E5622" s="947"/>
      <c r="F5622" s="1068"/>
      <c r="G5622" s="946"/>
      <c r="H5622" s="1031"/>
      <c r="I5622" s="948"/>
    </row>
    <row r="5623" spans="3:9" ht="15.75">
      <c r="C5623" s="949" t="s">
        <v>931</v>
      </c>
      <c r="D5623" s="953">
        <v>0.13</v>
      </c>
      <c r="E5623" s="954" t="str">
        <f>+VLOOKUP(C5623,'Basic (equilibrio) (2)'!B:D,2,FALSE)</f>
        <v>dia</v>
      </c>
      <c r="F5623" s="1068">
        <f>'Basic (equilibrio) (2)'!$D$14</f>
        <v>900</v>
      </c>
      <c r="G5623" s="946">
        <v>0</v>
      </c>
      <c r="H5623" s="1031">
        <v>70</v>
      </c>
      <c r="I5623" s="948">
        <f>(D5623*F5623)/H5623</f>
        <v>1.67</v>
      </c>
    </row>
    <row r="5624" spans="3:9" ht="15.75">
      <c r="C5624" s="951" t="s">
        <v>918</v>
      </c>
      <c r="D5624" s="946"/>
      <c r="E5624" s="947"/>
      <c r="F5624" s="1054"/>
      <c r="G5624" s="946"/>
      <c r="H5624" s="1031"/>
      <c r="I5624" s="952">
        <f>SUM(I5623:I5623)</f>
        <v>1.67</v>
      </c>
    </row>
    <row r="5625" spans="3:9" ht="15.75">
      <c r="C5625" s="949"/>
      <c r="D5625" s="946"/>
      <c r="E5625" s="947"/>
      <c r="F5625" s="1054"/>
      <c r="G5625" s="946"/>
      <c r="H5625" s="1031"/>
      <c r="I5625" s="948"/>
    </row>
    <row r="5626" spans="3:9" ht="15.75">
      <c r="C5626" s="945" t="s">
        <v>923</v>
      </c>
      <c r="D5626" s="946"/>
      <c r="E5626" s="947"/>
      <c r="F5626" s="1054"/>
      <c r="G5626" s="946"/>
      <c r="H5626" s="1031"/>
      <c r="I5626" s="948"/>
    </row>
    <row r="5627" spans="3:9" ht="15.75">
      <c r="C5627" s="949" t="s">
        <v>934</v>
      </c>
      <c r="D5627" s="953">
        <v>1</v>
      </c>
      <c r="E5627" s="954" t="str">
        <f>+VLOOKUP(C5627,'Basic (equilibrio) (2)'!B:D,2,FALSE)</f>
        <v>m3e</v>
      </c>
      <c r="F5627" s="1068">
        <f>'Basic (equilibrio) (2)'!$D$685</f>
        <v>350</v>
      </c>
      <c r="G5627" s="946">
        <v>0</v>
      </c>
      <c r="H5627" s="1031"/>
      <c r="I5627" s="948">
        <f>(D5627*F5627)</f>
        <v>350</v>
      </c>
    </row>
    <row r="5628" spans="3:9" ht="15.75">
      <c r="C5628" s="949" t="s">
        <v>933</v>
      </c>
      <c r="D5628" s="953">
        <v>1</v>
      </c>
      <c r="E5628" s="954" t="str">
        <f>+VLOOKUP(C5628,'Basic (equilibrio) (2)'!B:D,2,FALSE)</f>
        <v>hr</v>
      </c>
      <c r="F5628" s="1068">
        <f>'Basic (equilibrio) (2)'!$D$682</f>
        <v>4250</v>
      </c>
      <c r="G5628" s="946">
        <v>0</v>
      </c>
      <c r="H5628" s="1031">
        <v>70</v>
      </c>
      <c r="I5628" s="948">
        <f t="shared" ref="I5628:I5629" si="35">(D5628*F5628)/H5628</f>
        <v>60.71</v>
      </c>
    </row>
    <row r="5629" spans="3:9" ht="15.75">
      <c r="C5629" s="949" t="s">
        <v>935</v>
      </c>
      <c r="D5629" s="946">
        <v>1</v>
      </c>
      <c r="E5629" s="947" t="str">
        <f>+VLOOKUP(C5629,'Basic (equilibrio) (2)'!B:D,2,FALSE)</f>
        <v>hr</v>
      </c>
      <c r="F5629" s="1054">
        <f>'Basic (equilibrio) (2)'!$D$684</f>
        <v>3000</v>
      </c>
      <c r="G5629" s="946">
        <f>F5629-(F5629/1.18)</f>
        <v>457.63</v>
      </c>
      <c r="H5629" s="1039">
        <v>70</v>
      </c>
      <c r="I5629" s="955">
        <f t="shared" si="35"/>
        <v>42.86</v>
      </c>
    </row>
    <row r="5630" spans="3:9" ht="15.75">
      <c r="C5630" s="951" t="s">
        <v>918</v>
      </c>
      <c r="D5630" s="946"/>
      <c r="E5630" s="947"/>
      <c r="F5630" s="1054"/>
      <c r="G5630" s="946"/>
      <c r="H5630" s="1031"/>
      <c r="I5630" s="952">
        <f>SUM(I5627:I5629)</f>
        <v>453.57</v>
      </c>
    </row>
    <row r="5631" spans="3:9" ht="15.75">
      <c r="C5631" s="949"/>
      <c r="D5631" s="946"/>
      <c r="E5631" s="947"/>
      <c r="F5631" s="1054"/>
      <c r="G5631" s="946"/>
      <c r="H5631" s="1031"/>
      <c r="I5631" s="948"/>
    </row>
    <row r="5632" spans="3:9" ht="15.75">
      <c r="C5632" s="945" t="s">
        <v>925</v>
      </c>
      <c r="D5632" s="946"/>
      <c r="E5632" s="947"/>
      <c r="F5632" s="1054"/>
      <c r="G5632" s="946"/>
      <c r="H5632" s="1031"/>
      <c r="I5632" s="948"/>
    </row>
    <row r="5633" spans="2:9" ht="15.75">
      <c r="C5633" s="949" t="s">
        <v>924</v>
      </c>
      <c r="D5633" s="946"/>
      <c r="E5633" s="947" t="str">
        <f>+VLOOKUP(C5633,'Basic (equilibrio) (2)'!B:D,2,FALSE)</f>
        <v>n/a</v>
      </c>
      <c r="F5633" s="1054">
        <f>+VLOOKUP(C5633,'Basic (equilibrio) (2)'!B:D,3,FALSE)</f>
        <v>0</v>
      </c>
      <c r="G5633" s="946"/>
      <c r="H5633" s="1031"/>
      <c r="I5633" s="948">
        <f>D5633*F5633</f>
        <v>0</v>
      </c>
    </row>
    <row r="5634" spans="2:9" ht="15.75">
      <c r="C5634" s="951" t="s">
        <v>918</v>
      </c>
      <c r="D5634" s="946"/>
      <c r="E5634" s="947"/>
      <c r="F5634" s="1054"/>
      <c r="G5634" s="946"/>
      <c r="H5634" s="1031"/>
      <c r="I5634" s="952">
        <f>SUM(I5633)</f>
        <v>0</v>
      </c>
    </row>
    <row r="5635" spans="2:9" ht="15.75">
      <c r="C5635" s="951"/>
      <c r="D5635" s="946"/>
      <c r="E5635" s="947"/>
      <c r="F5635" s="1054"/>
      <c r="G5635" s="946"/>
      <c r="H5635" s="1031"/>
      <c r="I5635" s="952"/>
    </row>
    <row r="5636" spans="2:9" ht="15.75">
      <c r="C5636" s="956" t="s">
        <v>926</v>
      </c>
      <c r="D5636" s="957"/>
      <c r="E5636" s="958"/>
      <c r="F5636" s="1069"/>
      <c r="G5636" s="957"/>
      <c r="H5636" s="1032"/>
      <c r="I5636" s="959">
        <f>+I5620</f>
        <v>0</v>
      </c>
    </row>
    <row r="5637" spans="2:9" ht="15.75">
      <c r="C5637" s="956" t="s">
        <v>927</v>
      </c>
      <c r="D5637" s="957"/>
      <c r="E5637" s="958"/>
      <c r="F5637" s="1069"/>
      <c r="G5637" s="957"/>
      <c r="H5637" s="1032"/>
      <c r="I5637" s="959">
        <f>+I5624</f>
        <v>1.67</v>
      </c>
    </row>
    <row r="5638" spans="2:9" ht="15.75">
      <c r="C5638" s="956" t="s">
        <v>928</v>
      </c>
      <c r="D5638" s="957"/>
      <c r="E5638" s="958"/>
      <c r="F5638" s="1069"/>
      <c r="G5638" s="957"/>
      <c r="H5638" s="1032"/>
      <c r="I5638" s="959">
        <f>+I5630</f>
        <v>453.57</v>
      </c>
    </row>
    <row r="5639" spans="2:9" ht="15.75">
      <c r="C5639" s="956" t="s">
        <v>929</v>
      </c>
      <c r="D5639" s="957"/>
      <c r="E5639" s="958"/>
      <c r="F5639" s="1069"/>
      <c r="G5639" s="957"/>
      <c r="H5639" s="1032"/>
      <c r="I5639" s="959">
        <f>+I5634</f>
        <v>0</v>
      </c>
    </row>
    <row r="5640" spans="2:9" ht="15.75">
      <c r="C5640" s="949"/>
      <c r="D5640" s="946"/>
      <c r="E5640" s="947"/>
      <c r="F5640" s="1054"/>
      <c r="G5640" s="946"/>
      <c r="H5640" s="1031"/>
      <c r="I5640" s="948"/>
    </row>
    <row r="5641" spans="2:9" ht="15.75">
      <c r="C5641" s="951" t="s">
        <v>930</v>
      </c>
      <c r="D5641" s="960"/>
      <c r="E5641" s="943" t="str">
        <f>+E5616</f>
        <v>M3C</v>
      </c>
      <c r="F5641" s="1070"/>
      <c r="G5641" s="960"/>
      <c r="H5641" s="1033"/>
      <c r="I5641" s="952">
        <f>SUM(I5636:I5639)</f>
        <v>455.24</v>
      </c>
    </row>
    <row r="5642" spans="2:9" ht="15.75">
      <c r="C5642" s="951"/>
      <c r="D5642" s="960"/>
      <c r="E5642" s="943"/>
      <c r="F5642" s="1070"/>
      <c r="G5642" s="960"/>
      <c r="H5642" s="1033"/>
      <c r="I5642" s="952"/>
    </row>
    <row r="5643" spans="2:9" ht="15.75">
      <c r="B5643" s="1024">
        <v>1.3</v>
      </c>
      <c r="C5643" s="937" t="str">
        <f>+Presupuesto!B366</f>
        <v>Charrancha y replateo</v>
      </c>
      <c r="D5643" s="938"/>
      <c r="E5643" s="939" t="s">
        <v>20</v>
      </c>
      <c r="F5643" s="1066"/>
      <c r="G5643" s="938"/>
      <c r="H5643" s="1029"/>
      <c r="I5643" s="940">
        <f>+I5672</f>
        <v>39.22</v>
      </c>
    </row>
    <row r="5644" spans="2:9" ht="15.75">
      <c r="C5644" s="941" t="s">
        <v>908</v>
      </c>
      <c r="D5644" s="942" t="s">
        <v>9</v>
      </c>
      <c r="E5644" s="943" t="s">
        <v>10</v>
      </c>
      <c r="F5644" s="1067" t="s">
        <v>909</v>
      </c>
      <c r="G5644" s="942" t="s">
        <v>910</v>
      </c>
      <c r="H5644" s="1030" t="s">
        <v>911</v>
      </c>
      <c r="I5644" s="944" t="s">
        <v>912</v>
      </c>
    </row>
    <row r="5645" spans="2:9" ht="15.75">
      <c r="C5645" s="945" t="s">
        <v>913</v>
      </c>
      <c r="D5645" s="946"/>
      <c r="E5645" s="947"/>
      <c r="F5645" s="1054"/>
      <c r="G5645" s="946"/>
      <c r="H5645" s="1031"/>
      <c r="I5645" s="948"/>
    </row>
    <row r="5646" spans="2:9" ht="15.75">
      <c r="C5646" s="949" t="s">
        <v>914</v>
      </c>
      <c r="D5646" s="946">
        <f>33.94/28.83</f>
        <v>1.18</v>
      </c>
      <c r="E5646" s="947" t="str">
        <f>+VLOOKUP(C5646,'Basic (equilibrio) (2)'!B:D,2,FALSE)</f>
        <v>lb</v>
      </c>
      <c r="F5646" s="1068">
        <f>'Basic (equilibrio) (2)'!$D$192</f>
        <v>78.2</v>
      </c>
      <c r="G5646" s="946">
        <f>F5646-(F5646/1.18)</f>
        <v>11.93</v>
      </c>
      <c r="H5646" s="1031"/>
      <c r="I5646" s="948">
        <f>D5646*F5646</f>
        <v>92.28</v>
      </c>
    </row>
    <row r="5647" spans="2:9" ht="15.75">
      <c r="C5647" s="949" t="s">
        <v>915</v>
      </c>
      <c r="D5647" s="946">
        <f>22/28.83</f>
        <v>0.76</v>
      </c>
      <c r="E5647" s="950" t="str">
        <f>+VLOOKUP(C5647,'Basic (equilibrio) (2)'!B:D,2,FALSE)</f>
        <v>fda</v>
      </c>
      <c r="F5647" s="1068">
        <f>'Basic (equilibrio) (2)'!$D$193</f>
        <v>153.6</v>
      </c>
      <c r="G5647" s="946">
        <f>F5647-(F5647/1.18)</f>
        <v>23.43</v>
      </c>
      <c r="H5647" s="1031"/>
      <c r="I5647" s="948">
        <f>D5647*F5647</f>
        <v>116.74</v>
      </c>
    </row>
    <row r="5648" spans="2:9" ht="15.75">
      <c r="C5648" s="949" t="s">
        <v>916</v>
      </c>
      <c r="D5648" s="946">
        <f>160.42/28.83</f>
        <v>5.56</v>
      </c>
      <c r="E5648" s="947" t="str">
        <f>+VLOOKUP(C5648,'Basic (equilibrio) (2)'!B:D,2,FALSE)</f>
        <v>pt</v>
      </c>
      <c r="F5648" s="1068">
        <f>'Basic (equilibrio) (2)'!$D$194</f>
        <v>107.7</v>
      </c>
      <c r="G5648" s="946">
        <f>F5648-(F5648/1.18)</f>
        <v>16.43</v>
      </c>
      <c r="H5648" s="1031"/>
      <c r="I5648" s="948">
        <f>D5648*F5648</f>
        <v>598.80999999999995</v>
      </c>
    </row>
    <row r="5649" spans="3:9" ht="15.75">
      <c r="C5649" s="949" t="s">
        <v>917</v>
      </c>
      <c r="D5649" s="946">
        <f>3/28.83</f>
        <v>0.1</v>
      </c>
      <c r="E5649" s="950" t="str">
        <f>+VLOOKUP(C5649,'Basic (equilibrio) (2)'!B:D,2,FALSE)</f>
        <v>u</v>
      </c>
      <c r="F5649" s="1068">
        <f>'Basic (equilibrio) (2)'!$D$195</f>
        <v>139.19999999999999</v>
      </c>
      <c r="G5649" s="946">
        <f>F5649-(F5649/1.18)</f>
        <v>21.23</v>
      </c>
      <c r="H5649" s="1031"/>
      <c r="I5649" s="948">
        <f>D5649*F5649</f>
        <v>13.92</v>
      </c>
    </row>
    <row r="5650" spans="3:9" ht="15.75">
      <c r="C5650" s="951" t="s">
        <v>918</v>
      </c>
      <c r="D5650" s="946"/>
      <c r="E5650" s="947"/>
      <c r="F5650" s="1068"/>
      <c r="G5650" s="946"/>
      <c r="H5650" s="1031"/>
      <c r="I5650" s="952">
        <f>SUM(I5646:I5649)</f>
        <v>821.75</v>
      </c>
    </row>
    <row r="5651" spans="3:9" ht="15.75">
      <c r="C5651" s="949"/>
      <c r="D5651" s="946"/>
      <c r="E5651" s="947"/>
      <c r="F5651" s="1068"/>
      <c r="G5651" s="946"/>
      <c r="H5651" s="1031"/>
      <c r="I5651" s="948"/>
    </row>
    <row r="5652" spans="3:9" ht="15.75">
      <c r="C5652" s="945" t="s">
        <v>919</v>
      </c>
      <c r="D5652" s="946"/>
      <c r="E5652" s="947"/>
      <c r="F5652" s="1068"/>
      <c r="G5652" s="946"/>
      <c r="H5652" s="1031"/>
      <c r="I5652" s="948"/>
    </row>
    <row r="5653" spans="3:9" ht="15.75">
      <c r="C5653" s="949" t="s">
        <v>921</v>
      </c>
      <c r="D5653" s="946">
        <v>1</v>
      </c>
      <c r="E5653" s="954" t="str">
        <f>+VLOOKUP(C5653,'Basic (equilibrio) (2)'!B:D,2,FALSE)</f>
        <v>dia</v>
      </c>
      <c r="F5653" s="1054">
        <f>'Basic (equilibrio) (2)'!$D$12</f>
        <v>1900</v>
      </c>
      <c r="G5653" s="946">
        <v>0</v>
      </c>
      <c r="H5653" s="1031"/>
      <c r="I5653" s="948">
        <f>D5653*F5653</f>
        <v>1900</v>
      </c>
    </row>
    <row r="5654" spans="3:9" ht="15.75">
      <c r="C5654" s="949" t="s">
        <v>922</v>
      </c>
      <c r="D5654" s="946">
        <v>1</v>
      </c>
      <c r="E5654" s="954" t="str">
        <f>+VLOOKUP(C5654,'Basic (equilibrio) (2)'!B:D,2,FALSE)</f>
        <v>dia</v>
      </c>
      <c r="F5654" s="1054">
        <f>'Basic (equilibrio) (2)'!$D$13</f>
        <v>1200</v>
      </c>
      <c r="G5654" s="946">
        <v>0</v>
      </c>
      <c r="H5654" s="1031"/>
      <c r="I5654" s="948">
        <f>D5654*F5654</f>
        <v>1200</v>
      </c>
    </row>
    <row r="5655" spans="3:9" ht="15.75">
      <c r="C5655" s="951" t="s">
        <v>918</v>
      </c>
      <c r="D5655" s="946"/>
      <c r="E5655" s="947"/>
      <c r="F5655" s="1054"/>
      <c r="G5655" s="946"/>
      <c r="H5655" s="1031"/>
      <c r="I5655" s="952">
        <f>SUM(I5653:I5654)</f>
        <v>3100</v>
      </c>
    </row>
    <row r="5656" spans="3:9" ht="15.75">
      <c r="C5656" s="949"/>
      <c r="D5656" s="946"/>
      <c r="E5656" s="947"/>
      <c r="F5656" s="1054"/>
      <c r="G5656" s="946"/>
      <c r="H5656" s="1031"/>
      <c r="I5656" s="948"/>
    </row>
    <row r="5657" spans="3:9" ht="15.75">
      <c r="C5657" s="945" t="s">
        <v>923</v>
      </c>
      <c r="D5657" s="946"/>
      <c r="E5657" s="947"/>
      <c r="F5657" s="1054"/>
      <c r="G5657" s="946"/>
      <c r="H5657" s="1031"/>
      <c r="I5657" s="948"/>
    </row>
    <row r="5658" spans="3:9" ht="15.75">
      <c r="C5658" s="949" t="s">
        <v>924</v>
      </c>
      <c r="D5658" s="946"/>
      <c r="E5658" s="947" t="str">
        <f>+VLOOKUP(C5658,'Basic (equilibrio) (2)'!B:D,2,FALSE)</f>
        <v>n/a</v>
      </c>
      <c r="F5658" s="1054">
        <f>+VLOOKUP(C5658,'Basic (equilibrio) (2)'!B:D,3,FALSE)</f>
        <v>0</v>
      </c>
      <c r="G5658" s="946">
        <f>F5658-(F5658/1.18)</f>
        <v>0</v>
      </c>
      <c r="H5658" s="1039"/>
      <c r="I5658" s="955">
        <f>D5658*F5658</f>
        <v>0</v>
      </c>
    </row>
    <row r="5659" spans="3:9" ht="15.75">
      <c r="C5659" s="951" t="s">
        <v>918</v>
      </c>
      <c r="D5659" s="946"/>
      <c r="E5659" s="947"/>
      <c r="F5659" s="1054"/>
      <c r="G5659" s="946"/>
      <c r="H5659" s="1031"/>
      <c r="I5659" s="952">
        <f>SUM(I5658)</f>
        <v>0</v>
      </c>
    </row>
    <row r="5660" spans="3:9" ht="15.75">
      <c r="C5660" s="949"/>
      <c r="D5660" s="946"/>
      <c r="E5660" s="947"/>
      <c r="F5660" s="1054"/>
      <c r="G5660" s="946"/>
      <c r="H5660" s="1031"/>
      <c r="I5660" s="948"/>
    </row>
    <row r="5661" spans="3:9" ht="15.75">
      <c r="C5661" s="945" t="s">
        <v>925</v>
      </c>
      <c r="D5661" s="946"/>
      <c r="E5661" s="947"/>
      <c r="F5661" s="1054"/>
      <c r="G5661" s="946"/>
      <c r="H5661" s="1031"/>
      <c r="I5661" s="948"/>
    </row>
    <row r="5662" spans="3:9" ht="15.75">
      <c r="C5662" s="949" t="s">
        <v>925</v>
      </c>
      <c r="D5662" s="946">
        <f>+I5650</f>
        <v>821.75</v>
      </c>
      <c r="E5662" s="947" t="str">
        <f>+VLOOKUP(C5662,'Basic (equilibrio) (2)'!B:D,2,FALSE)</f>
        <v>Pa</v>
      </c>
      <c r="F5662" s="1054">
        <f>+VLOOKUP(C5662,'Basic (equilibrio) (2)'!B:D,3,FALSE)</f>
        <v>0</v>
      </c>
      <c r="G5662" s="946">
        <f>F5662-(F5662/1.18)</f>
        <v>0</v>
      </c>
      <c r="H5662" s="1031"/>
      <c r="I5662" s="948">
        <f>D5662*F5662</f>
        <v>0</v>
      </c>
    </row>
    <row r="5663" spans="3:9" ht="15.75">
      <c r="C5663" s="951" t="s">
        <v>918</v>
      </c>
      <c r="D5663" s="946"/>
      <c r="E5663" s="947"/>
      <c r="F5663" s="1054"/>
      <c r="G5663" s="946"/>
      <c r="H5663" s="1031"/>
      <c r="I5663" s="952">
        <f>SUM(I5662)</f>
        <v>0</v>
      </c>
    </row>
    <row r="5664" spans="3:9" ht="15.75">
      <c r="C5664" s="951"/>
      <c r="D5664" s="946"/>
      <c r="E5664" s="947"/>
      <c r="F5664" s="1054"/>
      <c r="G5664" s="946"/>
      <c r="H5664" s="1031"/>
      <c r="I5664" s="952"/>
    </row>
    <row r="5665" spans="2:9" ht="15.75">
      <c r="C5665" s="956" t="s">
        <v>926</v>
      </c>
      <c r="D5665" s="957"/>
      <c r="E5665" s="958"/>
      <c r="F5665" s="1069"/>
      <c r="G5665" s="957"/>
      <c r="H5665" s="1032"/>
      <c r="I5665" s="959">
        <f>+I5650</f>
        <v>821.75</v>
      </c>
    </row>
    <row r="5666" spans="2:9" ht="15.75">
      <c r="C5666" s="956" t="s">
        <v>927</v>
      </c>
      <c r="D5666" s="957"/>
      <c r="E5666" s="958"/>
      <c r="F5666" s="1069"/>
      <c r="G5666" s="957"/>
      <c r="H5666" s="1032"/>
      <c r="I5666" s="959">
        <f>+I5655</f>
        <v>3100</v>
      </c>
    </row>
    <row r="5667" spans="2:9" ht="15.75">
      <c r="C5667" s="956" t="s">
        <v>928</v>
      </c>
      <c r="D5667" s="957"/>
      <c r="E5667" s="958"/>
      <c r="F5667" s="1069"/>
      <c r="G5667" s="957"/>
      <c r="H5667" s="1032"/>
      <c r="I5667" s="959">
        <f>+I5659</f>
        <v>0</v>
      </c>
    </row>
    <row r="5668" spans="2:9" ht="15.75">
      <c r="C5668" s="956" t="s">
        <v>929</v>
      </c>
      <c r="D5668" s="957"/>
      <c r="E5668" s="958"/>
      <c r="F5668" s="1069"/>
      <c r="G5668" s="957"/>
      <c r="H5668" s="1032"/>
      <c r="I5668" s="959">
        <f>+I5663</f>
        <v>0</v>
      </c>
    </row>
    <row r="5669" spans="2:9" ht="15.75">
      <c r="C5669" s="949"/>
      <c r="D5669" s="946"/>
      <c r="E5669" s="947"/>
      <c r="F5669" s="1054"/>
      <c r="G5669" s="946"/>
      <c r="H5669" s="1031"/>
      <c r="I5669" s="948"/>
    </row>
    <row r="5670" spans="2:9" ht="15.75">
      <c r="C5670" s="949"/>
      <c r="D5670" s="946"/>
      <c r="E5670" s="947"/>
      <c r="F5670" s="1054"/>
      <c r="G5670" s="946"/>
      <c r="H5670" s="1031"/>
      <c r="I5670" s="948"/>
    </row>
    <row r="5671" spans="2:9" ht="15.75">
      <c r="C5671" s="951" t="s">
        <v>930</v>
      </c>
      <c r="D5671" s="960">
        <v>100</v>
      </c>
      <c r="E5671" s="943" t="str">
        <f>+E5643</f>
        <v>M2</v>
      </c>
      <c r="F5671" s="1070"/>
      <c r="G5671" s="960"/>
      <c r="H5671" s="1033"/>
      <c r="I5671" s="952">
        <f>SUM(I5665:I5668)</f>
        <v>3921.75</v>
      </c>
    </row>
    <row r="5672" spans="2:9" ht="15.75">
      <c r="C5672" s="949"/>
      <c r="D5672" s="946"/>
      <c r="E5672" s="947" t="s">
        <v>20</v>
      </c>
      <c r="F5672" s="1054"/>
      <c r="G5672" s="946"/>
      <c r="H5672" s="1031"/>
      <c r="I5672" s="948">
        <f>+I5671/D5671</f>
        <v>39.22</v>
      </c>
    </row>
    <row r="5673" spans="2:9" ht="15.75">
      <c r="C5673" s="951"/>
      <c r="D5673" s="960"/>
      <c r="E5673" s="943"/>
      <c r="F5673" s="1070"/>
      <c r="G5673" s="960"/>
      <c r="H5673" s="1033"/>
      <c r="I5673" s="952"/>
    </row>
    <row r="5674" spans="2:9" ht="15.75">
      <c r="B5674" s="1024">
        <v>1.4</v>
      </c>
      <c r="C5674" s="937" t="str">
        <f>+Presupuesto!B367</f>
        <v xml:space="preserve">Caseta de Materiales 12' x 32' </v>
      </c>
      <c r="D5674" s="938"/>
      <c r="E5674" s="939" t="s">
        <v>20</v>
      </c>
      <c r="F5674" s="1066"/>
      <c r="G5674" s="938"/>
      <c r="H5674" s="1029"/>
      <c r="I5674" s="940">
        <f>+I5698</f>
        <v>2200</v>
      </c>
    </row>
    <row r="5675" spans="2:9" ht="15.75">
      <c r="C5675" s="941" t="s">
        <v>908</v>
      </c>
      <c r="D5675" s="942" t="s">
        <v>9</v>
      </c>
      <c r="E5675" s="943" t="s">
        <v>10</v>
      </c>
      <c r="F5675" s="1067" t="s">
        <v>909</v>
      </c>
      <c r="G5675" s="942" t="s">
        <v>910</v>
      </c>
      <c r="H5675" s="1030" t="s">
        <v>911</v>
      </c>
      <c r="I5675" s="944" t="s">
        <v>912</v>
      </c>
    </row>
    <row r="5676" spans="2:9" ht="15.75">
      <c r="C5676" s="945" t="s">
        <v>913</v>
      </c>
      <c r="D5676" s="946"/>
      <c r="E5676" s="947"/>
      <c r="F5676" s="1068">
        <f>'Basic (equilibrio) (2)'!$D$161</f>
        <v>2200</v>
      </c>
      <c r="G5676" s="946"/>
      <c r="H5676" s="1031"/>
      <c r="I5676" s="948"/>
    </row>
    <row r="5677" spans="2:9" ht="15.75">
      <c r="C5677" s="949" t="s">
        <v>1575</v>
      </c>
      <c r="D5677" s="946">
        <v>1</v>
      </c>
      <c r="E5677" s="947" t="str">
        <f>+VLOOKUP(C5677,'Basic (equilibrio) (2)'!B:D,2,FALSE)</f>
        <v>m2</v>
      </c>
      <c r="G5677" s="946">
        <f>F5676-(F5676/1.18)</f>
        <v>335.59</v>
      </c>
      <c r="H5677" s="1031"/>
      <c r="I5677" s="948">
        <f>D5677*F5676</f>
        <v>2200</v>
      </c>
    </row>
    <row r="5678" spans="2:9" ht="15.75">
      <c r="C5678" s="951" t="s">
        <v>918</v>
      </c>
      <c r="D5678" s="946"/>
      <c r="E5678" s="947"/>
      <c r="F5678" s="1068"/>
      <c r="G5678" s="946"/>
      <c r="H5678" s="1031"/>
      <c r="I5678" s="952">
        <f>SUM(I5677:I5677)</f>
        <v>2200</v>
      </c>
    </row>
    <row r="5679" spans="2:9" ht="15.75">
      <c r="C5679" s="949"/>
      <c r="D5679" s="946"/>
      <c r="E5679" s="947"/>
      <c r="F5679" s="1068"/>
      <c r="G5679" s="946"/>
      <c r="H5679" s="1031"/>
      <c r="I5679" s="948"/>
    </row>
    <row r="5680" spans="2:9" ht="15.75">
      <c r="C5680" s="945" t="s">
        <v>919</v>
      </c>
      <c r="D5680" s="946"/>
      <c r="E5680" s="947"/>
      <c r="F5680" s="1068"/>
      <c r="G5680" s="946"/>
      <c r="H5680" s="1031"/>
      <c r="I5680" s="948"/>
    </row>
    <row r="5681" spans="3:9" ht="15.75">
      <c r="C5681" s="949" t="s">
        <v>924</v>
      </c>
      <c r="D5681" s="946">
        <v>1</v>
      </c>
      <c r="E5681" s="954" t="str">
        <f>+VLOOKUP(C5681,'Basic (equilibrio) (2)'!B:D,2,FALSE)</f>
        <v>n/a</v>
      </c>
      <c r="F5681" s="1054">
        <f>+VLOOKUP(C5681,'Basic (equilibrio) (2)'!B:D,3,FALSE)</f>
        <v>0</v>
      </c>
      <c r="G5681" s="946">
        <v>0</v>
      </c>
      <c r="H5681" s="1031"/>
      <c r="I5681" s="948">
        <f>D5681*F5681</f>
        <v>0</v>
      </c>
    </row>
    <row r="5682" spans="3:9" ht="15.75">
      <c r="C5682" s="951" t="s">
        <v>918</v>
      </c>
      <c r="D5682" s="946"/>
      <c r="E5682" s="947"/>
      <c r="F5682" s="1054"/>
      <c r="G5682" s="946"/>
      <c r="H5682" s="1031"/>
      <c r="I5682" s="952">
        <f>SUM(I5681:I5681)</f>
        <v>0</v>
      </c>
    </row>
    <row r="5683" spans="3:9" ht="15.75">
      <c r="C5683" s="949"/>
      <c r="D5683" s="946"/>
      <c r="E5683" s="947"/>
      <c r="F5683" s="1054"/>
      <c r="G5683" s="946"/>
      <c r="H5683" s="1031"/>
      <c r="I5683" s="948"/>
    </row>
    <row r="5684" spans="3:9" ht="15.75">
      <c r="C5684" s="945" t="s">
        <v>923</v>
      </c>
      <c r="D5684" s="946"/>
      <c r="E5684" s="947"/>
      <c r="F5684" s="1054"/>
      <c r="G5684" s="946"/>
      <c r="H5684" s="1031"/>
      <c r="I5684" s="948"/>
    </row>
    <row r="5685" spans="3:9" ht="15.75">
      <c r="C5685" s="949" t="s">
        <v>924</v>
      </c>
      <c r="D5685" s="946"/>
      <c r="E5685" s="947"/>
      <c r="F5685" s="1054">
        <f>+VLOOKUP(C5685,[49]BASICS!B:E,3,FALSE)</f>
        <v>0</v>
      </c>
      <c r="G5685" s="946">
        <f>F5685-(F5685/1.18)</f>
        <v>0</v>
      </c>
      <c r="H5685" s="1039"/>
      <c r="I5685" s="955">
        <f>D5685*F5685</f>
        <v>0</v>
      </c>
    </row>
    <row r="5686" spans="3:9" ht="15.75">
      <c r="C5686" s="951" t="s">
        <v>918</v>
      </c>
      <c r="D5686" s="946"/>
      <c r="E5686" s="947"/>
      <c r="F5686" s="1054"/>
      <c r="G5686" s="946"/>
      <c r="H5686" s="1031"/>
      <c r="I5686" s="952">
        <f>SUM(I5685)</f>
        <v>0</v>
      </c>
    </row>
    <row r="5687" spans="3:9" ht="15.75">
      <c r="C5687" s="949"/>
      <c r="D5687" s="946"/>
      <c r="E5687" s="947"/>
      <c r="F5687" s="1054"/>
      <c r="G5687" s="946"/>
      <c r="H5687" s="1031"/>
      <c r="I5687" s="948"/>
    </row>
    <row r="5688" spans="3:9" ht="15.75">
      <c r="C5688" s="945" t="s">
        <v>925</v>
      </c>
      <c r="D5688" s="946"/>
      <c r="E5688" s="947"/>
      <c r="F5688" s="1054"/>
      <c r="G5688" s="946"/>
      <c r="H5688" s="1031"/>
      <c r="I5688" s="948"/>
    </row>
    <row r="5689" spans="3:9" ht="15.75">
      <c r="C5689" s="949" t="s">
        <v>925</v>
      </c>
      <c r="D5689" s="946"/>
      <c r="E5689" s="947" t="str">
        <f>VLOOKUP(C5689,[50]BASICS!B:D,2,FALSE)</f>
        <v>Pa</v>
      </c>
      <c r="F5689" s="1054">
        <f>+VLOOKUP(C5689,[49]BASICS!B:E,3,FALSE)</f>
        <v>0</v>
      </c>
      <c r="G5689" s="946">
        <f>F5689-(F5689/1.18)</f>
        <v>0</v>
      </c>
      <c r="H5689" s="1031"/>
      <c r="I5689" s="948">
        <f>D5689*F5689</f>
        <v>0</v>
      </c>
    </row>
    <row r="5690" spans="3:9" ht="15.75">
      <c r="C5690" s="951" t="s">
        <v>918</v>
      </c>
      <c r="D5690" s="946"/>
      <c r="E5690" s="947"/>
      <c r="F5690" s="1054"/>
      <c r="G5690" s="946"/>
      <c r="H5690" s="1031"/>
      <c r="I5690" s="952">
        <f>SUM(I5689)</f>
        <v>0</v>
      </c>
    </row>
    <row r="5691" spans="3:9" ht="15.75">
      <c r="C5691" s="951"/>
      <c r="D5691" s="946"/>
      <c r="E5691" s="947"/>
      <c r="F5691" s="1054"/>
      <c r="G5691" s="946"/>
      <c r="H5691" s="1031"/>
      <c r="I5691" s="952"/>
    </row>
    <row r="5692" spans="3:9" ht="15.75">
      <c r="C5692" s="956" t="s">
        <v>926</v>
      </c>
      <c r="D5692" s="957"/>
      <c r="E5692" s="958"/>
      <c r="F5692" s="1069"/>
      <c r="G5692" s="957"/>
      <c r="H5692" s="1032"/>
      <c r="I5692" s="959">
        <f>+I5678</f>
        <v>2200</v>
      </c>
    </row>
    <row r="5693" spans="3:9" ht="15.75">
      <c r="C5693" s="956" t="s">
        <v>927</v>
      </c>
      <c r="D5693" s="957"/>
      <c r="E5693" s="958"/>
      <c r="F5693" s="1069"/>
      <c r="G5693" s="957"/>
      <c r="H5693" s="1032"/>
      <c r="I5693" s="959">
        <f>+I5682</f>
        <v>0</v>
      </c>
    </row>
    <row r="5694" spans="3:9" ht="15.75">
      <c r="C5694" s="956" t="s">
        <v>928</v>
      </c>
      <c r="D5694" s="957"/>
      <c r="E5694" s="958"/>
      <c r="F5694" s="1069"/>
      <c r="G5694" s="957"/>
      <c r="H5694" s="1032"/>
      <c r="I5694" s="959">
        <f>+I5686</f>
        <v>0</v>
      </c>
    </row>
    <row r="5695" spans="3:9" ht="15.75">
      <c r="C5695" s="956" t="s">
        <v>929</v>
      </c>
      <c r="D5695" s="957"/>
      <c r="E5695" s="958"/>
      <c r="F5695" s="1069"/>
      <c r="G5695" s="957"/>
      <c r="H5695" s="1032"/>
      <c r="I5695" s="959">
        <f>+I5690</f>
        <v>0</v>
      </c>
    </row>
    <row r="5696" spans="3:9" ht="15.75">
      <c r="C5696" s="949"/>
      <c r="D5696" s="946"/>
      <c r="E5696" s="947"/>
      <c r="F5696" s="1054"/>
      <c r="G5696" s="946"/>
      <c r="H5696" s="1031"/>
      <c r="I5696" s="948"/>
    </row>
    <row r="5697" spans="2:9" ht="15.75">
      <c r="C5697" s="949"/>
      <c r="D5697" s="946"/>
      <c r="E5697" s="947"/>
      <c r="F5697" s="1054"/>
      <c r="G5697" s="946"/>
      <c r="H5697" s="1031"/>
      <c r="I5697" s="948"/>
    </row>
    <row r="5698" spans="2:9" ht="15.75">
      <c r="C5698" s="951" t="s">
        <v>930</v>
      </c>
      <c r="D5698" s="960"/>
      <c r="E5698" s="943" t="str">
        <f>+E5674</f>
        <v>M2</v>
      </c>
      <c r="F5698" s="1070"/>
      <c r="G5698" s="960"/>
      <c r="H5698" s="1033"/>
      <c r="I5698" s="952">
        <f>SUM(I5692:I5695)</f>
        <v>2200</v>
      </c>
    </row>
    <row r="5699" spans="2:9" ht="15.75">
      <c r="C5699" s="949"/>
      <c r="D5699" s="946"/>
      <c r="E5699" s="947"/>
      <c r="F5699" s="1054"/>
      <c r="G5699" s="946"/>
      <c r="H5699" s="1031"/>
      <c r="I5699" s="948"/>
    </row>
    <row r="5700" spans="2:9" ht="15.75">
      <c r="B5700" s="1024">
        <v>1.4</v>
      </c>
      <c r="C5700" s="937" t="str">
        <f>+Presupuesto!B368</f>
        <v>Fumigación</v>
      </c>
      <c r="D5700" s="938"/>
      <c r="E5700" s="939" t="s">
        <v>20</v>
      </c>
      <c r="F5700" s="1066"/>
      <c r="G5700" s="938"/>
      <c r="H5700" s="1029"/>
      <c r="I5700" s="940">
        <f>+I5724</f>
        <v>120</v>
      </c>
    </row>
    <row r="5701" spans="2:9" ht="15.75">
      <c r="C5701" s="941" t="s">
        <v>908</v>
      </c>
      <c r="D5701" s="942" t="s">
        <v>9</v>
      </c>
      <c r="E5701" s="943" t="s">
        <v>10</v>
      </c>
      <c r="F5701" s="1067" t="s">
        <v>909</v>
      </c>
      <c r="G5701" s="942" t="s">
        <v>910</v>
      </c>
      <c r="H5701" s="1030" t="s">
        <v>911</v>
      </c>
      <c r="I5701" s="944" t="s">
        <v>912</v>
      </c>
    </row>
    <row r="5702" spans="2:9" ht="15.75">
      <c r="C5702" s="945" t="s">
        <v>913</v>
      </c>
      <c r="D5702" s="946"/>
      <c r="E5702" s="947"/>
      <c r="F5702" s="1054"/>
      <c r="G5702" s="946"/>
      <c r="H5702" s="1031"/>
      <c r="I5702" s="948"/>
    </row>
    <row r="5703" spans="2:9" ht="15.75">
      <c r="C5703" s="949" t="s">
        <v>1576</v>
      </c>
      <c r="D5703" s="946">
        <v>1</v>
      </c>
      <c r="E5703" s="947" t="str">
        <f>+VLOOKUP(C5703,'Basic (equilibrio) (2)'!B:D,2,FALSE)</f>
        <v>m2</v>
      </c>
      <c r="F5703" s="1068">
        <f>'Basic (equilibrio) (2)'!$D$370</f>
        <v>120</v>
      </c>
      <c r="G5703" s="946">
        <f>F5703-(F5703/1.18)</f>
        <v>18.309999999999999</v>
      </c>
      <c r="H5703" s="1031"/>
      <c r="I5703" s="948">
        <f>D5703*F5703</f>
        <v>120</v>
      </c>
    </row>
    <row r="5704" spans="2:9" ht="15.75">
      <c r="C5704" s="951" t="s">
        <v>918</v>
      </c>
      <c r="D5704" s="946"/>
      <c r="E5704" s="947"/>
      <c r="F5704" s="1068"/>
      <c r="G5704" s="946"/>
      <c r="H5704" s="1031"/>
      <c r="I5704" s="952">
        <f>SUM(I5703:I5703)</f>
        <v>120</v>
      </c>
    </row>
    <row r="5705" spans="2:9" ht="15.75">
      <c r="C5705" s="949"/>
      <c r="D5705" s="946"/>
      <c r="E5705" s="947"/>
      <c r="F5705" s="1068"/>
      <c r="G5705" s="946"/>
      <c r="H5705" s="1031"/>
      <c r="I5705" s="948"/>
    </row>
    <row r="5706" spans="2:9" ht="15.75">
      <c r="C5706" s="945" t="s">
        <v>919</v>
      </c>
      <c r="D5706" s="946"/>
      <c r="E5706" s="947"/>
      <c r="F5706" s="1068"/>
      <c r="G5706" s="946"/>
      <c r="H5706" s="1031"/>
      <c r="I5706" s="948"/>
    </row>
    <row r="5707" spans="2:9" ht="15.75">
      <c r="C5707" s="949" t="s">
        <v>924</v>
      </c>
      <c r="D5707" s="946">
        <v>1</v>
      </c>
      <c r="E5707" s="954" t="str">
        <f>+VLOOKUP(C5707,'Basic (equilibrio) (2)'!B:D,2,FALSE)</f>
        <v>n/a</v>
      </c>
      <c r="F5707" s="1054">
        <f>+VLOOKUP(C5707,'Basic (equilibrio) (2)'!B:D,3,FALSE)</f>
        <v>0</v>
      </c>
      <c r="G5707" s="946">
        <v>0</v>
      </c>
      <c r="H5707" s="1031"/>
      <c r="I5707" s="948">
        <f>D5707*F5707</f>
        <v>0</v>
      </c>
    </row>
    <row r="5708" spans="2:9" ht="15.75">
      <c r="C5708" s="951" t="s">
        <v>918</v>
      </c>
      <c r="D5708" s="946"/>
      <c r="E5708" s="947"/>
      <c r="F5708" s="1054"/>
      <c r="G5708" s="946"/>
      <c r="H5708" s="1031"/>
      <c r="I5708" s="952">
        <f>SUM(I5707:I5707)</f>
        <v>0</v>
      </c>
    </row>
    <row r="5709" spans="2:9" ht="15.75">
      <c r="C5709" s="949"/>
      <c r="D5709" s="946"/>
      <c r="E5709" s="947"/>
      <c r="F5709" s="1054"/>
      <c r="G5709" s="946"/>
      <c r="H5709" s="1031"/>
      <c r="I5709" s="948"/>
    </row>
    <row r="5710" spans="2:9" ht="15.75">
      <c r="C5710" s="945" t="s">
        <v>923</v>
      </c>
      <c r="D5710" s="946"/>
      <c r="E5710" s="947"/>
      <c r="F5710" s="1054"/>
      <c r="G5710" s="946"/>
      <c r="H5710" s="1031"/>
      <c r="I5710" s="948"/>
    </row>
    <row r="5711" spans="2:9" ht="15.75">
      <c r="C5711" s="949" t="s">
        <v>924</v>
      </c>
      <c r="D5711" s="946"/>
      <c r="E5711" s="947"/>
      <c r="F5711" s="1054">
        <f>+VLOOKUP(C5711,[49]BASICS!B:E,3,FALSE)</f>
        <v>0</v>
      </c>
      <c r="G5711" s="946">
        <f>F5711-(F5711/1.18)</f>
        <v>0</v>
      </c>
      <c r="H5711" s="1039"/>
      <c r="I5711" s="955">
        <f>D5711*F5711</f>
        <v>0</v>
      </c>
    </row>
    <row r="5712" spans="2:9" ht="15.75">
      <c r="C5712" s="951" t="s">
        <v>918</v>
      </c>
      <c r="D5712" s="946"/>
      <c r="E5712" s="947"/>
      <c r="F5712" s="1054"/>
      <c r="G5712" s="946"/>
      <c r="H5712" s="1031"/>
      <c r="I5712" s="952">
        <f>SUM(I5711)</f>
        <v>0</v>
      </c>
    </row>
    <row r="5713" spans="2:9" ht="15.75">
      <c r="C5713" s="949"/>
      <c r="D5713" s="946"/>
      <c r="E5713" s="947"/>
      <c r="F5713" s="1054"/>
      <c r="G5713" s="946"/>
      <c r="H5713" s="1031"/>
      <c r="I5713" s="948"/>
    </row>
    <row r="5714" spans="2:9" ht="15.75">
      <c r="C5714" s="945" t="s">
        <v>925</v>
      </c>
      <c r="D5714" s="946"/>
      <c r="E5714" s="947"/>
      <c r="F5714" s="1054"/>
      <c r="G5714" s="946"/>
      <c r="H5714" s="1031"/>
      <c r="I5714" s="948"/>
    </row>
    <row r="5715" spans="2:9" ht="15.75">
      <c r="C5715" s="949" t="s">
        <v>925</v>
      </c>
      <c r="D5715" s="946"/>
      <c r="E5715" s="947" t="str">
        <f>+VLOOKUP(C5715,'Basic (equilibrio) (2)'!B:D,2,FALSE)</f>
        <v>Pa</v>
      </c>
      <c r="F5715" s="1054">
        <f>+VLOOKUP(C5715,'Basic (equilibrio) (2)'!B:D,3,FALSE)</f>
        <v>0</v>
      </c>
      <c r="G5715" s="946">
        <f>F5715-(F5715/1.18)</f>
        <v>0</v>
      </c>
      <c r="H5715" s="1031"/>
      <c r="I5715" s="948">
        <f>D5715*F5715</f>
        <v>0</v>
      </c>
    </row>
    <row r="5716" spans="2:9" ht="15.75">
      <c r="C5716" s="951" t="s">
        <v>918</v>
      </c>
      <c r="D5716" s="946"/>
      <c r="E5716" s="947"/>
      <c r="F5716" s="1054"/>
      <c r="G5716" s="946"/>
      <c r="H5716" s="1031"/>
      <c r="I5716" s="952">
        <f>SUM(I5715)</f>
        <v>0</v>
      </c>
    </row>
    <row r="5717" spans="2:9" ht="15.75">
      <c r="C5717" s="951"/>
      <c r="D5717" s="946"/>
      <c r="E5717" s="947"/>
      <c r="F5717" s="1054"/>
      <c r="G5717" s="946"/>
      <c r="H5717" s="1031"/>
      <c r="I5717" s="952"/>
    </row>
    <row r="5718" spans="2:9" ht="15.75">
      <c r="C5718" s="956" t="s">
        <v>926</v>
      </c>
      <c r="D5718" s="957"/>
      <c r="E5718" s="958"/>
      <c r="F5718" s="1069"/>
      <c r="G5718" s="957"/>
      <c r="H5718" s="1032"/>
      <c r="I5718" s="959">
        <f>+I5704</f>
        <v>120</v>
      </c>
    </row>
    <row r="5719" spans="2:9" ht="15.75">
      <c r="C5719" s="956" t="s">
        <v>927</v>
      </c>
      <c r="D5719" s="957"/>
      <c r="E5719" s="958"/>
      <c r="F5719" s="1069"/>
      <c r="G5719" s="957"/>
      <c r="H5719" s="1032"/>
      <c r="I5719" s="959">
        <f>+I5708</f>
        <v>0</v>
      </c>
    </row>
    <row r="5720" spans="2:9" ht="15.75">
      <c r="C5720" s="956" t="s">
        <v>928</v>
      </c>
      <c r="D5720" s="957"/>
      <c r="E5720" s="958"/>
      <c r="F5720" s="1069"/>
      <c r="G5720" s="957"/>
      <c r="H5720" s="1032"/>
      <c r="I5720" s="959">
        <f>+I5712</f>
        <v>0</v>
      </c>
    </row>
    <row r="5721" spans="2:9" ht="15.75">
      <c r="C5721" s="956" t="s">
        <v>929</v>
      </c>
      <c r="D5721" s="957"/>
      <c r="E5721" s="958"/>
      <c r="F5721" s="1069"/>
      <c r="G5721" s="957"/>
      <c r="H5721" s="1032"/>
      <c r="I5721" s="959">
        <f>+I5716</f>
        <v>0</v>
      </c>
    </row>
    <row r="5722" spans="2:9" ht="15.75">
      <c r="C5722" s="949"/>
      <c r="D5722" s="946"/>
      <c r="E5722" s="947"/>
      <c r="F5722" s="1054"/>
      <c r="G5722" s="946"/>
      <c r="H5722" s="1031"/>
      <c r="I5722" s="948"/>
    </row>
    <row r="5723" spans="2:9" ht="15.75">
      <c r="C5723" s="949"/>
      <c r="D5723" s="946"/>
      <c r="E5723" s="947"/>
      <c r="F5723" s="1054"/>
      <c r="G5723" s="946"/>
      <c r="H5723" s="1031"/>
      <c r="I5723" s="948"/>
    </row>
    <row r="5724" spans="2:9" ht="15.75">
      <c r="C5724" s="951" t="s">
        <v>930</v>
      </c>
      <c r="D5724" s="960">
        <v>100</v>
      </c>
      <c r="E5724" s="943" t="str">
        <f>+E5700</f>
        <v>M2</v>
      </c>
      <c r="F5724" s="1070"/>
      <c r="G5724" s="960"/>
      <c r="H5724" s="1033"/>
      <c r="I5724" s="952">
        <f>SUM(I5718:I5721)</f>
        <v>120</v>
      </c>
    </row>
    <row r="5725" spans="2:9" ht="15.75">
      <c r="C5725" s="951"/>
      <c r="D5725" s="960"/>
      <c r="E5725" s="943"/>
      <c r="F5725" s="1070"/>
      <c r="G5725" s="960"/>
      <c r="H5725" s="1033"/>
      <c r="I5725" s="952"/>
    </row>
    <row r="5726" spans="2:9" ht="15.75">
      <c r="B5726" s="1026">
        <v>2.1</v>
      </c>
      <c r="C5726" s="937" t="str">
        <f>+Presupuesto!B371</f>
        <v>Excavación en material no clasificado a mano</v>
      </c>
      <c r="D5726" s="938"/>
      <c r="E5726" s="962" t="s">
        <v>213</v>
      </c>
      <c r="F5726" s="1066"/>
      <c r="G5726" s="938"/>
      <c r="H5726" s="1029"/>
      <c r="I5726" s="940">
        <f>I5751</f>
        <v>441.3</v>
      </c>
    </row>
    <row r="5727" spans="2:9" ht="15.75">
      <c r="C5727" s="941" t="s">
        <v>908</v>
      </c>
      <c r="D5727" s="942" t="s">
        <v>9</v>
      </c>
      <c r="E5727" s="943" t="s">
        <v>10</v>
      </c>
      <c r="F5727" s="1067" t="s">
        <v>909</v>
      </c>
      <c r="G5727" s="942" t="s">
        <v>910</v>
      </c>
      <c r="H5727" s="1030" t="s">
        <v>911</v>
      </c>
      <c r="I5727" s="944" t="s">
        <v>912</v>
      </c>
    </row>
    <row r="5728" spans="2:9" ht="15.75">
      <c r="C5728" s="945" t="s">
        <v>913</v>
      </c>
      <c r="D5728" s="946"/>
      <c r="E5728" s="947"/>
      <c r="F5728" s="1054"/>
      <c r="G5728" s="946"/>
      <c r="H5728" s="1031"/>
      <c r="I5728" s="948"/>
    </row>
    <row r="5729" spans="3:9" ht="15.75">
      <c r="C5729" s="949" t="s">
        <v>924</v>
      </c>
      <c r="D5729" s="946"/>
      <c r="E5729" s="947" t="str">
        <f>+VLOOKUP(C5729,'Basic (equilibrio) (2)'!B:D,2,FALSE)</f>
        <v>n/a</v>
      </c>
      <c r="F5729" s="1068">
        <f>+VLOOKUP(C5729,'Basic (equilibrio) (2)'!B:D,3,FALSE)</f>
        <v>0</v>
      </c>
      <c r="G5729" s="946">
        <f>F5729-(F5729/1.18)</f>
        <v>0</v>
      </c>
      <c r="H5729" s="1031"/>
      <c r="I5729" s="948">
        <f>D5729*F5729</f>
        <v>0</v>
      </c>
    </row>
    <row r="5730" spans="3:9" ht="15.75">
      <c r="C5730" s="951" t="s">
        <v>918</v>
      </c>
      <c r="D5730" s="946"/>
      <c r="E5730" s="947"/>
      <c r="F5730" s="1068"/>
      <c r="G5730" s="946"/>
      <c r="H5730" s="1031"/>
      <c r="I5730" s="952">
        <f>SUM(I5729:I5729)</f>
        <v>0</v>
      </c>
    </row>
    <row r="5731" spans="3:9" ht="15.75">
      <c r="C5731" s="949"/>
      <c r="D5731" s="946"/>
      <c r="E5731" s="947"/>
      <c r="F5731" s="1068"/>
      <c r="G5731" s="946"/>
      <c r="H5731" s="1031"/>
      <c r="I5731" s="948"/>
    </row>
    <row r="5732" spans="3:9" ht="15.75">
      <c r="C5732" s="945" t="s">
        <v>919</v>
      </c>
      <c r="D5732" s="946"/>
      <c r="E5732" s="947"/>
      <c r="F5732" s="1068"/>
      <c r="G5732" s="946"/>
      <c r="H5732" s="1031"/>
      <c r="I5732" s="948"/>
    </row>
    <row r="5733" spans="3:9" ht="15.75">
      <c r="C5733" s="949" t="s">
        <v>931</v>
      </c>
      <c r="D5733" s="953">
        <v>1</v>
      </c>
      <c r="E5733" s="954" t="str">
        <f>+VLOOKUP(C5733,'Basic (equilibrio) (2)'!B:D,2,FALSE)</f>
        <v>dia</v>
      </c>
      <c r="F5733" s="1068">
        <f>'Basic (equilibrio) (2)'!$D$14</f>
        <v>900</v>
      </c>
      <c r="G5733" s="946">
        <v>0</v>
      </c>
      <c r="H5733" s="1031">
        <v>18</v>
      </c>
      <c r="I5733" s="948">
        <f>(D5733*F5733)/H5733</f>
        <v>50</v>
      </c>
    </row>
    <row r="5734" spans="3:9" ht="15.75">
      <c r="C5734" s="949" t="s">
        <v>931</v>
      </c>
      <c r="D5734" s="953">
        <v>1</v>
      </c>
      <c r="E5734" s="954" t="str">
        <f>+VLOOKUP(C5734,'Basic (equilibrio) (2)'!B:D,2,FALSE)</f>
        <v>dia</v>
      </c>
      <c r="F5734" s="1068">
        <f>'Basic (equilibrio) (2)'!$D$14</f>
        <v>900</v>
      </c>
      <c r="G5734" s="946">
        <v>0</v>
      </c>
      <c r="H5734" s="1031">
        <v>2.2999999999999998</v>
      </c>
      <c r="I5734" s="948">
        <f>(D5734*F5734)/H5734</f>
        <v>391.3</v>
      </c>
    </row>
    <row r="5735" spans="3:9" ht="15.75">
      <c r="C5735" s="951" t="s">
        <v>918</v>
      </c>
      <c r="D5735" s="946"/>
      <c r="E5735" s="947"/>
      <c r="F5735" s="1054"/>
      <c r="G5735" s="946"/>
      <c r="H5735" s="1031"/>
      <c r="I5735" s="952">
        <f>SUM(I5733:I5734)</f>
        <v>441.3</v>
      </c>
    </row>
    <row r="5736" spans="3:9" ht="15.75">
      <c r="C5736" s="949"/>
      <c r="D5736" s="946"/>
      <c r="E5736" s="947"/>
      <c r="F5736" s="1054"/>
      <c r="G5736" s="946"/>
      <c r="H5736" s="1031"/>
      <c r="I5736" s="948"/>
    </row>
    <row r="5737" spans="3:9" ht="15.75">
      <c r="C5737" s="945" t="s">
        <v>923</v>
      </c>
      <c r="D5737" s="946"/>
      <c r="E5737" s="947"/>
      <c r="F5737" s="1054"/>
      <c r="G5737" s="946"/>
      <c r="H5737" s="1031"/>
      <c r="I5737" s="948"/>
    </row>
    <row r="5738" spans="3:9" ht="15.75">
      <c r="C5738" s="949" t="s">
        <v>924</v>
      </c>
      <c r="D5738" s="946">
        <v>1</v>
      </c>
      <c r="E5738" s="947" t="str">
        <f>+VLOOKUP(C5738,'Basic (equilibrio) (2)'!B:D,2,FALSE)</f>
        <v>n/a</v>
      </c>
      <c r="F5738" s="1054">
        <f>+VLOOKUP(C5738,'Basic (equilibrio) (2)'!B:D,3,FALSE)</f>
        <v>0</v>
      </c>
      <c r="G5738" s="946">
        <f>F5738-(F5738/1.18)</f>
        <v>0</v>
      </c>
      <c r="H5738" s="1039">
        <v>70</v>
      </c>
      <c r="I5738" s="955">
        <f>D5738*F5738/H5738</f>
        <v>0</v>
      </c>
    </row>
    <row r="5739" spans="3:9" ht="15.75">
      <c r="C5739" s="951" t="s">
        <v>918</v>
      </c>
      <c r="D5739" s="946"/>
      <c r="E5739" s="947"/>
      <c r="F5739" s="1054"/>
      <c r="G5739" s="946"/>
      <c r="H5739" s="1031"/>
      <c r="I5739" s="952">
        <f>SUM(I5738:I5738)</f>
        <v>0</v>
      </c>
    </row>
    <row r="5740" spans="3:9" ht="15.75">
      <c r="C5740" s="949"/>
      <c r="D5740" s="946"/>
      <c r="E5740" s="947"/>
      <c r="F5740" s="1054"/>
      <c r="G5740" s="946"/>
      <c r="H5740" s="1031"/>
      <c r="I5740" s="948"/>
    </row>
    <row r="5741" spans="3:9" ht="15.75">
      <c r="C5741" s="945" t="s">
        <v>925</v>
      </c>
      <c r="D5741" s="946"/>
      <c r="E5741" s="947"/>
      <c r="F5741" s="1054"/>
      <c r="G5741" s="946"/>
      <c r="H5741" s="1031"/>
      <c r="I5741" s="948"/>
    </row>
    <row r="5742" spans="3:9" ht="15.75">
      <c r="C5742" s="949" t="s">
        <v>925</v>
      </c>
      <c r="D5742" s="946">
        <f>+I5739</f>
        <v>0</v>
      </c>
      <c r="E5742" s="947" t="str">
        <f>+VLOOKUP(C5742,'Basic (equilibrio) (2)'!B:D,2,FALSE)</f>
        <v>Pa</v>
      </c>
      <c r="F5742" s="1054">
        <f>+VLOOKUP(C5742,'Basic (equilibrio) (2)'!B:D,3,FALSE)</f>
        <v>0</v>
      </c>
      <c r="G5742" s="946"/>
      <c r="H5742" s="1031"/>
      <c r="I5742" s="948">
        <f>D5742*F5742</f>
        <v>0</v>
      </c>
    </row>
    <row r="5743" spans="3:9" ht="15.75">
      <c r="C5743" s="951" t="s">
        <v>918</v>
      </c>
      <c r="D5743" s="946"/>
      <c r="E5743" s="947"/>
      <c r="F5743" s="1054"/>
      <c r="G5743" s="946"/>
      <c r="H5743" s="1031"/>
      <c r="I5743" s="952">
        <f>SUM(I5742)</f>
        <v>0</v>
      </c>
    </row>
    <row r="5744" spans="3:9" ht="15.75">
      <c r="C5744" s="951"/>
      <c r="D5744" s="946"/>
      <c r="E5744" s="947"/>
      <c r="F5744" s="1054"/>
      <c r="G5744" s="946"/>
      <c r="H5744" s="1031"/>
      <c r="I5744" s="952"/>
    </row>
    <row r="5745" spans="2:9" ht="15.75">
      <c r="C5745" s="956" t="s">
        <v>926</v>
      </c>
      <c r="D5745" s="957"/>
      <c r="E5745" s="958"/>
      <c r="F5745" s="1069"/>
      <c r="G5745" s="957"/>
      <c r="H5745" s="1032"/>
      <c r="I5745" s="959">
        <f>+I5730</f>
        <v>0</v>
      </c>
    </row>
    <row r="5746" spans="2:9" ht="15.75">
      <c r="C5746" s="956" t="s">
        <v>927</v>
      </c>
      <c r="D5746" s="957"/>
      <c r="E5746" s="958"/>
      <c r="F5746" s="1069"/>
      <c r="G5746" s="957"/>
      <c r="H5746" s="1032"/>
      <c r="I5746" s="959">
        <f>+I5735</f>
        <v>441.3</v>
      </c>
    </row>
    <row r="5747" spans="2:9" ht="15.75">
      <c r="C5747" s="956" t="s">
        <v>928</v>
      </c>
      <c r="D5747" s="957"/>
      <c r="E5747" s="958"/>
      <c r="F5747" s="1069"/>
      <c r="G5747" s="957"/>
      <c r="H5747" s="1032"/>
      <c r="I5747" s="959">
        <f>+I5739</f>
        <v>0</v>
      </c>
    </row>
    <row r="5748" spans="2:9" ht="15.75">
      <c r="C5748" s="956" t="s">
        <v>929</v>
      </c>
      <c r="D5748" s="957"/>
      <c r="E5748" s="958"/>
      <c r="F5748" s="1069"/>
      <c r="G5748" s="957"/>
      <c r="H5748" s="1032"/>
      <c r="I5748" s="959">
        <f>+I5743</f>
        <v>0</v>
      </c>
    </row>
    <row r="5749" spans="2:9" ht="15.75">
      <c r="C5749" s="949"/>
      <c r="D5749" s="946"/>
      <c r="E5749" s="947"/>
      <c r="F5749" s="1054"/>
      <c r="G5749" s="946"/>
      <c r="H5749" s="1031"/>
      <c r="I5749" s="948"/>
    </row>
    <row r="5750" spans="2:9" ht="15.75">
      <c r="C5750" s="949"/>
      <c r="D5750" s="946"/>
      <c r="E5750" s="947"/>
      <c r="F5750" s="1054"/>
      <c r="G5750" s="946"/>
      <c r="H5750" s="1031"/>
      <c r="I5750" s="948"/>
    </row>
    <row r="5751" spans="2:9" ht="15.75">
      <c r="C5751" s="951" t="s">
        <v>930</v>
      </c>
      <c r="D5751" s="960"/>
      <c r="E5751" s="943" t="str">
        <f>+E5726</f>
        <v>M3E</v>
      </c>
      <c r="F5751" s="1070"/>
      <c r="G5751" s="960"/>
      <c r="H5751" s="1033"/>
      <c r="I5751" s="952">
        <f>SUM(I5745:I5748)</f>
        <v>441.3</v>
      </c>
    </row>
    <row r="5752" spans="2:9" ht="15.75">
      <c r="C5752" s="949"/>
      <c r="D5752" s="946"/>
      <c r="E5752" s="947"/>
      <c r="F5752" s="1054"/>
      <c r="G5752" s="946"/>
      <c r="H5752" s="1031"/>
      <c r="I5752" s="948"/>
    </row>
    <row r="5753" spans="2:9" ht="15.75">
      <c r="B5753" s="1026">
        <v>2.2000000000000002</v>
      </c>
      <c r="C5753" s="937" t="str">
        <f>+Presupuesto!B372</f>
        <v>Relleno de material compactado c/compactador mecánico</v>
      </c>
      <c r="D5753" s="938"/>
      <c r="E5753" s="962" t="s">
        <v>219</v>
      </c>
      <c r="F5753" s="1066"/>
      <c r="G5753" s="938"/>
      <c r="H5753" s="1029"/>
      <c r="I5753" s="940">
        <f>I5777</f>
        <v>468.89</v>
      </c>
    </row>
    <row r="5754" spans="2:9" ht="15.75">
      <c r="C5754" s="941" t="s">
        <v>908</v>
      </c>
      <c r="D5754" s="942" t="s">
        <v>9</v>
      </c>
      <c r="E5754" s="943" t="s">
        <v>10</v>
      </c>
      <c r="F5754" s="1067" t="s">
        <v>909</v>
      </c>
      <c r="G5754" s="942" t="s">
        <v>910</v>
      </c>
      <c r="H5754" s="1030" t="s">
        <v>911</v>
      </c>
      <c r="I5754" s="944" t="s">
        <v>912</v>
      </c>
    </row>
    <row r="5755" spans="2:9" ht="15.75">
      <c r="C5755" s="945" t="s">
        <v>913</v>
      </c>
      <c r="D5755" s="946"/>
      <c r="E5755" s="947"/>
      <c r="F5755" s="1054"/>
      <c r="G5755" s="946"/>
      <c r="H5755" s="1031"/>
      <c r="I5755" s="948"/>
    </row>
    <row r="5756" spans="2:9" ht="15.75">
      <c r="C5756" s="949" t="s">
        <v>1173</v>
      </c>
      <c r="D5756" s="946">
        <v>1.3</v>
      </c>
      <c r="E5756" s="947" t="str">
        <f>+VLOOKUP(C5756,'Basic (equilibrio) (2)'!B:D,2,FALSE)</f>
        <v>m3e</v>
      </c>
      <c r="F5756" s="1068">
        <f>'Basic (equilibrio) (2)'!$D$174</f>
        <v>300</v>
      </c>
      <c r="G5756" s="946">
        <f>F5756-(F5756/1.18)</f>
        <v>45.76</v>
      </c>
      <c r="H5756" s="1031"/>
      <c r="I5756" s="948">
        <f>D5756*F5756</f>
        <v>390</v>
      </c>
    </row>
    <row r="5757" spans="2:9" ht="15.75">
      <c r="C5757" s="951" t="s">
        <v>918</v>
      </c>
      <c r="D5757" s="946"/>
      <c r="E5757" s="947"/>
      <c r="F5757" s="1068"/>
      <c r="G5757" s="946"/>
      <c r="H5757" s="1031"/>
      <c r="I5757" s="952">
        <f>SUM(I5756:I5756)</f>
        <v>390</v>
      </c>
    </row>
    <row r="5758" spans="2:9" ht="15.75">
      <c r="C5758" s="949"/>
      <c r="D5758" s="946"/>
      <c r="E5758" s="947"/>
      <c r="F5758" s="1068"/>
      <c r="G5758" s="946"/>
      <c r="H5758" s="1031"/>
      <c r="I5758" s="948"/>
    </row>
    <row r="5759" spans="2:9" ht="15.75">
      <c r="C5759" s="945" t="s">
        <v>919</v>
      </c>
      <c r="D5759" s="946"/>
      <c r="E5759" s="947"/>
      <c r="F5759" s="1068"/>
      <c r="G5759" s="946"/>
      <c r="H5759" s="1031"/>
      <c r="I5759" s="948"/>
    </row>
    <row r="5760" spans="2:9" ht="15.75">
      <c r="C5760" s="949" t="s">
        <v>931</v>
      </c>
      <c r="D5760" s="953">
        <v>1</v>
      </c>
      <c r="E5760" s="954" t="str">
        <f>+VLOOKUP(C5760,'Basic (equilibrio) (2)'!B:D,2,FALSE)</f>
        <v>dia</v>
      </c>
      <c r="F5760" s="1068">
        <f>'Basic (equilibrio) (2)'!$D$14</f>
        <v>900</v>
      </c>
      <c r="G5760" s="946">
        <v>0</v>
      </c>
      <c r="H5760" s="1031">
        <v>15</v>
      </c>
      <c r="I5760" s="948">
        <f>(D5760*F5760)/H5760</f>
        <v>60</v>
      </c>
    </row>
    <row r="5761" spans="3:9" ht="15.75">
      <c r="C5761" s="951" t="s">
        <v>918</v>
      </c>
      <c r="D5761" s="946"/>
      <c r="E5761" s="947"/>
      <c r="F5761" s="1054"/>
      <c r="G5761" s="946"/>
      <c r="H5761" s="1031"/>
      <c r="I5761" s="952">
        <f>SUM(I5760:I5760)</f>
        <v>60</v>
      </c>
    </row>
    <row r="5762" spans="3:9" ht="15.75">
      <c r="C5762" s="949"/>
      <c r="D5762" s="946"/>
      <c r="E5762" s="947"/>
      <c r="F5762" s="1054"/>
      <c r="G5762" s="946"/>
      <c r="H5762" s="1031"/>
      <c r="I5762" s="948"/>
    </row>
    <row r="5763" spans="3:9" ht="15.75">
      <c r="C5763" s="945" t="s">
        <v>923</v>
      </c>
      <c r="D5763" s="946"/>
      <c r="E5763" s="947"/>
      <c r="F5763" s="1054"/>
      <c r="G5763" s="946"/>
      <c r="H5763" s="1031"/>
      <c r="I5763" s="948"/>
    </row>
    <row r="5764" spans="3:9" ht="15.75">
      <c r="C5764" s="949" t="s">
        <v>1444</v>
      </c>
      <c r="D5764" s="946">
        <v>1</v>
      </c>
      <c r="E5764" s="947" t="str">
        <f>+VLOOKUP(C5764,'Basic (equilibrio) (2)'!B:D,2,FALSE)</f>
        <v>hr</v>
      </c>
      <c r="F5764" s="1054">
        <f>'Basic (equilibrio) (2)'!$D$697</f>
        <v>283.3</v>
      </c>
      <c r="G5764" s="946">
        <f>F5764-(F5764/1.18)</f>
        <v>43.22</v>
      </c>
      <c r="H5764" s="1039">
        <v>15</v>
      </c>
      <c r="I5764" s="955">
        <f>D5764*F5764/H5764</f>
        <v>18.89</v>
      </c>
    </row>
    <row r="5765" spans="3:9" ht="15.75">
      <c r="C5765" s="951" t="s">
        <v>918</v>
      </c>
      <c r="D5765" s="946"/>
      <c r="E5765" s="947"/>
      <c r="F5765" s="1054"/>
      <c r="G5765" s="946"/>
      <c r="H5765" s="1031"/>
      <c r="I5765" s="952">
        <f>SUM(I5764:I5764)</f>
        <v>18.89</v>
      </c>
    </row>
    <row r="5766" spans="3:9" ht="15.75">
      <c r="C5766" s="949"/>
      <c r="D5766" s="946"/>
      <c r="E5766" s="947"/>
      <c r="F5766" s="1054"/>
      <c r="G5766" s="946"/>
      <c r="H5766" s="1031"/>
      <c r="I5766" s="948"/>
    </row>
    <row r="5767" spans="3:9" ht="15.75">
      <c r="C5767" s="945" t="s">
        <v>925</v>
      </c>
      <c r="D5767" s="946"/>
      <c r="E5767" s="947"/>
      <c r="F5767" s="1054"/>
      <c r="G5767" s="946"/>
      <c r="H5767" s="1031"/>
      <c r="I5767" s="948"/>
    </row>
    <row r="5768" spans="3:9" ht="15.75">
      <c r="C5768" s="949" t="s">
        <v>924</v>
      </c>
      <c r="D5768" s="946"/>
      <c r="E5768" s="947" t="str">
        <f>+VLOOKUP(C5768,'Basic (equilibrio) (2)'!B:D,2,FALSE)</f>
        <v>n/a</v>
      </c>
      <c r="F5768" s="1054">
        <f>+VLOOKUP(C5768,'Basic (equilibrio) (2)'!B:D,3,FALSE)</f>
        <v>0</v>
      </c>
      <c r="G5768" s="946"/>
      <c r="H5768" s="1031"/>
      <c r="I5768" s="948">
        <f>D5768*F5768</f>
        <v>0</v>
      </c>
    </row>
    <row r="5769" spans="3:9" ht="15.75">
      <c r="C5769" s="951" t="s">
        <v>918</v>
      </c>
      <c r="D5769" s="946"/>
      <c r="E5769" s="947"/>
      <c r="F5769" s="1054"/>
      <c r="G5769" s="946"/>
      <c r="H5769" s="1031"/>
      <c r="I5769" s="952">
        <f>SUM(I5768)</f>
        <v>0</v>
      </c>
    </row>
    <row r="5770" spans="3:9" ht="15.75">
      <c r="C5770" s="951"/>
      <c r="D5770" s="946"/>
      <c r="E5770" s="947"/>
      <c r="F5770" s="1054"/>
      <c r="G5770" s="946"/>
      <c r="H5770" s="1031"/>
      <c r="I5770" s="952"/>
    </row>
    <row r="5771" spans="3:9" ht="15.75">
      <c r="C5771" s="956" t="s">
        <v>926</v>
      </c>
      <c r="D5771" s="957"/>
      <c r="E5771" s="958"/>
      <c r="F5771" s="1069"/>
      <c r="G5771" s="957"/>
      <c r="H5771" s="1032"/>
      <c r="I5771" s="959">
        <f>+I5757</f>
        <v>390</v>
      </c>
    </row>
    <row r="5772" spans="3:9" ht="15.75">
      <c r="C5772" s="956" t="s">
        <v>927</v>
      </c>
      <c r="D5772" s="957"/>
      <c r="E5772" s="958"/>
      <c r="F5772" s="1069"/>
      <c r="G5772" s="957"/>
      <c r="H5772" s="1032"/>
      <c r="I5772" s="959">
        <f>+I5761</f>
        <v>60</v>
      </c>
    </row>
    <row r="5773" spans="3:9" ht="15.75">
      <c r="C5773" s="956" t="s">
        <v>928</v>
      </c>
      <c r="D5773" s="957"/>
      <c r="E5773" s="958"/>
      <c r="F5773" s="1069"/>
      <c r="G5773" s="957"/>
      <c r="H5773" s="1032"/>
      <c r="I5773" s="959">
        <f>+I5765</f>
        <v>18.89</v>
      </c>
    </row>
    <row r="5774" spans="3:9" ht="15.75">
      <c r="C5774" s="956" t="s">
        <v>929</v>
      </c>
      <c r="D5774" s="957"/>
      <c r="E5774" s="958"/>
      <c r="F5774" s="1069"/>
      <c r="G5774" s="957"/>
      <c r="H5774" s="1032"/>
      <c r="I5774" s="959">
        <f>+I5769</f>
        <v>0</v>
      </c>
    </row>
    <row r="5775" spans="3:9" ht="15.75">
      <c r="C5775" s="949"/>
      <c r="D5775" s="946"/>
      <c r="E5775" s="947"/>
      <c r="F5775" s="1054"/>
      <c r="G5775" s="946"/>
      <c r="H5775" s="1031"/>
      <c r="I5775" s="948"/>
    </row>
    <row r="5776" spans="3:9" ht="15.75">
      <c r="C5776" s="949"/>
      <c r="D5776" s="946"/>
      <c r="E5776" s="947"/>
      <c r="F5776" s="1054"/>
      <c r="G5776" s="946"/>
      <c r="H5776" s="1031"/>
      <c r="I5776" s="948"/>
    </row>
    <row r="5777" spans="2:9" ht="15.75">
      <c r="C5777" s="951" t="s">
        <v>930</v>
      </c>
      <c r="D5777" s="960"/>
      <c r="E5777" s="943" t="str">
        <f>+E5753</f>
        <v>M3C</v>
      </c>
      <c r="F5777" s="1070"/>
      <c r="G5777" s="960"/>
      <c r="H5777" s="1033"/>
      <c r="I5777" s="952">
        <f>SUM(I5771:I5774)</f>
        <v>468.89</v>
      </c>
    </row>
    <row r="5778" spans="2:9" ht="15.75">
      <c r="C5778" s="951"/>
      <c r="D5778" s="960"/>
      <c r="E5778" s="943"/>
      <c r="F5778" s="1070"/>
      <c r="G5778" s="960"/>
      <c r="H5778" s="1033"/>
      <c r="I5778" s="952"/>
    </row>
    <row r="5779" spans="2:9" ht="15.75">
      <c r="C5779" s="951"/>
      <c r="D5779" s="960"/>
      <c r="E5779" s="943"/>
      <c r="F5779" s="1070"/>
      <c r="G5779" s="960"/>
      <c r="H5779" s="1033"/>
      <c r="I5779" s="952"/>
    </row>
    <row r="5780" spans="2:9" ht="15.75">
      <c r="B5780" s="1026">
        <v>2.2999999999999998</v>
      </c>
      <c r="C5780" s="937" t="str">
        <f>+Presupuesto!B373</f>
        <v>Relleno de reposición</v>
      </c>
      <c r="D5780" s="938"/>
      <c r="E5780" s="962" t="s">
        <v>22</v>
      </c>
      <c r="F5780" s="1066"/>
      <c r="G5780" s="938"/>
      <c r="H5780" s="1029"/>
      <c r="I5780" s="940">
        <f>I5804</f>
        <v>468.89</v>
      </c>
    </row>
    <row r="5781" spans="2:9" ht="15.75">
      <c r="C5781" s="941" t="s">
        <v>908</v>
      </c>
      <c r="D5781" s="942" t="s">
        <v>9</v>
      </c>
      <c r="E5781" s="943" t="s">
        <v>10</v>
      </c>
      <c r="F5781" s="1067" t="s">
        <v>909</v>
      </c>
      <c r="G5781" s="942" t="s">
        <v>910</v>
      </c>
      <c r="H5781" s="1030" t="s">
        <v>911</v>
      </c>
      <c r="I5781" s="944" t="s">
        <v>912</v>
      </c>
    </row>
    <row r="5782" spans="2:9" ht="15.75">
      <c r="C5782" s="945" t="s">
        <v>913</v>
      </c>
      <c r="D5782" s="946"/>
      <c r="E5782" s="947"/>
      <c r="F5782" s="1054"/>
      <c r="G5782" s="946"/>
      <c r="H5782" s="1031"/>
      <c r="I5782" s="948"/>
    </row>
    <row r="5783" spans="2:9" ht="15.75">
      <c r="C5783" s="949" t="s">
        <v>1734</v>
      </c>
      <c r="D5783" s="946">
        <v>1.3</v>
      </c>
      <c r="E5783" s="947" t="str">
        <f>+VLOOKUP(C5783,'Basic (equilibrio) (2)'!B:D,2,FALSE)</f>
        <v>m3e</v>
      </c>
      <c r="F5783" s="1068">
        <f>'Basic (equilibrio) (2)'!$D$174</f>
        <v>300</v>
      </c>
      <c r="G5783" s="946">
        <f>F5783-(F5783/1.18)</f>
        <v>45.76</v>
      </c>
      <c r="H5783" s="1031"/>
      <c r="I5783" s="948">
        <f>D5783*F5783</f>
        <v>390</v>
      </c>
    </row>
    <row r="5784" spans="2:9" ht="15.75">
      <c r="C5784" s="951" t="s">
        <v>918</v>
      </c>
      <c r="D5784" s="946"/>
      <c r="E5784" s="947"/>
      <c r="F5784" s="1068"/>
      <c r="G5784" s="946"/>
      <c r="H5784" s="1031"/>
      <c r="I5784" s="952">
        <f>SUM(I5783:I5783)</f>
        <v>390</v>
      </c>
    </row>
    <row r="5785" spans="2:9" ht="15.75">
      <c r="C5785" s="949"/>
      <c r="D5785" s="946"/>
      <c r="E5785" s="947"/>
      <c r="F5785" s="1068"/>
      <c r="G5785" s="946"/>
      <c r="H5785" s="1031"/>
      <c r="I5785" s="948"/>
    </row>
    <row r="5786" spans="2:9" ht="15.75">
      <c r="C5786" s="945" t="s">
        <v>919</v>
      </c>
      <c r="D5786" s="946"/>
      <c r="E5786" s="947"/>
      <c r="F5786" s="1068"/>
      <c r="G5786" s="946"/>
      <c r="H5786" s="1031"/>
      <c r="I5786" s="948"/>
    </row>
    <row r="5787" spans="2:9" ht="15.75">
      <c r="C5787" s="949" t="s">
        <v>931</v>
      </c>
      <c r="D5787" s="953">
        <v>1</v>
      </c>
      <c r="E5787" s="954" t="str">
        <f>+VLOOKUP(C5787,'Basic (equilibrio) (2)'!B:D,2,FALSE)</f>
        <v>dia</v>
      </c>
      <c r="F5787" s="1068">
        <f>'Basic (equilibrio) (2)'!$D$14</f>
        <v>900</v>
      </c>
      <c r="G5787" s="946">
        <v>0</v>
      </c>
      <c r="H5787" s="1031">
        <v>15</v>
      </c>
      <c r="I5787" s="948">
        <f>(D5787*F5787)/H5787</f>
        <v>60</v>
      </c>
    </row>
    <row r="5788" spans="2:9" ht="15.75">
      <c r="C5788" s="951" t="s">
        <v>918</v>
      </c>
      <c r="D5788" s="946"/>
      <c r="E5788" s="947"/>
      <c r="F5788" s="1054"/>
      <c r="G5788" s="946"/>
      <c r="H5788" s="1031"/>
      <c r="I5788" s="952">
        <f>SUM(I5787:I5787)</f>
        <v>60</v>
      </c>
    </row>
    <row r="5789" spans="2:9" ht="15.75">
      <c r="C5789" s="949"/>
      <c r="D5789" s="946"/>
      <c r="E5789" s="947"/>
      <c r="F5789" s="1054"/>
      <c r="G5789" s="946"/>
      <c r="H5789" s="1031"/>
      <c r="I5789" s="948"/>
    </row>
    <row r="5790" spans="2:9" ht="15.75">
      <c r="C5790" s="945" t="s">
        <v>923</v>
      </c>
      <c r="D5790" s="946"/>
      <c r="E5790" s="947"/>
      <c r="F5790" s="1054"/>
      <c r="G5790" s="946"/>
      <c r="H5790" s="1031"/>
      <c r="I5790" s="948"/>
    </row>
    <row r="5791" spans="2:9" ht="15.75">
      <c r="C5791" s="949" t="s">
        <v>1444</v>
      </c>
      <c r="D5791" s="946">
        <v>1</v>
      </c>
      <c r="E5791" s="947" t="str">
        <f>+VLOOKUP(C5791,'Basic (equilibrio) (2)'!B:D,2,FALSE)</f>
        <v>hr</v>
      </c>
      <c r="F5791" s="1054">
        <f>'Basic (equilibrio) (2)'!$D$697</f>
        <v>283.3</v>
      </c>
      <c r="G5791" s="946">
        <f>F5791-(F5791/1.18)</f>
        <v>43.22</v>
      </c>
      <c r="H5791" s="1039">
        <v>15</v>
      </c>
      <c r="I5791" s="955">
        <f>D5791*F5791/H5791</f>
        <v>18.89</v>
      </c>
    </row>
    <row r="5792" spans="2:9" ht="15.75">
      <c r="C5792" s="951" t="s">
        <v>918</v>
      </c>
      <c r="D5792" s="946"/>
      <c r="E5792" s="947"/>
      <c r="F5792" s="1054"/>
      <c r="G5792" s="946"/>
      <c r="H5792" s="1031"/>
      <c r="I5792" s="952">
        <f>SUM(I5791:I5791)</f>
        <v>18.89</v>
      </c>
    </row>
    <row r="5793" spans="2:9" ht="15.75">
      <c r="C5793" s="949"/>
      <c r="D5793" s="946"/>
      <c r="E5793" s="947"/>
      <c r="F5793" s="1054"/>
      <c r="G5793" s="946"/>
      <c r="H5793" s="1031"/>
      <c r="I5793" s="948"/>
    </row>
    <row r="5794" spans="2:9" ht="15.75">
      <c r="C5794" s="945" t="s">
        <v>925</v>
      </c>
      <c r="D5794" s="946"/>
      <c r="E5794" s="947"/>
      <c r="F5794" s="1054"/>
      <c r="G5794" s="946"/>
      <c r="H5794" s="1031"/>
      <c r="I5794" s="948"/>
    </row>
    <row r="5795" spans="2:9" ht="15.75">
      <c r="C5795" s="949" t="s">
        <v>924</v>
      </c>
      <c r="D5795" s="946"/>
      <c r="E5795" s="947" t="str">
        <f>+VLOOKUP(C5795,'Basic (equilibrio) (2)'!B:D,2,FALSE)</f>
        <v>n/a</v>
      </c>
      <c r="F5795" s="1054">
        <f>+VLOOKUP(C5795,'Basic (equilibrio) (2)'!B:D,3,FALSE)</f>
        <v>0</v>
      </c>
      <c r="G5795" s="946"/>
      <c r="H5795" s="1031"/>
      <c r="I5795" s="948">
        <f>D5795*F5795</f>
        <v>0</v>
      </c>
    </row>
    <row r="5796" spans="2:9" ht="15.75">
      <c r="C5796" s="951" t="s">
        <v>918</v>
      </c>
      <c r="D5796" s="946"/>
      <c r="E5796" s="947"/>
      <c r="F5796" s="1054"/>
      <c r="G5796" s="946"/>
      <c r="H5796" s="1031"/>
      <c r="I5796" s="952">
        <f>SUM(I5795)</f>
        <v>0</v>
      </c>
    </row>
    <row r="5797" spans="2:9" ht="15.75">
      <c r="C5797" s="951"/>
      <c r="D5797" s="946"/>
      <c r="E5797" s="947"/>
      <c r="F5797" s="1054"/>
      <c r="G5797" s="946"/>
      <c r="H5797" s="1031"/>
      <c r="I5797" s="952"/>
    </row>
    <row r="5798" spans="2:9" ht="15.75">
      <c r="C5798" s="956" t="s">
        <v>926</v>
      </c>
      <c r="D5798" s="957"/>
      <c r="E5798" s="958"/>
      <c r="F5798" s="1069"/>
      <c r="G5798" s="957"/>
      <c r="H5798" s="1032"/>
      <c r="I5798" s="959">
        <f>+I5784</f>
        <v>390</v>
      </c>
    </row>
    <row r="5799" spans="2:9" ht="15.75">
      <c r="C5799" s="956" t="s">
        <v>927</v>
      </c>
      <c r="D5799" s="957"/>
      <c r="E5799" s="958"/>
      <c r="F5799" s="1069"/>
      <c r="G5799" s="957"/>
      <c r="H5799" s="1032"/>
      <c r="I5799" s="959">
        <f>+I5788</f>
        <v>60</v>
      </c>
    </row>
    <row r="5800" spans="2:9" ht="15.75">
      <c r="C5800" s="956" t="s">
        <v>928</v>
      </c>
      <c r="D5800" s="957"/>
      <c r="E5800" s="958"/>
      <c r="F5800" s="1069"/>
      <c r="G5800" s="957"/>
      <c r="H5800" s="1032"/>
      <c r="I5800" s="959">
        <f>+I5792</f>
        <v>18.89</v>
      </c>
    </row>
    <row r="5801" spans="2:9" ht="15.75">
      <c r="C5801" s="956" t="s">
        <v>929</v>
      </c>
      <c r="D5801" s="957"/>
      <c r="E5801" s="958"/>
      <c r="F5801" s="1069"/>
      <c r="G5801" s="957"/>
      <c r="H5801" s="1032"/>
      <c r="I5801" s="959">
        <f>+I5796</f>
        <v>0</v>
      </c>
    </row>
    <row r="5802" spans="2:9" ht="15.75">
      <c r="C5802" s="949"/>
      <c r="D5802" s="946"/>
      <c r="E5802" s="947"/>
      <c r="F5802" s="1054"/>
      <c r="G5802" s="946"/>
      <c r="H5802" s="1031"/>
      <c r="I5802" s="948"/>
    </row>
    <row r="5803" spans="2:9" ht="15.75">
      <c r="C5803" s="949"/>
      <c r="D5803" s="946"/>
      <c r="E5803" s="947"/>
      <c r="F5803" s="1054"/>
      <c r="G5803" s="946"/>
      <c r="H5803" s="1031"/>
      <c r="I5803" s="948"/>
    </row>
    <row r="5804" spans="2:9" ht="15.75">
      <c r="C5804" s="951" t="s">
        <v>930</v>
      </c>
      <c r="D5804" s="960"/>
      <c r="E5804" s="943" t="str">
        <f>+E5780</f>
        <v>M3</v>
      </c>
      <c r="F5804" s="1070"/>
      <c r="G5804" s="960"/>
      <c r="H5804" s="1033"/>
      <c r="I5804" s="952">
        <f>SUM(I5798:I5801)</f>
        <v>468.89</v>
      </c>
    </row>
    <row r="5805" spans="2:9" ht="15.75">
      <c r="C5805" s="951"/>
      <c r="D5805" s="960"/>
      <c r="E5805" s="943"/>
      <c r="F5805" s="1070"/>
      <c r="G5805" s="960"/>
      <c r="H5805" s="1033"/>
      <c r="I5805" s="952"/>
    </row>
    <row r="5806" spans="2:9" ht="31.5">
      <c r="B5806" s="1026">
        <v>2.4</v>
      </c>
      <c r="C5806" s="937" t="str">
        <f>+Presupuesto!B374</f>
        <v>Bote de material sobrante c/camión (Incluye esparcimiento en botadero)</v>
      </c>
      <c r="D5806" s="938"/>
      <c r="E5806" s="962" t="s">
        <v>213</v>
      </c>
      <c r="F5806" s="1066"/>
      <c r="G5806" s="938"/>
      <c r="H5806" s="1029"/>
      <c r="I5806" s="940">
        <f>I5832</f>
        <v>455.24</v>
      </c>
    </row>
    <row r="5807" spans="2:9" ht="15.75">
      <c r="C5807" s="941" t="s">
        <v>908</v>
      </c>
      <c r="D5807" s="942" t="s">
        <v>9</v>
      </c>
      <c r="E5807" s="943" t="s">
        <v>10</v>
      </c>
      <c r="F5807" s="1067" t="s">
        <v>909</v>
      </c>
      <c r="G5807" s="942" t="s">
        <v>910</v>
      </c>
      <c r="H5807" s="1030" t="s">
        <v>911</v>
      </c>
      <c r="I5807" s="944" t="s">
        <v>912</v>
      </c>
    </row>
    <row r="5808" spans="2:9" ht="15.75">
      <c r="C5808" s="945" t="s">
        <v>913</v>
      </c>
      <c r="D5808" s="946"/>
      <c r="E5808" s="947"/>
      <c r="F5808" s="1054"/>
      <c r="G5808" s="946"/>
      <c r="H5808" s="1031"/>
      <c r="I5808" s="948"/>
    </row>
    <row r="5809" spans="3:9" ht="15.75">
      <c r="C5809" s="949" t="s">
        <v>924</v>
      </c>
      <c r="D5809" s="946"/>
      <c r="E5809" s="947" t="str">
        <f>+VLOOKUP(C5809,'Basic (equilibrio) (2)'!B:D,2,FALSE)</f>
        <v>n/a</v>
      </c>
      <c r="F5809" s="1068">
        <f>+VLOOKUP(C5809,'Basic (equilibrio) (2)'!B:D,3,FALSE)</f>
        <v>0</v>
      </c>
      <c r="G5809" s="946">
        <f>F5809-(F5809/1.18)</f>
        <v>0</v>
      </c>
      <c r="H5809" s="1031"/>
      <c r="I5809" s="948">
        <f>D5809*F5809</f>
        <v>0</v>
      </c>
    </row>
    <row r="5810" spans="3:9" ht="15.75">
      <c r="C5810" s="951" t="s">
        <v>918</v>
      </c>
      <c r="D5810" s="946"/>
      <c r="E5810" s="947"/>
      <c r="F5810" s="1068"/>
      <c r="G5810" s="946"/>
      <c r="H5810" s="1031"/>
      <c r="I5810" s="952">
        <f>SUM(I5809:I5809)</f>
        <v>0</v>
      </c>
    </row>
    <row r="5811" spans="3:9" ht="15.75">
      <c r="C5811" s="949"/>
      <c r="D5811" s="946"/>
      <c r="E5811" s="947"/>
      <c r="F5811" s="1068"/>
      <c r="G5811" s="946"/>
      <c r="H5811" s="1031"/>
      <c r="I5811" s="948"/>
    </row>
    <row r="5812" spans="3:9" ht="15.75">
      <c r="C5812" s="945" t="s">
        <v>919</v>
      </c>
      <c r="D5812" s="946"/>
      <c r="E5812" s="947"/>
      <c r="F5812" s="1068"/>
      <c r="G5812" s="946"/>
      <c r="H5812" s="1031"/>
      <c r="I5812" s="948"/>
    </row>
    <row r="5813" spans="3:9" ht="15.75">
      <c r="C5813" s="949" t="s">
        <v>931</v>
      </c>
      <c r="D5813" s="953">
        <v>0.13</v>
      </c>
      <c r="E5813" s="954" t="str">
        <f>+VLOOKUP(C5813,'Basic (equilibrio) (2)'!B:D,2,FALSE)</f>
        <v>dia</v>
      </c>
      <c r="F5813" s="1068">
        <f>'Basic (equilibrio) (2)'!$D$14</f>
        <v>900</v>
      </c>
      <c r="G5813" s="946">
        <v>0</v>
      </c>
      <c r="H5813" s="1031">
        <v>70</v>
      </c>
      <c r="I5813" s="948">
        <f>(D5813*F5813)/H5813</f>
        <v>1.67</v>
      </c>
    </row>
    <row r="5814" spans="3:9" ht="15.75">
      <c r="C5814" s="951" t="s">
        <v>918</v>
      </c>
      <c r="D5814" s="946"/>
      <c r="E5814" s="947"/>
      <c r="F5814" s="1054"/>
      <c r="G5814" s="946"/>
      <c r="H5814" s="1031"/>
      <c r="I5814" s="952">
        <f>SUM(I5813:I5813)</f>
        <v>1.67</v>
      </c>
    </row>
    <row r="5815" spans="3:9" ht="15.75">
      <c r="C5815" s="949"/>
      <c r="D5815" s="946"/>
      <c r="E5815" s="947"/>
      <c r="F5815" s="1054"/>
      <c r="G5815" s="946"/>
      <c r="H5815" s="1031"/>
      <c r="I5815" s="948"/>
    </row>
    <row r="5816" spans="3:9" ht="15.75">
      <c r="C5816" s="945" t="s">
        <v>923</v>
      </c>
      <c r="D5816" s="946"/>
      <c r="E5816" s="947"/>
      <c r="F5816" s="1054"/>
      <c r="G5816" s="946"/>
      <c r="H5816" s="1031"/>
      <c r="I5816" s="948"/>
    </row>
    <row r="5817" spans="3:9" ht="15.75">
      <c r="C5817" s="949" t="s">
        <v>934</v>
      </c>
      <c r="D5817" s="946">
        <v>1</v>
      </c>
      <c r="E5817" s="947" t="str">
        <f>+VLOOKUP(C5817,'Basic (equilibrio) (2)'!B:D,2,FALSE)</f>
        <v>m3e</v>
      </c>
      <c r="F5817" s="1054">
        <f>'Basic (equilibrio) (2)'!$D$685</f>
        <v>350</v>
      </c>
      <c r="G5817" s="946">
        <f>F5817-(F5817/1.18)</f>
        <v>53.39</v>
      </c>
      <c r="H5817" s="1039"/>
      <c r="I5817" s="955">
        <f>D5817*F5817</f>
        <v>350</v>
      </c>
    </row>
    <row r="5818" spans="3:9" ht="15.75">
      <c r="C5818" s="949" t="s">
        <v>933</v>
      </c>
      <c r="D5818" s="946">
        <v>1</v>
      </c>
      <c r="E5818" s="947" t="str">
        <f>+VLOOKUP(C5818,'Basic (equilibrio) (2)'!B:D,2,FALSE)</f>
        <v>hr</v>
      </c>
      <c r="F5818" s="1054">
        <f>'Basic (equilibrio) (2)'!$D$682</f>
        <v>4250</v>
      </c>
      <c r="G5818" s="946">
        <f>F5818-(F5818/1.18)</f>
        <v>648.30999999999995</v>
      </c>
      <c r="H5818" s="1039">
        <v>70</v>
      </c>
      <c r="I5818" s="955">
        <f t="shared" ref="I5818:I5819" si="36">D5818*F5818/H5818</f>
        <v>60.71</v>
      </c>
    </row>
    <row r="5819" spans="3:9" ht="15.75">
      <c r="C5819" s="949" t="s">
        <v>935</v>
      </c>
      <c r="D5819" s="946">
        <v>1</v>
      </c>
      <c r="E5819" s="947" t="str">
        <f>+VLOOKUP(C5819,'Basic (equilibrio) (2)'!B:D,2,FALSE)</f>
        <v>hr</v>
      </c>
      <c r="F5819" s="1054">
        <f>'Basic (equilibrio) (2)'!$D$684</f>
        <v>3000</v>
      </c>
      <c r="G5819" s="946">
        <f>F5819-(F5819/1.18)</f>
        <v>457.63</v>
      </c>
      <c r="H5819" s="1039">
        <v>70</v>
      </c>
      <c r="I5819" s="955">
        <f t="shared" si="36"/>
        <v>42.86</v>
      </c>
    </row>
    <row r="5820" spans="3:9" ht="15.75">
      <c r="C5820" s="951" t="s">
        <v>918</v>
      </c>
      <c r="D5820" s="946"/>
      <c r="E5820" s="947"/>
      <c r="F5820" s="1054"/>
      <c r="G5820" s="946"/>
      <c r="H5820" s="1031"/>
      <c r="I5820" s="952">
        <f>SUM(I5817:I5819)</f>
        <v>453.57</v>
      </c>
    </row>
    <row r="5821" spans="3:9" ht="15.75">
      <c r="C5821" s="949"/>
      <c r="D5821" s="946"/>
      <c r="E5821" s="947"/>
      <c r="F5821" s="1054"/>
      <c r="G5821" s="946"/>
      <c r="H5821" s="1031"/>
      <c r="I5821" s="948"/>
    </row>
    <row r="5822" spans="3:9" ht="15.75">
      <c r="C5822" s="945" t="s">
        <v>925</v>
      </c>
      <c r="D5822" s="946"/>
      <c r="E5822" s="947"/>
      <c r="F5822" s="1054"/>
      <c r="G5822" s="946"/>
      <c r="H5822" s="1031"/>
      <c r="I5822" s="948"/>
    </row>
    <row r="5823" spans="3:9" ht="15.75">
      <c r="C5823" s="949" t="s">
        <v>924</v>
      </c>
      <c r="D5823" s="946">
        <f>+I5820</f>
        <v>453.57</v>
      </c>
      <c r="E5823" s="947" t="str">
        <f>+VLOOKUP(C5823,'Basic (equilibrio) (2)'!B:D,2,FALSE)</f>
        <v>n/a</v>
      </c>
      <c r="F5823" s="1054">
        <f>+VLOOKUP(C5823,'Basic (equilibrio) (2)'!B:D,3,FALSE)</f>
        <v>0</v>
      </c>
      <c r="G5823" s="946"/>
      <c r="H5823" s="1031"/>
      <c r="I5823" s="948">
        <f>D5823*F5823</f>
        <v>0</v>
      </c>
    </row>
    <row r="5824" spans="3:9" ht="15.75">
      <c r="C5824" s="951" t="s">
        <v>918</v>
      </c>
      <c r="D5824" s="946"/>
      <c r="E5824" s="947"/>
      <c r="F5824" s="1054"/>
      <c r="G5824" s="946"/>
      <c r="H5824" s="1031"/>
      <c r="I5824" s="952">
        <f>SUM(I5823)</f>
        <v>0</v>
      </c>
    </row>
    <row r="5825" spans="2:9" ht="15.75">
      <c r="C5825" s="951"/>
      <c r="D5825" s="946"/>
      <c r="E5825" s="947"/>
      <c r="F5825" s="1054"/>
      <c r="G5825" s="946"/>
      <c r="H5825" s="1031"/>
      <c r="I5825" s="952"/>
    </row>
    <row r="5826" spans="2:9" ht="15.75">
      <c r="C5826" s="956" t="s">
        <v>926</v>
      </c>
      <c r="D5826" s="957"/>
      <c r="E5826" s="958"/>
      <c r="F5826" s="1069"/>
      <c r="G5826" s="957"/>
      <c r="H5826" s="1032"/>
      <c r="I5826" s="959">
        <f>+I5810</f>
        <v>0</v>
      </c>
    </row>
    <row r="5827" spans="2:9" ht="15.75">
      <c r="C5827" s="956" t="s">
        <v>927</v>
      </c>
      <c r="D5827" s="957"/>
      <c r="E5827" s="958"/>
      <c r="F5827" s="1069"/>
      <c r="G5827" s="957"/>
      <c r="H5827" s="1032"/>
      <c r="I5827" s="959">
        <f>+I5814</f>
        <v>1.67</v>
      </c>
    </row>
    <row r="5828" spans="2:9" ht="15.75">
      <c r="C5828" s="956" t="s">
        <v>928</v>
      </c>
      <c r="D5828" s="957"/>
      <c r="E5828" s="958"/>
      <c r="F5828" s="1069"/>
      <c r="G5828" s="957"/>
      <c r="H5828" s="1032"/>
      <c r="I5828" s="959">
        <f>+I5820</f>
        <v>453.57</v>
      </c>
    </row>
    <row r="5829" spans="2:9" ht="15.75">
      <c r="C5829" s="956" t="s">
        <v>929</v>
      </c>
      <c r="D5829" s="957"/>
      <c r="E5829" s="958"/>
      <c r="F5829" s="1069"/>
      <c r="G5829" s="957"/>
      <c r="H5829" s="1032"/>
      <c r="I5829" s="959">
        <f>+I5824</f>
        <v>0</v>
      </c>
    </row>
    <row r="5830" spans="2:9" ht="15.75">
      <c r="C5830" s="949"/>
      <c r="D5830" s="946"/>
      <c r="E5830" s="947"/>
      <c r="F5830" s="1054"/>
      <c r="G5830" s="946"/>
      <c r="H5830" s="1031"/>
      <c r="I5830" s="948"/>
    </row>
    <row r="5831" spans="2:9" ht="15.75">
      <c r="C5831" s="949"/>
      <c r="D5831" s="946"/>
      <c r="E5831" s="947"/>
      <c r="F5831" s="1054"/>
      <c r="G5831" s="946"/>
      <c r="H5831" s="1031"/>
      <c r="I5831" s="948"/>
    </row>
    <row r="5832" spans="2:9" ht="15.75">
      <c r="C5832" s="951" t="s">
        <v>930</v>
      </c>
      <c r="D5832" s="960"/>
      <c r="E5832" s="943" t="str">
        <f>+E5806</f>
        <v>M3E</v>
      </c>
      <c r="F5832" s="1070"/>
      <c r="G5832" s="960"/>
      <c r="H5832" s="1033"/>
      <c r="I5832" s="952">
        <f>SUM(I5826:I5829)</f>
        <v>455.24</v>
      </c>
    </row>
    <row r="5833" spans="2:9" ht="15.75">
      <c r="C5833" s="951"/>
      <c r="D5833" s="960"/>
      <c r="E5833" s="943"/>
      <c r="F5833" s="1070"/>
      <c r="G5833" s="960"/>
      <c r="H5833" s="1033"/>
      <c r="I5833" s="952"/>
    </row>
    <row r="5834" spans="2:9" ht="15.75">
      <c r="B5834" s="1026">
        <v>3.1</v>
      </c>
      <c r="C5834" s="937" t="str">
        <f>+Presupuesto!B377</f>
        <v>Zapata para muros - 0.97 qq/m³</v>
      </c>
      <c r="D5834" s="938"/>
      <c r="E5834" s="962" t="s">
        <v>22</v>
      </c>
      <c r="F5834" s="1066"/>
      <c r="G5834" s="938"/>
      <c r="H5834" s="1029"/>
      <c r="I5834" s="940">
        <f>I5860</f>
        <v>11299.31</v>
      </c>
    </row>
    <row r="5835" spans="2:9" ht="15.75">
      <c r="C5835" s="941" t="s">
        <v>908</v>
      </c>
      <c r="D5835" s="942" t="s">
        <v>9</v>
      </c>
      <c r="E5835" s="943" t="s">
        <v>10</v>
      </c>
      <c r="F5835" s="1067" t="s">
        <v>909</v>
      </c>
      <c r="G5835" s="942" t="s">
        <v>910</v>
      </c>
      <c r="H5835" s="1030" t="s">
        <v>911</v>
      </c>
      <c r="I5835" s="944" t="s">
        <v>912</v>
      </c>
    </row>
    <row r="5836" spans="2:9" ht="15.75">
      <c r="C5836" s="945" t="s">
        <v>913</v>
      </c>
      <c r="D5836" s="946"/>
      <c r="E5836" s="947"/>
      <c r="F5836" s="1054"/>
      <c r="G5836" s="946"/>
      <c r="H5836" s="1031"/>
      <c r="I5836" s="948"/>
    </row>
    <row r="5837" spans="2:9" ht="15.75">
      <c r="C5837" s="949" t="s">
        <v>994</v>
      </c>
      <c r="D5837" s="946">
        <v>1.02</v>
      </c>
      <c r="E5837" s="947" t="str">
        <f>+VLOOKUP(C5837,'Basic (equilibrio) (2)'!B:D,2,FALSE)</f>
        <v>m3</v>
      </c>
      <c r="F5837" s="1068">
        <f>'Basic (equilibrio) (2)'!$D$179</f>
        <v>7600</v>
      </c>
      <c r="G5837" s="946">
        <f>F5837-(F5837/1.18)</f>
        <v>1159.32</v>
      </c>
      <c r="H5837" s="1031"/>
      <c r="I5837" s="948">
        <f>D5837*F5837</f>
        <v>7752</v>
      </c>
    </row>
    <row r="5838" spans="2:9" ht="15.75">
      <c r="C5838" s="949" t="s">
        <v>1188</v>
      </c>
      <c r="D5838" s="946">
        <v>0.97</v>
      </c>
      <c r="E5838" s="947" t="str">
        <f>+VLOOKUP(C5838,'Basic (equilibrio) (2)'!B:D,2,FALSE)</f>
        <v>qq</v>
      </c>
      <c r="F5838" s="1068">
        <f>'Basic (equilibrio) (2)'!$D$183</f>
        <v>3600</v>
      </c>
      <c r="G5838" s="946">
        <f>F5838-(F5838/1.18)</f>
        <v>549.15</v>
      </c>
      <c r="H5838" s="1031"/>
      <c r="I5838" s="948">
        <f>D5838*F5838</f>
        <v>3492</v>
      </c>
    </row>
    <row r="5839" spans="2:9" ht="15.75">
      <c r="C5839" s="949" t="s">
        <v>1328</v>
      </c>
      <c r="D5839" s="946">
        <v>1.3</v>
      </c>
      <c r="E5839" s="947" t="str">
        <f>+VLOOKUP(C5839,'Basic (equilibrio) (2)'!B:D,2,FALSE)</f>
        <v>lb</v>
      </c>
      <c r="F5839" s="1068">
        <f>'Basic (equilibrio) (2)'!$D$334</f>
        <v>31.1</v>
      </c>
      <c r="G5839" s="946">
        <f>F5839-(F5839/1.18)</f>
        <v>4.74</v>
      </c>
      <c r="H5839" s="1031"/>
      <c r="I5839" s="948">
        <f>D5839*F5839</f>
        <v>40.43</v>
      </c>
    </row>
    <row r="5840" spans="2:9" ht="15.75">
      <c r="C5840" s="951" t="s">
        <v>918</v>
      </c>
      <c r="D5840" s="946"/>
      <c r="E5840" s="947"/>
      <c r="F5840" s="1068"/>
      <c r="G5840" s="946"/>
      <c r="H5840" s="1031"/>
      <c r="I5840" s="952">
        <f>SUM(I5837:I5839)</f>
        <v>11284.43</v>
      </c>
    </row>
    <row r="5841" spans="3:9" ht="15.75">
      <c r="C5841" s="949"/>
      <c r="D5841" s="946"/>
      <c r="E5841" s="947"/>
      <c r="F5841" s="1068"/>
      <c r="G5841" s="946"/>
      <c r="H5841" s="1031"/>
      <c r="I5841" s="948"/>
    </row>
    <row r="5842" spans="3:9" ht="15.75">
      <c r="C5842" s="945" t="s">
        <v>919</v>
      </c>
      <c r="D5842" s="946"/>
      <c r="E5842" s="947"/>
      <c r="F5842" s="1068"/>
      <c r="G5842" s="946"/>
      <c r="H5842" s="1031"/>
      <c r="I5842" s="948"/>
    </row>
    <row r="5843" spans="3:9" ht="15.75">
      <c r="C5843" s="949" t="s">
        <v>1067</v>
      </c>
      <c r="D5843" s="953">
        <v>8.33</v>
      </c>
      <c r="E5843" s="954" t="str">
        <f>+VLOOKUP(C5843,'Basic (equilibrio) (2)'!B:D,2,FALSE)</f>
        <v>ml</v>
      </c>
      <c r="F5843" s="1068">
        <f>'Basic (equilibrio) (2)'!$D$21</f>
        <v>125</v>
      </c>
      <c r="G5843" s="946">
        <v>0</v>
      </c>
      <c r="H5843" s="1031">
        <v>70</v>
      </c>
      <c r="I5843" s="948">
        <f>(D5843*F5843)/H5843</f>
        <v>14.88</v>
      </c>
    </row>
    <row r="5844" spans="3:9" ht="15.75">
      <c r="C5844" s="951" t="s">
        <v>918</v>
      </c>
      <c r="D5844" s="946"/>
      <c r="E5844" s="947"/>
      <c r="F5844" s="1054"/>
      <c r="G5844" s="946"/>
      <c r="H5844" s="1031"/>
      <c r="I5844" s="952">
        <f>SUM(I5843:I5843)</f>
        <v>14.88</v>
      </c>
    </row>
    <row r="5845" spans="3:9" ht="15.75">
      <c r="C5845" s="949"/>
      <c r="D5845" s="946"/>
      <c r="E5845" s="947"/>
      <c r="F5845" s="1054"/>
      <c r="G5845" s="946"/>
      <c r="H5845" s="1031"/>
      <c r="I5845" s="948"/>
    </row>
    <row r="5846" spans="3:9" ht="15.75">
      <c r="C5846" s="945" t="s">
        <v>923</v>
      </c>
      <c r="D5846" s="946"/>
      <c r="E5846" s="947"/>
      <c r="F5846" s="1054"/>
      <c r="G5846" s="946"/>
      <c r="H5846" s="1031"/>
      <c r="I5846" s="948"/>
    </row>
    <row r="5847" spans="3:9" ht="15.75">
      <c r="C5847" s="949" t="s">
        <v>924</v>
      </c>
      <c r="D5847" s="946"/>
      <c r="E5847" s="947" t="str">
        <f>+VLOOKUP(C5847,'Basic (equilibrio) (2)'!B:D,2,FALSE)</f>
        <v>n/a</v>
      </c>
      <c r="F5847" s="1054">
        <f>+VLOOKUP(C5847,'Basic (equilibrio) (2)'!B:D,3,FALSE)</f>
        <v>0</v>
      </c>
      <c r="G5847" s="946">
        <f>F5847-(F5847/1.18)</f>
        <v>0</v>
      </c>
      <c r="H5847" s="1039"/>
      <c r="I5847" s="955">
        <f>D5847*F5847</f>
        <v>0</v>
      </c>
    </row>
    <row r="5848" spans="3:9" ht="15.75">
      <c r="C5848" s="951" t="s">
        <v>918</v>
      </c>
      <c r="D5848" s="946"/>
      <c r="E5848" s="947"/>
      <c r="F5848" s="1054"/>
      <c r="G5848" s="946"/>
      <c r="H5848" s="1031"/>
      <c r="I5848" s="952">
        <f>SUM(I5847:I5847)</f>
        <v>0</v>
      </c>
    </row>
    <row r="5849" spans="3:9" ht="15.75">
      <c r="C5849" s="949"/>
      <c r="D5849" s="946"/>
      <c r="E5849" s="947"/>
      <c r="F5849" s="1054"/>
      <c r="G5849" s="946"/>
      <c r="H5849" s="1031"/>
      <c r="I5849" s="948"/>
    </row>
    <row r="5850" spans="3:9" ht="15.75">
      <c r="C5850" s="945" t="s">
        <v>925</v>
      </c>
      <c r="D5850" s="946"/>
      <c r="E5850" s="947"/>
      <c r="F5850" s="1054"/>
      <c r="G5850" s="946"/>
      <c r="H5850" s="1031"/>
      <c r="I5850" s="948"/>
    </row>
    <row r="5851" spans="3:9" ht="15.75">
      <c r="C5851" s="949" t="s">
        <v>924</v>
      </c>
      <c r="D5851" s="946"/>
      <c r="E5851" s="947" t="str">
        <f>+VLOOKUP(C5851,'Basic (equilibrio) (2)'!B:D,2,FALSE)</f>
        <v>n/a</v>
      </c>
      <c r="F5851" s="1054">
        <f>+VLOOKUP(C5851,'Basic (equilibrio) (2)'!B:D,3,FALSE)</f>
        <v>0</v>
      </c>
      <c r="G5851" s="946"/>
      <c r="H5851" s="1031"/>
      <c r="I5851" s="948">
        <f>D5851*F5851</f>
        <v>0</v>
      </c>
    </row>
    <row r="5852" spans="3:9" ht="15.75">
      <c r="C5852" s="951" t="s">
        <v>918</v>
      </c>
      <c r="D5852" s="946"/>
      <c r="E5852" s="947"/>
      <c r="F5852" s="1054"/>
      <c r="G5852" s="946"/>
      <c r="H5852" s="1031"/>
      <c r="I5852" s="952">
        <f>SUM(I5851)</f>
        <v>0</v>
      </c>
    </row>
    <row r="5853" spans="3:9" ht="15.75">
      <c r="C5853" s="951"/>
      <c r="D5853" s="946"/>
      <c r="E5853" s="947"/>
      <c r="F5853" s="1054"/>
      <c r="G5853" s="946"/>
      <c r="H5853" s="1031"/>
      <c r="I5853" s="952"/>
    </row>
    <row r="5854" spans="3:9" ht="15.75">
      <c r="C5854" s="956" t="s">
        <v>926</v>
      </c>
      <c r="D5854" s="957"/>
      <c r="E5854" s="958"/>
      <c r="F5854" s="1069"/>
      <c r="G5854" s="957"/>
      <c r="H5854" s="1032"/>
      <c r="I5854" s="959">
        <f>+I5840</f>
        <v>11284.43</v>
      </c>
    </row>
    <row r="5855" spans="3:9" ht="15.75">
      <c r="C5855" s="956" t="s">
        <v>927</v>
      </c>
      <c r="D5855" s="957"/>
      <c r="E5855" s="958"/>
      <c r="F5855" s="1069"/>
      <c r="G5855" s="957"/>
      <c r="H5855" s="1032"/>
      <c r="I5855" s="959">
        <f>+I5844</f>
        <v>14.88</v>
      </c>
    </row>
    <row r="5856" spans="3:9" ht="15.75">
      <c r="C5856" s="956" t="s">
        <v>928</v>
      </c>
      <c r="D5856" s="957"/>
      <c r="E5856" s="958"/>
      <c r="F5856" s="1069"/>
      <c r="G5856" s="957"/>
      <c r="H5856" s="1032"/>
      <c r="I5856" s="959">
        <f>+I5848</f>
        <v>0</v>
      </c>
    </row>
    <row r="5857" spans="2:9" ht="15.75">
      <c r="C5857" s="956" t="s">
        <v>929</v>
      </c>
      <c r="D5857" s="957"/>
      <c r="E5857" s="958"/>
      <c r="F5857" s="1069"/>
      <c r="G5857" s="957"/>
      <c r="H5857" s="1032"/>
      <c r="I5857" s="959">
        <f>+I5852</f>
        <v>0</v>
      </c>
    </row>
    <row r="5858" spans="2:9" ht="15.75">
      <c r="C5858" s="949"/>
      <c r="D5858" s="946"/>
      <c r="E5858" s="947"/>
      <c r="F5858" s="1054"/>
      <c r="G5858" s="946"/>
      <c r="H5858" s="1031"/>
      <c r="I5858" s="948"/>
    </row>
    <row r="5859" spans="2:9" ht="15.75">
      <c r="C5859" s="949"/>
      <c r="D5859" s="946"/>
      <c r="E5859" s="947"/>
      <c r="F5859" s="1054"/>
      <c r="G5859" s="946"/>
      <c r="H5859" s="1031"/>
      <c r="I5859" s="948"/>
    </row>
    <row r="5860" spans="2:9" ht="15.75">
      <c r="C5860" s="951" t="s">
        <v>930</v>
      </c>
      <c r="D5860" s="960"/>
      <c r="E5860" s="943" t="str">
        <f>+E5834</f>
        <v>M3</v>
      </c>
      <c r="F5860" s="1070"/>
      <c r="G5860" s="960"/>
      <c r="H5860" s="1033"/>
      <c r="I5860" s="952">
        <f>SUM(I5854:I5857)</f>
        <v>11299.31</v>
      </c>
    </row>
    <row r="5861" spans="2:9" ht="15.75">
      <c r="C5861" s="951"/>
      <c r="D5861" s="960"/>
      <c r="E5861" s="943"/>
      <c r="F5861" s="1070"/>
      <c r="G5861" s="960"/>
      <c r="H5861" s="1033"/>
      <c r="I5861" s="952"/>
    </row>
    <row r="5862" spans="2:9" ht="15.75">
      <c r="C5862" s="951"/>
      <c r="D5862" s="960"/>
      <c r="E5862" s="943"/>
      <c r="F5862" s="1070"/>
      <c r="G5862" s="960"/>
      <c r="H5862" s="1033"/>
      <c r="I5862" s="952"/>
    </row>
    <row r="5863" spans="2:9" ht="15.75">
      <c r="B5863" s="1026">
        <v>3.2</v>
      </c>
      <c r="C5863" s="937" t="str">
        <f>+Presupuesto!B378</f>
        <v>Zapata para muros - 1.02 qq/m³</v>
      </c>
      <c r="D5863" s="938"/>
      <c r="E5863" s="962" t="s">
        <v>22</v>
      </c>
      <c r="F5863" s="1066"/>
      <c r="G5863" s="938"/>
      <c r="H5863" s="1029"/>
      <c r="I5863" s="940">
        <f>I5889</f>
        <v>11707.31</v>
      </c>
    </row>
    <row r="5864" spans="2:9" ht="15.75">
      <c r="C5864" s="941" t="s">
        <v>908</v>
      </c>
      <c r="D5864" s="942" t="s">
        <v>9</v>
      </c>
      <c r="E5864" s="943" t="s">
        <v>10</v>
      </c>
      <c r="F5864" s="1067" t="s">
        <v>909</v>
      </c>
      <c r="G5864" s="942" t="s">
        <v>910</v>
      </c>
      <c r="H5864" s="1030" t="s">
        <v>911</v>
      </c>
      <c r="I5864" s="944" t="s">
        <v>912</v>
      </c>
    </row>
    <row r="5865" spans="2:9" ht="15.75">
      <c r="C5865" s="945" t="s">
        <v>913</v>
      </c>
      <c r="D5865" s="946"/>
      <c r="E5865" s="947"/>
      <c r="F5865" s="1054"/>
      <c r="G5865" s="946"/>
      <c r="H5865" s="1031"/>
      <c r="I5865" s="948"/>
    </row>
    <row r="5866" spans="2:9" ht="15.75">
      <c r="C5866" s="949" t="s">
        <v>994</v>
      </c>
      <c r="D5866" s="946">
        <v>1.05</v>
      </c>
      <c r="E5866" s="947" t="str">
        <f>+VLOOKUP(C5866,'Basic (equilibrio) (2)'!B:D,2,FALSE)</f>
        <v>m3</v>
      </c>
      <c r="F5866" s="1068">
        <f>'Basic (equilibrio) (2)'!$D$179</f>
        <v>7600</v>
      </c>
      <c r="G5866" s="946">
        <f>F5866-(F5866/1.18)</f>
        <v>1159.32</v>
      </c>
      <c r="H5866" s="1031"/>
      <c r="I5866" s="948">
        <f>D5866*F5866</f>
        <v>7980</v>
      </c>
    </row>
    <row r="5867" spans="2:9" ht="15.75">
      <c r="C5867" s="949" t="s">
        <v>1188</v>
      </c>
      <c r="D5867" s="946">
        <v>1.02</v>
      </c>
      <c r="E5867" s="947" t="str">
        <f>+VLOOKUP(C5867,'Basic (equilibrio) (2)'!B:D,2,FALSE)</f>
        <v>qq</v>
      </c>
      <c r="F5867" s="1068">
        <f>'Basic (equilibrio) (2)'!$D$183</f>
        <v>3600</v>
      </c>
      <c r="G5867" s="946">
        <f>F5867-(F5867/1.18)</f>
        <v>549.15</v>
      </c>
      <c r="H5867" s="1031"/>
      <c r="I5867" s="948">
        <f>D5867*F5867</f>
        <v>3672</v>
      </c>
    </row>
    <row r="5868" spans="2:9" ht="15.75">
      <c r="C5868" s="949" t="s">
        <v>1328</v>
      </c>
      <c r="D5868" s="946">
        <v>1.3</v>
      </c>
      <c r="E5868" s="947" t="str">
        <f>+VLOOKUP(C5868,'Basic (equilibrio) (2)'!B:D,2,FALSE)</f>
        <v>lb</v>
      </c>
      <c r="F5868" s="1068">
        <f>'Basic (equilibrio) (2)'!$D$334</f>
        <v>31.1</v>
      </c>
      <c r="G5868" s="946">
        <f>F5868-(F5868/1.18)</f>
        <v>4.74</v>
      </c>
      <c r="H5868" s="1031"/>
      <c r="I5868" s="948">
        <f>D5868*F5868</f>
        <v>40.43</v>
      </c>
    </row>
    <row r="5869" spans="2:9" ht="15.75">
      <c r="C5869" s="951" t="s">
        <v>918</v>
      </c>
      <c r="D5869" s="946"/>
      <c r="E5869" s="947"/>
      <c r="F5869" s="1068"/>
      <c r="G5869" s="946"/>
      <c r="H5869" s="1031"/>
      <c r="I5869" s="952">
        <f>SUM(I5866:I5868)</f>
        <v>11692.43</v>
      </c>
    </row>
    <row r="5870" spans="2:9" ht="15.75">
      <c r="C5870" s="949"/>
      <c r="D5870" s="946"/>
      <c r="E5870" s="947"/>
      <c r="F5870" s="1068"/>
      <c r="G5870" s="946"/>
      <c r="H5870" s="1031"/>
      <c r="I5870" s="948"/>
    </row>
    <row r="5871" spans="2:9" ht="15.75">
      <c r="C5871" s="945" t="s">
        <v>919</v>
      </c>
      <c r="D5871" s="946"/>
      <c r="E5871" s="947"/>
      <c r="F5871" s="1068"/>
      <c r="G5871" s="946"/>
      <c r="H5871" s="1031"/>
      <c r="I5871" s="948"/>
    </row>
    <row r="5872" spans="2:9" ht="15.75">
      <c r="C5872" s="949" t="s">
        <v>1067</v>
      </c>
      <c r="D5872" s="953">
        <v>8.33</v>
      </c>
      <c r="E5872" s="954" t="str">
        <f>+VLOOKUP(C5872,'Basic (equilibrio) (2)'!B:D,2,FALSE)</f>
        <v>ml</v>
      </c>
      <c r="F5872" s="1068">
        <f>'Basic (equilibrio) (2)'!$D$21</f>
        <v>125</v>
      </c>
      <c r="G5872" s="946">
        <v>0</v>
      </c>
      <c r="H5872" s="1031">
        <v>70</v>
      </c>
      <c r="I5872" s="948">
        <f>(D5872*F5872)/H5872</f>
        <v>14.88</v>
      </c>
    </row>
    <row r="5873" spans="3:9" ht="15.75">
      <c r="C5873" s="951" t="s">
        <v>918</v>
      </c>
      <c r="D5873" s="946"/>
      <c r="E5873" s="947"/>
      <c r="F5873" s="1054"/>
      <c r="G5873" s="946"/>
      <c r="H5873" s="1031"/>
      <c r="I5873" s="952">
        <f>SUM(I5872:I5872)</f>
        <v>14.88</v>
      </c>
    </row>
    <row r="5874" spans="3:9" ht="15.75">
      <c r="C5874" s="949"/>
      <c r="D5874" s="946"/>
      <c r="E5874" s="947"/>
      <c r="F5874" s="1054"/>
      <c r="G5874" s="946"/>
      <c r="H5874" s="1031"/>
      <c r="I5874" s="948"/>
    </row>
    <row r="5875" spans="3:9" ht="15.75">
      <c r="C5875" s="945" t="s">
        <v>923</v>
      </c>
      <c r="D5875" s="946"/>
      <c r="E5875" s="947"/>
      <c r="F5875" s="1054"/>
      <c r="G5875" s="946"/>
      <c r="H5875" s="1031"/>
      <c r="I5875" s="948"/>
    </row>
    <row r="5876" spans="3:9" ht="15.75">
      <c r="C5876" s="949" t="s">
        <v>924</v>
      </c>
      <c r="D5876" s="946"/>
      <c r="E5876" s="947" t="str">
        <f>+VLOOKUP(C5876,'Basic (equilibrio) (2)'!B:D,2,FALSE)</f>
        <v>n/a</v>
      </c>
      <c r="F5876" s="1054">
        <f>+VLOOKUP(C5876,'Basic (equilibrio) (2)'!B:D,3,FALSE)</f>
        <v>0</v>
      </c>
      <c r="G5876" s="946">
        <f>F5876-(F5876/1.18)</f>
        <v>0</v>
      </c>
      <c r="H5876" s="1039"/>
      <c r="I5876" s="955">
        <f>D5876*F5876</f>
        <v>0</v>
      </c>
    </row>
    <row r="5877" spans="3:9" ht="15.75">
      <c r="C5877" s="951" t="s">
        <v>918</v>
      </c>
      <c r="D5877" s="946"/>
      <c r="E5877" s="947"/>
      <c r="F5877" s="1054"/>
      <c r="G5877" s="946"/>
      <c r="H5877" s="1031"/>
      <c r="I5877" s="952">
        <f>SUM(I5876:I5876)</f>
        <v>0</v>
      </c>
    </row>
    <row r="5878" spans="3:9" ht="15.75">
      <c r="C5878" s="949"/>
      <c r="D5878" s="946"/>
      <c r="E5878" s="947"/>
      <c r="F5878" s="1054"/>
      <c r="G5878" s="946"/>
      <c r="H5878" s="1031"/>
      <c r="I5878" s="948"/>
    </row>
    <row r="5879" spans="3:9" ht="15.75">
      <c r="C5879" s="945" t="s">
        <v>925</v>
      </c>
      <c r="D5879" s="946"/>
      <c r="E5879" s="947"/>
      <c r="F5879" s="1054"/>
      <c r="G5879" s="946"/>
      <c r="H5879" s="1031"/>
      <c r="I5879" s="948"/>
    </row>
    <row r="5880" spans="3:9" ht="15.75">
      <c r="C5880" s="949" t="s">
        <v>924</v>
      </c>
      <c r="D5880" s="946"/>
      <c r="E5880" s="947" t="str">
        <f>+VLOOKUP(C5880,'Basic (equilibrio) (2)'!B:D,2,FALSE)</f>
        <v>n/a</v>
      </c>
      <c r="F5880" s="1054">
        <f>+VLOOKUP(C5880,'Basic (equilibrio) (2)'!B:D,3,FALSE)</f>
        <v>0</v>
      </c>
      <c r="G5880" s="946"/>
      <c r="H5880" s="1031"/>
      <c r="I5880" s="948">
        <f>D5880*F5880</f>
        <v>0</v>
      </c>
    </row>
    <row r="5881" spans="3:9" ht="15.75">
      <c r="C5881" s="951" t="s">
        <v>918</v>
      </c>
      <c r="D5881" s="946"/>
      <c r="E5881" s="947"/>
      <c r="F5881" s="1054"/>
      <c r="G5881" s="946"/>
      <c r="H5881" s="1031"/>
      <c r="I5881" s="952">
        <f>SUM(I5880)</f>
        <v>0</v>
      </c>
    </row>
    <row r="5882" spans="3:9" ht="15.75">
      <c r="C5882" s="951"/>
      <c r="D5882" s="946"/>
      <c r="E5882" s="947"/>
      <c r="F5882" s="1054"/>
      <c r="G5882" s="946"/>
      <c r="H5882" s="1031"/>
      <c r="I5882" s="952"/>
    </row>
    <row r="5883" spans="3:9" ht="15.75">
      <c r="C5883" s="956" t="s">
        <v>926</v>
      </c>
      <c r="D5883" s="957"/>
      <c r="E5883" s="958"/>
      <c r="F5883" s="1069"/>
      <c r="G5883" s="957"/>
      <c r="H5883" s="1032"/>
      <c r="I5883" s="959">
        <f>+I5869</f>
        <v>11692.43</v>
      </c>
    </row>
    <row r="5884" spans="3:9" ht="15.75">
      <c r="C5884" s="956" t="s">
        <v>927</v>
      </c>
      <c r="D5884" s="957"/>
      <c r="E5884" s="958"/>
      <c r="F5884" s="1069"/>
      <c r="G5884" s="957"/>
      <c r="H5884" s="1032"/>
      <c r="I5884" s="959">
        <f>+I5873</f>
        <v>14.88</v>
      </c>
    </row>
    <row r="5885" spans="3:9" ht="15.75">
      <c r="C5885" s="956" t="s">
        <v>928</v>
      </c>
      <c r="D5885" s="957"/>
      <c r="E5885" s="958"/>
      <c r="F5885" s="1069"/>
      <c r="G5885" s="957"/>
      <c r="H5885" s="1032"/>
      <c r="I5885" s="959">
        <f>+I5877</f>
        <v>0</v>
      </c>
    </row>
    <row r="5886" spans="3:9" ht="15.75">
      <c r="C5886" s="956" t="s">
        <v>929</v>
      </c>
      <c r="D5886" s="957"/>
      <c r="E5886" s="958"/>
      <c r="F5886" s="1069"/>
      <c r="G5886" s="957"/>
      <c r="H5886" s="1032"/>
      <c r="I5886" s="959">
        <f>+I5881</f>
        <v>0</v>
      </c>
    </row>
    <row r="5887" spans="3:9" ht="15.75">
      <c r="C5887" s="949"/>
      <c r="D5887" s="946"/>
      <c r="E5887" s="947"/>
      <c r="F5887" s="1054"/>
      <c r="G5887" s="946"/>
      <c r="H5887" s="1031"/>
      <c r="I5887" s="948"/>
    </row>
    <row r="5888" spans="3:9" ht="15.75">
      <c r="C5888" s="949"/>
      <c r="D5888" s="946"/>
      <c r="E5888" s="947"/>
      <c r="F5888" s="1054"/>
      <c r="G5888" s="946"/>
      <c r="H5888" s="1031"/>
      <c r="I5888" s="948"/>
    </row>
    <row r="5889" spans="2:9" ht="15.75">
      <c r="C5889" s="951" t="s">
        <v>930</v>
      </c>
      <c r="D5889" s="960"/>
      <c r="E5889" s="943" t="str">
        <f>+E5863</f>
        <v>M3</v>
      </c>
      <c r="F5889" s="1070"/>
      <c r="G5889" s="960"/>
      <c r="H5889" s="1033"/>
      <c r="I5889" s="952">
        <f>SUM(I5883:I5886)</f>
        <v>11707.31</v>
      </c>
    </row>
    <row r="5890" spans="2:9" ht="15.75">
      <c r="C5890" s="951"/>
      <c r="D5890" s="960"/>
      <c r="E5890" s="943"/>
      <c r="F5890" s="1070"/>
      <c r="G5890" s="960"/>
      <c r="H5890" s="1033"/>
      <c r="I5890" s="952"/>
    </row>
    <row r="5891" spans="2:9" ht="15.75">
      <c r="B5891" s="1026">
        <v>3.3</v>
      </c>
      <c r="C5891" s="937" t="str">
        <f>+Presupuesto!B379</f>
        <v>Zapata para columnas - 1.83 qq/m³</v>
      </c>
      <c r="D5891" s="938"/>
      <c r="E5891" s="962" t="s">
        <v>22</v>
      </c>
      <c r="F5891" s="1066"/>
      <c r="G5891" s="938"/>
      <c r="H5891" s="1029"/>
      <c r="I5891" s="940">
        <f>I5917</f>
        <v>14658.41</v>
      </c>
    </row>
    <row r="5892" spans="2:9" ht="15.75">
      <c r="C5892" s="941" t="s">
        <v>908</v>
      </c>
      <c r="D5892" s="942" t="s">
        <v>9</v>
      </c>
      <c r="E5892" s="943" t="s">
        <v>10</v>
      </c>
      <c r="F5892" s="1067" t="s">
        <v>909</v>
      </c>
      <c r="G5892" s="942" t="s">
        <v>910</v>
      </c>
      <c r="H5892" s="1030" t="s">
        <v>911</v>
      </c>
      <c r="I5892" s="944" t="s">
        <v>912</v>
      </c>
    </row>
    <row r="5893" spans="2:9" ht="15.75">
      <c r="C5893" s="945" t="s">
        <v>913</v>
      </c>
      <c r="D5893" s="946"/>
      <c r="E5893" s="947"/>
      <c r="F5893" s="1054"/>
      <c r="G5893" s="946"/>
      <c r="H5893" s="1031"/>
      <c r="I5893" s="948"/>
    </row>
    <row r="5894" spans="2:9" ht="15.75">
      <c r="C5894" s="949" t="s">
        <v>994</v>
      </c>
      <c r="D5894" s="946">
        <v>1.05</v>
      </c>
      <c r="E5894" s="947" t="str">
        <f>+VLOOKUP(C5894,'Basic (equilibrio) (2)'!B:D,2,FALSE)</f>
        <v>m3</v>
      </c>
      <c r="F5894" s="1068">
        <f>'Basic (equilibrio) (2)'!$D$179</f>
        <v>7600</v>
      </c>
      <c r="G5894" s="946">
        <f>F5894-(F5894/1.18)</f>
        <v>1159.32</v>
      </c>
      <c r="H5894" s="1031"/>
      <c r="I5894" s="948">
        <f>D5894*F5894</f>
        <v>7980</v>
      </c>
    </row>
    <row r="5895" spans="2:9" ht="15.75">
      <c r="C5895" s="949" t="s">
        <v>1188</v>
      </c>
      <c r="D5895" s="946">
        <v>1.83</v>
      </c>
      <c r="E5895" s="947" t="str">
        <f>+VLOOKUP(C5895,'Basic (equilibrio) (2)'!B:D,2,FALSE)</f>
        <v>qq</v>
      </c>
      <c r="F5895" s="1068">
        <f>'Basic (equilibrio) (2)'!$D$183</f>
        <v>3600</v>
      </c>
      <c r="G5895" s="946">
        <f>F5895-(F5895/1.18)</f>
        <v>549.15</v>
      </c>
      <c r="H5895" s="1031"/>
      <c r="I5895" s="948">
        <f>D5895*F5895</f>
        <v>6588</v>
      </c>
    </row>
    <row r="5896" spans="2:9" ht="15.75">
      <c r="C5896" s="949" t="s">
        <v>1328</v>
      </c>
      <c r="D5896" s="946">
        <v>1.3</v>
      </c>
      <c r="E5896" s="947" t="str">
        <f>+VLOOKUP(C5896,'Basic (equilibrio) (2)'!B:D,2,FALSE)</f>
        <v>lb</v>
      </c>
      <c r="F5896" s="1068">
        <f>'Basic (equilibrio) (2)'!$D$334</f>
        <v>31.1</v>
      </c>
      <c r="G5896" s="946">
        <f>F5896-(F5896/1.18)</f>
        <v>4.74</v>
      </c>
      <c r="H5896" s="1031"/>
      <c r="I5896" s="948">
        <f>D5896*F5896</f>
        <v>40.43</v>
      </c>
    </row>
    <row r="5897" spans="2:9" ht="15.75">
      <c r="C5897" s="951" t="s">
        <v>918</v>
      </c>
      <c r="D5897" s="946"/>
      <c r="E5897" s="947"/>
      <c r="F5897" s="1068"/>
      <c r="G5897" s="946"/>
      <c r="H5897" s="1031"/>
      <c r="I5897" s="952">
        <f>SUM(I5894:I5896)</f>
        <v>14608.43</v>
      </c>
    </row>
    <row r="5898" spans="2:9" ht="15.75">
      <c r="C5898" s="949"/>
      <c r="D5898" s="946"/>
      <c r="E5898" s="947"/>
      <c r="F5898" s="1068"/>
      <c r="G5898" s="946"/>
      <c r="H5898" s="1031"/>
      <c r="I5898" s="948"/>
    </row>
    <row r="5899" spans="2:9" ht="15.75">
      <c r="C5899" s="945" t="s">
        <v>919</v>
      </c>
      <c r="D5899" s="946"/>
      <c r="E5899" s="947"/>
      <c r="F5899" s="1068"/>
      <c r="G5899" s="946"/>
      <c r="H5899" s="1031"/>
      <c r="I5899" s="948"/>
    </row>
    <row r="5900" spans="2:9" ht="15.75">
      <c r="C5900" s="949" t="s">
        <v>1121</v>
      </c>
      <c r="D5900" s="953">
        <v>8.33</v>
      </c>
      <c r="E5900" s="954" t="str">
        <f>+VLOOKUP(C5900,'Basic (equilibrio) (2)'!B:D,2,FALSE)</f>
        <v>qq</v>
      </c>
      <c r="F5900" s="1068">
        <f>'Basic (equilibrio) (2)'!$D$45</f>
        <v>420</v>
      </c>
      <c r="G5900" s="946">
        <v>0</v>
      </c>
      <c r="H5900" s="1031">
        <v>70</v>
      </c>
      <c r="I5900" s="948">
        <f>(D5900*F5900)/H5900</f>
        <v>49.98</v>
      </c>
    </row>
    <row r="5901" spans="2:9" ht="15.75">
      <c r="C5901" s="951" t="s">
        <v>918</v>
      </c>
      <c r="D5901" s="946"/>
      <c r="E5901" s="947"/>
      <c r="F5901" s="1054"/>
      <c r="G5901" s="946"/>
      <c r="H5901" s="1031"/>
      <c r="I5901" s="952">
        <f>SUM(I5900:I5900)</f>
        <v>49.98</v>
      </c>
    </row>
    <row r="5902" spans="2:9" ht="15.75">
      <c r="C5902" s="949"/>
      <c r="D5902" s="946"/>
      <c r="E5902" s="947"/>
      <c r="F5902" s="1054"/>
      <c r="G5902" s="946"/>
      <c r="H5902" s="1031"/>
      <c r="I5902" s="948"/>
    </row>
    <row r="5903" spans="2:9" ht="15.75">
      <c r="C5903" s="945" t="s">
        <v>923</v>
      </c>
      <c r="D5903" s="946"/>
      <c r="E5903" s="947"/>
      <c r="F5903" s="1054"/>
      <c r="G5903" s="946"/>
      <c r="H5903" s="1031"/>
      <c r="I5903" s="948"/>
    </row>
    <row r="5904" spans="2:9" ht="15.75">
      <c r="C5904" s="949" t="s">
        <v>924</v>
      </c>
      <c r="D5904" s="946"/>
      <c r="E5904" s="947" t="str">
        <f>+VLOOKUP(C5904,'Basic (equilibrio) (2)'!B:D,2,FALSE)</f>
        <v>n/a</v>
      </c>
      <c r="F5904" s="1054">
        <f>+VLOOKUP(C5904,'Basic (equilibrio) (2)'!B:D,3,FALSE)</f>
        <v>0</v>
      </c>
      <c r="G5904" s="946">
        <f>F5904-(F5904/1.18)</f>
        <v>0</v>
      </c>
      <c r="H5904" s="1039"/>
      <c r="I5904" s="955">
        <f>D5904*F5904</f>
        <v>0</v>
      </c>
    </row>
    <row r="5905" spans="2:9" ht="15.75">
      <c r="C5905" s="951" t="s">
        <v>918</v>
      </c>
      <c r="D5905" s="946"/>
      <c r="E5905" s="947"/>
      <c r="F5905" s="1054"/>
      <c r="G5905" s="946"/>
      <c r="H5905" s="1031"/>
      <c r="I5905" s="952">
        <f>SUM(I5904:I5904)</f>
        <v>0</v>
      </c>
    </row>
    <row r="5906" spans="2:9" ht="15.75">
      <c r="C5906" s="949"/>
      <c r="D5906" s="946"/>
      <c r="E5906" s="947"/>
      <c r="F5906" s="1054"/>
      <c r="G5906" s="946"/>
      <c r="H5906" s="1031"/>
      <c r="I5906" s="948"/>
    </row>
    <row r="5907" spans="2:9" ht="15.75">
      <c r="C5907" s="945" t="s">
        <v>925</v>
      </c>
      <c r="D5907" s="946"/>
      <c r="E5907" s="947"/>
      <c r="F5907" s="1054"/>
      <c r="G5907" s="946"/>
      <c r="H5907" s="1031"/>
      <c r="I5907" s="948"/>
    </row>
    <row r="5908" spans="2:9" ht="15.75">
      <c r="C5908" s="949" t="s">
        <v>924</v>
      </c>
      <c r="D5908" s="946"/>
      <c r="E5908" s="947" t="str">
        <f>+VLOOKUP(C5908,'Basic (equilibrio) (2)'!B:D,2,FALSE)</f>
        <v>n/a</v>
      </c>
      <c r="F5908" s="1054">
        <f>+VLOOKUP(C5908,'Basic (equilibrio) (2)'!B:D,3,FALSE)</f>
        <v>0</v>
      </c>
      <c r="G5908" s="946"/>
      <c r="H5908" s="1031"/>
      <c r="I5908" s="948">
        <f>D5908*F5908</f>
        <v>0</v>
      </c>
    </row>
    <row r="5909" spans="2:9" ht="15.75">
      <c r="C5909" s="951" t="s">
        <v>918</v>
      </c>
      <c r="D5909" s="946"/>
      <c r="E5909" s="947"/>
      <c r="F5909" s="1054"/>
      <c r="G5909" s="946"/>
      <c r="H5909" s="1031"/>
      <c r="I5909" s="952">
        <f>SUM(I5908)</f>
        <v>0</v>
      </c>
    </row>
    <row r="5910" spans="2:9" ht="15.75">
      <c r="C5910" s="951"/>
      <c r="D5910" s="946"/>
      <c r="E5910" s="947"/>
      <c r="F5910" s="1054"/>
      <c r="G5910" s="946"/>
      <c r="H5910" s="1031"/>
      <c r="I5910" s="952"/>
    </row>
    <row r="5911" spans="2:9" ht="15.75">
      <c r="C5911" s="956" t="s">
        <v>926</v>
      </c>
      <c r="D5911" s="957"/>
      <c r="E5911" s="958"/>
      <c r="F5911" s="1069"/>
      <c r="G5911" s="957"/>
      <c r="H5911" s="1032"/>
      <c r="I5911" s="959">
        <f>+I5897</f>
        <v>14608.43</v>
      </c>
    </row>
    <row r="5912" spans="2:9" ht="15.75">
      <c r="C5912" s="956" t="s">
        <v>927</v>
      </c>
      <c r="D5912" s="957"/>
      <c r="E5912" s="958"/>
      <c r="F5912" s="1069"/>
      <c r="G5912" s="957"/>
      <c r="H5912" s="1032"/>
      <c r="I5912" s="959">
        <f>+I5901</f>
        <v>49.98</v>
      </c>
    </row>
    <row r="5913" spans="2:9" ht="15.75">
      <c r="C5913" s="956" t="s">
        <v>928</v>
      </c>
      <c r="D5913" s="957"/>
      <c r="E5913" s="958"/>
      <c r="F5913" s="1069"/>
      <c r="G5913" s="957"/>
      <c r="H5913" s="1032"/>
      <c r="I5913" s="959">
        <f>+I5905</f>
        <v>0</v>
      </c>
    </row>
    <row r="5914" spans="2:9" ht="15.75">
      <c r="C5914" s="956" t="s">
        <v>929</v>
      </c>
      <c r="D5914" s="957"/>
      <c r="E5914" s="958"/>
      <c r="F5914" s="1069"/>
      <c r="G5914" s="957"/>
      <c r="H5914" s="1032"/>
      <c r="I5914" s="959">
        <f>+I5909</f>
        <v>0</v>
      </c>
    </row>
    <row r="5915" spans="2:9" ht="15.75">
      <c r="C5915" s="949"/>
      <c r="D5915" s="946"/>
      <c r="E5915" s="947"/>
      <c r="F5915" s="1054"/>
      <c r="G5915" s="946"/>
      <c r="H5915" s="1031"/>
      <c r="I5915" s="948"/>
    </row>
    <row r="5916" spans="2:9" ht="15.75">
      <c r="C5916" s="949"/>
      <c r="D5916" s="946"/>
      <c r="E5916" s="947"/>
      <c r="F5916" s="1054"/>
      <c r="G5916" s="946"/>
      <c r="H5916" s="1031"/>
      <c r="I5916" s="948"/>
    </row>
    <row r="5917" spans="2:9" ht="15.75">
      <c r="C5917" s="951" t="s">
        <v>930</v>
      </c>
      <c r="D5917" s="960"/>
      <c r="E5917" s="943" t="str">
        <f>+E5891</f>
        <v>M3</v>
      </c>
      <c r="F5917" s="1070"/>
      <c r="G5917" s="960"/>
      <c r="H5917" s="1033"/>
      <c r="I5917" s="952">
        <f>SUM(I5911:I5914)</f>
        <v>14658.41</v>
      </c>
    </row>
    <row r="5918" spans="2:9" ht="15.75">
      <c r="C5918" s="951"/>
      <c r="D5918" s="960"/>
      <c r="E5918" s="943"/>
      <c r="F5918" s="1070"/>
      <c r="G5918" s="960"/>
      <c r="H5918" s="1033"/>
      <c r="I5918" s="952"/>
    </row>
    <row r="5919" spans="2:9" ht="15.75">
      <c r="B5919" s="1026">
        <v>3.4</v>
      </c>
      <c r="C5919" s="937" t="str">
        <f>+Presupuesto!B380</f>
        <v>Columnas de Amarre 0.15m x 0.20m (10ud) - 4.13 qq/m³</v>
      </c>
      <c r="D5919" s="938"/>
      <c r="E5919" s="962" t="s">
        <v>22</v>
      </c>
      <c r="F5919" s="1066"/>
      <c r="G5919" s="938"/>
      <c r="H5919" s="1029"/>
      <c r="I5919" s="940">
        <f>I5951</f>
        <v>42717.22</v>
      </c>
    </row>
    <row r="5920" spans="2:9" ht="15.75">
      <c r="C5920" s="941" t="s">
        <v>908</v>
      </c>
      <c r="D5920" s="942" t="s">
        <v>9</v>
      </c>
      <c r="E5920" s="943" t="s">
        <v>10</v>
      </c>
      <c r="F5920" s="1067" t="s">
        <v>909</v>
      </c>
      <c r="G5920" s="942" t="s">
        <v>910</v>
      </c>
      <c r="H5920" s="1030" t="s">
        <v>911</v>
      </c>
      <c r="I5920" s="944" t="s">
        <v>912</v>
      </c>
    </row>
    <row r="5921" spans="3:9" ht="15.75">
      <c r="C5921" s="945" t="s">
        <v>913</v>
      </c>
      <c r="D5921" s="946"/>
      <c r="E5921" s="947"/>
      <c r="F5921" s="1054"/>
      <c r="G5921" s="946"/>
      <c r="H5921" s="1031"/>
      <c r="I5921" s="948"/>
    </row>
    <row r="5922" spans="3:9" ht="15.75">
      <c r="C5922" s="949" t="s">
        <v>994</v>
      </c>
      <c r="D5922" s="946">
        <v>1.05</v>
      </c>
      <c r="E5922" s="947" t="str">
        <f>+VLOOKUP(C5922,'Basic (equilibrio) (2)'!B:D,2,FALSE)</f>
        <v>m3</v>
      </c>
      <c r="F5922" s="1068">
        <f>'Basic (equilibrio) (2)'!$D$179</f>
        <v>7600</v>
      </c>
      <c r="G5922" s="946">
        <f t="shared" ref="G5922:G5927" si="37">F5922-(F5922/1.18)</f>
        <v>1159.32</v>
      </c>
      <c r="H5922" s="1031"/>
      <c r="I5922" s="948">
        <f t="shared" ref="I5922:I5927" si="38">D5922*F5922</f>
        <v>7980</v>
      </c>
    </row>
    <row r="5923" spans="3:9" ht="15.75">
      <c r="C5923" s="949" t="s">
        <v>1188</v>
      </c>
      <c r="D5923" s="946">
        <v>4.13</v>
      </c>
      <c r="E5923" s="947" t="str">
        <f>+VLOOKUP(C5923,'Basic (equilibrio) (2)'!B:D,2,FALSE)</f>
        <v>qq</v>
      </c>
      <c r="F5923" s="1068">
        <f>'Basic (equilibrio) (2)'!$D$183</f>
        <v>3600</v>
      </c>
      <c r="G5923" s="946">
        <f t="shared" si="37"/>
        <v>549.15</v>
      </c>
      <c r="H5923" s="1031"/>
      <c r="I5923" s="948">
        <f t="shared" si="38"/>
        <v>14868</v>
      </c>
    </row>
    <row r="5924" spans="3:9" ht="15.75">
      <c r="C5924" s="949" t="s">
        <v>1212</v>
      </c>
      <c r="D5924" s="946">
        <v>5.7</v>
      </c>
      <c r="E5924" s="947" t="str">
        <f>+VLOOKUP(C5924,'Basic (equilibrio) (2)'!B:D,2,FALSE)</f>
        <v>lb</v>
      </c>
      <c r="F5924" s="1068">
        <f>'Basic (equilibrio) (2)'!$D$312</f>
        <v>26.5</v>
      </c>
      <c r="G5924" s="946">
        <f t="shared" si="37"/>
        <v>4.04</v>
      </c>
      <c r="H5924" s="1031"/>
      <c r="I5924" s="948">
        <f t="shared" si="38"/>
        <v>151.05000000000001</v>
      </c>
    </row>
    <row r="5925" spans="3:9" ht="15.75">
      <c r="C5925" s="949" t="s">
        <v>916</v>
      </c>
      <c r="D5925" s="946">
        <v>144</v>
      </c>
      <c r="E5925" s="947" t="str">
        <f>+VLOOKUP(C5925,'Basic (equilibrio) (2)'!B:D,2,FALSE)</f>
        <v>pt</v>
      </c>
      <c r="F5925" s="1068">
        <f>'Basic (equilibrio) (2)'!$D$194</f>
        <v>107.7</v>
      </c>
      <c r="G5925" s="946">
        <f t="shared" si="37"/>
        <v>16.43</v>
      </c>
      <c r="H5925" s="1031"/>
      <c r="I5925" s="948">
        <f t="shared" si="38"/>
        <v>15508.8</v>
      </c>
    </row>
    <row r="5926" spans="3:9" ht="15.75">
      <c r="C5926" s="949" t="s">
        <v>1194</v>
      </c>
      <c r="D5926" s="946">
        <v>23.09</v>
      </c>
      <c r="E5926" s="947" t="str">
        <f>+VLOOKUP(C5926,'Basic (equilibrio) (2)'!B:D,2,FALSE)</f>
        <v>lb</v>
      </c>
      <c r="F5926" s="1068">
        <f>'Basic (equilibrio) (2)'!$D$192</f>
        <v>78.2</v>
      </c>
      <c r="G5926" s="946">
        <f t="shared" si="37"/>
        <v>11.93</v>
      </c>
      <c r="H5926" s="1031"/>
      <c r="I5926" s="948">
        <f t="shared" si="38"/>
        <v>1805.64</v>
      </c>
    </row>
    <row r="5927" spans="3:9" ht="15.75">
      <c r="C5927" s="949" t="s">
        <v>1299</v>
      </c>
      <c r="D5927" s="946">
        <v>6.93</v>
      </c>
      <c r="E5927" s="947" t="str">
        <f>+VLOOKUP(C5927,'Basic (equilibrio) (2)'!B:D,2,FALSE)</f>
        <v>lb</v>
      </c>
      <c r="F5927" s="1068">
        <f>'Basic (equilibrio) (2)'!$D$335</f>
        <v>78.2</v>
      </c>
      <c r="G5927" s="946">
        <f t="shared" si="37"/>
        <v>11.93</v>
      </c>
      <c r="H5927" s="1031"/>
      <c r="I5927" s="948">
        <f t="shared" si="38"/>
        <v>541.92999999999995</v>
      </c>
    </row>
    <row r="5928" spans="3:9" ht="15.75">
      <c r="C5928" s="951" t="s">
        <v>918</v>
      </c>
      <c r="D5928" s="946"/>
      <c r="E5928" s="947"/>
      <c r="F5928" s="1068"/>
      <c r="G5928" s="946"/>
      <c r="H5928" s="1031"/>
      <c r="I5928" s="952">
        <f>SUM(I5922:I5927)</f>
        <v>40855.42</v>
      </c>
    </row>
    <row r="5929" spans="3:9" ht="15.75">
      <c r="C5929" s="949"/>
      <c r="D5929" s="946"/>
      <c r="E5929" s="947"/>
      <c r="F5929" s="1068"/>
      <c r="G5929" s="946"/>
      <c r="H5929" s="1031"/>
      <c r="I5929" s="948"/>
    </row>
    <row r="5930" spans="3:9" ht="15.75">
      <c r="C5930" s="945" t="s">
        <v>919</v>
      </c>
      <c r="D5930" s="946"/>
      <c r="E5930" s="947"/>
      <c r="F5930" s="1068"/>
      <c r="G5930" s="946"/>
      <c r="H5930" s="1031"/>
      <c r="I5930" s="948"/>
    </row>
    <row r="5931" spans="3:9" ht="15.75">
      <c r="C5931" s="949" t="s">
        <v>1131</v>
      </c>
      <c r="D5931" s="953">
        <v>2.2999999999999998</v>
      </c>
      <c r="E5931" s="954" t="str">
        <f>+VLOOKUP(C5931,'Basic (equilibrio) (2)'!B:D,2,FALSE)</f>
        <v>ml</v>
      </c>
      <c r="F5931" s="1068">
        <f>'Basic (equilibrio) (2)'!$D$48</f>
        <v>400</v>
      </c>
      <c r="G5931" s="946">
        <v>0</v>
      </c>
      <c r="H5931" s="1031"/>
      <c r="I5931" s="948">
        <f>(D5931*F5931)</f>
        <v>920</v>
      </c>
    </row>
    <row r="5932" spans="3:9" ht="31.5">
      <c r="C5932" s="949" t="s">
        <v>1132</v>
      </c>
      <c r="D5932" s="946">
        <v>2.2999999999999998</v>
      </c>
      <c r="E5932" s="947" t="str">
        <f>+VLOOKUP(C5932,'Basic (equilibrio) (2)'!B:D,2,FALSE)</f>
        <v>ml</v>
      </c>
      <c r="F5932" s="1068">
        <f>'Basic (equilibrio) (2)'!$D$49</f>
        <v>211</v>
      </c>
      <c r="G5932" s="946">
        <f>F5932-(F5932/1.18)</f>
        <v>32.19</v>
      </c>
      <c r="H5932" s="1031"/>
      <c r="I5932" s="948">
        <f>D5932*F5932</f>
        <v>485.3</v>
      </c>
    </row>
    <row r="5933" spans="3:9" ht="15.75">
      <c r="C5933" s="949" t="s">
        <v>1117</v>
      </c>
      <c r="D5933" s="946">
        <v>9.52</v>
      </c>
      <c r="E5933" s="947" t="str">
        <f>+VLOOKUP(C5933,'Basic (equilibrio) (2)'!B:D,2,FALSE)</f>
        <v>m2</v>
      </c>
      <c r="F5933" s="1068">
        <f>'Basic (equilibrio) (2)'!$D$41</f>
        <v>25</v>
      </c>
      <c r="G5933" s="946">
        <f>F5933-(F5933/1.18)</f>
        <v>3.81</v>
      </c>
      <c r="H5933" s="1031"/>
      <c r="I5933" s="948">
        <f>D5933*F5933</f>
        <v>238</v>
      </c>
    </row>
    <row r="5934" spans="3:9" ht="15.75">
      <c r="C5934" s="949" t="s">
        <v>1118</v>
      </c>
      <c r="D5934" s="946">
        <v>2.2999999999999998</v>
      </c>
      <c r="E5934" s="947" t="str">
        <f>+VLOOKUP(C5934,'Basic (equilibrio) (2)'!B:D,2,FALSE)</f>
        <v>m</v>
      </c>
      <c r="F5934" s="1068">
        <f>'Basic (equilibrio) (2)'!$D$42</f>
        <v>95</v>
      </c>
      <c r="G5934" s="946">
        <f>F5934-(F5934/1.18)</f>
        <v>14.49</v>
      </c>
      <c r="H5934" s="1031"/>
      <c r="I5934" s="948">
        <f>D5934*F5934</f>
        <v>218.5</v>
      </c>
    </row>
    <row r="5935" spans="3:9" ht="15.75">
      <c r="C5935" s="951" t="s">
        <v>918</v>
      </c>
      <c r="D5935" s="946"/>
      <c r="E5935" s="947"/>
      <c r="F5935" s="1054"/>
      <c r="G5935" s="946"/>
      <c r="H5935" s="1031"/>
      <c r="I5935" s="952">
        <f>SUM(I5931:I5934)</f>
        <v>1861.8</v>
      </c>
    </row>
    <row r="5936" spans="3:9" ht="15.75">
      <c r="C5936" s="949"/>
      <c r="D5936" s="946"/>
      <c r="E5936" s="947"/>
      <c r="F5936" s="1054"/>
      <c r="G5936" s="946"/>
      <c r="H5936" s="1031"/>
      <c r="I5936" s="948"/>
    </row>
    <row r="5937" spans="3:9" ht="15.75">
      <c r="C5937" s="945" t="s">
        <v>923</v>
      </c>
      <c r="D5937" s="946"/>
      <c r="E5937" s="947"/>
      <c r="F5937" s="1054"/>
      <c r="G5937" s="946"/>
      <c r="H5937" s="1031"/>
      <c r="I5937" s="948"/>
    </row>
    <row r="5938" spans="3:9" ht="15.75">
      <c r="C5938" s="949" t="s">
        <v>924</v>
      </c>
      <c r="D5938" s="946"/>
      <c r="E5938" s="947" t="str">
        <f>+VLOOKUP(C5938,'Basic (equilibrio) (2)'!B:D,2,FALSE)</f>
        <v>n/a</v>
      </c>
      <c r="F5938" s="1054">
        <f>+VLOOKUP(C5938,'Basic (equilibrio) (2)'!B:D,3,FALSE)</f>
        <v>0</v>
      </c>
      <c r="G5938" s="946">
        <f>F5938-(F5938/1.18)</f>
        <v>0</v>
      </c>
      <c r="H5938" s="1039"/>
      <c r="I5938" s="955">
        <f>D5938*F5938</f>
        <v>0</v>
      </c>
    </row>
    <row r="5939" spans="3:9" ht="15.75">
      <c r="C5939" s="951" t="s">
        <v>918</v>
      </c>
      <c r="D5939" s="946"/>
      <c r="E5939" s="947"/>
      <c r="F5939" s="1054"/>
      <c r="G5939" s="946"/>
      <c r="H5939" s="1031"/>
      <c r="I5939" s="952">
        <f>SUM(I5938:I5938)</f>
        <v>0</v>
      </c>
    </row>
    <row r="5940" spans="3:9" ht="15.75">
      <c r="C5940" s="949"/>
      <c r="D5940" s="946"/>
      <c r="E5940" s="947"/>
      <c r="F5940" s="1054"/>
      <c r="G5940" s="946"/>
      <c r="H5940" s="1031"/>
      <c r="I5940" s="948"/>
    </row>
    <row r="5941" spans="3:9" ht="15.75">
      <c r="C5941" s="945" t="s">
        <v>925</v>
      </c>
      <c r="D5941" s="946"/>
      <c r="E5941" s="947"/>
      <c r="F5941" s="1054"/>
      <c r="G5941" s="946"/>
      <c r="H5941" s="1031"/>
      <c r="I5941" s="948"/>
    </row>
    <row r="5942" spans="3:9" ht="15.75">
      <c r="C5942" s="949" t="s">
        <v>924</v>
      </c>
      <c r="D5942" s="946"/>
      <c r="E5942" s="947" t="str">
        <f>+VLOOKUP(C5942,'Basic (equilibrio) (2)'!B:D,2,FALSE)</f>
        <v>n/a</v>
      </c>
      <c r="F5942" s="1054">
        <f>+VLOOKUP(C5942,'Basic (equilibrio) (2)'!B:D,3,FALSE)</f>
        <v>0</v>
      </c>
      <c r="G5942" s="946"/>
      <c r="H5942" s="1031"/>
      <c r="I5942" s="948">
        <f>D5942*F5942</f>
        <v>0</v>
      </c>
    </row>
    <row r="5943" spans="3:9" ht="15.75">
      <c r="C5943" s="951" t="s">
        <v>918</v>
      </c>
      <c r="D5943" s="946"/>
      <c r="E5943" s="947"/>
      <c r="F5943" s="1054"/>
      <c r="G5943" s="946"/>
      <c r="H5943" s="1031"/>
      <c r="I5943" s="952">
        <f>SUM(I5942)</f>
        <v>0</v>
      </c>
    </row>
    <row r="5944" spans="3:9" ht="15.75">
      <c r="C5944" s="951"/>
      <c r="D5944" s="946"/>
      <c r="E5944" s="947"/>
      <c r="F5944" s="1054"/>
      <c r="G5944" s="946"/>
      <c r="H5944" s="1031"/>
      <c r="I5944" s="952"/>
    </row>
    <row r="5945" spans="3:9" ht="15.75">
      <c r="C5945" s="956" t="s">
        <v>926</v>
      </c>
      <c r="D5945" s="957"/>
      <c r="E5945" s="958"/>
      <c r="F5945" s="1069"/>
      <c r="G5945" s="957"/>
      <c r="H5945" s="1032"/>
      <c r="I5945" s="959">
        <f>+I5928</f>
        <v>40855.42</v>
      </c>
    </row>
    <row r="5946" spans="3:9" ht="15.75">
      <c r="C5946" s="956" t="s">
        <v>927</v>
      </c>
      <c r="D5946" s="957"/>
      <c r="E5946" s="958"/>
      <c r="F5946" s="1069"/>
      <c r="G5946" s="957"/>
      <c r="H5946" s="1032"/>
      <c r="I5946" s="959">
        <f>+I5935</f>
        <v>1861.8</v>
      </c>
    </row>
    <row r="5947" spans="3:9" ht="15.75">
      <c r="C5947" s="956" t="s">
        <v>928</v>
      </c>
      <c r="D5947" s="957"/>
      <c r="E5947" s="958"/>
      <c r="F5947" s="1069"/>
      <c r="G5947" s="957"/>
      <c r="H5947" s="1032"/>
      <c r="I5947" s="959">
        <f>+I5939</f>
        <v>0</v>
      </c>
    </row>
    <row r="5948" spans="3:9" ht="15.75">
      <c r="C5948" s="956" t="s">
        <v>929</v>
      </c>
      <c r="D5948" s="957"/>
      <c r="E5948" s="958"/>
      <c r="F5948" s="1069"/>
      <c r="G5948" s="957"/>
      <c r="H5948" s="1032"/>
      <c r="I5948" s="959">
        <f>+I5943</f>
        <v>0</v>
      </c>
    </row>
    <row r="5949" spans="3:9" ht="15.75">
      <c r="C5949" s="949"/>
      <c r="D5949" s="946"/>
      <c r="E5949" s="947"/>
      <c r="F5949" s="1054"/>
      <c r="G5949" s="946"/>
      <c r="H5949" s="1031"/>
      <c r="I5949" s="948"/>
    </row>
    <row r="5950" spans="3:9" ht="15.75">
      <c r="C5950" s="949"/>
      <c r="D5950" s="946"/>
      <c r="E5950" s="947"/>
      <c r="F5950" s="1054"/>
      <c r="G5950" s="946"/>
      <c r="H5950" s="1031"/>
      <c r="I5950" s="948"/>
    </row>
    <row r="5951" spans="3:9" ht="15.75">
      <c r="C5951" s="951" t="s">
        <v>930</v>
      </c>
      <c r="D5951" s="960"/>
      <c r="E5951" s="943" t="str">
        <f>+E5919</f>
        <v>M3</v>
      </c>
      <c r="F5951" s="1070"/>
      <c r="G5951" s="960"/>
      <c r="H5951" s="1033"/>
      <c r="I5951" s="952">
        <f>SUM(I5945:I5948)</f>
        <v>42717.22</v>
      </c>
    </row>
    <row r="5952" spans="3:9" ht="15.75">
      <c r="C5952" s="951"/>
      <c r="D5952" s="960"/>
      <c r="E5952" s="943"/>
      <c r="F5952" s="1070"/>
      <c r="G5952" s="960"/>
      <c r="H5952" s="1033"/>
      <c r="I5952" s="952"/>
    </row>
    <row r="5953" spans="2:9" ht="15.75">
      <c r="C5953" s="951"/>
      <c r="D5953" s="960"/>
      <c r="E5953" s="943"/>
      <c r="F5953" s="1070"/>
      <c r="G5953" s="960"/>
      <c r="H5953" s="1033"/>
      <c r="I5953" s="952"/>
    </row>
    <row r="5954" spans="2:9" ht="15.75">
      <c r="B5954" s="1026">
        <v>3.5</v>
      </c>
      <c r="C5954" s="937" t="str">
        <f>+Presupuesto!B381</f>
        <v>Columnas circulares d=0.25m - 4.07 qq/m³</v>
      </c>
      <c r="D5954" s="938"/>
      <c r="E5954" s="962" t="s">
        <v>22</v>
      </c>
      <c r="F5954" s="1066"/>
      <c r="G5954" s="938"/>
      <c r="H5954" s="1029"/>
      <c r="I5954" s="940">
        <f>I5986</f>
        <v>45381.22</v>
      </c>
    </row>
    <row r="5955" spans="2:9" ht="15.75">
      <c r="C5955" s="941" t="s">
        <v>908</v>
      </c>
      <c r="D5955" s="942" t="s">
        <v>9</v>
      </c>
      <c r="E5955" s="943" t="s">
        <v>10</v>
      </c>
      <c r="F5955" s="1067" t="s">
        <v>909</v>
      </c>
      <c r="G5955" s="942" t="s">
        <v>910</v>
      </c>
      <c r="H5955" s="1030" t="s">
        <v>911</v>
      </c>
      <c r="I5955" s="944" t="s">
        <v>912</v>
      </c>
    </row>
    <row r="5956" spans="2:9" ht="15.75">
      <c r="C5956" s="945" t="s">
        <v>913</v>
      </c>
      <c r="D5956" s="946"/>
      <c r="E5956" s="947"/>
      <c r="F5956" s="1054"/>
      <c r="G5956" s="946"/>
      <c r="H5956" s="1031"/>
      <c r="I5956" s="948"/>
    </row>
    <row r="5957" spans="2:9" ht="15.75">
      <c r="C5957" s="949" t="s">
        <v>994</v>
      </c>
      <c r="D5957" s="946">
        <v>1.05</v>
      </c>
      <c r="E5957" s="947" t="str">
        <f>+VLOOKUP(C5957,'Basic (equilibrio) (2)'!B:D,2,FALSE)</f>
        <v>m3</v>
      </c>
      <c r="F5957" s="1068">
        <f>'Basic (equilibrio) (2)'!$D$179</f>
        <v>7600</v>
      </c>
      <c r="G5957" s="946">
        <f t="shared" ref="G5957:G5962" si="39">F5957-(F5957/1.18)</f>
        <v>1159.32</v>
      </c>
      <c r="H5957" s="1031"/>
      <c r="I5957" s="948">
        <f t="shared" ref="I5957:I5962" si="40">D5957*F5957</f>
        <v>7980</v>
      </c>
    </row>
    <row r="5958" spans="2:9" ht="15.75">
      <c r="C5958" s="949" t="s">
        <v>1188</v>
      </c>
      <c r="D5958" s="946">
        <v>4.87</v>
      </c>
      <c r="E5958" s="947" t="str">
        <f>+VLOOKUP(C5958,'Basic (equilibrio) (2)'!B:D,2,FALSE)</f>
        <v>qq</v>
      </c>
      <c r="F5958" s="1068">
        <f>'Basic (equilibrio) (2)'!$D$183</f>
        <v>3600</v>
      </c>
      <c r="G5958" s="946">
        <f t="shared" si="39"/>
        <v>549.15</v>
      </c>
      <c r="H5958" s="1031"/>
      <c r="I5958" s="948">
        <f t="shared" si="40"/>
        <v>17532</v>
      </c>
    </row>
    <row r="5959" spans="2:9" ht="15.75">
      <c r="C5959" s="949" t="s">
        <v>1212</v>
      </c>
      <c r="D5959" s="946">
        <v>5.7</v>
      </c>
      <c r="E5959" s="947" t="str">
        <f>+VLOOKUP(C5959,'Basic (equilibrio) (2)'!B:D,2,FALSE)</f>
        <v>lb</v>
      </c>
      <c r="F5959" s="1068">
        <f>'Basic (equilibrio) (2)'!$D$312</f>
        <v>26.5</v>
      </c>
      <c r="G5959" s="946">
        <f t="shared" si="39"/>
        <v>4.04</v>
      </c>
      <c r="H5959" s="1031"/>
      <c r="I5959" s="948">
        <f t="shared" si="40"/>
        <v>151.05000000000001</v>
      </c>
    </row>
    <row r="5960" spans="2:9" ht="15.75">
      <c r="C5960" s="949" t="s">
        <v>916</v>
      </c>
      <c r="D5960" s="946">
        <v>144</v>
      </c>
      <c r="E5960" s="947" t="str">
        <f>+VLOOKUP(C5960,'Basic (equilibrio) (2)'!B:D,2,FALSE)</f>
        <v>pt</v>
      </c>
      <c r="F5960" s="1068">
        <f>'Basic (equilibrio) (2)'!$D$194</f>
        <v>107.7</v>
      </c>
      <c r="G5960" s="946">
        <f t="shared" si="39"/>
        <v>16.43</v>
      </c>
      <c r="H5960" s="1031"/>
      <c r="I5960" s="948">
        <f t="shared" si="40"/>
        <v>15508.8</v>
      </c>
    </row>
    <row r="5961" spans="2:9" ht="15.75">
      <c r="C5961" s="949" t="s">
        <v>1194</v>
      </c>
      <c r="D5961" s="946">
        <v>23.09</v>
      </c>
      <c r="E5961" s="947" t="str">
        <f>+VLOOKUP(C5961,'Basic (equilibrio) (2)'!B:D,2,FALSE)</f>
        <v>lb</v>
      </c>
      <c r="F5961" s="1068">
        <f>'Basic (equilibrio) (2)'!$D$192</f>
        <v>78.2</v>
      </c>
      <c r="G5961" s="946">
        <f t="shared" si="39"/>
        <v>11.93</v>
      </c>
      <c r="H5961" s="1031"/>
      <c r="I5961" s="948">
        <f t="shared" si="40"/>
        <v>1805.64</v>
      </c>
    </row>
    <row r="5962" spans="2:9" ht="15.75">
      <c r="C5962" s="949" t="s">
        <v>1299</v>
      </c>
      <c r="D5962" s="946">
        <v>6.93</v>
      </c>
      <c r="E5962" s="947" t="str">
        <f>+VLOOKUP(C5962,'Basic (equilibrio) (2)'!B:D,2,FALSE)</f>
        <v>lb</v>
      </c>
      <c r="F5962" s="1068">
        <f>'Basic (equilibrio) (2)'!$D$335</f>
        <v>78.2</v>
      </c>
      <c r="G5962" s="946">
        <f t="shared" si="39"/>
        <v>11.93</v>
      </c>
      <c r="H5962" s="1031"/>
      <c r="I5962" s="948">
        <f t="shared" si="40"/>
        <v>541.92999999999995</v>
      </c>
    </row>
    <row r="5963" spans="2:9" ht="15.75">
      <c r="C5963" s="951" t="s">
        <v>918</v>
      </c>
      <c r="D5963" s="946"/>
      <c r="E5963" s="947"/>
      <c r="F5963" s="1068"/>
      <c r="G5963" s="946"/>
      <c r="H5963" s="1031"/>
      <c r="I5963" s="952">
        <f>SUM(I5957:I5962)</f>
        <v>43519.42</v>
      </c>
    </row>
    <row r="5964" spans="2:9" ht="15.75">
      <c r="C5964" s="949"/>
      <c r="D5964" s="946"/>
      <c r="E5964" s="947"/>
      <c r="F5964" s="1068"/>
      <c r="G5964" s="946"/>
      <c r="H5964" s="1031"/>
      <c r="I5964" s="948"/>
    </row>
    <row r="5965" spans="2:9" ht="15.75">
      <c r="C5965" s="945" t="s">
        <v>919</v>
      </c>
      <c r="D5965" s="946"/>
      <c r="E5965" s="947"/>
      <c r="F5965" s="1068"/>
      <c r="G5965" s="946"/>
      <c r="H5965" s="1031"/>
      <c r="I5965" s="948"/>
    </row>
    <row r="5966" spans="2:9" ht="15.75">
      <c r="C5966" s="949" t="s">
        <v>1131</v>
      </c>
      <c r="D5966" s="953">
        <v>2.2999999999999998</v>
      </c>
      <c r="E5966" s="954" t="str">
        <f>+VLOOKUP(C5966,'Basic (equilibrio) (2)'!B:D,2,FALSE)</f>
        <v>ml</v>
      </c>
      <c r="F5966" s="1068">
        <f>'Basic (equilibrio) (2)'!$D$48</f>
        <v>400</v>
      </c>
      <c r="G5966" s="946">
        <v>0</v>
      </c>
      <c r="H5966" s="1031"/>
      <c r="I5966" s="948">
        <f>(D5966*F5966)</f>
        <v>920</v>
      </c>
    </row>
    <row r="5967" spans="2:9" ht="31.5">
      <c r="C5967" s="949" t="s">
        <v>1132</v>
      </c>
      <c r="D5967" s="946">
        <v>2.2999999999999998</v>
      </c>
      <c r="E5967" s="947" t="str">
        <f>+VLOOKUP(C5967,'Basic (equilibrio) (2)'!B:D,2,FALSE)</f>
        <v>ml</v>
      </c>
      <c r="F5967" s="1068">
        <f>'Basic (equilibrio) (2)'!$D$49</f>
        <v>211</v>
      </c>
      <c r="G5967" s="946">
        <f>F5967-(F5967/1.18)</f>
        <v>32.19</v>
      </c>
      <c r="H5967" s="1031"/>
      <c r="I5967" s="948">
        <f>D5967*F5967</f>
        <v>485.3</v>
      </c>
    </row>
    <row r="5968" spans="2:9" ht="15.75">
      <c r="C5968" s="949" t="s">
        <v>1117</v>
      </c>
      <c r="D5968" s="946">
        <v>9.52</v>
      </c>
      <c r="E5968" s="947" t="str">
        <f>+VLOOKUP(C5968,'Basic (equilibrio) (2)'!B:D,2,FALSE)</f>
        <v>m2</v>
      </c>
      <c r="F5968" s="1068">
        <f>'Basic (equilibrio) (2)'!$D$41</f>
        <v>25</v>
      </c>
      <c r="G5968" s="946">
        <f>F5968-(F5968/1.18)</f>
        <v>3.81</v>
      </c>
      <c r="H5968" s="1031"/>
      <c r="I5968" s="948">
        <f>D5968*F5968</f>
        <v>238</v>
      </c>
    </row>
    <row r="5969" spans="3:9" ht="15.75">
      <c r="C5969" s="949" t="s">
        <v>1118</v>
      </c>
      <c r="D5969" s="946">
        <v>2.2999999999999998</v>
      </c>
      <c r="E5969" s="947" t="str">
        <f>+VLOOKUP(C5969,'Basic (equilibrio) (2)'!B:D,2,FALSE)</f>
        <v>m</v>
      </c>
      <c r="F5969" s="1068">
        <f>'Basic (equilibrio) (2)'!$D$42</f>
        <v>95</v>
      </c>
      <c r="G5969" s="946">
        <f>F5969-(F5969/1.18)</f>
        <v>14.49</v>
      </c>
      <c r="H5969" s="1031"/>
      <c r="I5969" s="948">
        <f>D5969*F5969</f>
        <v>218.5</v>
      </c>
    </row>
    <row r="5970" spans="3:9" ht="15.75">
      <c r="C5970" s="951" t="s">
        <v>918</v>
      </c>
      <c r="D5970" s="946"/>
      <c r="E5970" s="947"/>
      <c r="F5970" s="1054"/>
      <c r="G5970" s="946"/>
      <c r="H5970" s="1031"/>
      <c r="I5970" s="952">
        <f>SUM(I5966:I5969)</f>
        <v>1861.8</v>
      </c>
    </row>
    <row r="5971" spans="3:9" ht="15.75">
      <c r="C5971" s="949"/>
      <c r="D5971" s="946"/>
      <c r="E5971" s="947"/>
      <c r="F5971" s="1054"/>
      <c r="G5971" s="946"/>
      <c r="H5971" s="1031"/>
      <c r="I5971" s="948"/>
    </row>
    <row r="5972" spans="3:9" ht="15.75">
      <c r="C5972" s="945" t="s">
        <v>923</v>
      </c>
      <c r="D5972" s="946"/>
      <c r="E5972" s="947"/>
      <c r="F5972" s="1054"/>
      <c r="G5972" s="946"/>
      <c r="H5972" s="1031"/>
      <c r="I5972" s="948"/>
    </row>
    <row r="5973" spans="3:9" ht="15.75">
      <c r="C5973" s="949" t="s">
        <v>924</v>
      </c>
      <c r="D5973" s="946"/>
      <c r="E5973" s="947" t="str">
        <f>+VLOOKUP(C5973,'Basic (equilibrio) (2)'!B:D,2,FALSE)</f>
        <v>n/a</v>
      </c>
      <c r="F5973" s="1054">
        <f>+VLOOKUP(C5973,'Basic (equilibrio) (2)'!B:D,3,FALSE)</f>
        <v>0</v>
      </c>
      <c r="G5973" s="946">
        <f>F5973-(F5973/1.18)</f>
        <v>0</v>
      </c>
      <c r="H5973" s="1039"/>
      <c r="I5973" s="955">
        <f>D5973*F5973</f>
        <v>0</v>
      </c>
    </row>
    <row r="5974" spans="3:9" ht="15.75">
      <c r="C5974" s="951" t="s">
        <v>918</v>
      </c>
      <c r="D5974" s="946"/>
      <c r="E5974" s="947"/>
      <c r="F5974" s="1054"/>
      <c r="G5974" s="946"/>
      <c r="H5974" s="1031"/>
      <c r="I5974" s="952">
        <f>SUM(I5973:I5973)</f>
        <v>0</v>
      </c>
    </row>
    <row r="5975" spans="3:9" ht="15.75">
      <c r="C5975" s="949"/>
      <c r="D5975" s="946"/>
      <c r="E5975" s="947"/>
      <c r="F5975" s="1054"/>
      <c r="G5975" s="946"/>
      <c r="H5975" s="1031"/>
      <c r="I5975" s="948"/>
    </row>
    <row r="5976" spans="3:9" ht="15.75">
      <c r="C5976" s="945" t="s">
        <v>925</v>
      </c>
      <c r="D5976" s="946"/>
      <c r="E5976" s="947"/>
      <c r="F5976" s="1054"/>
      <c r="G5976" s="946"/>
      <c r="H5976" s="1031"/>
      <c r="I5976" s="948"/>
    </row>
    <row r="5977" spans="3:9" ht="15.75">
      <c r="C5977" s="949" t="s">
        <v>924</v>
      </c>
      <c r="D5977" s="946"/>
      <c r="E5977" s="947" t="str">
        <f>+VLOOKUP(C5977,'Basic (equilibrio) (2)'!B:D,2,FALSE)</f>
        <v>n/a</v>
      </c>
      <c r="F5977" s="1054">
        <f>+VLOOKUP(C5977,'Basic (equilibrio) (2)'!B:D,3,FALSE)</f>
        <v>0</v>
      </c>
      <c r="G5977" s="946"/>
      <c r="H5977" s="1031"/>
      <c r="I5977" s="948">
        <f>D5977*F5977</f>
        <v>0</v>
      </c>
    </row>
    <row r="5978" spans="3:9" ht="15.75">
      <c r="C5978" s="951" t="s">
        <v>918</v>
      </c>
      <c r="D5978" s="946"/>
      <c r="E5978" s="947"/>
      <c r="F5978" s="1054"/>
      <c r="G5978" s="946"/>
      <c r="H5978" s="1031"/>
      <c r="I5978" s="952">
        <f>SUM(I5977)</f>
        <v>0</v>
      </c>
    </row>
    <row r="5979" spans="3:9" ht="15.75">
      <c r="C5979" s="951"/>
      <c r="D5979" s="946"/>
      <c r="E5979" s="947"/>
      <c r="F5979" s="1054"/>
      <c r="G5979" s="946"/>
      <c r="H5979" s="1031"/>
      <c r="I5979" s="952"/>
    </row>
    <row r="5980" spans="3:9" ht="15.75">
      <c r="C5980" s="956" t="s">
        <v>926</v>
      </c>
      <c r="D5980" s="957"/>
      <c r="E5980" s="958"/>
      <c r="F5980" s="1069"/>
      <c r="G5980" s="957"/>
      <c r="H5980" s="1032"/>
      <c r="I5980" s="959">
        <f>+I5963</f>
        <v>43519.42</v>
      </c>
    </row>
    <row r="5981" spans="3:9" ht="15.75">
      <c r="C5981" s="956" t="s">
        <v>927</v>
      </c>
      <c r="D5981" s="957"/>
      <c r="E5981" s="958"/>
      <c r="F5981" s="1069"/>
      <c r="G5981" s="957"/>
      <c r="H5981" s="1032"/>
      <c r="I5981" s="959">
        <f>+I5970</f>
        <v>1861.8</v>
      </c>
    </row>
    <row r="5982" spans="3:9" ht="15.75">
      <c r="C5982" s="956" t="s">
        <v>928</v>
      </c>
      <c r="D5982" s="957"/>
      <c r="E5982" s="958"/>
      <c r="F5982" s="1069"/>
      <c r="G5982" s="957"/>
      <c r="H5982" s="1032"/>
      <c r="I5982" s="959">
        <f>+I5974</f>
        <v>0</v>
      </c>
    </row>
    <row r="5983" spans="3:9" ht="15.75">
      <c r="C5983" s="956" t="s">
        <v>929</v>
      </c>
      <c r="D5983" s="957"/>
      <c r="E5983" s="958"/>
      <c r="F5983" s="1069"/>
      <c r="G5983" s="957"/>
      <c r="H5983" s="1032"/>
      <c r="I5983" s="959">
        <f>+I5978</f>
        <v>0</v>
      </c>
    </row>
    <row r="5984" spans="3:9" ht="15.75">
      <c r="C5984" s="949"/>
      <c r="D5984" s="946"/>
      <c r="E5984" s="947"/>
      <c r="F5984" s="1054"/>
      <c r="G5984" s="946"/>
      <c r="H5984" s="1031"/>
      <c r="I5984" s="948"/>
    </row>
    <row r="5985" spans="2:9" ht="15.75">
      <c r="C5985" s="949"/>
      <c r="D5985" s="946"/>
      <c r="E5985" s="947"/>
      <c r="F5985" s="1054"/>
      <c r="G5985" s="946"/>
      <c r="H5985" s="1031"/>
      <c r="I5985" s="948"/>
    </row>
    <row r="5986" spans="2:9" ht="15.75">
      <c r="C5986" s="951" t="s">
        <v>930</v>
      </c>
      <c r="D5986" s="960"/>
      <c r="E5986" s="943" t="str">
        <f>+E5954</f>
        <v>M3</v>
      </c>
      <c r="F5986" s="1070"/>
      <c r="G5986" s="960"/>
      <c r="H5986" s="1033"/>
      <c r="I5986" s="952">
        <f>SUM(I5980:I5983)</f>
        <v>45381.22</v>
      </c>
    </row>
    <row r="5987" spans="2:9" ht="15.75">
      <c r="C5987" s="951"/>
      <c r="D5987" s="960"/>
      <c r="E5987" s="943"/>
      <c r="F5987" s="1070"/>
      <c r="G5987" s="960"/>
      <c r="H5987" s="1033"/>
      <c r="I5987" s="952"/>
    </row>
    <row r="5988" spans="2:9" ht="31.5">
      <c r="B5988" s="1026">
        <v>3.6</v>
      </c>
      <c r="C5988" s="937" t="str">
        <f>+Presupuesto!B382</f>
        <v>Vigas de Amarre 0.15m x 0.20m x 43.00 a nivel de piso - 4.87 qq/m³</v>
      </c>
      <c r="D5988" s="938"/>
      <c r="E5988" s="962" t="s">
        <v>22</v>
      </c>
      <c r="F5988" s="1066"/>
      <c r="G5988" s="938"/>
      <c r="H5988" s="1029"/>
      <c r="I5988" s="940">
        <f>I6015</f>
        <v>34504.559999999998</v>
      </c>
    </row>
    <row r="5989" spans="2:9" ht="15.75">
      <c r="C5989" s="941" t="s">
        <v>908</v>
      </c>
      <c r="D5989" s="942" t="s">
        <v>9</v>
      </c>
      <c r="E5989" s="943" t="s">
        <v>10</v>
      </c>
      <c r="F5989" s="1067" t="s">
        <v>909</v>
      </c>
      <c r="G5989" s="942" t="s">
        <v>910</v>
      </c>
      <c r="H5989" s="1030" t="s">
        <v>911</v>
      </c>
      <c r="I5989" s="944" t="s">
        <v>912</v>
      </c>
    </row>
    <row r="5990" spans="2:9" ht="15.75">
      <c r="C5990" s="945" t="s">
        <v>913</v>
      </c>
      <c r="D5990" s="946"/>
      <c r="E5990" s="947"/>
      <c r="F5990" s="1054"/>
      <c r="G5990" s="946"/>
      <c r="H5990" s="1031"/>
      <c r="I5990" s="948"/>
    </row>
    <row r="5991" spans="2:9" ht="15.75">
      <c r="C5991" s="949" t="s">
        <v>994</v>
      </c>
      <c r="D5991" s="946">
        <v>1.05</v>
      </c>
      <c r="E5991" s="947" t="str">
        <f>+VLOOKUP(C5991,'Basic (equilibrio) (2)'!B:D,2,FALSE)</f>
        <v>m3</v>
      </c>
      <c r="F5991" s="1068">
        <f>'Basic (equilibrio) (2)'!$D$179</f>
        <v>7600</v>
      </c>
      <c r="G5991" s="946">
        <f>F5991-(F5991/1.18)</f>
        <v>1159.32</v>
      </c>
      <c r="H5991" s="1031"/>
      <c r="I5991" s="948">
        <f>D5991*F5991</f>
        <v>7980</v>
      </c>
    </row>
    <row r="5992" spans="2:9" ht="15.75">
      <c r="C5992" s="949" t="s">
        <v>1188</v>
      </c>
      <c r="D5992" s="946">
        <v>4.87</v>
      </c>
      <c r="E5992" s="947" t="str">
        <f>+VLOOKUP(C5992,'Basic (equilibrio) (2)'!B:D,2,FALSE)</f>
        <v>qq</v>
      </c>
      <c r="F5992" s="1068">
        <f>'Basic (equilibrio) (2)'!$D$183</f>
        <v>3600</v>
      </c>
      <c r="G5992" s="946">
        <f>F5992-(F5992/1.18)</f>
        <v>549.15</v>
      </c>
      <c r="H5992" s="1031"/>
      <c r="I5992" s="948">
        <f>D5992*F5992</f>
        <v>17532</v>
      </c>
    </row>
    <row r="5993" spans="2:9" ht="15.75">
      <c r="C5993" s="949" t="s">
        <v>1328</v>
      </c>
      <c r="D5993" s="946">
        <v>5.56</v>
      </c>
      <c r="E5993" s="947" t="str">
        <f>+VLOOKUP(C5993,'Basic (equilibrio) (2)'!B:D,2,FALSE)</f>
        <v>lb</v>
      </c>
      <c r="F5993" s="1068">
        <f>'Basic (equilibrio) (2)'!$D$334</f>
        <v>31.1</v>
      </c>
      <c r="G5993" s="946">
        <f>F5993-(F5993/1.18)</f>
        <v>4.74</v>
      </c>
      <c r="H5993" s="1031"/>
      <c r="I5993" s="948">
        <f>D5993*F5993</f>
        <v>172.92</v>
      </c>
    </row>
    <row r="5994" spans="2:9" ht="15.75">
      <c r="C5994" s="949" t="s">
        <v>1072</v>
      </c>
      <c r="D5994" s="946">
        <v>25</v>
      </c>
      <c r="E5994" s="947" t="str">
        <f>+VLOOKUP(C5994,'Basic (equilibrio) (2)'!B:D,2,FALSE)</f>
        <v>ml</v>
      </c>
      <c r="F5994" s="1068">
        <f>'Basic (equilibrio) (2)'!$D$22</f>
        <v>351</v>
      </c>
      <c r="G5994" s="946">
        <f>F5994-(F5994/1.18)</f>
        <v>53.54</v>
      </c>
      <c r="H5994" s="1031"/>
      <c r="I5994" s="948">
        <f>D5994*F5994</f>
        <v>8775</v>
      </c>
    </row>
    <row r="5995" spans="2:9" ht="15.75">
      <c r="C5995" s="951" t="s">
        <v>918</v>
      </c>
      <c r="D5995" s="946"/>
      <c r="E5995" s="947"/>
      <c r="F5995" s="1068"/>
      <c r="G5995" s="946"/>
      <c r="H5995" s="1031"/>
      <c r="I5995" s="952">
        <f>SUM(I5991:I5994)</f>
        <v>34459.919999999998</v>
      </c>
    </row>
    <row r="5996" spans="2:9" ht="15.75">
      <c r="C5996" s="949"/>
      <c r="D5996" s="946"/>
      <c r="E5996" s="947"/>
      <c r="F5996" s="1068"/>
      <c r="G5996" s="946"/>
      <c r="H5996" s="1031"/>
      <c r="I5996" s="948"/>
    </row>
    <row r="5997" spans="2:9" ht="15.75">
      <c r="C5997" s="945" t="s">
        <v>919</v>
      </c>
      <c r="D5997" s="946"/>
      <c r="E5997" s="947"/>
      <c r="F5997" s="1068"/>
      <c r="G5997" s="946"/>
      <c r="H5997" s="1031"/>
      <c r="I5997" s="948"/>
    </row>
    <row r="5998" spans="2:9" ht="15.75">
      <c r="C5998" s="949" t="s">
        <v>1073</v>
      </c>
      <c r="D5998" s="953">
        <v>25</v>
      </c>
      <c r="E5998" s="954" t="str">
        <f>+VLOOKUP(C5998,'Basic (equilibrio) (2)'!B:D,2,FALSE)</f>
        <v>ml</v>
      </c>
      <c r="F5998" s="1068">
        <f>'Basic (equilibrio) (2)'!$D$25</f>
        <v>125</v>
      </c>
      <c r="G5998" s="946">
        <v>0</v>
      </c>
      <c r="H5998" s="1031">
        <v>70</v>
      </c>
      <c r="I5998" s="948">
        <f>(D5998*F5998)/H5998</f>
        <v>44.64</v>
      </c>
    </row>
    <row r="5999" spans="2:9" ht="15.75">
      <c r="C5999" s="951" t="s">
        <v>918</v>
      </c>
      <c r="D5999" s="946"/>
      <c r="E5999" s="947"/>
      <c r="F5999" s="1054"/>
      <c r="G5999" s="946"/>
      <c r="H5999" s="1031"/>
      <c r="I5999" s="952">
        <f>SUM(I5998:I5998)</f>
        <v>44.64</v>
      </c>
    </row>
    <row r="6000" spans="2:9" ht="15.75">
      <c r="C6000" s="949"/>
      <c r="D6000" s="946"/>
      <c r="E6000" s="947"/>
      <c r="F6000" s="1054"/>
      <c r="G6000" s="946"/>
      <c r="H6000" s="1031"/>
      <c r="I6000" s="948"/>
    </row>
    <row r="6001" spans="3:9" ht="15.75">
      <c r="C6001" s="945" t="s">
        <v>923</v>
      </c>
      <c r="D6001" s="946"/>
      <c r="E6001" s="947"/>
      <c r="F6001" s="1054"/>
      <c r="G6001" s="946"/>
      <c r="H6001" s="1031"/>
      <c r="I6001" s="948"/>
    </row>
    <row r="6002" spans="3:9" ht="15.75">
      <c r="C6002" s="949" t="s">
        <v>924</v>
      </c>
      <c r="D6002" s="946"/>
      <c r="E6002" s="947" t="str">
        <f>+VLOOKUP(C6002,'Basic (equilibrio) (2)'!B:D,2,FALSE)</f>
        <v>n/a</v>
      </c>
      <c r="F6002" s="1054">
        <f>+VLOOKUP(C6002,'Basic (equilibrio) (2)'!B:D,3,FALSE)</f>
        <v>0</v>
      </c>
      <c r="G6002" s="946">
        <f>F6002-(F6002/1.18)</f>
        <v>0</v>
      </c>
      <c r="H6002" s="1039"/>
      <c r="I6002" s="955">
        <f>D6002*F6002</f>
        <v>0</v>
      </c>
    </row>
    <row r="6003" spans="3:9" ht="15.75">
      <c r="C6003" s="951" t="s">
        <v>918</v>
      </c>
      <c r="D6003" s="946"/>
      <c r="E6003" s="947"/>
      <c r="F6003" s="1054"/>
      <c r="G6003" s="946"/>
      <c r="H6003" s="1031"/>
      <c r="I6003" s="952">
        <f>SUM(I6002:I6002)</f>
        <v>0</v>
      </c>
    </row>
    <row r="6004" spans="3:9" ht="15.75">
      <c r="C6004" s="949"/>
      <c r="D6004" s="946"/>
      <c r="E6004" s="947"/>
      <c r="F6004" s="1054"/>
      <c r="G6004" s="946"/>
      <c r="H6004" s="1031"/>
      <c r="I6004" s="948"/>
    </row>
    <row r="6005" spans="3:9" ht="15.75">
      <c r="C6005" s="945" t="s">
        <v>925</v>
      </c>
      <c r="D6005" s="946"/>
      <c r="E6005" s="947"/>
      <c r="F6005" s="1054"/>
      <c r="G6005" s="946"/>
      <c r="H6005" s="1031"/>
      <c r="I6005" s="948"/>
    </row>
    <row r="6006" spans="3:9" ht="15.75">
      <c r="C6006" s="949" t="s">
        <v>924</v>
      </c>
      <c r="D6006" s="946"/>
      <c r="E6006" s="947" t="str">
        <f>+VLOOKUP(C6006,'Basic (equilibrio) (2)'!B:D,2,FALSE)</f>
        <v>n/a</v>
      </c>
      <c r="F6006" s="1054">
        <f>+VLOOKUP(C6006,'Basic (equilibrio) (2)'!B:D,3,FALSE)</f>
        <v>0</v>
      </c>
      <c r="G6006" s="946"/>
      <c r="H6006" s="1031"/>
      <c r="I6006" s="948">
        <f>D6006*F6006</f>
        <v>0</v>
      </c>
    </row>
    <row r="6007" spans="3:9" ht="15.75">
      <c r="C6007" s="951" t="s">
        <v>918</v>
      </c>
      <c r="D6007" s="946"/>
      <c r="E6007" s="947"/>
      <c r="F6007" s="1054"/>
      <c r="G6007" s="946"/>
      <c r="H6007" s="1031"/>
      <c r="I6007" s="952">
        <f>SUM(I6006)</f>
        <v>0</v>
      </c>
    </row>
    <row r="6008" spans="3:9" ht="15.75">
      <c r="C6008" s="951"/>
      <c r="D6008" s="946"/>
      <c r="E6008" s="947"/>
      <c r="F6008" s="1054"/>
      <c r="G6008" s="946"/>
      <c r="H6008" s="1031"/>
      <c r="I6008" s="952"/>
    </row>
    <row r="6009" spans="3:9" ht="15.75">
      <c r="C6009" s="956" t="s">
        <v>926</v>
      </c>
      <c r="D6009" s="957"/>
      <c r="E6009" s="958"/>
      <c r="F6009" s="1069"/>
      <c r="G6009" s="957"/>
      <c r="H6009" s="1032"/>
      <c r="I6009" s="959">
        <f>+I5995</f>
        <v>34459.919999999998</v>
      </c>
    </row>
    <row r="6010" spans="3:9" ht="15.75">
      <c r="C6010" s="956" t="s">
        <v>927</v>
      </c>
      <c r="D6010" s="957"/>
      <c r="E6010" s="958"/>
      <c r="F6010" s="1069"/>
      <c r="G6010" s="957"/>
      <c r="H6010" s="1032"/>
      <c r="I6010" s="959">
        <f>+I5999</f>
        <v>44.64</v>
      </c>
    </row>
    <row r="6011" spans="3:9" ht="15.75">
      <c r="C6011" s="956" t="s">
        <v>928</v>
      </c>
      <c r="D6011" s="957"/>
      <c r="E6011" s="958"/>
      <c r="F6011" s="1069"/>
      <c r="G6011" s="957"/>
      <c r="H6011" s="1032"/>
      <c r="I6011" s="959">
        <f>+I6003</f>
        <v>0</v>
      </c>
    </row>
    <row r="6012" spans="3:9" ht="15.75">
      <c r="C6012" s="956" t="s">
        <v>929</v>
      </c>
      <c r="D6012" s="957"/>
      <c r="E6012" s="958"/>
      <c r="F6012" s="1069"/>
      <c r="G6012" s="957"/>
      <c r="H6012" s="1032"/>
      <c r="I6012" s="959">
        <f>+I6007</f>
        <v>0</v>
      </c>
    </row>
    <row r="6013" spans="3:9" ht="15.75">
      <c r="C6013" s="949"/>
      <c r="D6013" s="946"/>
      <c r="E6013" s="947"/>
      <c r="F6013" s="1054"/>
      <c r="G6013" s="946"/>
      <c r="H6013" s="1031"/>
      <c r="I6013" s="948"/>
    </row>
    <row r="6014" spans="3:9" ht="15.75">
      <c r="C6014" s="949"/>
      <c r="D6014" s="946"/>
      <c r="E6014" s="947"/>
      <c r="F6014" s="1054"/>
      <c r="G6014" s="946"/>
      <c r="H6014" s="1031"/>
      <c r="I6014" s="948"/>
    </row>
    <row r="6015" spans="3:9" ht="15.75">
      <c r="C6015" s="951" t="s">
        <v>930</v>
      </c>
      <c r="D6015" s="960"/>
      <c r="E6015" s="943" t="str">
        <f>+E5988</f>
        <v>M3</v>
      </c>
      <c r="F6015" s="1070"/>
      <c r="G6015" s="960"/>
      <c r="H6015" s="1033"/>
      <c r="I6015" s="952">
        <f>SUM(I6009:I6012)</f>
        <v>34504.559999999998</v>
      </c>
    </row>
    <row r="6016" spans="3:9" ht="15.75">
      <c r="C6016" s="951"/>
      <c r="D6016" s="960"/>
      <c r="E6016" s="943"/>
      <c r="F6016" s="1070"/>
      <c r="G6016" s="960"/>
      <c r="H6016" s="1033"/>
      <c r="I6016" s="952"/>
    </row>
    <row r="6017" spans="2:9" ht="31.5">
      <c r="B6017" s="1026">
        <v>3.7</v>
      </c>
      <c r="C6017" s="937" t="str">
        <f>+Presupuesto!B383</f>
        <v>Vigas de Amarre 0.15m x 0.20m a nivel de techo - 4.87 qq/m³</v>
      </c>
      <c r="D6017" s="938"/>
      <c r="E6017" s="962" t="s">
        <v>22</v>
      </c>
      <c r="F6017" s="1066"/>
      <c r="G6017" s="938"/>
      <c r="H6017" s="1029"/>
      <c r="I6017" s="940">
        <f>I6044</f>
        <v>34504.559999999998</v>
      </c>
    </row>
    <row r="6018" spans="2:9" ht="15.75">
      <c r="C6018" s="941" t="s">
        <v>908</v>
      </c>
      <c r="D6018" s="942" t="s">
        <v>9</v>
      </c>
      <c r="E6018" s="943" t="s">
        <v>10</v>
      </c>
      <c r="F6018" s="1067" t="s">
        <v>909</v>
      </c>
      <c r="G6018" s="942" t="s">
        <v>910</v>
      </c>
      <c r="H6018" s="1030" t="s">
        <v>911</v>
      </c>
      <c r="I6018" s="944" t="s">
        <v>912</v>
      </c>
    </row>
    <row r="6019" spans="2:9" ht="15.75">
      <c r="C6019" s="945" t="s">
        <v>913</v>
      </c>
      <c r="D6019" s="946"/>
      <c r="E6019" s="947"/>
      <c r="F6019" s="1054"/>
      <c r="G6019" s="946"/>
      <c r="H6019" s="1031"/>
      <c r="I6019" s="948"/>
    </row>
    <row r="6020" spans="2:9" ht="15.75">
      <c r="C6020" s="949" t="s">
        <v>994</v>
      </c>
      <c r="D6020" s="946">
        <v>1.05</v>
      </c>
      <c r="E6020" s="947" t="str">
        <f>+VLOOKUP(C6020,'Basic (equilibrio) (2)'!B:D,2,FALSE)</f>
        <v>m3</v>
      </c>
      <c r="F6020" s="1068">
        <f>'Basic (equilibrio) (2)'!$D$179</f>
        <v>7600</v>
      </c>
      <c r="G6020" s="946">
        <f>F6020-(F6020/1.18)</f>
        <v>1159.32</v>
      </c>
      <c r="H6020" s="1031"/>
      <c r="I6020" s="948">
        <f>D6020*F6020</f>
        <v>7980</v>
      </c>
    </row>
    <row r="6021" spans="2:9" ht="15.75">
      <c r="C6021" s="949" t="s">
        <v>1188</v>
      </c>
      <c r="D6021" s="946">
        <v>4.87</v>
      </c>
      <c r="E6021" s="947" t="str">
        <f>+VLOOKUP(C6021,'Basic (equilibrio) (2)'!B:D,2,FALSE)</f>
        <v>qq</v>
      </c>
      <c r="F6021" s="1068">
        <f>'Basic (equilibrio) (2)'!$D$183</f>
        <v>3600</v>
      </c>
      <c r="G6021" s="946">
        <f>F6021-(F6021/1.18)</f>
        <v>549.15</v>
      </c>
      <c r="H6021" s="1031"/>
      <c r="I6021" s="948">
        <f>D6021*F6021</f>
        <v>17532</v>
      </c>
    </row>
    <row r="6022" spans="2:9" ht="15.75">
      <c r="C6022" s="949" t="s">
        <v>1328</v>
      </c>
      <c r="D6022" s="946">
        <v>5.56</v>
      </c>
      <c r="E6022" s="947" t="str">
        <f>+VLOOKUP(C6022,'Basic (equilibrio) (2)'!B:D,2,FALSE)</f>
        <v>lb</v>
      </c>
      <c r="F6022" s="1068">
        <f>'Basic (equilibrio) (2)'!$D$334</f>
        <v>31.1</v>
      </c>
      <c r="G6022" s="946">
        <f>F6022-(F6022/1.18)</f>
        <v>4.74</v>
      </c>
      <c r="H6022" s="1031"/>
      <c r="I6022" s="948">
        <f>D6022*F6022</f>
        <v>172.92</v>
      </c>
    </row>
    <row r="6023" spans="2:9" ht="15.75">
      <c r="C6023" s="949" t="s">
        <v>1072</v>
      </c>
      <c r="D6023" s="946">
        <v>25</v>
      </c>
      <c r="E6023" s="947" t="str">
        <f>+VLOOKUP(C6023,'Basic (equilibrio) (2)'!B:D,2,FALSE)</f>
        <v>ml</v>
      </c>
      <c r="F6023" s="1068">
        <f>'Basic (equilibrio) (2)'!$D$22</f>
        <v>351</v>
      </c>
      <c r="G6023" s="946">
        <f>F6023-(F6023/1.18)</f>
        <v>53.54</v>
      </c>
      <c r="H6023" s="1031"/>
      <c r="I6023" s="948">
        <f>D6023*F6023</f>
        <v>8775</v>
      </c>
    </row>
    <row r="6024" spans="2:9" ht="15.75">
      <c r="C6024" s="951" t="s">
        <v>918</v>
      </c>
      <c r="D6024" s="946"/>
      <c r="E6024" s="947"/>
      <c r="F6024" s="1068"/>
      <c r="G6024" s="946"/>
      <c r="H6024" s="1031"/>
      <c r="I6024" s="952">
        <f>SUM(I6020:I6023)</f>
        <v>34459.919999999998</v>
      </c>
    </row>
    <row r="6025" spans="2:9" ht="15.75">
      <c r="C6025" s="949"/>
      <c r="D6025" s="946"/>
      <c r="E6025" s="947"/>
      <c r="F6025" s="1068"/>
      <c r="G6025" s="946"/>
      <c r="H6025" s="1031"/>
      <c r="I6025" s="948"/>
    </row>
    <row r="6026" spans="2:9" ht="15.75">
      <c r="C6026" s="945" t="s">
        <v>919</v>
      </c>
      <c r="D6026" s="946"/>
      <c r="E6026" s="947"/>
      <c r="F6026" s="1068"/>
      <c r="G6026" s="946"/>
      <c r="H6026" s="1031"/>
      <c r="I6026" s="948"/>
    </row>
    <row r="6027" spans="2:9" ht="15.75">
      <c r="C6027" s="949" t="s">
        <v>1073</v>
      </c>
      <c r="D6027" s="953">
        <v>25</v>
      </c>
      <c r="E6027" s="954" t="str">
        <f>+VLOOKUP(C6027,'Basic (equilibrio) (2)'!B:D,2,FALSE)</f>
        <v>ml</v>
      </c>
      <c r="F6027" s="1068">
        <f>'Basic (equilibrio) (2)'!$D$25</f>
        <v>125</v>
      </c>
      <c r="G6027" s="946">
        <v>0</v>
      </c>
      <c r="H6027" s="1031">
        <v>70</v>
      </c>
      <c r="I6027" s="948">
        <f>(D6027*F6027)/H6027</f>
        <v>44.64</v>
      </c>
    </row>
    <row r="6028" spans="2:9" ht="15.75">
      <c r="C6028" s="951" t="s">
        <v>918</v>
      </c>
      <c r="D6028" s="946"/>
      <c r="E6028" s="947"/>
      <c r="F6028" s="1054"/>
      <c r="G6028" s="946"/>
      <c r="H6028" s="1031"/>
      <c r="I6028" s="952">
        <f>SUM(I6027:I6027)</f>
        <v>44.64</v>
      </c>
    </row>
    <row r="6029" spans="2:9" ht="15.75">
      <c r="C6029" s="949"/>
      <c r="D6029" s="946"/>
      <c r="E6029" s="947"/>
      <c r="F6029" s="1054"/>
      <c r="G6029" s="946"/>
      <c r="H6029" s="1031"/>
      <c r="I6029" s="948"/>
    </row>
    <row r="6030" spans="2:9" ht="15.75">
      <c r="C6030" s="945" t="s">
        <v>923</v>
      </c>
      <c r="D6030" s="946"/>
      <c r="E6030" s="947"/>
      <c r="F6030" s="1054"/>
      <c r="G6030" s="946"/>
      <c r="H6030" s="1031"/>
      <c r="I6030" s="948"/>
    </row>
    <row r="6031" spans="2:9" ht="15.75">
      <c r="C6031" s="949" t="s">
        <v>924</v>
      </c>
      <c r="D6031" s="946"/>
      <c r="E6031" s="947" t="str">
        <f>+VLOOKUP(C6031,'Basic (equilibrio) (2)'!B:D,2,FALSE)</f>
        <v>n/a</v>
      </c>
      <c r="F6031" s="1054">
        <f>+VLOOKUP(C6031,'Basic (equilibrio) (2)'!B:D,3,FALSE)</f>
        <v>0</v>
      </c>
      <c r="G6031" s="946">
        <f>F6031-(F6031/1.18)</f>
        <v>0</v>
      </c>
      <c r="H6031" s="1039"/>
      <c r="I6031" s="955">
        <f>D6031*F6031</f>
        <v>0</v>
      </c>
    </row>
    <row r="6032" spans="2:9" ht="15.75">
      <c r="C6032" s="951" t="s">
        <v>918</v>
      </c>
      <c r="D6032" s="946"/>
      <c r="E6032" s="947"/>
      <c r="F6032" s="1054"/>
      <c r="G6032" s="946"/>
      <c r="H6032" s="1031"/>
      <c r="I6032" s="952">
        <f>SUM(I6031:I6031)</f>
        <v>0</v>
      </c>
    </row>
    <row r="6033" spans="2:9" ht="15.75">
      <c r="C6033" s="949"/>
      <c r="D6033" s="946"/>
      <c r="E6033" s="947"/>
      <c r="F6033" s="1054"/>
      <c r="G6033" s="946"/>
      <c r="H6033" s="1031"/>
      <c r="I6033" s="948"/>
    </row>
    <row r="6034" spans="2:9" ht="15.75">
      <c r="C6034" s="945" t="s">
        <v>925</v>
      </c>
      <c r="D6034" s="946"/>
      <c r="E6034" s="947"/>
      <c r="F6034" s="1054"/>
      <c r="G6034" s="946"/>
      <c r="H6034" s="1031"/>
      <c r="I6034" s="948"/>
    </row>
    <row r="6035" spans="2:9" ht="15.75">
      <c r="C6035" s="949" t="s">
        <v>924</v>
      </c>
      <c r="D6035" s="946"/>
      <c r="E6035" s="947" t="str">
        <f>+VLOOKUP(C6035,'Basic (equilibrio) (2)'!B:D,2,FALSE)</f>
        <v>n/a</v>
      </c>
      <c r="F6035" s="1054">
        <f>+VLOOKUP(C6035,'Basic (equilibrio) (2)'!B:D,3,FALSE)</f>
        <v>0</v>
      </c>
      <c r="G6035" s="946"/>
      <c r="H6035" s="1031"/>
      <c r="I6035" s="948">
        <f>D6035*F6035</f>
        <v>0</v>
      </c>
    </row>
    <row r="6036" spans="2:9" ht="15.75">
      <c r="C6036" s="951" t="s">
        <v>918</v>
      </c>
      <c r="D6036" s="946"/>
      <c r="E6036" s="947"/>
      <c r="F6036" s="1054"/>
      <c r="G6036" s="946"/>
      <c r="H6036" s="1031"/>
      <c r="I6036" s="952">
        <f>SUM(I6035)</f>
        <v>0</v>
      </c>
    </row>
    <row r="6037" spans="2:9" ht="15.75">
      <c r="C6037" s="951"/>
      <c r="D6037" s="946"/>
      <c r="E6037" s="947"/>
      <c r="F6037" s="1054"/>
      <c r="G6037" s="946"/>
      <c r="H6037" s="1031"/>
      <c r="I6037" s="952"/>
    </row>
    <row r="6038" spans="2:9" ht="15.75">
      <c r="C6038" s="956" t="s">
        <v>926</v>
      </c>
      <c r="D6038" s="957"/>
      <c r="E6038" s="958"/>
      <c r="F6038" s="1069"/>
      <c r="G6038" s="957"/>
      <c r="H6038" s="1032"/>
      <c r="I6038" s="959">
        <f>+I6024</f>
        <v>34459.919999999998</v>
      </c>
    </row>
    <row r="6039" spans="2:9" ht="15.75">
      <c r="C6039" s="956" t="s">
        <v>927</v>
      </c>
      <c r="D6039" s="957"/>
      <c r="E6039" s="958"/>
      <c r="F6039" s="1069"/>
      <c r="G6039" s="957"/>
      <c r="H6039" s="1032"/>
      <c r="I6039" s="959">
        <f>+I6028</f>
        <v>44.64</v>
      </c>
    </row>
    <row r="6040" spans="2:9" ht="15.75">
      <c r="C6040" s="956" t="s">
        <v>928</v>
      </c>
      <c r="D6040" s="957"/>
      <c r="E6040" s="958"/>
      <c r="F6040" s="1069"/>
      <c r="G6040" s="957"/>
      <c r="H6040" s="1032"/>
      <c r="I6040" s="959">
        <f>+I6032</f>
        <v>0</v>
      </c>
    </row>
    <row r="6041" spans="2:9" ht="15.75">
      <c r="C6041" s="956" t="s">
        <v>929</v>
      </c>
      <c r="D6041" s="957"/>
      <c r="E6041" s="958"/>
      <c r="F6041" s="1069"/>
      <c r="G6041" s="957"/>
      <c r="H6041" s="1032"/>
      <c r="I6041" s="959">
        <f>+I6036</f>
        <v>0</v>
      </c>
    </row>
    <row r="6042" spans="2:9" ht="15.75">
      <c r="C6042" s="949"/>
      <c r="D6042" s="946"/>
      <c r="E6042" s="947"/>
      <c r="F6042" s="1054"/>
      <c r="G6042" s="946"/>
      <c r="H6042" s="1031"/>
      <c r="I6042" s="948"/>
    </row>
    <row r="6043" spans="2:9" ht="15.75">
      <c r="C6043" s="949"/>
      <c r="D6043" s="946"/>
      <c r="E6043" s="947"/>
      <c r="F6043" s="1054"/>
      <c r="G6043" s="946"/>
      <c r="H6043" s="1031"/>
      <c r="I6043" s="948"/>
    </row>
    <row r="6044" spans="2:9" ht="15.75">
      <c r="C6044" s="951" t="s">
        <v>930</v>
      </c>
      <c r="D6044" s="960"/>
      <c r="E6044" s="943" t="str">
        <f>+E6017</f>
        <v>M3</v>
      </c>
      <c r="F6044" s="1070"/>
      <c r="G6044" s="960"/>
      <c r="H6044" s="1033"/>
      <c r="I6044" s="952">
        <f>SUM(I6038:I6041)</f>
        <v>34504.559999999998</v>
      </c>
    </row>
    <row r="6045" spans="2:9" ht="15.75">
      <c r="C6045" s="951"/>
      <c r="D6045" s="960"/>
      <c r="E6045" s="943"/>
      <c r="F6045" s="1070"/>
      <c r="G6045" s="960"/>
      <c r="H6045" s="1033"/>
      <c r="I6045" s="952"/>
    </row>
    <row r="6046" spans="2:9" ht="15.75">
      <c r="B6046" s="1026">
        <v>3.8</v>
      </c>
      <c r="C6046" s="937" t="str">
        <f>+Presupuesto!B384</f>
        <v>Viga en de carga 0.20m x 0.30m - 4.17 qq/m³</v>
      </c>
      <c r="D6046" s="938"/>
      <c r="E6046" s="962" t="s">
        <v>22</v>
      </c>
      <c r="F6046" s="1066"/>
      <c r="G6046" s="938"/>
      <c r="H6046" s="1029"/>
      <c r="I6046" s="940">
        <f>I6073</f>
        <v>31984.560000000001</v>
      </c>
    </row>
    <row r="6047" spans="2:9" ht="15.75">
      <c r="C6047" s="941" t="s">
        <v>908</v>
      </c>
      <c r="D6047" s="942" t="s">
        <v>9</v>
      </c>
      <c r="E6047" s="943" t="s">
        <v>10</v>
      </c>
      <c r="F6047" s="1067" t="s">
        <v>909</v>
      </c>
      <c r="G6047" s="942" t="s">
        <v>910</v>
      </c>
      <c r="H6047" s="1030" t="s">
        <v>911</v>
      </c>
      <c r="I6047" s="944" t="s">
        <v>912</v>
      </c>
    </row>
    <row r="6048" spans="2:9" ht="15.75">
      <c r="C6048" s="945" t="s">
        <v>913</v>
      </c>
      <c r="D6048" s="946"/>
      <c r="E6048" s="947"/>
      <c r="F6048" s="1054"/>
      <c r="G6048" s="946"/>
      <c r="H6048" s="1031"/>
      <c r="I6048" s="948"/>
    </row>
    <row r="6049" spans="3:9" ht="15.75">
      <c r="C6049" s="949" t="s">
        <v>994</v>
      </c>
      <c r="D6049" s="946">
        <v>1.05</v>
      </c>
      <c r="E6049" s="947" t="str">
        <f>+VLOOKUP(C6049,'Basic (equilibrio) (2)'!B:D,2,FALSE)</f>
        <v>m3</v>
      </c>
      <c r="F6049" s="1068">
        <f>'Basic (equilibrio) (2)'!$D$179</f>
        <v>7600</v>
      </c>
      <c r="G6049" s="946">
        <f>F6049-(F6049/1.18)</f>
        <v>1159.32</v>
      </c>
      <c r="H6049" s="1031"/>
      <c r="I6049" s="948">
        <f>D6049*F6049</f>
        <v>7980</v>
      </c>
    </row>
    <row r="6050" spans="3:9" ht="15.75">
      <c r="C6050" s="949" t="s">
        <v>1188</v>
      </c>
      <c r="D6050" s="946">
        <v>4.17</v>
      </c>
      <c r="E6050" s="947" t="str">
        <f>+VLOOKUP(C6050,'Basic (equilibrio) (2)'!B:D,2,FALSE)</f>
        <v>qq</v>
      </c>
      <c r="F6050" s="1068">
        <f>'Basic (equilibrio) (2)'!$D$183</f>
        <v>3600</v>
      </c>
      <c r="G6050" s="946">
        <f>F6050-(F6050/1.18)</f>
        <v>549.15</v>
      </c>
      <c r="H6050" s="1031"/>
      <c r="I6050" s="948">
        <f>D6050*F6050</f>
        <v>15012</v>
      </c>
    </row>
    <row r="6051" spans="3:9" ht="15.75">
      <c r="C6051" s="949" t="s">
        <v>1328</v>
      </c>
      <c r="D6051" s="946">
        <v>5.56</v>
      </c>
      <c r="E6051" s="947" t="str">
        <f>+VLOOKUP(C6051,'Basic (equilibrio) (2)'!B:D,2,FALSE)</f>
        <v>lb</v>
      </c>
      <c r="F6051" s="1068">
        <f>'Basic (equilibrio) (2)'!$D$334</f>
        <v>31.1</v>
      </c>
      <c r="G6051" s="946">
        <f>F6051-(F6051/1.18)</f>
        <v>4.74</v>
      </c>
      <c r="H6051" s="1031"/>
      <c r="I6051" s="948">
        <f>D6051*F6051</f>
        <v>172.92</v>
      </c>
    </row>
    <row r="6052" spans="3:9" ht="15.75">
      <c r="C6052" s="949" t="s">
        <v>1072</v>
      </c>
      <c r="D6052" s="946">
        <v>25</v>
      </c>
      <c r="E6052" s="947" t="str">
        <f>+VLOOKUP(C6052,'Basic (equilibrio) (2)'!B:D,2,FALSE)</f>
        <v>ml</v>
      </c>
      <c r="F6052" s="1068">
        <f>'Basic (equilibrio) (2)'!$D$22</f>
        <v>351</v>
      </c>
      <c r="G6052" s="946">
        <f>F6052-(F6052/1.18)</f>
        <v>53.54</v>
      </c>
      <c r="H6052" s="1031"/>
      <c r="I6052" s="948">
        <f>D6052*F6052</f>
        <v>8775</v>
      </c>
    </row>
    <row r="6053" spans="3:9" ht="15.75">
      <c r="C6053" s="951" t="s">
        <v>918</v>
      </c>
      <c r="D6053" s="946"/>
      <c r="E6053" s="947"/>
      <c r="F6053" s="1068"/>
      <c r="G6053" s="946"/>
      <c r="H6053" s="1031"/>
      <c r="I6053" s="952">
        <f>SUM(I6049:I6052)</f>
        <v>31939.919999999998</v>
      </c>
    </row>
    <row r="6054" spans="3:9" ht="15.75">
      <c r="C6054" s="949"/>
      <c r="D6054" s="946"/>
      <c r="E6054" s="947"/>
      <c r="F6054" s="1068"/>
      <c r="G6054" s="946"/>
      <c r="H6054" s="1031"/>
      <c r="I6054" s="948"/>
    </row>
    <row r="6055" spans="3:9" ht="15.75">
      <c r="C6055" s="945" t="s">
        <v>919</v>
      </c>
      <c r="D6055" s="946"/>
      <c r="E6055" s="947"/>
      <c r="F6055" s="1068"/>
      <c r="G6055" s="946"/>
      <c r="H6055" s="1031"/>
      <c r="I6055" s="948"/>
    </row>
    <row r="6056" spans="3:9" ht="15.75">
      <c r="C6056" s="949" t="s">
        <v>1073</v>
      </c>
      <c r="D6056" s="953">
        <v>25</v>
      </c>
      <c r="E6056" s="954" t="str">
        <f>+VLOOKUP(C6056,'Basic (equilibrio) (2)'!B:D,2,FALSE)</f>
        <v>ml</v>
      </c>
      <c r="F6056" s="1068">
        <f>'Basic (equilibrio) (2)'!$D$25</f>
        <v>125</v>
      </c>
      <c r="G6056" s="946">
        <v>0</v>
      </c>
      <c r="H6056" s="1031">
        <v>70</v>
      </c>
      <c r="I6056" s="948">
        <f>(D6056*F6056)/H6056</f>
        <v>44.64</v>
      </c>
    </row>
    <row r="6057" spans="3:9" ht="15.75">
      <c r="C6057" s="951" t="s">
        <v>918</v>
      </c>
      <c r="D6057" s="946"/>
      <c r="E6057" s="947"/>
      <c r="F6057" s="1054"/>
      <c r="G6057" s="946"/>
      <c r="H6057" s="1031"/>
      <c r="I6057" s="952">
        <f>SUM(I6056:I6056)</f>
        <v>44.64</v>
      </c>
    </row>
    <row r="6058" spans="3:9" ht="15.75">
      <c r="C6058" s="949"/>
      <c r="D6058" s="946"/>
      <c r="E6058" s="947"/>
      <c r="F6058" s="1054"/>
      <c r="G6058" s="946"/>
      <c r="H6058" s="1031"/>
      <c r="I6058" s="948"/>
    </row>
    <row r="6059" spans="3:9" ht="15.75">
      <c r="C6059" s="945" t="s">
        <v>923</v>
      </c>
      <c r="D6059" s="946"/>
      <c r="E6059" s="947"/>
      <c r="F6059" s="1054"/>
      <c r="G6059" s="946"/>
      <c r="H6059" s="1031"/>
      <c r="I6059" s="948"/>
    </row>
    <row r="6060" spans="3:9" ht="15.75">
      <c r="C6060" s="949" t="s">
        <v>924</v>
      </c>
      <c r="D6060" s="946"/>
      <c r="E6060" s="947" t="str">
        <f>+VLOOKUP(C6060,'Basic (equilibrio) (2)'!B:D,2,FALSE)</f>
        <v>n/a</v>
      </c>
      <c r="F6060" s="1054">
        <f>+VLOOKUP(C6060,'Basic (equilibrio) (2)'!B:D,3,FALSE)</f>
        <v>0</v>
      </c>
      <c r="G6060" s="946">
        <f>F6060-(F6060/1.18)</f>
        <v>0</v>
      </c>
      <c r="H6060" s="1039"/>
      <c r="I6060" s="955">
        <f>D6060*F6060</f>
        <v>0</v>
      </c>
    </row>
    <row r="6061" spans="3:9" ht="15.75">
      <c r="C6061" s="951" t="s">
        <v>918</v>
      </c>
      <c r="D6061" s="946"/>
      <c r="E6061" s="947"/>
      <c r="F6061" s="1054"/>
      <c r="G6061" s="946"/>
      <c r="H6061" s="1031"/>
      <c r="I6061" s="952">
        <f>SUM(I6060:I6060)</f>
        <v>0</v>
      </c>
    </row>
    <row r="6062" spans="3:9" ht="15.75">
      <c r="C6062" s="949"/>
      <c r="D6062" s="946"/>
      <c r="E6062" s="947"/>
      <c r="F6062" s="1054"/>
      <c r="G6062" s="946"/>
      <c r="H6062" s="1031"/>
      <c r="I6062" s="948"/>
    </row>
    <row r="6063" spans="3:9" ht="15.75">
      <c r="C6063" s="945" t="s">
        <v>925</v>
      </c>
      <c r="D6063" s="946"/>
      <c r="E6063" s="947"/>
      <c r="F6063" s="1054"/>
      <c r="G6063" s="946"/>
      <c r="H6063" s="1031"/>
      <c r="I6063" s="948"/>
    </row>
    <row r="6064" spans="3:9" ht="15.75">
      <c r="C6064" s="949" t="s">
        <v>924</v>
      </c>
      <c r="D6064" s="946"/>
      <c r="E6064" s="947" t="str">
        <f>+VLOOKUP(C6064,'Basic (equilibrio) (2)'!B:D,2,FALSE)</f>
        <v>n/a</v>
      </c>
      <c r="F6064" s="1054">
        <f>+VLOOKUP(C6064,'Basic (equilibrio) (2)'!B:D,3,FALSE)</f>
        <v>0</v>
      </c>
      <c r="G6064" s="946"/>
      <c r="H6064" s="1031"/>
      <c r="I6064" s="948">
        <f>D6064*F6064</f>
        <v>0</v>
      </c>
    </row>
    <row r="6065" spans="2:9" ht="15.75">
      <c r="C6065" s="951" t="s">
        <v>918</v>
      </c>
      <c r="D6065" s="946"/>
      <c r="E6065" s="947"/>
      <c r="F6065" s="1054"/>
      <c r="G6065" s="946"/>
      <c r="H6065" s="1031"/>
      <c r="I6065" s="952">
        <f>SUM(I6064)</f>
        <v>0</v>
      </c>
    </row>
    <row r="6066" spans="2:9" ht="15.75">
      <c r="C6066" s="951"/>
      <c r="D6066" s="946"/>
      <c r="E6066" s="947"/>
      <c r="F6066" s="1054"/>
      <c r="G6066" s="946"/>
      <c r="H6066" s="1031"/>
      <c r="I6066" s="952"/>
    </row>
    <row r="6067" spans="2:9" ht="15.75">
      <c r="C6067" s="956" t="s">
        <v>926</v>
      </c>
      <c r="D6067" s="957"/>
      <c r="E6067" s="958"/>
      <c r="F6067" s="1069"/>
      <c r="G6067" s="957"/>
      <c r="H6067" s="1032"/>
      <c r="I6067" s="959">
        <f>+I6053</f>
        <v>31939.919999999998</v>
      </c>
    </row>
    <row r="6068" spans="2:9" ht="15.75">
      <c r="C6068" s="956" t="s">
        <v>927</v>
      </c>
      <c r="D6068" s="957"/>
      <c r="E6068" s="958"/>
      <c r="F6068" s="1069"/>
      <c r="G6068" s="957"/>
      <c r="H6068" s="1032"/>
      <c r="I6068" s="959">
        <f>+I6057</f>
        <v>44.64</v>
      </c>
    </row>
    <row r="6069" spans="2:9" ht="15.75">
      <c r="C6069" s="956" t="s">
        <v>928</v>
      </c>
      <c r="D6069" s="957"/>
      <c r="E6069" s="958"/>
      <c r="F6069" s="1069"/>
      <c r="G6069" s="957"/>
      <c r="H6069" s="1032"/>
      <c r="I6069" s="959">
        <f>+I6061</f>
        <v>0</v>
      </c>
    </row>
    <row r="6070" spans="2:9" ht="15.75">
      <c r="C6070" s="956" t="s">
        <v>929</v>
      </c>
      <c r="D6070" s="957"/>
      <c r="E6070" s="958"/>
      <c r="F6070" s="1069"/>
      <c r="G6070" s="957"/>
      <c r="H6070" s="1032"/>
      <c r="I6070" s="959">
        <f>+I6065</f>
        <v>0</v>
      </c>
    </row>
    <row r="6071" spans="2:9" ht="15.75">
      <c r="C6071" s="949"/>
      <c r="D6071" s="946"/>
      <c r="E6071" s="947"/>
      <c r="F6071" s="1054"/>
      <c r="G6071" s="946"/>
      <c r="H6071" s="1031"/>
      <c r="I6071" s="948"/>
    </row>
    <row r="6072" spans="2:9" ht="15.75">
      <c r="C6072" s="949"/>
      <c r="D6072" s="946"/>
      <c r="E6072" s="947"/>
      <c r="F6072" s="1054"/>
      <c r="G6072" s="946"/>
      <c r="H6072" s="1031"/>
      <c r="I6072" s="948"/>
    </row>
    <row r="6073" spans="2:9" ht="15.75">
      <c r="C6073" s="951" t="s">
        <v>930</v>
      </c>
      <c r="D6073" s="960"/>
      <c r="E6073" s="943" t="str">
        <f>+E6046</f>
        <v>M3</v>
      </c>
      <c r="F6073" s="1070"/>
      <c r="G6073" s="960"/>
      <c r="H6073" s="1033"/>
      <c r="I6073" s="952">
        <f>SUM(I6067:I6070)</f>
        <v>31984.560000000001</v>
      </c>
    </row>
    <row r="6074" spans="2:9" ht="15.75">
      <c r="C6074" s="951"/>
      <c r="D6074" s="960"/>
      <c r="E6074" s="943"/>
      <c r="F6074" s="1070"/>
      <c r="G6074" s="960"/>
      <c r="H6074" s="1033"/>
      <c r="I6074" s="952"/>
    </row>
    <row r="6075" spans="2:9" ht="15.75">
      <c r="B6075" s="1026">
        <v>3.9</v>
      </c>
      <c r="C6075" s="937" t="str">
        <f>+Presupuesto!B385</f>
        <v>Refuerzo plano 0.20m x 0.30m L=6.50m</v>
      </c>
      <c r="D6075" s="938"/>
      <c r="E6075" s="962" t="s">
        <v>22</v>
      </c>
      <c r="F6075" s="1066"/>
      <c r="G6075" s="938"/>
      <c r="H6075" s="1029"/>
      <c r="I6075" s="940">
        <f>I6099</f>
        <v>15794.64</v>
      </c>
    </row>
    <row r="6076" spans="2:9" ht="15.75">
      <c r="C6076" s="941" t="s">
        <v>908</v>
      </c>
      <c r="D6076" s="942" t="s">
        <v>9</v>
      </c>
      <c r="E6076" s="943" t="s">
        <v>10</v>
      </c>
      <c r="F6076" s="1067" t="s">
        <v>909</v>
      </c>
      <c r="G6076" s="942" t="s">
        <v>910</v>
      </c>
      <c r="H6076" s="1030" t="s">
        <v>911</v>
      </c>
      <c r="I6076" s="944" t="s">
        <v>912</v>
      </c>
    </row>
    <row r="6077" spans="2:9" ht="15.75">
      <c r="C6077" s="945" t="s">
        <v>913</v>
      </c>
      <c r="D6077" s="946"/>
      <c r="E6077" s="947"/>
      <c r="F6077" s="1054"/>
      <c r="G6077" s="946"/>
      <c r="H6077" s="1031"/>
      <c r="I6077" s="948"/>
    </row>
    <row r="6078" spans="2:9" ht="15.75">
      <c r="C6078" s="949" t="s">
        <v>1577</v>
      </c>
      <c r="D6078" s="946">
        <v>1.05</v>
      </c>
      <c r="E6078" s="947" t="str">
        <f>+VLOOKUP(C6078,'Basic (equilibrio) (2)'!B:D,2,FALSE)</f>
        <v>m3</v>
      </c>
      <c r="F6078" s="1068">
        <f>'Basic (equilibrio) (2)'!$D$160</f>
        <v>15000</v>
      </c>
      <c r="G6078" s="946">
        <f>F6078-(F6078/1.18)</f>
        <v>2288.14</v>
      </c>
      <c r="H6078" s="1031"/>
      <c r="I6078" s="948">
        <f>D6078*F6078</f>
        <v>15750</v>
      </c>
    </row>
    <row r="6079" spans="2:9" ht="15.75">
      <c r="C6079" s="951" t="s">
        <v>918</v>
      </c>
      <c r="D6079" s="946"/>
      <c r="E6079" s="947"/>
      <c r="F6079" s="1068"/>
      <c r="G6079" s="946"/>
      <c r="H6079" s="1031"/>
      <c r="I6079" s="952">
        <f>SUM(I6078:I6078)</f>
        <v>15750</v>
      </c>
    </row>
    <row r="6080" spans="2:9" ht="15.75">
      <c r="C6080" s="949"/>
      <c r="D6080" s="946"/>
      <c r="E6080" s="947"/>
      <c r="F6080" s="1068"/>
      <c r="G6080" s="946"/>
      <c r="H6080" s="1031"/>
      <c r="I6080" s="948"/>
    </row>
    <row r="6081" spans="3:9" ht="15.75">
      <c r="C6081" s="945" t="s">
        <v>919</v>
      </c>
      <c r="D6081" s="946"/>
      <c r="E6081" s="947"/>
      <c r="F6081" s="1068"/>
      <c r="G6081" s="946"/>
      <c r="H6081" s="1031"/>
      <c r="I6081" s="948"/>
    </row>
    <row r="6082" spans="3:9" ht="15.75">
      <c r="C6082" s="949" t="s">
        <v>1073</v>
      </c>
      <c r="D6082" s="953">
        <v>25</v>
      </c>
      <c r="E6082" s="954" t="str">
        <f>+VLOOKUP(C6082,'Basic (equilibrio) (2)'!B:D,2,FALSE)</f>
        <v>ml</v>
      </c>
      <c r="F6082" s="1068">
        <f>'Basic (equilibrio) (2)'!$D$25</f>
        <v>125</v>
      </c>
      <c r="G6082" s="946">
        <v>0</v>
      </c>
      <c r="H6082" s="1031">
        <v>70</v>
      </c>
      <c r="I6082" s="948">
        <f>(D6082*F6082)/H6082</f>
        <v>44.64</v>
      </c>
    </row>
    <row r="6083" spans="3:9" ht="15.75">
      <c r="C6083" s="951" t="s">
        <v>918</v>
      </c>
      <c r="D6083" s="946"/>
      <c r="E6083" s="947"/>
      <c r="F6083" s="1054"/>
      <c r="G6083" s="946"/>
      <c r="H6083" s="1031"/>
      <c r="I6083" s="952">
        <f>SUM(I6082:I6082)</f>
        <v>44.64</v>
      </c>
    </row>
    <row r="6084" spans="3:9" ht="15.75">
      <c r="C6084" s="949"/>
      <c r="D6084" s="946"/>
      <c r="E6084" s="947"/>
      <c r="F6084" s="1054"/>
      <c r="G6084" s="946"/>
      <c r="H6084" s="1031"/>
      <c r="I6084" s="948"/>
    </row>
    <row r="6085" spans="3:9" ht="15.75">
      <c r="C6085" s="945" t="s">
        <v>923</v>
      </c>
      <c r="D6085" s="946"/>
      <c r="E6085" s="947"/>
      <c r="F6085" s="1054"/>
      <c r="G6085" s="946"/>
      <c r="H6085" s="1031"/>
      <c r="I6085" s="948"/>
    </row>
    <row r="6086" spans="3:9" ht="15.75">
      <c r="C6086" s="949" t="s">
        <v>924</v>
      </c>
      <c r="D6086" s="946"/>
      <c r="E6086" s="947" t="str">
        <f>+VLOOKUP(C6086,'Basic (equilibrio) (2)'!B:D,2,FALSE)</f>
        <v>n/a</v>
      </c>
      <c r="F6086" s="1054">
        <f>+VLOOKUP(C6086,'Basic (equilibrio) (2)'!B:D,3,FALSE)</f>
        <v>0</v>
      </c>
      <c r="G6086" s="946">
        <f>F6086-(F6086/1.18)</f>
        <v>0</v>
      </c>
      <c r="H6086" s="1039"/>
      <c r="I6086" s="955">
        <f>D6086*F6086</f>
        <v>0</v>
      </c>
    </row>
    <row r="6087" spans="3:9" ht="15.75">
      <c r="C6087" s="951" t="s">
        <v>918</v>
      </c>
      <c r="D6087" s="946"/>
      <c r="E6087" s="947"/>
      <c r="F6087" s="1054"/>
      <c r="G6087" s="946"/>
      <c r="H6087" s="1031"/>
      <c r="I6087" s="952">
        <f>SUM(I6086:I6086)</f>
        <v>0</v>
      </c>
    </row>
    <row r="6088" spans="3:9" ht="15.75">
      <c r="C6088" s="949"/>
      <c r="D6088" s="946"/>
      <c r="E6088" s="947"/>
      <c r="F6088" s="1054"/>
      <c r="G6088" s="946"/>
      <c r="H6088" s="1031"/>
      <c r="I6088" s="948"/>
    </row>
    <row r="6089" spans="3:9" ht="15.75">
      <c r="C6089" s="945" t="s">
        <v>925</v>
      </c>
      <c r="D6089" s="946"/>
      <c r="E6089" s="947"/>
      <c r="F6089" s="1054"/>
      <c r="G6089" s="946"/>
      <c r="H6089" s="1031"/>
      <c r="I6089" s="948"/>
    </row>
    <row r="6090" spans="3:9" ht="15.75">
      <c r="C6090" s="949" t="s">
        <v>924</v>
      </c>
      <c r="D6090" s="946"/>
      <c r="E6090" s="947" t="str">
        <f>+VLOOKUP(C6090,'Basic (equilibrio) (2)'!B:D,2,FALSE)</f>
        <v>n/a</v>
      </c>
      <c r="F6090" s="1054">
        <f>+VLOOKUP(C6090,'Basic (equilibrio) (2)'!B:D,3,FALSE)</f>
        <v>0</v>
      </c>
      <c r="G6090" s="946"/>
      <c r="H6090" s="1031"/>
      <c r="I6090" s="948">
        <f>D6090*F6090</f>
        <v>0</v>
      </c>
    </row>
    <row r="6091" spans="3:9" ht="15.75">
      <c r="C6091" s="951" t="s">
        <v>918</v>
      </c>
      <c r="D6091" s="946"/>
      <c r="E6091" s="947"/>
      <c r="F6091" s="1054"/>
      <c r="G6091" s="946"/>
      <c r="H6091" s="1031"/>
      <c r="I6091" s="952">
        <f>SUM(I6090)</f>
        <v>0</v>
      </c>
    </row>
    <row r="6092" spans="3:9" ht="15.75">
      <c r="C6092" s="951"/>
      <c r="D6092" s="946"/>
      <c r="E6092" s="947"/>
      <c r="F6092" s="1054"/>
      <c r="G6092" s="946"/>
      <c r="H6092" s="1031"/>
      <c r="I6092" s="952"/>
    </row>
    <row r="6093" spans="3:9" ht="15.75">
      <c r="C6093" s="956" t="s">
        <v>926</v>
      </c>
      <c r="D6093" s="957"/>
      <c r="E6093" s="958"/>
      <c r="F6093" s="1069"/>
      <c r="G6093" s="957"/>
      <c r="H6093" s="1032"/>
      <c r="I6093" s="959">
        <f>+I6079</f>
        <v>15750</v>
      </c>
    </row>
    <row r="6094" spans="3:9" ht="15.75">
      <c r="C6094" s="956" t="s">
        <v>927</v>
      </c>
      <c r="D6094" s="957"/>
      <c r="E6094" s="958"/>
      <c r="F6094" s="1069"/>
      <c r="G6094" s="957"/>
      <c r="H6094" s="1032"/>
      <c r="I6094" s="959">
        <f>+I6083</f>
        <v>44.64</v>
      </c>
    </row>
    <row r="6095" spans="3:9" ht="15.75">
      <c r="C6095" s="956" t="s">
        <v>928</v>
      </c>
      <c r="D6095" s="957"/>
      <c r="E6095" s="958"/>
      <c r="F6095" s="1069"/>
      <c r="G6095" s="957"/>
      <c r="H6095" s="1032"/>
      <c r="I6095" s="959">
        <f>+I6087</f>
        <v>0</v>
      </c>
    </row>
    <row r="6096" spans="3:9" ht="15.75">
      <c r="C6096" s="956" t="s">
        <v>929</v>
      </c>
      <c r="D6096" s="957"/>
      <c r="E6096" s="958"/>
      <c r="F6096" s="1069"/>
      <c r="G6096" s="957"/>
      <c r="H6096" s="1032"/>
      <c r="I6096" s="959">
        <f>+I6091</f>
        <v>0</v>
      </c>
    </row>
    <row r="6097" spans="2:9" ht="15.75">
      <c r="C6097" s="949"/>
      <c r="D6097" s="946"/>
      <c r="E6097" s="947"/>
      <c r="F6097" s="1054"/>
      <c r="G6097" s="946"/>
      <c r="H6097" s="1031"/>
      <c r="I6097" s="948"/>
    </row>
    <row r="6098" spans="2:9" ht="15.75">
      <c r="C6098" s="949"/>
      <c r="D6098" s="946"/>
      <c r="E6098" s="947"/>
      <c r="F6098" s="1054"/>
      <c r="G6098" s="946"/>
      <c r="H6098" s="1031"/>
      <c r="I6098" s="948"/>
    </row>
    <row r="6099" spans="2:9" ht="15.75">
      <c r="C6099" s="951" t="s">
        <v>930</v>
      </c>
      <c r="D6099" s="960"/>
      <c r="E6099" s="943" t="str">
        <f>+E6075</f>
        <v>M3</v>
      </c>
      <c r="F6099" s="1070"/>
      <c r="G6099" s="960"/>
      <c r="H6099" s="1033"/>
      <c r="I6099" s="952">
        <f>SUM(I6093:I6096)</f>
        <v>15794.64</v>
      </c>
    </row>
    <row r="6100" spans="2:9" ht="15.75">
      <c r="C6100" s="951"/>
      <c r="D6100" s="960"/>
      <c r="E6100" s="943"/>
      <c r="F6100" s="1070"/>
      <c r="G6100" s="960"/>
      <c r="H6100" s="1033"/>
      <c r="I6100" s="952"/>
    </row>
    <row r="6101" spans="2:9" ht="15.75">
      <c r="B6101" s="1062">
        <v>3.1</v>
      </c>
      <c r="C6101" s="937" t="str">
        <f>+Presupuesto!B386</f>
        <v>Dinteles (0.15m x 0.50m) - 2.98 qq/m³</v>
      </c>
      <c r="D6101" s="938"/>
      <c r="E6101" s="962" t="s">
        <v>22</v>
      </c>
      <c r="F6101" s="1066"/>
      <c r="G6101" s="938"/>
      <c r="H6101" s="1029"/>
      <c r="I6101" s="940">
        <f>I6128</f>
        <v>27700.560000000001</v>
      </c>
    </row>
    <row r="6102" spans="2:9" ht="15.75">
      <c r="C6102" s="941" t="s">
        <v>908</v>
      </c>
      <c r="D6102" s="942" t="s">
        <v>9</v>
      </c>
      <c r="E6102" s="943" t="s">
        <v>10</v>
      </c>
      <c r="F6102" s="1067" t="s">
        <v>909</v>
      </c>
      <c r="G6102" s="942" t="s">
        <v>910</v>
      </c>
      <c r="H6102" s="1030" t="s">
        <v>911</v>
      </c>
      <c r="I6102" s="944" t="s">
        <v>912</v>
      </c>
    </row>
    <row r="6103" spans="2:9" ht="15.75">
      <c r="C6103" s="945" t="s">
        <v>913</v>
      </c>
      <c r="D6103" s="946"/>
      <c r="E6103" s="947"/>
      <c r="F6103" s="1054"/>
      <c r="G6103" s="946"/>
      <c r="H6103" s="1031"/>
      <c r="I6103" s="948"/>
    </row>
    <row r="6104" spans="2:9" ht="15.75">
      <c r="C6104" s="949" t="s">
        <v>994</v>
      </c>
      <c r="D6104" s="946">
        <v>1.05</v>
      </c>
      <c r="E6104" s="947" t="str">
        <f>+VLOOKUP(C6104,'Basic (equilibrio) (2)'!B:D,2,FALSE)</f>
        <v>m3</v>
      </c>
      <c r="F6104" s="1068">
        <f>'Basic (equilibrio) (2)'!$D$179</f>
        <v>7600</v>
      </c>
      <c r="G6104" s="946">
        <f>F6104-(F6104/1.18)</f>
        <v>1159.32</v>
      </c>
      <c r="H6104" s="1031"/>
      <c r="I6104" s="948">
        <f>D6104*F6104</f>
        <v>7980</v>
      </c>
    </row>
    <row r="6105" spans="2:9" ht="15.75">
      <c r="C6105" s="949" t="s">
        <v>1188</v>
      </c>
      <c r="D6105" s="946">
        <v>2.98</v>
      </c>
      <c r="E6105" s="947" t="str">
        <f>+VLOOKUP(C6105,'Basic (equilibrio) (2)'!B:D,2,FALSE)</f>
        <v>qq</v>
      </c>
      <c r="F6105" s="1068">
        <f>'Basic (equilibrio) (2)'!$D$183</f>
        <v>3600</v>
      </c>
      <c r="G6105" s="946">
        <f>F6105-(F6105/1.18)</f>
        <v>549.15</v>
      </c>
      <c r="H6105" s="1031"/>
      <c r="I6105" s="948">
        <f>D6105*F6105</f>
        <v>10728</v>
      </c>
    </row>
    <row r="6106" spans="2:9" ht="15.75">
      <c r="C6106" s="949" t="s">
        <v>1328</v>
      </c>
      <c r="D6106" s="946">
        <v>5.56</v>
      </c>
      <c r="E6106" s="947" t="str">
        <f>+VLOOKUP(C6106,'Basic (equilibrio) (2)'!B:D,2,FALSE)</f>
        <v>lb</v>
      </c>
      <c r="F6106" s="1068">
        <f>'Basic (equilibrio) (2)'!$D$334</f>
        <v>31.1</v>
      </c>
      <c r="G6106" s="946">
        <f>F6106-(F6106/1.18)</f>
        <v>4.74</v>
      </c>
      <c r="H6106" s="1031"/>
      <c r="I6106" s="948">
        <f>D6106*F6106</f>
        <v>172.92</v>
      </c>
    </row>
    <row r="6107" spans="2:9" ht="15.75">
      <c r="C6107" s="949" t="s">
        <v>1072</v>
      </c>
      <c r="D6107" s="946">
        <v>25</v>
      </c>
      <c r="E6107" s="947" t="str">
        <f>+VLOOKUP(C6107,'Basic (equilibrio) (2)'!B:D,2,FALSE)</f>
        <v>ml</v>
      </c>
      <c r="F6107" s="1068">
        <f>'Basic (equilibrio) (2)'!$D$22</f>
        <v>351</v>
      </c>
      <c r="G6107" s="946">
        <f>F6107-(F6107/1.18)</f>
        <v>53.54</v>
      </c>
      <c r="H6107" s="1031"/>
      <c r="I6107" s="948">
        <f>D6107*F6107</f>
        <v>8775</v>
      </c>
    </row>
    <row r="6108" spans="2:9" ht="15.75">
      <c r="C6108" s="951" t="s">
        <v>918</v>
      </c>
      <c r="D6108" s="946"/>
      <c r="E6108" s="947"/>
      <c r="F6108" s="1068"/>
      <c r="G6108" s="946"/>
      <c r="H6108" s="1031"/>
      <c r="I6108" s="952">
        <f>SUM(I6104:I6107)</f>
        <v>27655.919999999998</v>
      </c>
    </row>
    <row r="6109" spans="2:9" ht="15.75">
      <c r="C6109" s="949"/>
      <c r="D6109" s="946"/>
      <c r="E6109" s="947"/>
      <c r="F6109" s="1068"/>
      <c r="G6109" s="946"/>
      <c r="H6109" s="1031"/>
      <c r="I6109" s="948"/>
    </row>
    <row r="6110" spans="2:9" ht="15.75">
      <c r="C6110" s="945" t="s">
        <v>919</v>
      </c>
      <c r="D6110" s="946"/>
      <c r="E6110" s="947"/>
      <c r="F6110" s="1068"/>
      <c r="G6110" s="946"/>
      <c r="H6110" s="1031"/>
      <c r="I6110" s="948"/>
    </row>
    <row r="6111" spans="2:9" ht="15.75">
      <c r="C6111" s="949" t="s">
        <v>1073</v>
      </c>
      <c r="D6111" s="953">
        <v>25</v>
      </c>
      <c r="E6111" s="954" t="str">
        <f>+VLOOKUP(C6111,'Basic (equilibrio) (2)'!B:D,2,FALSE)</f>
        <v>ml</v>
      </c>
      <c r="F6111" s="1068">
        <f>'Basic (equilibrio) (2)'!$D$25</f>
        <v>125</v>
      </c>
      <c r="G6111" s="946">
        <v>0</v>
      </c>
      <c r="H6111" s="1031">
        <v>70</v>
      </c>
      <c r="I6111" s="948">
        <f>(D6111*F6111)/H6111</f>
        <v>44.64</v>
      </c>
    </row>
    <row r="6112" spans="2:9" ht="15.75">
      <c r="C6112" s="951" t="s">
        <v>918</v>
      </c>
      <c r="D6112" s="946"/>
      <c r="E6112" s="947"/>
      <c r="F6112" s="1054"/>
      <c r="G6112" s="946"/>
      <c r="H6112" s="1031"/>
      <c r="I6112" s="952">
        <f>SUM(I6111:I6111)</f>
        <v>44.64</v>
      </c>
    </row>
    <row r="6113" spans="3:9" ht="15.75">
      <c r="C6113" s="949"/>
      <c r="D6113" s="946"/>
      <c r="E6113" s="947"/>
      <c r="F6113" s="1054"/>
      <c r="G6113" s="946"/>
      <c r="H6113" s="1031"/>
      <c r="I6113" s="948"/>
    </row>
    <row r="6114" spans="3:9" ht="15.75">
      <c r="C6114" s="945" t="s">
        <v>923</v>
      </c>
      <c r="D6114" s="946"/>
      <c r="E6114" s="947"/>
      <c r="F6114" s="1054"/>
      <c r="G6114" s="946"/>
      <c r="H6114" s="1031"/>
      <c r="I6114" s="948"/>
    </row>
    <row r="6115" spans="3:9" ht="15.75">
      <c r="C6115" s="949" t="s">
        <v>924</v>
      </c>
      <c r="D6115" s="946"/>
      <c r="E6115" s="947" t="str">
        <f>+VLOOKUP(C6115,'Basic (equilibrio) (2)'!B:D,2,FALSE)</f>
        <v>n/a</v>
      </c>
      <c r="F6115" s="1054">
        <f>+VLOOKUP(C6115,'Basic (equilibrio) (2)'!B:D,3,FALSE)</f>
        <v>0</v>
      </c>
      <c r="G6115" s="946">
        <f>F6115-(F6115/1.18)</f>
        <v>0</v>
      </c>
      <c r="H6115" s="1039"/>
      <c r="I6115" s="955">
        <f>D6115*F6115</f>
        <v>0</v>
      </c>
    </row>
    <row r="6116" spans="3:9" ht="15.75">
      <c r="C6116" s="951" t="s">
        <v>918</v>
      </c>
      <c r="D6116" s="946"/>
      <c r="E6116" s="947"/>
      <c r="F6116" s="1054"/>
      <c r="G6116" s="946"/>
      <c r="H6116" s="1031"/>
      <c r="I6116" s="952">
        <f>SUM(I6115:I6115)</f>
        <v>0</v>
      </c>
    </row>
    <row r="6117" spans="3:9" ht="15.75">
      <c r="C6117" s="949"/>
      <c r="D6117" s="946"/>
      <c r="E6117" s="947"/>
      <c r="F6117" s="1054"/>
      <c r="G6117" s="946"/>
      <c r="H6117" s="1031"/>
      <c r="I6117" s="948"/>
    </row>
    <row r="6118" spans="3:9" ht="15.75">
      <c r="C6118" s="945" t="s">
        <v>925</v>
      </c>
      <c r="D6118" s="946"/>
      <c r="E6118" s="947"/>
      <c r="F6118" s="1054"/>
      <c r="G6118" s="946"/>
      <c r="H6118" s="1031"/>
      <c r="I6118" s="948"/>
    </row>
    <row r="6119" spans="3:9" ht="15.75">
      <c r="C6119" s="949" t="s">
        <v>924</v>
      </c>
      <c r="D6119" s="946"/>
      <c r="E6119" s="947" t="str">
        <f>+VLOOKUP(C6119,'Basic (equilibrio) (2)'!B:D,2,FALSE)</f>
        <v>n/a</v>
      </c>
      <c r="F6119" s="1054">
        <f>+VLOOKUP(C6119,'Basic (equilibrio) (2)'!B:D,3,FALSE)</f>
        <v>0</v>
      </c>
      <c r="G6119" s="946"/>
      <c r="H6119" s="1031"/>
      <c r="I6119" s="948">
        <f>D6119*F6119</f>
        <v>0</v>
      </c>
    </row>
    <row r="6120" spans="3:9" ht="15.75">
      <c r="C6120" s="951" t="s">
        <v>918</v>
      </c>
      <c r="D6120" s="946"/>
      <c r="E6120" s="947"/>
      <c r="F6120" s="1054"/>
      <c r="G6120" s="946"/>
      <c r="H6120" s="1031"/>
      <c r="I6120" s="952">
        <f>SUM(I6119)</f>
        <v>0</v>
      </c>
    </row>
    <row r="6121" spans="3:9" ht="15.75">
      <c r="C6121" s="951"/>
      <c r="D6121" s="946"/>
      <c r="E6121" s="947"/>
      <c r="F6121" s="1054"/>
      <c r="G6121" s="946"/>
      <c r="H6121" s="1031"/>
      <c r="I6121" s="952"/>
    </row>
    <row r="6122" spans="3:9" ht="15.75">
      <c r="C6122" s="956" t="s">
        <v>926</v>
      </c>
      <c r="D6122" s="957"/>
      <c r="E6122" s="958"/>
      <c r="F6122" s="1069"/>
      <c r="G6122" s="957"/>
      <c r="H6122" s="1032"/>
      <c r="I6122" s="959">
        <f>+I6108</f>
        <v>27655.919999999998</v>
      </c>
    </row>
    <row r="6123" spans="3:9" ht="15.75">
      <c r="C6123" s="956" t="s">
        <v>927</v>
      </c>
      <c r="D6123" s="957"/>
      <c r="E6123" s="958"/>
      <c r="F6123" s="1069"/>
      <c r="G6123" s="957"/>
      <c r="H6123" s="1032"/>
      <c r="I6123" s="959">
        <f>+I6112</f>
        <v>44.64</v>
      </c>
    </row>
    <row r="6124" spans="3:9" ht="15.75">
      <c r="C6124" s="956" t="s">
        <v>928</v>
      </c>
      <c r="D6124" s="957"/>
      <c r="E6124" s="958"/>
      <c r="F6124" s="1069"/>
      <c r="G6124" s="957"/>
      <c r="H6124" s="1032"/>
      <c r="I6124" s="959">
        <f>+I6116</f>
        <v>0</v>
      </c>
    </row>
    <row r="6125" spans="3:9" ht="15.75">
      <c r="C6125" s="956" t="s">
        <v>929</v>
      </c>
      <c r="D6125" s="957"/>
      <c r="E6125" s="958"/>
      <c r="F6125" s="1069"/>
      <c r="G6125" s="957"/>
      <c r="H6125" s="1032"/>
      <c r="I6125" s="959">
        <f>+I6120</f>
        <v>0</v>
      </c>
    </row>
    <row r="6126" spans="3:9" ht="15.75">
      <c r="C6126" s="949"/>
      <c r="D6126" s="946"/>
      <c r="E6126" s="947"/>
      <c r="F6126" s="1054"/>
      <c r="G6126" s="946"/>
      <c r="H6126" s="1031"/>
      <c r="I6126" s="948"/>
    </row>
    <row r="6127" spans="3:9" ht="15.75">
      <c r="C6127" s="949"/>
      <c r="D6127" s="946"/>
      <c r="E6127" s="947"/>
      <c r="F6127" s="1054"/>
      <c r="G6127" s="946"/>
      <c r="H6127" s="1031"/>
      <c r="I6127" s="948"/>
    </row>
    <row r="6128" spans="3:9" ht="15.75">
      <c r="C6128" s="951" t="s">
        <v>930</v>
      </c>
      <c r="D6128" s="960"/>
      <c r="E6128" s="943" t="str">
        <f>+E6101</f>
        <v>M3</v>
      </c>
      <c r="F6128" s="1070"/>
      <c r="G6128" s="960"/>
      <c r="H6128" s="1033"/>
      <c r="I6128" s="952">
        <f>SUM(I6122:I6125)</f>
        <v>27700.560000000001</v>
      </c>
    </row>
    <row r="6129" spans="2:9" ht="15.75">
      <c r="C6129" s="951"/>
      <c r="D6129" s="960"/>
      <c r="E6129" s="943"/>
      <c r="F6129" s="1070"/>
      <c r="G6129" s="960"/>
      <c r="H6129" s="1033"/>
      <c r="I6129" s="952"/>
    </row>
    <row r="6130" spans="2:9" ht="15.75">
      <c r="B6130" s="1062">
        <v>3.11</v>
      </c>
      <c r="C6130" s="937" t="str">
        <f>+Presupuesto!B387</f>
        <v>Losa de Techo e=0.12m -1.21 qq/m³</v>
      </c>
      <c r="D6130" s="938"/>
      <c r="E6130" s="962" t="s">
        <v>22</v>
      </c>
      <c r="F6130" s="1066"/>
      <c r="G6130" s="938"/>
      <c r="H6130" s="1029"/>
      <c r="I6130" s="940">
        <f>I6157</f>
        <v>16071.26</v>
      </c>
    </row>
    <row r="6131" spans="2:9" ht="15.75">
      <c r="C6131" s="941" t="s">
        <v>908</v>
      </c>
      <c r="D6131" s="942" t="s">
        <v>9</v>
      </c>
      <c r="E6131" s="943" t="s">
        <v>10</v>
      </c>
      <c r="F6131" s="1067" t="s">
        <v>909</v>
      </c>
      <c r="G6131" s="942" t="s">
        <v>910</v>
      </c>
      <c r="H6131" s="1030" t="s">
        <v>911</v>
      </c>
      <c r="I6131" s="944" t="s">
        <v>912</v>
      </c>
    </row>
    <row r="6132" spans="2:9" ht="15.75">
      <c r="C6132" s="945" t="s">
        <v>913</v>
      </c>
      <c r="D6132" s="946"/>
      <c r="E6132" s="947"/>
      <c r="F6132" s="1054"/>
      <c r="G6132" s="946"/>
      <c r="H6132" s="1031"/>
      <c r="I6132" s="948"/>
    </row>
    <row r="6133" spans="2:9" ht="15.75">
      <c r="C6133" s="949" t="s">
        <v>994</v>
      </c>
      <c r="D6133" s="946">
        <v>1.02</v>
      </c>
      <c r="E6133" s="947" t="str">
        <f>+VLOOKUP(C6133,'Basic (equilibrio) (2)'!B:D,2,FALSE)</f>
        <v>m3</v>
      </c>
      <c r="F6133" s="1068">
        <f>'Basic (equilibrio) (2)'!$D$179</f>
        <v>7600</v>
      </c>
      <c r="G6133" s="946">
        <f>F6133-(F6133/1.18)</f>
        <v>1159.32</v>
      </c>
      <c r="H6133" s="1031"/>
      <c r="I6133" s="948">
        <f>D6133*F6133</f>
        <v>7752</v>
      </c>
    </row>
    <row r="6134" spans="2:9" ht="15.75">
      <c r="C6134" s="949" t="s">
        <v>1188</v>
      </c>
      <c r="D6134" s="946">
        <v>1.21</v>
      </c>
      <c r="E6134" s="947" t="str">
        <f>+VLOOKUP(C6134,'Basic (equilibrio) (2)'!B:D,2,FALSE)</f>
        <v>qq</v>
      </c>
      <c r="F6134" s="1068">
        <f>'Basic (equilibrio) (2)'!$D$183</f>
        <v>3600</v>
      </c>
      <c r="G6134" s="946">
        <f>F6134-(F6134/1.18)</f>
        <v>549.15</v>
      </c>
      <c r="H6134" s="1031"/>
      <c r="I6134" s="948">
        <f>D6134*F6134</f>
        <v>4356</v>
      </c>
    </row>
    <row r="6135" spans="2:9" ht="15.75">
      <c r="C6135" s="949" t="s">
        <v>1328</v>
      </c>
      <c r="D6135" s="946">
        <v>3.82</v>
      </c>
      <c r="E6135" s="947" t="str">
        <f>+VLOOKUP(C6135,'Basic (equilibrio) (2)'!B:D,2,FALSE)</f>
        <v>lb</v>
      </c>
      <c r="F6135" s="1068">
        <f>'Basic (equilibrio) (2)'!$D$334</f>
        <v>31.1</v>
      </c>
      <c r="G6135" s="946">
        <f>F6135-(F6135/1.18)</f>
        <v>4.74</v>
      </c>
      <c r="H6135" s="1031"/>
      <c r="I6135" s="948">
        <f>D6135*F6135</f>
        <v>118.8</v>
      </c>
    </row>
    <row r="6136" spans="2:9" ht="15.75">
      <c r="C6136" s="949" t="s">
        <v>1160</v>
      </c>
      <c r="D6136" s="946">
        <v>1</v>
      </c>
      <c r="E6136" s="947" t="str">
        <f>+VLOOKUP(C6136,'Basic (equilibrio) (2)'!B:D,2,FALSE)</f>
        <v>m3</v>
      </c>
      <c r="F6136" s="1068">
        <f>'Basic (equilibrio) (2)'!$D$51</f>
        <v>3833</v>
      </c>
      <c r="G6136" s="946">
        <f>F6136-(F6136/1.18)</f>
        <v>584.69000000000005</v>
      </c>
      <c r="H6136" s="1031"/>
      <c r="I6136" s="948">
        <f>D6136*F6136</f>
        <v>3833</v>
      </c>
    </row>
    <row r="6137" spans="2:9" ht="15.75">
      <c r="C6137" s="951" t="s">
        <v>918</v>
      </c>
      <c r="D6137" s="946"/>
      <c r="E6137" s="947"/>
      <c r="F6137" s="1068"/>
      <c r="G6137" s="946"/>
      <c r="H6137" s="1031"/>
      <c r="I6137" s="952">
        <f>SUM(I6133:I6136)</f>
        <v>16059.8</v>
      </c>
    </row>
    <row r="6138" spans="2:9" ht="15.75">
      <c r="C6138" s="949"/>
      <c r="D6138" s="946"/>
      <c r="E6138" s="947"/>
      <c r="F6138" s="1068"/>
      <c r="G6138" s="946"/>
      <c r="H6138" s="1031"/>
      <c r="I6138" s="948"/>
    </row>
    <row r="6139" spans="2:9" ht="15.75">
      <c r="C6139" s="945" t="s">
        <v>919</v>
      </c>
      <c r="D6139" s="946"/>
      <c r="E6139" s="947"/>
      <c r="G6139" s="946"/>
      <c r="H6139" s="1031"/>
      <c r="I6139" s="948"/>
    </row>
    <row r="6140" spans="2:9" ht="15.75">
      <c r="C6140" s="949" t="s">
        <v>1121</v>
      </c>
      <c r="D6140" s="953">
        <v>1.91</v>
      </c>
      <c r="E6140" s="954" t="str">
        <f>+VLOOKUP(C6140,'Basic (equilibrio) (2)'!B:D,2,FALSE)</f>
        <v>qq</v>
      </c>
      <c r="F6140" s="1068">
        <f>'Basic (equilibrio) (2)'!$D$45</f>
        <v>420</v>
      </c>
      <c r="G6140" s="946">
        <v>0</v>
      </c>
      <c r="H6140" s="1031">
        <v>70</v>
      </c>
      <c r="I6140" s="948">
        <f>(D6140*F6140)/H6140</f>
        <v>11.46</v>
      </c>
    </row>
    <row r="6141" spans="2:9" ht="15.75">
      <c r="C6141" s="951" t="s">
        <v>918</v>
      </c>
      <c r="D6141" s="946"/>
      <c r="E6141" s="947"/>
      <c r="F6141" s="1054"/>
      <c r="G6141" s="946"/>
      <c r="H6141" s="1031"/>
      <c r="I6141" s="952">
        <f>SUM(I6140:I6140)</f>
        <v>11.46</v>
      </c>
    </row>
    <row r="6142" spans="2:9" ht="15.75">
      <c r="C6142" s="949"/>
      <c r="D6142" s="946"/>
      <c r="E6142" s="947"/>
      <c r="F6142" s="1054"/>
      <c r="G6142" s="946"/>
      <c r="H6142" s="1031"/>
      <c r="I6142" s="948"/>
    </row>
    <row r="6143" spans="2:9" ht="15.75">
      <c r="C6143" s="945" t="s">
        <v>923</v>
      </c>
      <c r="D6143" s="946"/>
      <c r="E6143" s="947"/>
      <c r="F6143" s="1054"/>
      <c r="G6143" s="946"/>
      <c r="H6143" s="1031"/>
      <c r="I6143" s="948"/>
    </row>
    <row r="6144" spans="2:9" ht="15.75">
      <c r="C6144" s="949" t="s">
        <v>924</v>
      </c>
      <c r="D6144" s="946"/>
      <c r="E6144" s="947" t="str">
        <f>+VLOOKUP(C6144,'Basic (equilibrio) (2)'!B:D,2,FALSE)</f>
        <v>n/a</v>
      </c>
      <c r="F6144" s="1054">
        <f>+VLOOKUP(C6144,'Basic (equilibrio) (2)'!B:D,3,FALSE)</f>
        <v>0</v>
      </c>
      <c r="G6144" s="946">
        <f>F6144-(F6144/1.18)</f>
        <v>0</v>
      </c>
      <c r="H6144" s="1039"/>
      <c r="I6144" s="955">
        <f>D6144*F6144</f>
        <v>0</v>
      </c>
    </row>
    <row r="6145" spans="2:9" ht="15.75">
      <c r="C6145" s="951" t="s">
        <v>918</v>
      </c>
      <c r="D6145" s="946"/>
      <c r="E6145" s="947"/>
      <c r="F6145" s="1054"/>
      <c r="G6145" s="946"/>
      <c r="H6145" s="1031"/>
      <c r="I6145" s="952">
        <f>SUM(I6144:I6144)</f>
        <v>0</v>
      </c>
    </row>
    <row r="6146" spans="2:9" ht="15.75">
      <c r="C6146" s="949"/>
      <c r="D6146" s="946"/>
      <c r="E6146" s="947"/>
      <c r="F6146" s="1054"/>
      <c r="G6146" s="946"/>
      <c r="H6146" s="1031"/>
      <c r="I6146" s="948"/>
    </row>
    <row r="6147" spans="2:9" ht="15.75">
      <c r="C6147" s="945" t="s">
        <v>925</v>
      </c>
      <c r="D6147" s="946"/>
      <c r="E6147" s="947"/>
      <c r="F6147" s="1054"/>
      <c r="G6147" s="946"/>
      <c r="H6147" s="1031"/>
      <c r="I6147" s="948"/>
    </row>
    <row r="6148" spans="2:9" ht="15.75">
      <c r="C6148" s="949" t="s">
        <v>924</v>
      </c>
      <c r="D6148" s="946"/>
      <c r="E6148" s="947" t="str">
        <f>+VLOOKUP(C6148,'Basic (equilibrio) (2)'!B:D,2,FALSE)</f>
        <v>n/a</v>
      </c>
      <c r="F6148" s="1054">
        <f>+VLOOKUP(C6148,'Basic (equilibrio) (2)'!B:D,3,FALSE)</f>
        <v>0</v>
      </c>
      <c r="G6148" s="946"/>
      <c r="H6148" s="1031"/>
      <c r="I6148" s="948">
        <f>D6148*F6148</f>
        <v>0</v>
      </c>
    </row>
    <row r="6149" spans="2:9" ht="15.75">
      <c r="C6149" s="951" t="s">
        <v>918</v>
      </c>
      <c r="D6149" s="946"/>
      <c r="E6149" s="947"/>
      <c r="F6149" s="1054"/>
      <c r="G6149" s="946"/>
      <c r="H6149" s="1031"/>
      <c r="I6149" s="952">
        <f>SUM(I6148)</f>
        <v>0</v>
      </c>
    </row>
    <row r="6150" spans="2:9" ht="15.75">
      <c r="C6150" s="951"/>
      <c r="D6150" s="946"/>
      <c r="E6150" s="947"/>
      <c r="F6150" s="1054"/>
      <c r="G6150" s="946"/>
      <c r="H6150" s="1031"/>
      <c r="I6150" s="952"/>
    </row>
    <row r="6151" spans="2:9" ht="15.75">
      <c r="C6151" s="956" t="s">
        <v>926</v>
      </c>
      <c r="D6151" s="957"/>
      <c r="E6151" s="958"/>
      <c r="F6151" s="1069"/>
      <c r="G6151" s="957"/>
      <c r="H6151" s="1032"/>
      <c r="I6151" s="959">
        <f>+I6137</f>
        <v>16059.8</v>
      </c>
    </row>
    <row r="6152" spans="2:9" ht="15.75">
      <c r="C6152" s="956" t="s">
        <v>927</v>
      </c>
      <c r="D6152" s="957"/>
      <c r="E6152" s="958"/>
      <c r="F6152" s="1069"/>
      <c r="G6152" s="957"/>
      <c r="H6152" s="1032"/>
      <c r="I6152" s="959">
        <f>+I6141</f>
        <v>11.46</v>
      </c>
    </row>
    <row r="6153" spans="2:9" ht="15.75">
      <c r="C6153" s="956" t="s">
        <v>928</v>
      </c>
      <c r="D6153" s="957"/>
      <c r="E6153" s="958"/>
      <c r="F6153" s="1069"/>
      <c r="G6153" s="957"/>
      <c r="H6153" s="1032"/>
      <c r="I6153" s="959">
        <f>+I6145</f>
        <v>0</v>
      </c>
    </row>
    <row r="6154" spans="2:9" ht="15.75">
      <c r="C6154" s="956" t="s">
        <v>929</v>
      </c>
      <c r="D6154" s="957"/>
      <c r="E6154" s="958"/>
      <c r="F6154" s="1069"/>
      <c r="G6154" s="957"/>
      <c r="H6154" s="1032"/>
      <c r="I6154" s="959">
        <f>+I6149</f>
        <v>0</v>
      </c>
    </row>
    <row r="6155" spans="2:9" ht="15.75">
      <c r="C6155" s="949"/>
      <c r="D6155" s="946"/>
      <c r="E6155" s="947"/>
      <c r="F6155" s="1054"/>
      <c r="G6155" s="946"/>
      <c r="H6155" s="1031"/>
      <c r="I6155" s="948"/>
    </row>
    <row r="6156" spans="2:9" ht="15.75">
      <c r="C6156" s="949"/>
      <c r="D6156" s="946"/>
      <c r="E6156" s="947"/>
      <c r="F6156" s="1054"/>
      <c r="G6156" s="946"/>
      <c r="H6156" s="1031"/>
      <c r="I6156" s="948"/>
    </row>
    <row r="6157" spans="2:9" ht="15.75">
      <c r="C6157" s="951" t="s">
        <v>930</v>
      </c>
      <c r="D6157" s="960"/>
      <c r="E6157" s="943" t="str">
        <f>+E6130</f>
        <v>M3</v>
      </c>
      <c r="F6157" s="1070"/>
      <c r="G6157" s="960"/>
      <c r="H6157" s="1033"/>
      <c r="I6157" s="952">
        <f>SUM(I6151:I6154)</f>
        <v>16071.26</v>
      </c>
    </row>
    <row r="6158" spans="2:9" ht="15.75">
      <c r="C6158" s="951"/>
      <c r="D6158" s="960"/>
      <c r="E6158" s="943"/>
      <c r="F6158" s="1070"/>
      <c r="G6158" s="960"/>
      <c r="H6158" s="1033"/>
      <c r="I6158" s="952"/>
    </row>
    <row r="6159" spans="2:9" ht="15.75">
      <c r="B6159" s="1062">
        <v>3.12</v>
      </c>
      <c r="C6159" s="937" t="str">
        <f>+Presupuesto!B388</f>
        <v>Viga de carga en arco (0.20m x 0.30m) - 4.69 qq/m³</v>
      </c>
      <c r="D6159" s="938"/>
      <c r="E6159" s="962" t="s">
        <v>22</v>
      </c>
      <c r="F6159" s="1066"/>
      <c r="G6159" s="938"/>
      <c r="H6159" s="1029"/>
      <c r="I6159" s="940">
        <f>I6186</f>
        <v>33856.559999999998</v>
      </c>
    </row>
    <row r="6160" spans="2:9" ht="15.75">
      <c r="C6160" s="941" t="s">
        <v>908</v>
      </c>
      <c r="D6160" s="942" t="s">
        <v>9</v>
      </c>
      <c r="E6160" s="943" t="s">
        <v>10</v>
      </c>
      <c r="F6160" s="1067" t="s">
        <v>909</v>
      </c>
      <c r="G6160" s="942" t="s">
        <v>910</v>
      </c>
      <c r="H6160" s="1030" t="s">
        <v>911</v>
      </c>
      <c r="I6160" s="944" t="s">
        <v>912</v>
      </c>
    </row>
    <row r="6161" spans="3:9" ht="15.75">
      <c r="C6161" s="945" t="s">
        <v>913</v>
      </c>
      <c r="D6161" s="946"/>
      <c r="E6161" s="947"/>
      <c r="F6161" s="1054"/>
      <c r="G6161" s="946"/>
      <c r="H6161" s="1031"/>
      <c r="I6161" s="948"/>
    </row>
    <row r="6162" spans="3:9" ht="15.75">
      <c r="C6162" s="949" t="s">
        <v>994</v>
      </c>
      <c r="D6162" s="946">
        <v>1.05</v>
      </c>
      <c r="E6162" s="947" t="str">
        <f>+VLOOKUP(C6162,'Basic (equilibrio) (2)'!B:D,2,FALSE)</f>
        <v>m3</v>
      </c>
      <c r="F6162" s="1068">
        <f>'Basic (equilibrio) (2)'!$D$179</f>
        <v>7600</v>
      </c>
      <c r="G6162" s="946">
        <f>F6162-(F6162/1.18)</f>
        <v>1159.32</v>
      </c>
      <c r="H6162" s="1031"/>
      <c r="I6162" s="948">
        <f>D6162*F6162</f>
        <v>7980</v>
      </c>
    </row>
    <row r="6163" spans="3:9" ht="15.75">
      <c r="C6163" s="949" t="s">
        <v>1188</v>
      </c>
      <c r="D6163" s="946">
        <v>4.6900000000000004</v>
      </c>
      <c r="E6163" s="947" t="str">
        <f>+VLOOKUP(C6163,'Basic (equilibrio) (2)'!B:D,2,FALSE)</f>
        <v>qq</v>
      </c>
      <c r="F6163" s="1068">
        <f>'Basic (equilibrio) (2)'!$D$183</f>
        <v>3600</v>
      </c>
      <c r="G6163" s="946">
        <f>F6163-(F6163/1.18)</f>
        <v>549.15</v>
      </c>
      <c r="H6163" s="1031"/>
      <c r="I6163" s="948">
        <f>D6163*F6163</f>
        <v>16884</v>
      </c>
    </row>
    <row r="6164" spans="3:9" ht="15.75">
      <c r="C6164" s="949" t="s">
        <v>1328</v>
      </c>
      <c r="D6164" s="946">
        <v>5.56</v>
      </c>
      <c r="E6164" s="947" t="str">
        <f>+VLOOKUP(C6164,'Basic (equilibrio) (2)'!B:D,2,FALSE)</f>
        <v>lb</v>
      </c>
      <c r="F6164" s="1068">
        <f>'Basic (equilibrio) (2)'!$D$334</f>
        <v>31.1</v>
      </c>
      <c r="G6164" s="946">
        <f>F6164-(F6164/1.18)</f>
        <v>4.74</v>
      </c>
      <c r="H6164" s="1031"/>
      <c r="I6164" s="948">
        <f>D6164*F6164</f>
        <v>172.92</v>
      </c>
    </row>
    <row r="6165" spans="3:9" ht="15.75">
      <c r="C6165" s="949" t="s">
        <v>1072</v>
      </c>
      <c r="D6165" s="946">
        <v>25</v>
      </c>
      <c r="E6165" s="947" t="str">
        <f>+VLOOKUP(C6165,'Basic (equilibrio) (2)'!B:D,2,FALSE)</f>
        <v>ml</v>
      </c>
      <c r="F6165" s="1068">
        <f>'Basic (equilibrio) (2)'!$D$22</f>
        <v>351</v>
      </c>
      <c r="G6165" s="946">
        <f>F6165-(F6165/1.18)</f>
        <v>53.54</v>
      </c>
      <c r="H6165" s="1031"/>
      <c r="I6165" s="948">
        <f>D6165*F6165</f>
        <v>8775</v>
      </c>
    </row>
    <row r="6166" spans="3:9" ht="15.75">
      <c r="C6166" s="951" t="s">
        <v>918</v>
      </c>
      <c r="D6166" s="946"/>
      <c r="E6166" s="947"/>
      <c r="F6166" s="1068"/>
      <c r="G6166" s="946"/>
      <c r="H6166" s="1031"/>
      <c r="I6166" s="952">
        <f>SUM(I6162:I6165)</f>
        <v>33811.919999999998</v>
      </c>
    </row>
    <row r="6167" spans="3:9" ht="15.75">
      <c r="C6167" s="949"/>
      <c r="D6167" s="946"/>
      <c r="E6167" s="947"/>
      <c r="F6167" s="1068"/>
      <c r="G6167" s="946"/>
      <c r="H6167" s="1031"/>
      <c r="I6167" s="948"/>
    </row>
    <row r="6168" spans="3:9" ht="15.75">
      <c r="C6168" s="945" t="s">
        <v>919</v>
      </c>
      <c r="D6168" s="946"/>
      <c r="E6168" s="947"/>
      <c r="F6168" s="1068"/>
      <c r="G6168" s="946"/>
      <c r="H6168" s="1031"/>
      <c r="I6168" s="948"/>
    </row>
    <row r="6169" spans="3:9" ht="15.75">
      <c r="C6169" s="949" t="s">
        <v>1073</v>
      </c>
      <c r="D6169" s="953">
        <v>25</v>
      </c>
      <c r="E6169" s="954" t="str">
        <f>+VLOOKUP(C6169,'Basic (equilibrio) (2)'!B:D,2,FALSE)</f>
        <v>ml</v>
      </c>
      <c r="F6169" s="1068">
        <f>'Basic (equilibrio) (2)'!$D$25</f>
        <v>125</v>
      </c>
      <c r="G6169" s="946">
        <v>0</v>
      </c>
      <c r="H6169" s="1031">
        <v>70</v>
      </c>
      <c r="I6169" s="948">
        <f>(D6169*F6169)/H6169</f>
        <v>44.64</v>
      </c>
    </row>
    <row r="6170" spans="3:9" ht="15.75">
      <c r="C6170" s="951" t="s">
        <v>918</v>
      </c>
      <c r="D6170" s="946"/>
      <c r="E6170" s="947"/>
      <c r="F6170" s="1054"/>
      <c r="G6170" s="946"/>
      <c r="H6170" s="1031"/>
      <c r="I6170" s="952">
        <f>SUM(I6169:I6169)</f>
        <v>44.64</v>
      </c>
    </row>
    <row r="6171" spans="3:9" ht="15.75">
      <c r="C6171" s="949"/>
      <c r="D6171" s="946"/>
      <c r="E6171" s="947"/>
      <c r="F6171" s="1054"/>
      <c r="G6171" s="946"/>
      <c r="H6171" s="1031"/>
      <c r="I6171" s="948"/>
    </row>
    <row r="6172" spans="3:9" ht="15.75">
      <c r="C6172" s="945" t="s">
        <v>923</v>
      </c>
      <c r="D6172" s="946"/>
      <c r="E6172" s="947"/>
      <c r="F6172" s="1054"/>
      <c r="G6172" s="946"/>
      <c r="H6172" s="1031"/>
      <c r="I6172" s="948"/>
    </row>
    <row r="6173" spans="3:9" ht="15.75">
      <c r="C6173" s="949" t="s">
        <v>924</v>
      </c>
      <c r="D6173" s="946"/>
      <c r="E6173" s="947" t="str">
        <f>+VLOOKUP(C6173,'Basic (equilibrio) (2)'!B:D,2,FALSE)</f>
        <v>n/a</v>
      </c>
      <c r="F6173" s="1054">
        <f>+VLOOKUP(C6173,'Basic (equilibrio) (2)'!B:D,3,FALSE)</f>
        <v>0</v>
      </c>
      <c r="G6173" s="946">
        <f>F6173-(F6173/1.18)</f>
        <v>0</v>
      </c>
      <c r="H6173" s="1039"/>
      <c r="I6173" s="955">
        <f>D6173*F6173</f>
        <v>0</v>
      </c>
    </row>
    <row r="6174" spans="3:9" ht="15.75">
      <c r="C6174" s="951" t="s">
        <v>918</v>
      </c>
      <c r="D6174" s="946"/>
      <c r="E6174" s="947"/>
      <c r="F6174" s="1054"/>
      <c r="G6174" s="946"/>
      <c r="H6174" s="1031"/>
      <c r="I6174" s="952">
        <f>SUM(I6173:I6173)</f>
        <v>0</v>
      </c>
    </row>
    <row r="6175" spans="3:9" ht="15.75">
      <c r="C6175" s="949"/>
      <c r="D6175" s="946"/>
      <c r="E6175" s="947"/>
      <c r="F6175" s="1054"/>
      <c r="G6175" s="946"/>
      <c r="H6175" s="1031"/>
      <c r="I6175" s="948"/>
    </row>
    <row r="6176" spans="3:9" ht="15.75">
      <c r="C6176" s="945" t="s">
        <v>925</v>
      </c>
      <c r="D6176" s="946"/>
      <c r="E6176" s="947"/>
      <c r="F6176" s="1054"/>
      <c r="G6176" s="946"/>
      <c r="H6176" s="1031"/>
      <c r="I6176" s="948"/>
    </row>
    <row r="6177" spans="2:9" ht="15.75">
      <c r="C6177" s="949" t="s">
        <v>924</v>
      </c>
      <c r="D6177" s="946"/>
      <c r="E6177" s="947" t="str">
        <f>+VLOOKUP(C6177,'Basic (equilibrio) (2)'!B:D,2,FALSE)</f>
        <v>n/a</v>
      </c>
      <c r="F6177" s="1054">
        <f>+VLOOKUP(C6177,'Basic (equilibrio) (2)'!B:D,3,FALSE)</f>
        <v>0</v>
      </c>
      <c r="G6177" s="946"/>
      <c r="H6177" s="1031"/>
      <c r="I6177" s="948">
        <f>D6177*F6177</f>
        <v>0</v>
      </c>
    </row>
    <row r="6178" spans="2:9" ht="15.75">
      <c r="C6178" s="951" t="s">
        <v>918</v>
      </c>
      <c r="D6178" s="946"/>
      <c r="E6178" s="947"/>
      <c r="F6178" s="1054"/>
      <c r="G6178" s="946"/>
      <c r="H6178" s="1031"/>
      <c r="I6178" s="952">
        <f>SUM(I6177)</f>
        <v>0</v>
      </c>
    </row>
    <row r="6179" spans="2:9" ht="15.75">
      <c r="C6179" s="951"/>
      <c r="D6179" s="946"/>
      <c r="E6179" s="947"/>
      <c r="F6179" s="1054"/>
      <c r="G6179" s="946"/>
      <c r="H6179" s="1031"/>
      <c r="I6179" s="952"/>
    </row>
    <row r="6180" spans="2:9" ht="15.75">
      <c r="C6180" s="956" t="s">
        <v>926</v>
      </c>
      <c r="D6180" s="957"/>
      <c r="E6180" s="958"/>
      <c r="F6180" s="1069"/>
      <c r="G6180" s="957"/>
      <c r="H6180" s="1032"/>
      <c r="I6180" s="959">
        <f>+I6166</f>
        <v>33811.919999999998</v>
      </c>
    </row>
    <row r="6181" spans="2:9" ht="15.75">
      <c r="C6181" s="956" t="s">
        <v>927</v>
      </c>
      <c r="D6181" s="957"/>
      <c r="E6181" s="958"/>
      <c r="F6181" s="1069"/>
      <c r="G6181" s="957"/>
      <c r="H6181" s="1032"/>
      <c r="I6181" s="959">
        <f>+I6170</f>
        <v>44.64</v>
      </c>
    </row>
    <row r="6182" spans="2:9" ht="15.75">
      <c r="C6182" s="956" t="s">
        <v>928</v>
      </c>
      <c r="D6182" s="957"/>
      <c r="E6182" s="958"/>
      <c r="F6182" s="1069"/>
      <c r="G6182" s="957"/>
      <c r="H6182" s="1032"/>
      <c r="I6182" s="959">
        <f>+I6174</f>
        <v>0</v>
      </c>
    </row>
    <row r="6183" spans="2:9" ht="15.75">
      <c r="C6183" s="956" t="s">
        <v>929</v>
      </c>
      <c r="D6183" s="957"/>
      <c r="E6183" s="958"/>
      <c r="F6183" s="1069"/>
      <c r="G6183" s="957"/>
      <c r="H6183" s="1032"/>
      <c r="I6183" s="959">
        <f>+I6178</f>
        <v>0</v>
      </c>
    </row>
    <row r="6184" spans="2:9" ht="15.75">
      <c r="C6184" s="949"/>
      <c r="D6184" s="946"/>
      <c r="E6184" s="947"/>
      <c r="F6184" s="1054"/>
      <c r="G6184" s="946"/>
      <c r="H6184" s="1031"/>
      <c r="I6184" s="948"/>
    </row>
    <row r="6185" spans="2:9" ht="15.75">
      <c r="C6185" s="949"/>
      <c r="D6185" s="946"/>
      <c r="E6185" s="947"/>
      <c r="F6185" s="1054"/>
      <c r="G6185" s="946"/>
      <c r="H6185" s="1031"/>
      <c r="I6185" s="948"/>
    </row>
    <row r="6186" spans="2:9" ht="15.75">
      <c r="C6186" s="951" t="s">
        <v>930</v>
      </c>
      <c r="D6186" s="960"/>
      <c r="E6186" s="943" t="str">
        <f>+E6159</f>
        <v>M3</v>
      </c>
      <c r="F6186" s="1070"/>
      <c r="G6186" s="960"/>
      <c r="H6186" s="1033"/>
      <c r="I6186" s="952">
        <f>SUM(I6180:I6183)</f>
        <v>33856.559999999998</v>
      </c>
    </row>
    <row r="6187" spans="2:9" ht="15.75">
      <c r="C6187" s="951"/>
      <c r="D6187" s="960"/>
      <c r="E6187" s="943"/>
      <c r="F6187" s="1070"/>
      <c r="G6187" s="960"/>
      <c r="H6187" s="1033"/>
      <c r="I6187" s="952"/>
    </row>
    <row r="6188" spans="2:9" ht="15.75">
      <c r="B6188" s="1062">
        <v>3.13</v>
      </c>
      <c r="C6188" s="937" t="str">
        <f>+Presupuesto!B389</f>
        <v>Losa en arco convencional e=0.10m -1.34 qq/m³</v>
      </c>
      <c r="D6188" s="938"/>
      <c r="E6188" s="962" t="s">
        <v>22</v>
      </c>
      <c r="F6188" s="1066"/>
      <c r="G6188" s="938"/>
      <c r="H6188" s="1029"/>
      <c r="I6188" s="940">
        <f>I6215</f>
        <v>16539.259999999998</v>
      </c>
    </row>
    <row r="6189" spans="2:9" ht="15.75">
      <c r="C6189" s="941" t="s">
        <v>908</v>
      </c>
      <c r="D6189" s="942" t="s">
        <v>9</v>
      </c>
      <c r="E6189" s="943" t="s">
        <v>10</v>
      </c>
      <c r="F6189" s="1067" t="s">
        <v>909</v>
      </c>
      <c r="G6189" s="942" t="s">
        <v>910</v>
      </c>
      <c r="H6189" s="1030" t="s">
        <v>911</v>
      </c>
      <c r="I6189" s="944" t="s">
        <v>912</v>
      </c>
    </row>
    <row r="6190" spans="2:9" ht="15.75">
      <c r="C6190" s="945" t="s">
        <v>913</v>
      </c>
      <c r="D6190" s="946"/>
      <c r="E6190" s="947"/>
      <c r="F6190" s="1054"/>
      <c r="G6190" s="946"/>
      <c r="H6190" s="1031"/>
      <c r="I6190" s="948"/>
    </row>
    <row r="6191" spans="2:9" ht="15.75">
      <c r="C6191" s="949" t="s">
        <v>994</v>
      </c>
      <c r="D6191" s="946">
        <v>1.02</v>
      </c>
      <c r="E6191" s="947" t="str">
        <f>+VLOOKUP(C6191,'Basic (equilibrio) (2)'!B:D,2,FALSE)</f>
        <v>m3</v>
      </c>
      <c r="F6191" s="1068">
        <f>'Basic (equilibrio) (2)'!$D$179</f>
        <v>7600</v>
      </c>
      <c r="G6191" s="946">
        <f>F6191-(F6191/1.18)</f>
        <v>1159.32</v>
      </c>
      <c r="H6191" s="1031"/>
      <c r="I6191" s="948">
        <f>D6191*F6191</f>
        <v>7752</v>
      </c>
    </row>
    <row r="6192" spans="2:9" ht="15.75">
      <c r="C6192" s="949" t="s">
        <v>1188</v>
      </c>
      <c r="D6192" s="946">
        <v>1.34</v>
      </c>
      <c r="E6192" s="947" t="str">
        <f>+VLOOKUP(C6192,'Basic (equilibrio) (2)'!B:D,2,FALSE)</f>
        <v>qq</v>
      </c>
      <c r="F6192" s="1068">
        <f>'Basic (equilibrio) (2)'!$D$183</f>
        <v>3600</v>
      </c>
      <c r="G6192" s="946">
        <f>F6192-(F6192/1.18)</f>
        <v>549.15</v>
      </c>
      <c r="H6192" s="1031"/>
      <c r="I6192" s="948">
        <f>D6192*F6192</f>
        <v>4824</v>
      </c>
    </row>
    <row r="6193" spans="3:9" ht="15.75">
      <c r="C6193" s="949" t="s">
        <v>1328</v>
      </c>
      <c r="D6193" s="946">
        <v>3.82</v>
      </c>
      <c r="E6193" s="947" t="str">
        <f>+VLOOKUP(C6193,'Basic (equilibrio) (2)'!B:D,2,FALSE)</f>
        <v>lb</v>
      </c>
      <c r="F6193" s="1068">
        <f>'Basic (equilibrio) (2)'!$D$334</f>
        <v>31.1</v>
      </c>
      <c r="G6193" s="946">
        <f>F6193-(F6193/1.18)</f>
        <v>4.74</v>
      </c>
      <c r="H6193" s="1031"/>
      <c r="I6193" s="948">
        <f>D6193*F6193</f>
        <v>118.8</v>
      </c>
    </row>
    <row r="6194" spans="3:9" ht="15.75">
      <c r="C6194" s="949" t="s">
        <v>1160</v>
      </c>
      <c r="D6194" s="946">
        <v>1</v>
      </c>
      <c r="E6194" s="947" t="str">
        <f>+VLOOKUP(C6194,'Basic (equilibrio) (2)'!B:D,2,FALSE)</f>
        <v>m3</v>
      </c>
      <c r="F6194" s="1068">
        <f>'Basic (equilibrio) (2)'!$D$51</f>
        <v>3833</v>
      </c>
      <c r="G6194" s="946">
        <f>F6194-(F6194/1.18)</f>
        <v>584.69000000000005</v>
      </c>
      <c r="H6194" s="1031"/>
      <c r="I6194" s="948">
        <f>D6194*F6194</f>
        <v>3833</v>
      </c>
    </row>
    <row r="6195" spans="3:9" ht="15.75">
      <c r="C6195" s="951" t="s">
        <v>918</v>
      </c>
      <c r="D6195" s="946"/>
      <c r="E6195" s="947"/>
      <c r="F6195" s="1068"/>
      <c r="G6195" s="946"/>
      <c r="H6195" s="1031"/>
      <c r="I6195" s="952">
        <f>SUM(I6191:I6194)</f>
        <v>16527.8</v>
      </c>
    </row>
    <row r="6196" spans="3:9" ht="15.75">
      <c r="C6196" s="949"/>
      <c r="D6196" s="946"/>
      <c r="E6196" s="947"/>
      <c r="F6196" s="1068"/>
      <c r="G6196" s="946"/>
      <c r="H6196" s="1031"/>
      <c r="I6196" s="948"/>
    </row>
    <row r="6197" spans="3:9" ht="15.75">
      <c r="C6197" s="945" t="s">
        <v>919</v>
      </c>
      <c r="D6197" s="946"/>
      <c r="E6197" s="947"/>
      <c r="G6197" s="946"/>
      <c r="H6197" s="1031"/>
      <c r="I6197" s="948"/>
    </row>
    <row r="6198" spans="3:9" ht="15.75">
      <c r="C6198" s="949" t="s">
        <v>1121</v>
      </c>
      <c r="D6198" s="953">
        <v>1.91</v>
      </c>
      <c r="E6198" s="954" t="str">
        <f>+VLOOKUP(C6198,'Basic (equilibrio) (2)'!B:D,2,FALSE)</f>
        <v>qq</v>
      </c>
      <c r="F6198" s="1068">
        <f>'Basic (equilibrio) (2)'!$D$45</f>
        <v>420</v>
      </c>
      <c r="G6198" s="946">
        <v>0</v>
      </c>
      <c r="H6198" s="1031">
        <v>70</v>
      </c>
      <c r="I6198" s="948">
        <f>(D6198*F6198)/H6198</f>
        <v>11.46</v>
      </c>
    </row>
    <row r="6199" spans="3:9" ht="15.75">
      <c r="C6199" s="951" t="s">
        <v>918</v>
      </c>
      <c r="D6199" s="946"/>
      <c r="E6199" s="947"/>
      <c r="F6199" s="1054"/>
      <c r="G6199" s="946"/>
      <c r="H6199" s="1031"/>
      <c r="I6199" s="952">
        <f>SUM(I6198:I6198)</f>
        <v>11.46</v>
      </c>
    </row>
    <row r="6200" spans="3:9" ht="15.75">
      <c r="C6200" s="949"/>
      <c r="D6200" s="946"/>
      <c r="E6200" s="947"/>
      <c r="F6200" s="1054"/>
      <c r="G6200" s="946"/>
      <c r="H6200" s="1031"/>
      <c r="I6200" s="948"/>
    </row>
    <row r="6201" spans="3:9" ht="15.75">
      <c r="C6201" s="945" t="s">
        <v>923</v>
      </c>
      <c r="D6201" s="946"/>
      <c r="E6201" s="947"/>
      <c r="F6201" s="1054"/>
      <c r="G6201" s="946"/>
      <c r="H6201" s="1031"/>
      <c r="I6201" s="948"/>
    </row>
    <row r="6202" spans="3:9" ht="15.75">
      <c r="C6202" s="949" t="s">
        <v>924</v>
      </c>
      <c r="D6202" s="946"/>
      <c r="E6202" s="947" t="str">
        <f>+VLOOKUP(C6202,'Basic (equilibrio) (2)'!B:D,2,FALSE)</f>
        <v>n/a</v>
      </c>
      <c r="F6202" s="1054">
        <f>+VLOOKUP(C6202,'Basic (equilibrio) (2)'!B:D,3,FALSE)</f>
        <v>0</v>
      </c>
      <c r="G6202" s="946">
        <f>F6202-(F6202/1.18)</f>
        <v>0</v>
      </c>
      <c r="H6202" s="1039"/>
      <c r="I6202" s="955">
        <f>D6202*F6202</f>
        <v>0</v>
      </c>
    </row>
    <row r="6203" spans="3:9" ht="15.75">
      <c r="C6203" s="951" t="s">
        <v>918</v>
      </c>
      <c r="D6203" s="946"/>
      <c r="E6203" s="947"/>
      <c r="F6203" s="1054"/>
      <c r="G6203" s="946"/>
      <c r="H6203" s="1031"/>
      <c r="I6203" s="952">
        <f>SUM(I6202:I6202)</f>
        <v>0</v>
      </c>
    </row>
    <row r="6204" spans="3:9" ht="15.75">
      <c r="C6204" s="949"/>
      <c r="D6204" s="946"/>
      <c r="E6204" s="947"/>
      <c r="F6204" s="1054"/>
      <c r="G6204" s="946"/>
      <c r="H6204" s="1031"/>
      <c r="I6204" s="948"/>
    </row>
    <row r="6205" spans="3:9" ht="15.75">
      <c r="C6205" s="945" t="s">
        <v>925</v>
      </c>
      <c r="D6205" s="946"/>
      <c r="E6205" s="947"/>
      <c r="F6205" s="1054"/>
      <c r="G6205" s="946"/>
      <c r="H6205" s="1031"/>
      <c r="I6205" s="948"/>
    </row>
    <row r="6206" spans="3:9" ht="15.75">
      <c r="C6206" s="949" t="s">
        <v>924</v>
      </c>
      <c r="D6206" s="946"/>
      <c r="E6206" s="947" t="str">
        <f>+VLOOKUP(C6206,'Basic (equilibrio) (2)'!B:D,2,FALSE)</f>
        <v>n/a</v>
      </c>
      <c r="F6206" s="1054">
        <f>+VLOOKUP(C6206,'Basic (equilibrio) (2)'!B:D,3,FALSE)</f>
        <v>0</v>
      </c>
      <c r="G6206" s="946"/>
      <c r="H6206" s="1031"/>
      <c r="I6206" s="948">
        <f>D6206*F6206</f>
        <v>0</v>
      </c>
    </row>
    <row r="6207" spans="3:9" ht="15.75">
      <c r="C6207" s="951" t="s">
        <v>918</v>
      </c>
      <c r="D6207" s="946"/>
      <c r="E6207" s="947"/>
      <c r="F6207" s="1054"/>
      <c r="G6207" s="946"/>
      <c r="H6207" s="1031"/>
      <c r="I6207" s="952">
        <f>SUM(I6206)</f>
        <v>0</v>
      </c>
    </row>
    <row r="6208" spans="3:9" ht="15.75">
      <c r="C6208" s="951"/>
      <c r="D6208" s="946"/>
      <c r="E6208" s="947"/>
      <c r="F6208" s="1054"/>
      <c r="G6208" s="946"/>
      <c r="H6208" s="1031"/>
      <c r="I6208" s="952"/>
    </row>
    <row r="6209" spans="2:9" ht="15.75">
      <c r="C6209" s="956" t="s">
        <v>926</v>
      </c>
      <c r="D6209" s="957"/>
      <c r="E6209" s="958"/>
      <c r="F6209" s="1069"/>
      <c r="G6209" s="957"/>
      <c r="H6209" s="1032"/>
      <c r="I6209" s="959">
        <f>+I6195</f>
        <v>16527.8</v>
      </c>
    </row>
    <row r="6210" spans="2:9" ht="15.75">
      <c r="C6210" s="956" t="s">
        <v>927</v>
      </c>
      <c r="D6210" s="957"/>
      <c r="E6210" s="958"/>
      <c r="F6210" s="1069"/>
      <c r="G6210" s="957"/>
      <c r="H6210" s="1032"/>
      <c r="I6210" s="959">
        <f>+I6199</f>
        <v>11.46</v>
      </c>
    </row>
    <row r="6211" spans="2:9" ht="15.75">
      <c r="C6211" s="956" t="s">
        <v>928</v>
      </c>
      <c r="D6211" s="957"/>
      <c r="E6211" s="958"/>
      <c r="F6211" s="1069"/>
      <c r="G6211" s="957"/>
      <c r="H6211" s="1032"/>
      <c r="I6211" s="959">
        <f>+I6203</f>
        <v>0</v>
      </c>
    </row>
    <row r="6212" spans="2:9" ht="15.75">
      <c r="C6212" s="956" t="s">
        <v>929</v>
      </c>
      <c r="D6212" s="957"/>
      <c r="E6212" s="958"/>
      <c r="F6212" s="1069"/>
      <c r="G6212" s="957"/>
      <c r="H6212" s="1032"/>
      <c r="I6212" s="959">
        <f>+I6207</f>
        <v>0</v>
      </c>
    </row>
    <row r="6213" spans="2:9" ht="15.75">
      <c r="C6213" s="949"/>
      <c r="D6213" s="946"/>
      <c r="E6213" s="947"/>
      <c r="F6213" s="1054"/>
      <c r="G6213" s="946"/>
      <c r="H6213" s="1031"/>
      <c r="I6213" s="948"/>
    </row>
    <row r="6214" spans="2:9" ht="15.75">
      <c r="C6214" s="949"/>
      <c r="D6214" s="946"/>
      <c r="E6214" s="947"/>
      <c r="F6214" s="1054"/>
      <c r="G6214" s="946"/>
      <c r="H6214" s="1031"/>
      <c r="I6214" s="948"/>
    </row>
    <row r="6215" spans="2:9" ht="15.75">
      <c r="C6215" s="951" t="s">
        <v>930</v>
      </c>
      <c r="D6215" s="960"/>
      <c r="E6215" s="943" t="str">
        <f>+E6188</f>
        <v>M3</v>
      </c>
      <c r="F6215" s="1070"/>
      <c r="G6215" s="960"/>
      <c r="H6215" s="1033"/>
      <c r="I6215" s="952">
        <f>SUM(I6209:I6212)</f>
        <v>16539.259999999998</v>
      </c>
    </row>
    <row r="6216" spans="2:9" ht="15.75">
      <c r="C6216" s="951"/>
      <c r="D6216" s="960"/>
      <c r="E6216" s="943"/>
      <c r="F6216" s="1070"/>
      <c r="G6216" s="960"/>
      <c r="H6216" s="1033"/>
      <c r="I6216" s="952"/>
    </row>
    <row r="6217" spans="2:9" ht="15.75">
      <c r="B6217" s="1026">
        <v>4.0999999999999996</v>
      </c>
      <c r="C6217" s="937" t="str">
        <f>+Presupuesto!B392</f>
        <v>De 6'' Ø3/8" a 0.40 m B.N.P.</v>
      </c>
      <c r="D6217" s="938"/>
      <c r="E6217" s="962" t="s">
        <v>20</v>
      </c>
      <c r="F6217" s="1066"/>
      <c r="G6217" s="938"/>
      <c r="H6217" s="1029"/>
      <c r="I6217" s="940">
        <f>I6248</f>
        <v>1523.06</v>
      </c>
    </row>
    <row r="6218" spans="2:9" ht="15.75">
      <c r="C6218" s="941" t="s">
        <v>908</v>
      </c>
      <c r="D6218" s="942" t="s">
        <v>9</v>
      </c>
      <c r="E6218" s="943" t="s">
        <v>10</v>
      </c>
      <c r="F6218" s="1067" t="s">
        <v>909</v>
      </c>
      <c r="G6218" s="942" t="s">
        <v>910</v>
      </c>
      <c r="H6218" s="1030" t="s">
        <v>911</v>
      </c>
      <c r="I6218" s="944" t="s">
        <v>912</v>
      </c>
    </row>
    <row r="6219" spans="2:9" ht="15.75">
      <c r="C6219" s="945" t="s">
        <v>913</v>
      </c>
      <c r="D6219" s="946"/>
      <c r="E6219" s="947"/>
      <c r="F6219" s="1054"/>
      <c r="G6219" s="946"/>
      <c r="H6219" s="1031"/>
      <c r="I6219" s="948"/>
    </row>
    <row r="6220" spans="2:9" ht="15.75">
      <c r="C6220" s="949" t="s">
        <v>1201</v>
      </c>
      <c r="D6220" s="946">
        <v>11.61</v>
      </c>
      <c r="E6220" s="947" t="str">
        <f>+VLOOKUP(C6220,'Basic (equilibrio) (2)'!B:D,2,FALSE)</f>
        <v>ud</v>
      </c>
      <c r="F6220" s="1068">
        <f>'Basic (equilibrio) (2)'!$D$300</f>
        <v>35</v>
      </c>
      <c r="G6220" s="946">
        <f t="shared" ref="G6220:G6225" si="41">F6220-(F6220/1.18)</f>
        <v>5.34</v>
      </c>
      <c r="H6220" s="1031"/>
      <c r="I6220" s="948">
        <f t="shared" ref="I6220:I6225" si="42">D6220*F6220</f>
        <v>406.35</v>
      </c>
    </row>
    <row r="6221" spans="2:9" ht="15.75">
      <c r="C6221" s="949" t="s">
        <v>1203</v>
      </c>
      <c r="D6221" s="946">
        <v>11.61</v>
      </c>
      <c r="E6221" s="947" t="str">
        <f>+VLOOKUP(C6221,'Basic (equilibrio) (2)'!B:D,2,FALSE)</f>
        <v>ud</v>
      </c>
      <c r="F6221" s="1068">
        <f>'Basic (equilibrio) (2)'!$D$303</f>
        <v>3.3</v>
      </c>
      <c r="G6221" s="946">
        <f t="shared" si="41"/>
        <v>0.5</v>
      </c>
      <c r="H6221" s="1031"/>
      <c r="I6221" s="948">
        <f t="shared" si="42"/>
        <v>38.31</v>
      </c>
    </row>
    <row r="6222" spans="2:9" ht="15.75">
      <c r="C6222" s="949" t="s">
        <v>1204</v>
      </c>
      <c r="D6222" s="946">
        <v>0.04</v>
      </c>
      <c r="E6222" s="947" t="str">
        <f>+VLOOKUP(C6222,'Basic (equilibrio) (2)'!B:D,2,FALSE)</f>
        <v>m3</v>
      </c>
      <c r="F6222" s="1068">
        <f>'Basic (equilibrio) (2)'!$D$307</f>
        <v>6174</v>
      </c>
      <c r="G6222" s="946">
        <f t="shared" si="41"/>
        <v>941.8</v>
      </c>
      <c r="H6222" s="1031"/>
      <c r="I6222" s="948">
        <f t="shared" si="42"/>
        <v>246.96</v>
      </c>
    </row>
    <row r="6223" spans="2:9" ht="15.75">
      <c r="C6223" s="949" t="s">
        <v>1205</v>
      </c>
      <c r="D6223" s="946">
        <v>0.04</v>
      </c>
      <c r="E6223" s="947" t="str">
        <f>+VLOOKUP(C6223,'Basic (equilibrio) (2)'!B:D,2,FALSE)</f>
        <v>m3</v>
      </c>
      <c r="F6223" s="1068">
        <f>'Basic (equilibrio) (2)'!$D$308</f>
        <v>5985</v>
      </c>
      <c r="G6223" s="946">
        <f t="shared" si="41"/>
        <v>912.97</v>
      </c>
      <c r="H6223" s="1031"/>
      <c r="I6223" s="948">
        <f t="shared" si="42"/>
        <v>239.4</v>
      </c>
    </row>
    <row r="6224" spans="2:9" ht="15.75">
      <c r="C6224" s="949" t="s">
        <v>1188</v>
      </c>
      <c r="D6224" s="946">
        <v>0.08</v>
      </c>
      <c r="E6224" s="947" t="str">
        <f>+VLOOKUP(C6224,'Basic (equilibrio) (2)'!B:D,2,FALSE)</f>
        <v>qq</v>
      </c>
      <c r="F6224" s="1068">
        <f>'Basic (equilibrio) (2)'!$D$183</f>
        <v>3600</v>
      </c>
      <c r="G6224" s="946">
        <f t="shared" si="41"/>
        <v>549.15</v>
      </c>
      <c r="H6224" s="1031"/>
      <c r="I6224" s="948">
        <f t="shared" si="42"/>
        <v>288</v>
      </c>
    </row>
    <row r="6225" spans="3:9" ht="15.75">
      <c r="C6225" s="949" t="s">
        <v>1328</v>
      </c>
      <c r="D6225" s="946">
        <v>7.0000000000000007E-2</v>
      </c>
      <c r="E6225" s="947" t="str">
        <f>+VLOOKUP(C6225,'Basic (equilibrio) (2)'!B:D,2,FALSE)</f>
        <v>lb</v>
      </c>
      <c r="F6225" s="1068">
        <f>'Basic (equilibrio) (2)'!$D$334</f>
        <v>31.1</v>
      </c>
      <c r="G6225" s="946">
        <f t="shared" si="41"/>
        <v>4.74</v>
      </c>
      <c r="H6225" s="1031"/>
      <c r="I6225" s="948">
        <f t="shared" si="42"/>
        <v>2.1800000000000002</v>
      </c>
    </row>
    <row r="6226" spans="3:9" ht="15.75">
      <c r="C6226" s="951" t="s">
        <v>918</v>
      </c>
      <c r="D6226" s="946"/>
      <c r="E6226" s="947"/>
      <c r="F6226" s="1068"/>
      <c r="G6226" s="946"/>
      <c r="H6226" s="1031"/>
      <c r="I6226" s="952">
        <f>SUM(I6220:I6225)</f>
        <v>1221.2</v>
      </c>
    </row>
    <row r="6227" spans="3:9" ht="15.75">
      <c r="C6227" s="949"/>
      <c r="D6227" s="946"/>
      <c r="E6227" s="947"/>
      <c r="F6227" s="1068"/>
      <c r="G6227" s="946"/>
      <c r="H6227" s="1031"/>
      <c r="I6227" s="948"/>
    </row>
    <row r="6228" spans="3:9" ht="15.75">
      <c r="C6228" s="945" t="s">
        <v>919</v>
      </c>
      <c r="D6228" s="946"/>
      <c r="E6228" s="947"/>
      <c r="F6228" s="1068"/>
      <c r="G6228" s="946"/>
      <c r="H6228" s="1031"/>
      <c r="I6228" s="948"/>
    </row>
    <row r="6229" spans="3:9" ht="15.75">
      <c r="C6229" s="949" t="s">
        <v>1074</v>
      </c>
      <c r="D6229" s="953">
        <v>11.61</v>
      </c>
      <c r="E6229" s="954" t="str">
        <f>+VLOOKUP(C6229,'Basic (equilibrio) (2)'!B:D,2,FALSE)</f>
        <v>ud</v>
      </c>
      <c r="F6229" s="1068">
        <f>'Basic (equilibrio) (2)'!$D$26</f>
        <v>1</v>
      </c>
      <c r="G6229" s="946">
        <v>0</v>
      </c>
      <c r="H6229" s="1031"/>
      <c r="I6229" s="948">
        <f>(D6229*F6229)</f>
        <v>11.61</v>
      </c>
    </row>
    <row r="6230" spans="3:9" ht="15.75">
      <c r="C6230" s="949" t="s">
        <v>1075</v>
      </c>
      <c r="D6230" s="953">
        <v>11.61</v>
      </c>
      <c r="E6230" s="954" t="str">
        <f>+VLOOKUP(C6230,'Basic (equilibrio) (2)'!B:D,2,FALSE)</f>
        <v>ud</v>
      </c>
      <c r="F6230" s="1068">
        <f>'Basic (equilibrio) (2)'!$D$27</f>
        <v>3</v>
      </c>
      <c r="G6230" s="946">
        <v>0</v>
      </c>
      <c r="H6230" s="1031"/>
      <c r="I6230" s="948">
        <f>(D6230*F6230)</f>
        <v>34.83</v>
      </c>
    </row>
    <row r="6231" spans="3:9" ht="15.75">
      <c r="C6231" s="949" t="s">
        <v>1077</v>
      </c>
      <c r="D6231" s="953">
        <v>11.61</v>
      </c>
      <c r="E6231" s="954" t="str">
        <f>+VLOOKUP(C6231,'Basic (equilibrio) (2)'!B:D,2,FALSE)</f>
        <v>ud</v>
      </c>
      <c r="F6231" s="1068">
        <f>'Basic (equilibrio) (2)'!$D$29</f>
        <v>22</v>
      </c>
      <c r="G6231" s="946">
        <v>0</v>
      </c>
      <c r="H6231" s="1031"/>
      <c r="I6231" s="948">
        <f>(D6231*F6231)</f>
        <v>255.42</v>
      </c>
    </row>
    <row r="6232" spans="3:9" ht="15.75">
      <c r="C6232" s="951" t="s">
        <v>918</v>
      </c>
      <c r="D6232" s="946"/>
      <c r="E6232" s="947"/>
      <c r="F6232" s="1054"/>
      <c r="G6232" s="946"/>
      <c r="H6232" s="1031"/>
      <c r="I6232" s="952">
        <f>SUM(I6229:I6231)</f>
        <v>301.86</v>
      </c>
    </row>
    <row r="6233" spans="3:9" ht="15.75">
      <c r="C6233" s="949"/>
      <c r="D6233" s="946"/>
      <c r="E6233" s="947"/>
      <c r="F6233" s="1054"/>
      <c r="G6233" s="946"/>
      <c r="H6233" s="1031"/>
      <c r="I6233" s="948"/>
    </row>
    <row r="6234" spans="3:9" ht="15.75">
      <c r="C6234" s="945" t="s">
        <v>923</v>
      </c>
      <c r="D6234" s="946"/>
      <c r="E6234" s="947"/>
      <c r="F6234" s="1054"/>
      <c r="G6234" s="946"/>
      <c r="H6234" s="1031"/>
      <c r="I6234" s="948"/>
    </row>
    <row r="6235" spans="3:9" ht="15.75">
      <c r="C6235" s="949" t="s">
        <v>924</v>
      </c>
      <c r="D6235" s="946"/>
      <c r="E6235" s="947" t="str">
        <f>+VLOOKUP(C6235,'Basic (equilibrio) (2)'!B:D,2,FALSE)</f>
        <v>n/a</v>
      </c>
      <c r="F6235" s="1054">
        <f>+VLOOKUP(C6235,'Basic (equilibrio) (2)'!B:D,3,FALSE)</f>
        <v>0</v>
      </c>
      <c r="G6235" s="946">
        <f>F6235-(F6235/1.18)</f>
        <v>0</v>
      </c>
      <c r="H6235" s="1039"/>
      <c r="I6235" s="955">
        <f>D6235*F6235</f>
        <v>0</v>
      </c>
    </row>
    <row r="6236" spans="3:9" ht="15.75">
      <c r="C6236" s="951" t="s">
        <v>918</v>
      </c>
      <c r="D6236" s="946"/>
      <c r="E6236" s="947"/>
      <c r="F6236" s="1054"/>
      <c r="G6236" s="946"/>
      <c r="H6236" s="1031"/>
      <c r="I6236" s="952">
        <f>SUM(I6235:I6235)</f>
        <v>0</v>
      </c>
    </row>
    <row r="6237" spans="3:9" ht="15.75">
      <c r="C6237" s="949"/>
      <c r="D6237" s="946"/>
      <c r="E6237" s="947"/>
      <c r="F6237" s="1054"/>
      <c r="G6237" s="946"/>
      <c r="H6237" s="1031"/>
      <c r="I6237" s="948"/>
    </row>
    <row r="6238" spans="3:9" ht="15.75">
      <c r="C6238" s="945" t="s">
        <v>925</v>
      </c>
      <c r="D6238" s="946"/>
      <c r="E6238" s="947"/>
      <c r="F6238" s="1054"/>
      <c r="G6238" s="946"/>
      <c r="H6238" s="1031"/>
      <c r="I6238" s="948"/>
    </row>
    <row r="6239" spans="3:9" ht="15.75">
      <c r="C6239" s="949" t="s">
        <v>924</v>
      </c>
      <c r="D6239" s="946"/>
      <c r="E6239" s="947" t="str">
        <f>+VLOOKUP(C6239,'Basic (equilibrio) (2)'!B:D,2,FALSE)</f>
        <v>n/a</v>
      </c>
      <c r="F6239" s="1054">
        <f>+VLOOKUP(C6239,'Basic (equilibrio) (2)'!B:D,3,FALSE)</f>
        <v>0</v>
      </c>
      <c r="G6239" s="946"/>
      <c r="H6239" s="1031"/>
      <c r="I6239" s="948">
        <f>D6239*F6239</f>
        <v>0</v>
      </c>
    </row>
    <row r="6240" spans="3:9" ht="15.75">
      <c r="C6240" s="951" t="s">
        <v>918</v>
      </c>
      <c r="D6240" s="946"/>
      <c r="E6240" s="947"/>
      <c r="F6240" s="1054"/>
      <c r="G6240" s="946"/>
      <c r="H6240" s="1031"/>
      <c r="I6240" s="952">
        <f>SUM(I6239)</f>
        <v>0</v>
      </c>
    </row>
    <row r="6241" spans="2:9" ht="15.75">
      <c r="C6241" s="951"/>
      <c r="D6241" s="946"/>
      <c r="E6241" s="947"/>
      <c r="F6241" s="1054"/>
      <c r="G6241" s="946"/>
      <c r="H6241" s="1031"/>
      <c r="I6241" s="952"/>
    </row>
    <row r="6242" spans="2:9" ht="15.75">
      <c r="C6242" s="956" t="s">
        <v>926</v>
      </c>
      <c r="D6242" s="957"/>
      <c r="E6242" s="958"/>
      <c r="F6242" s="1069"/>
      <c r="G6242" s="957"/>
      <c r="H6242" s="1032"/>
      <c r="I6242" s="959">
        <f>+I6226</f>
        <v>1221.2</v>
      </c>
    </row>
    <row r="6243" spans="2:9" ht="15.75">
      <c r="C6243" s="956" t="s">
        <v>927</v>
      </c>
      <c r="D6243" s="957"/>
      <c r="E6243" s="958"/>
      <c r="F6243" s="1069"/>
      <c r="G6243" s="957"/>
      <c r="H6243" s="1032"/>
      <c r="I6243" s="959">
        <f>+I6232</f>
        <v>301.86</v>
      </c>
    </row>
    <row r="6244" spans="2:9" ht="15.75">
      <c r="C6244" s="956" t="s">
        <v>928</v>
      </c>
      <c r="D6244" s="957"/>
      <c r="E6244" s="958"/>
      <c r="F6244" s="1069"/>
      <c r="G6244" s="957"/>
      <c r="H6244" s="1032"/>
      <c r="I6244" s="959">
        <f>+I6236</f>
        <v>0</v>
      </c>
    </row>
    <row r="6245" spans="2:9" ht="15.75">
      <c r="C6245" s="956" t="s">
        <v>929</v>
      </c>
      <c r="D6245" s="957"/>
      <c r="E6245" s="958"/>
      <c r="F6245" s="1069"/>
      <c r="G6245" s="957"/>
      <c r="H6245" s="1032"/>
      <c r="I6245" s="959">
        <f>+I6240</f>
        <v>0</v>
      </c>
    </row>
    <row r="6246" spans="2:9" ht="15.75">
      <c r="C6246" s="949"/>
      <c r="D6246" s="946"/>
      <c r="E6246" s="947"/>
      <c r="F6246" s="1054"/>
      <c r="G6246" s="946"/>
      <c r="H6246" s="1031"/>
      <c r="I6246" s="948"/>
    </row>
    <row r="6247" spans="2:9" ht="15.75">
      <c r="C6247" s="949"/>
      <c r="D6247" s="946"/>
      <c r="E6247" s="947"/>
      <c r="F6247" s="1054"/>
      <c r="G6247" s="946"/>
      <c r="H6247" s="1031"/>
      <c r="I6247" s="948"/>
    </row>
    <row r="6248" spans="2:9" ht="15.75">
      <c r="C6248" s="951" t="s">
        <v>930</v>
      </c>
      <c r="D6248" s="960"/>
      <c r="E6248" s="943" t="str">
        <f>+E6217</f>
        <v>M2</v>
      </c>
      <c r="F6248" s="1070"/>
      <c r="G6248" s="960"/>
      <c r="H6248" s="1033"/>
      <c r="I6248" s="952">
        <f>SUM(I6242:I6245)</f>
        <v>1523.06</v>
      </c>
    </row>
    <row r="6249" spans="2:9" ht="15.75">
      <c r="C6249" s="951"/>
      <c r="D6249" s="960"/>
      <c r="E6249" s="943"/>
      <c r="F6249" s="1070"/>
      <c r="G6249" s="960"/>
      <c r="H6249" s="1033"/>
      <c r="I6249" s="952"/>
    </row>
    <row r="6250" spans="2:9" ht="15.75">
      <c r="B6250" s="1026">
        <v>4.2</v>
      </c>
      <c r="C6250" s="937" t="str">
        <f>+Presupuesto!B393</f>
        <v>De 6'' Ø3/8" a 0.80 m S.N.P.</v>
      </c>
      <c r="D6250" s="938"/>
      <c r="E6250" s="962" t="s">
        <v>20</v>
      </c>
      <c r="F6250" s="1066"/>
      <c r="G6250" s="938"/>
      <c r="H6250" s="1029"/>
      <c r="I6250" s="940">
        <f>I6281</f>
        <v>1379.06</v>
      </c>
    </row>
    <row r="6251" spans="2:9" ht="15.75">
      <c r="C6251" s="941" t="s">
        <v>908</v>
      </c>
      <c r="D6251" s="942" t="s">
        <v>9</v>
      </c>
      <c r="E6251" s="943" t="s">
        <v>10</v>
      </c>
      <c r="F6251" s="1067" t="s">
        <v>909</v>
      </c>
      <c r="G6251" s="942" t="s">
        <v>910</v>
      </c>
      <c r="H6251" s="1030" t="s">
        <v>911</v>
      </c>
      <c r="I6251" s="944" t="s">
        <v>912</v>
      </c>
    </row>
    <row r="6252" spans="2:9" ht="15.75">
      <c r="C6252" s="945" t="s">
        <v>913</v>
      </c>
      <c r="D6252" s="946"/>
      <c r="E6252" s="947"/>
      <c r="F6252" s="1054"/>
      <c r="G6252" s="946"/>
      <c r="H6252" s="1031"/>
      <c r="I6252" s="948"/>
    </row>
    <row r="6253" spans="2:9" ht="15.75">
      <c r="C6253" s="949" t="s">
        <v>1201</v>
      </c>
      <c r="D6253" s="946">
        <v>11.61</v>
      </c>
      <c r="E6253" s="947" t="str">
        <f>+VLOOKUP(C6253,'Basic (equilibrio) (2)'!B:D,2,FALSE)</f>
        <v>ud</v>
      </c>
      <c r="F6253" s="1068">
        <f>'Basic (equilibrio) (2)'!$D$300</f>
        <v>35</v>
      </c>
      <c r="G6253" s="946">
        <f t="shared" ref="G6253:G6258" si="43">F6253-(F6253/1.18)</f>
        <v>5.34</v>
      </c>
      <c r="H6253" s="1031"/>
      <c r="I6253" s="948">
        <f t="shared" ref="I6253:I6258" si="44">D6253*F6253</f>
        <v>406.35</v>
      </c>
    </row>
    <row r="6254" spans="2:9" ht="15.75">
      <c r="C6254" s="949" t="s">
        <v>1203</v>
      </c>
      <c r="D6254" s="946">
        <v>11.61</v>
      </c>
      <c r="E6254" s="947" t="str">
        <f>+VLOOKUP(C6254,'Basic (equilibrio) (2)'!B:D,2,FALSE)</f>
        <v>ud</v>
      </c>
      <c r="F6254" s="1068">
        <f>'Basic (equilibrio) (2)'!$D$303</f>
        <v>3.3</v>
      </c>
      <c r="G6254" s="946">
        <f t="shared" si="43"/>
        <v>0.5</v>
      </c>
      <c r="H6254" s="1031"/>
      <c r="I6254" s="948">
        <f t="shared" si="44"/>
        <v>38.31</v>
      </c>
    </row>
    <row r="6255" spans="2:9" ht="15.75">
      <c r="C6255" s="949" t="s">
        <v>1204</v>
      </c>
      <c r="D6255" s="946">
        <v>0.04</v>
      </c>
      <c r="E6255" s="947" t="str">
        <f>+VLOOKUP(C6255,'Basic (equilibrio) (2)'!B:D,2,FALSE)</f>
        <v>m3</v>
      </c>
      <c r="F6255" s="1068">
        <f>'Basic (equilibrio) (2)'!$D$307</f>
        <v>6174</v>
      </c>
      <c r="G6255" s="946">
        <f t="shared" si="43"/>
        <v>941.8</v>
      </c>
      <c r="H6255" s="1031"/>
      <c r="I6255" s="948">
        <f t="shared" si="44"/>
        <v>246.96</v>
      </c>
    </row>
    <row r="6256" spans="2:9" ht="15.75">
      <c r="C6256" s="949" t="s">
        <v>1205</v>
      </c>
      <c r="D6256" s="946">
        <v>0.04</v>
      </c>
      <c r="E6256" s="947" t="str">
        <f>+VLOOKUP(C6256,'Basic (equilibrio) (2)'!B:D,2,FALSE)</f>
        <v>m3</v>
      </c>
      <c r="F6256" s="1068">
        <f>'Basic (equilibrio) (2)'!$D$308</f>
        <v>5985</v>
      </c>
      <c r="G6256" s="946">
        <f t="shared" si="43"/>
        <v>912.97</v>
      </c>
      <c r="H6256" s="1031"/>
      <c r="I6256" s="948">
        <f t="shared" si="44"/>
        <v>239.4</v>
      </c>
    </row>
    <row r="6257" spans="3:9" ht="15.75">
      <c r="C6257" s="949" t="s">
        <v>1188</v>
      </c>
      <c r="D6257" s="946">
        <v>0.04</v>
      </c>
      <c r="E6257" s="947" t="str">
        <f>+VLOOKUP(C6257,'Basic (equilibrio) (2)'!B:D,2,FALSE)</f>
        <v>qq</v>
      </c>
      <c r="F6257" s="1068">
        <f>'Basic (equilibrio) (2)'!$D$183</f>
        <v>3600</v>
      </c>
      <c r="G6257" s="946">
        <f t="shared" si="43"/>
        <v>549.15</v>
      </c>
      <c r="H6257" s="1031"/>
      <c r="I6257" s="948">
        <f t="shared" si="44"/>
        <v>144</v>
      </c>
    </row>
    <row r="6258" spans="3:9" ht="15.75">
      <c r="C6258" s="949" t="s">
        <v>1328</v>
      </c>
      <c r="D6258" s="946">
        <v>7.0000000000000007E-2</v>
      </c>
      <c r="E6258" s="947" t="str">
        <f>+VLOOKUP(C6258,'Basic (equilibrio) (2)'!B:D,2,FALSE)</f>
        <v>lb</v>
      </c>
      <c r="F6258" s="1068">
        <f>'Basic (equilibrio) (2)'!$D$334</f>
        <v>31.1</v>
      </c>
      <c r="G6258" s="946">
        <f t="shared" si="43"/>
        <v>4.74</v>
      </c>
      <c r="H6258" s="1031"/>
      <c r="I6258" s="948">
        <f t="shared" si="44"/>
        <v>2.1800000000000002</v>
      </c>
    </row>
    <row r="6259" spans="3:9" ht="15.75">
      <c r="C6259" s="951" t="s">
        <v>918</v>
      </c>
      <c r="D6259" s="946"/>
      <c r="E6259" s="947"/>
      <c r="F6259" s="1068"/>
      <c r="G6259" s="946"/>
      <c r="H6259" s="1031"/>
      <c r="I6259" s="952">
        <f>SUM(I6253:I6258)</f>
        <v>1077.2</v>
      </c>
    </row>
    <row r="6260" spans="3:9" ht="15.75">
      <c r="C6260" s="949"/>
      <c r="D6260" s="946"/>
      <c r="E6260" s="947"/>
      <c r="F6260" s="1068"/>
      <c r="G6260" s="946"/>
      <c r="H6260" s="1031"/>
      <c r="I6260" s="948"/>
    </row>
    <row r="6261" spans="3:9" ht="15.75">
      <c r="C6261" s="945" t="s">
        <v>919</v>
      </c>
      <c r="D6261" s="946"/>
      <c r="E6261" s="947"/>
      <c r="F6261" s="1068"/>
      <c r="G6261" s="946"/>
      <c r="H6261" s="1031"/>
      <c r="I6261" s="948"/>
    </row>
    <row r="6262" spans="3:9" ht="15.75">
      <c r="C6262" s="949" t="s">
        <v>1074</v>
      </c>
      <c r="D6262" s="953">
        <v>11.61</v>
      </c>
      <c r="E6262" s="954" t="str">
        <f>+VLOOKUP(C6262,'Basic (equilibrio) (2)'!B:D,2,FALSE)</f>
        <v>ud</v>
      </c>
      <c r="F6262" s="1068">
        <f>'Basic (equilibrio) (2)'!$D$26</f>
        <v>1</v>
      </c>
      <c r="G6262" s="946">
        <v>0</v>
      </c>
      <c r="H6262" s="1031"/>
      <c r="I6262" s="948">
        <f>(D6262*F6262)</f>
        <v>11.61</v>
      </c>
    </row>
    <row r="6263" spans="3:9" ht="15.75">
      <c r="C6263" s="949" t="s">
        <v>1075</v>
      </c>
      <c r="D6263" s="953">
        <v>11.61</v>
      </c>
      <c r="E6263" s="954" t="str">
        <f>+VLOOKUP(C6263,'Basic (equilibrio) (2)'!B:D,2,FALSE)</f>
        <v>ud</v>
      </c>
      <c r="F6263" s="1068">
        <f>'Basic (equilibrio) (2)'!$D$27</f>
        <v>3</v>
      </c>
      <c r="G6263" s="946">
        <v>0</v>
      </c>
      <c r="H6263" s="1031"/>
      <c r="I6263" s="948">
        <f>(D6263*F6263)</f>
        <v>34.83</v>
      </c>
    </row>
    <row r="6264" spans="3:9" ht="15.75">
      <c r="C6264" s="949" t="s">
        <v>1077</v>
      </c>
      <c r="D6264" s="953">
        <v>11.61</v>
      </c>
      <c r="E6264" s="954" t="str">
        <f>+VLOOKUP(C6264,'Basic (equilibrio) (2)'!B:D,2,FALSE)</f>
        <v>ud</v>
      </c>
      <c r="F6264" s="1068">
        <f>'Basic (equilibrio) (2)'!$D$29</f>
        <v>22</v>
      </c>
      <c r="G6264" s="946">
        <v>0</v>
      </c>
      <c r="H6264" s="1031"/>
      <c r="I6264" s="948">
        <f>(D6264*F6264)</f>
        <v>255.42</v>
      </c>
    </row>
    <row r="6265" spans="3:9" ht="15.75">
      <c r="C6265" s="951" t="s">
        <v>918</v>
      </c>
      <c r="D6265" s="946"/>
      <c r="E6265" s="947"/>
      <c r="F6265" s="1054"/>
      <c r="G6265" s="946"/>
      <c r="H6265" s="1031"/>
      <c r="I6265" s="952">
        <f>SUM(I6262:I6264)</f>
        <v>301.86</v>
      </c>
    </row>
    <row r="6266" spans="3:9" ht="15.75">
      <c r="C6266" s="949"/>
      <c r="D6266" s="946"/>
      <c r="E6266" s="947"/>
      <c r="F6266" s="1054"/>
      <c r="G6266" s="946"/>
      <c r="H6266" s="1031"/>
      <c r="I6266" s="948"/>
    </row>
    <row r="6267" spans="3:9" ht="15.75">
      <c r="C6267" s="945" t="s">
        <v>923</v>
      </c>
      <c r="D6267" s="946"/>
      <c r="E6267" s="947"/>
      <c r="F6267" s="1054"/>
      <c r="G6267" s="946"/>
      <c r="H6267" s="1031"/>
      <c r="I6267" s="948"/>
    </row>
    <row r="6268" spans="3:9" ht="15.75">
      <c r="C6268" s="949" t="s">
        <v>924</v>
      </c>
      <c r="D6268" s="946"/>
      <c r="E6268" s="947" t="str">
        <f>+VLOOKUP(C6268,'Basic (equilibrio) (2)'!B:D,2,FALSE)</f>
        <v>n/a</v>
      </c>
      <c r="F6268" s="1054">
        <f>+VLOOKUP(C6268,'Basic (equilibrio) (2)'!B:D,3,FALSE)</f>
        <v>0</v>
      </c>
      <c r="G6268" s="946">
        <f>F6268-(F6268/1.18)</f>
        <v>0</v>
      </c>
      <c r="H6268" s="1039"/>
      <c r="I6268" s="955">
        <f>D6268*F6268</f>
        <v>0</v>
      </c>
    </row>
    <row r="6269" spans="3:9" ht="15.75">
      <c r="C6269" s="951" t="s">
        <v>918</v>
      </c>
      <c r="D6269" s="946"/>
      <c r="E6269" s="947"/>
      <c r="F6269" s="1054"/>
      <c r="G6269" s="946"/>
      <c r="H6269" s="1031"/>
      <c r="I6269" s="952">
        <f>SUM(I6268:I6268)</f>
        <v>0</v>
      </c>
    </row>
    <row r="6270" spans="3:9" ht="15.75">
      <c r="C6270" s="949"/>
      <c r="D6270" s="946"/>
      <c r="E6270" s="947"/>
      <c r="F6270" s="1054"/>
      <c r="G6270" s="946"/>
      <c r="H6270" s="1031"/>
      <c r="I6270" s="948"/>
    </row>
    <row r="6271" spans="3:9" ht="15.75">
      <c r="C6271" s="945" t="s">
        <v>925</v>
      </c>
      <c r="D6271" s="946"/>
      <c r="E6271" s="947"/>
      <c r="F6271" s="1054"/>
      <c r="G6271" s="946"/>
      <c r="H6271" s="1031"/>
      <c r="I6271" s="948"/>
    </row>
    <row r="6272" spans="3:9" ht="15.75">
      <c r="C6272" s="949" t="s">
        <v>924</v>
      </c>
      <c r="D6272" s="946"/>
      <c r="E6272" s="947" t="str">
        <f>+VLOOKUP(C6272,'Basic (equilibrio) (2)'!B:D,2,FALSE)</f>
        <v>n/a</v>
      </c>
      <c r="F6272" s="1054">
        <f>+VLOOKUP(C6272,'Basic (equilibrio) (2)'!B:D,3,FALSE)</f>
        <v>0</v>
      </c>
      <c r="G6272" s="946"/>
      <c r="H6272" s="1031"/>
      <c r="I6272" s="948">
        <f>D6272*F6272</f>
        <v>0</v>
      </c>
    </row>
    <row r="6273" spans="2:9" ht="15.75">
      <c r="C6273" s="951" t="s">
        <v>918</v>
      </c>
      <c r="D6273" s="946"/>
      <c r="E6273" s="947"/>
      <c r="F6273" s="1054"/>
      <c r="G6273" s="946"/>
      <c r="H6273" s="1031"/>
      <c r="I6273" s="952">
        <f>SUM(I6272)</f>
        <v>0</v>
      </c>
    </row>
    <row r="6274" spans="2:9" ht="15.75">
      <c r="C6274" s="951"/>
      <c r="D6274" s="946"/>
      <c r="E6274" s="947"/>
      <c r="F6274" s="1054"/>
      <c r="G6274" s="946"/>
      <c r="H6274" s="1031"/>
      <c r="I6274" s="952"/>
    </row>
    <row r="6275" spans="2:9" ht="15.75">
      <c r="C6275" s="956" t="s">
        <v>926</v>
      </c>
      <c r="D6275" s="957"/>
      <c r="E6275" s="958"/>
      <c r="F6275" s="1069"/>
      <c r="G6275" s="957"/>
      <c r="H6275" s="1032"/>
      <c r="I6275" s="959">
        <f>+I6259</f>
        <v>1077.2</v>
      </c>
    </row>
    <row r="6276" spans="2:9" ht="15.75">
      <c r="C6276" s="956" t="s">
        <v>927</v>
      </c>
      <c r="D6276" s="957"/>
      <c r="E6276" s="958"/>
      <c r="F6276" s="1069"/>
      <c r="G6276" s="957"/>
      <c r="H6276" s="1032"/>
      <c r="I6276" s="959">
        <f>+I6265</f>
        <v>301.86</v>
      </c>
    </row>
    <row r="6277" spans="2:9" ht="15.75">
      <c r="C6277" s="956" t="s">
        <v>928</v>
      </c>
      <c r="D6277" s="957"/>
      <c r="E6277" s="958"/>
      <c r="F6277" s="1069"/>
      <c r="G6277" s="957"/>
      <c r="H6277" s="1032"/>
      <c r="I6277" s="959">
        <f>+I6269</f>
        <v>0</v>
      </c>
    </row>
    <row r="6278" spans="2:9" ht="15.75">
      <c r="C6278" s="956" t="s">
        <v>929</v>
      </c>
      <c r="D6278" s="957"/>
      <c r="E6278" s="958"/>
      <c r="F6278" s="1069"/>
      <c r="G6278" s="957"/>
      <c r="H6278" s="1032"/>
      <c r="I6278" s="959">
        <f>+I6273</f>
        <v>0</v>
      </c>
    </row>
    <row r="6279" spans="2:9" ht="15.75">
      <c r="C6279" s="949"/>
      <c r="D6279" s="946"/>
      <c r="E6279" s="947"/>
      <c r="F6279" s="1054"/>
      <c r="G6279" s="946"/>
      <c r="H6279" s="1031"/>
      <c r="I6279" s="948"/>
    </row>
    <row r="6280" spans="2:9" ht="15.75">
      <c r="C6280" s="949"/>
      <c r="D6280" s="946"/>
      <c r="E6280" s="947"/>
      <c r="F6280" s="1054"/>
      <c r="G6280" s="946"/>
      <c r="H6280" s="1031"/>
      <c r="I6280" s="948"/>
    </row>
    <row r="6281" spans="2:9" ht="15.75">
      <c r="C6281" s="951" t="s">
        <v>930</v>
      </c>
      <c r="D6281" s="960"/>
      <c r="E6281" s="943" t="str">
        <f>+E6250</f>
        <v>M2</v>
      </c>
      <c r="F6281" s="1070"/>
      <c r="G6281" s="960"/>
      <c r="H6281" s="1033"/>
      <c r="I6281" s="952">
        <f>SUM(I6275:I6278)</f>
        <v>1379.06</v>
      </c>
    </row>
    <row r="6282" spans="2:9" ht="15.75">
      <c r="C6282" s="951"/>
      <c r="D6282" s="960"/>
      <c r="E6282" s="943"/>
      <c r="F6282" s="1070"/>
      <c r="G6282" s="960"/>
      <c r="H6282" s="1033"/>
      <c r="I6282" s="952"/>
    </row>
    <row r="6283" spans="2:9" ht="15.75">
      <c r="B6283" s="1026">
        <v>4.3</v>
      </c>
      <c r="C6283" s="937" t="str">
        <f>+Presupuesto!B394</f>
        <v>De 4'' Ø3/8" a 0.80 m S.N.P.</v>
      </c>
      <c r="D6283" s="938"/>
      <c r="E6283" s="962" t="s">
        <v>20</v>
      </c>
      <c r="F6283" s="1066"/>
      <c r="G6283" s="938"/>
      <c r="H6283" s="1029"/>
      <c r="I6283" s="940">
        <f>I6314</f>
        <v>1347.71</v>
      </c>
    </row>
    <row r="6284" spans="2:9" ht="15.75">
      <c r="C6284" s="941" t="s">
        <v>908</v>
      </c>
      <c r="D6284" s="942" t="s">
        <v>9</v>
      </c>
      <c r="E6284" s="943" t="s">
        <v>10</v>
      </c>
      <c r="F6284" s="1067" t="s">
        <v>909</v>
      </c>
      <c r="G6284" s="942" t="s">
        <v>910</v>
      </c>
      <c r="H6284" s="1030" t="s">
        <v>911</v>
      </c>
      <c r="I6284" s="944" t="s">
        <v>912</v>
      </c>
    </row>
    <row r="6285" spans="2:9" ht="15.75">
      <c r="C6285" s="945" t="s">
        <v>913</v>
      </c>
      <c r="D6285" s="946"/>
      <c r="E6285" s="947"/>
      <c r="F6285" s="1054"/>
      <c r="G6285" s="946"/>
      <c r="H6285" s="1031"/>
      <c r="I6285" s="948"/>
    </row>
    <row r="6286" spans="2:9" ht="15.75">
      <c r="C6286" s="949" t="s">
        <v>1578</v>
      </c>
      <c r="D6286" s="946">
        <v>11.61</v>
      </c>
      <c r="E6286" s="947" t="str">
        <f>+VLOOKUP(C6286,'Basic (equilibrio) (2)'!B:D,2,FALSE)</f>
        <v>ud</v>
      </c>
      <c r="F6286" s="1068">
        <f>'Basic (equilibrio) (2)'!$D$301</f>
        <v>33.299999999999997</v>
      </c>
      <c r="G6286" s="946">
        <f t="shared" ref="G6286:G6291" si="45">F6286-(F6286/1.18)</f>
        <v>5.08</v>
      </c>
      <c r="H6286" s="1031"/>
      <c r="I6286" s="948">
        <f t="shared" ref="I6286:I6291" si="46">D6286*F6286</f>
        <v>386.61</v>
      </c>
    </row>
    <row r="6287" spans="2:9" ht="15.75">
      <c r="C6287" s="949" t="s">
        <v>1579</v>
      </c>
      <c r="D6287" s="946">
        <v>11.61</v>
      </c>
      <c r="E6287" s="947" t="str">
        <f>+VLOOKUP(C6287,'Basic (equilibrio) (2)'!B:D,2,FALSE)</f>
        <v>ud</v>
      </c>
      <c r="F6287" s="1068">
        <f>'Basic (equilibrio) (2)'!$D$304</f>
        <v>2.2999999999999998</v>
      </c>
      <c r="G6287" s="946">
        <f t="shared" si="45"/>
        <v>0.35</v>
      </c>
      <c r="H6287" s="1031"/>
      <c r="I6287" s="948">
        <f t="shared" si="46"/>
        <v>26.7</v>
      </c>
    </row>
    <row r="6288" spans="2:9" ht="15.75">
      <c r="C6288" s="949" t="s">
        <v>1204</v>
      </c>
      <c r="D6288" s="946">
        <v>0.04</v>
      </c>
      <c r="E6288" s="947" t="str">
        <f>+VLOOKUP(C6288,'Basic (equilibrio) (2)'!B:D,2,FALSE)</f>
        <v>m3</v>
      </c>
      <c r="F6288" s="1068">
        <f>'Basic (equilibrio) (2)'!$D$307</f>
        <v>6174</v>
      </c>
      <c r="G6288" s="946">
        <f t="shared" si="45"/>
        <v>941.8</v>
      </c>
      <c r="H6288" s="1031"/>
      <c r="I6288" s="948">
        <f t="shared" si="46"/>
        <v>246.96</v>
      </c>
    </row>
    <row r="6289" spans="3:9" ht="15.75">
      <c r="C6289" s="949" t="s">
        <v>1205</v>
      </c>
      <c r="D6289" s="946">
        <v>0.04</v>
      </c>
      <c r="E6289" s="947" t="str">
        <f>+VLOOKUP(C6289,'Basic (equilibrio) (2)'!B:D,2,FALSE)</f>
        <v>m3</v>
      </c>
      <c r="F6289" s="1068">
        <f>'Basic (equilibrio) (2)'!$D$308</f>
        <v>5985</v>
      </c>
      <c r="G6289" s="946">
        <f t="shared" si="45"/>
        <v>912.97</v>
      </c>
      <c r="H6289" s="1031"/>
      <c r="I6289" s="948">
        <f t="shared" si="46"/>
        <v>239.4</v>
      </c>
    </row>
    <row r="6290" spans="3:9" ht="15.75">
      <c r="C6290" s="949" t="s">
        <v>1188</v>
      </c>
      <c r="D6290" s="946">
        <v>0.04</v>
      </c>
      <c r="E6290" s="947" t="str">
        <f>+VLOOKUP(C6290,'Basic (equilibrio) (2)'!B:D,2,FALSE)</f>
        <v>qq</v>
      </c>
      <c r="F6290" s="1068">
        <f>'Basic (equilibrio) (2)'!$D$183</f>
        <v>3600</v>
      </c>
      <c r="G6290" s="946">
        <f t="shared" si="45"/>
        <v>549.15</v>
      </c>
      <c r="H6290" s="1031"/>
      <c r="I6290" s="948">
        <f t="shared" si="46"/>
        <v>144</v>
      </c>
    </row>
    <row r="6291" spans="3:9" ht="15.75">
      <c r="C6291" s="949" t="s">
        <v>1328</v>
      </c>
      <c r="D6291" s="946">
        <v>7.0000000000000007E-2</v>
      </c>
      <c r="E6291" s="947" t="str">
        <f>+VLOOKUP(C6291,'Basic (equilibrio) (2)'!B:D,2,FALSE)</f>
        <v>lb</v>
      </c>
      <c r="F6291" s="1068">
        <f>'Basic (equilibrio) (2)'!$D$334</f>
        <v>31.1</v>
      </c>
      <c r="G6291" s="946">
        <f t="shared" si="45"/>
        <v>4.74</v>
      </c>
      <c r="H6291" s="1031"/>
      <c r="I6291" s="948">
        <f t="shared" si="46"/>
        <v>2.1800000000000002</v>
      </c>
    </row>
    <row r="6292" spans="3:9" ht="15.75">
      <c r="C6292" s="951" t="s">
        <v>918</v>
      </c>
      <c r="D6292" s="946"/>
      <c r="E6292" s="947"/>
      <c r="F6292" s="1068"/>
      <c r="G6292" s="946"/>
      <c r="H6292" s="1031"/>
      <c r="I6292" s="952">
        <f>SUM(I6286:I6291)</f>
        <v>1045.8499999999999</v>
      </c>
    </row>
    <row r="6293" spans="3:9" ht="15.75">
      <c r="C6293" s="949"/>
      <c r="D6293" s="946"/>
      <c r="E6293" s="947"/>
      <c r="F6293" s="1068"/>
      <c r="G6293" s="946"/>
      <c r="H6293" s="1031"/>
      <c r="I6293" s="948"/>
    </row>
    <row r="6294" spans="3:9" ht="15.75">
      <c r="C6294" s="945" t="s">
        <v>919</v>
      </c>
      <c r="D6294" s="946"/>
      <c r="E6294" s="947"/>
      <c r="F6294" s="1068"/>
      <c r="G6294" s="946"/>
      <c r="H6294" s="1031"/>
      <c r="I6294" s="948"/>
    </row>
    <row r="6295" spans="3:9" ht="15.75">
      <c r="C6295" s="949" t="s">
        <v>1074</v>
      </c>
      <c r="D6295" s="953">
        <v>11.61</v>
      </c>
      <c r="E6295" s="954" t="str">
        <f>+VLOOKUP(C6295,'Basic (equilibrio) (2)'!B:D,2,FALSE)</f>
        <v>ud</v>
      </c>
      <c r="F6295" s="1068">
        <f>'Basic (equilibrio) (2)'!$D$26</f>
        <v>1</v>
      </c>
      <c r="G6295" s="946">
        <v>0</v>
      </c>
      <c r="H6295" s="1031"/>
      <c r="I6295" s="948">
        <f>(D6295*F6295)</f>
        <v>11.61</v>
      </c>
    </row>
    <row r="6296" spans="3:9" ht="15.75">
      <c r="C6296" s="949" t="s">
        <v>1075</v>
      </c>
      <c r="D6296" s="953">
        <v>11.61</v>
      </c>
      <c r="E6296" s="954" t="str">
        <f>+VLOOKUP(C6296,'Basic (equilibrio) (2)'!B:D,2,FALSE)</f>
        <v>ud</v>
      </c>
      <c r="F6296" s="1068">
        <f>'Basic (equilibrio) (2)'!$D$27</f>
        <v>3</v>
      </c>
      <c r="G6296" s="946">
        <v>0</v>
      </c>
      <c r="H6296" s="1031"/>
      <c r="I6296" s="948">
        <f>(D6296*F6296)</f>
        <v>34.83</v>
      </c>
    </row>
    <row r="6297" spans="3:9" ht="15.75">
      <c r="C6297" s="949" t="s">
        <v>1077</v>
      </c>
      <c r="D6297" s="953">
        <v>11.61</v>
      </c>
      <c r="E6297" s="954" t="str">
        <f>+VLOOKUP(C6297,'Basic (equilibrio) (2)'!B:D,2,FALSE)</f>
        <v>ud</v>
      </c>
      <c r="F6297" s="1068">
        <f>'Basic (equilibrio) (2)'!$D$29</f>
        <v>22</v>
      </c>
      <c r="G6297" s="946">
        <v>0</v>
      </c>
      <c r="H6297" s="1031"/>
      <c r="I6297" s="948">
        <f>(D6297*F6297)</f>
        <v>255.42</v>
      </c>
    </row>
    <row r="6298" spans="3:9" ht="15.75">
      <c r="C6298" s="951" t="s">
        <v>918</v>
      </c>
      <c r="D6298" s="946"/>
      <c r="E6298" s="947"/>
      <c r="F6298" s="1054"/>
      <c r="G6298" s="946"/>
      <c r="H6298" s="1031"/>
      <c r="I6298" s="952">
        <f>SUM(I6295:I6297)</f>
        <v>301.86</v>
      </c>
    </row>
    <row r="6299" spans="3:9" ht="15.75">
      <c r="C6299" s="949"/>
      <c r="D6299" s="946"/>
      <c r="E6299" s="947"/>
      <c r="F6299" s="1054"/>
      <c r="G6299" s="946"/>
      <c r="H6299" s="1031"/>
      <c r="I6299" s="948"/>
    </row>
    <row r="6300" spans="3:9" ht="15.75">
      <c r="C6300" s="945" t="s">
        <v>923</v>
      </c>
      <c r="D6300" s="946"/>
      <c r="E6300" s="947"/>
      <c r="F6300" s="1054"/>
      <c r="G6300" s="946"/>
      <c r="H6300" s="1031"/>
      <c r="I6300" s="948"/>
    </row>
    <row r="6301" spans="3:9" ht="15.75">
      <c r="C6301" s="949" t="s">
        <v>924</v>
      </c>
      <c r="D6301" s="946"/>
      <c r="E6301" s="947" t="str">
        <f>+VLOOKUP(C6301,'Basic (equilibrio) (2)'!B:D,2,FALSE)</f>
        <v>n/a</v>
      </c>
      <c r="F6301" s="1054">
        <f>+VLOOKUP(C6301,'Basic (equilibrio) (2)'!B:D,3,FALSE)</f>
        <v>0</v>
      </c>
      <c r="G6301" s="946">
        <f>F6301-(F6301/1.18)</f>
        <v>0</v>
      </c>
      <c r="H6301" s="1039"/>
      <c r="I6301" s="955">
        <f>D6301*F6301</f>
        <v>0</v>
      </c>
    </row>
    <row r="6302" spans="3:9" ht="15.75">
      <c r="C6302" s="951" t="s">
        <v>918</v>
      </c>
      <c r="D6302" s="946"/>
      <c r="E6302" s="947"/>
      <c r="F6302" s="1054"/>
      <c r="G6302" s="946"/>
      <c r="H6302" s="1031"/>
      <c r="I6302" s="952">
        <f>SUM(I6301:I6301)</f>
        <v>0</v>
      </c>
    </row>
    <row r="6303" spans="3:9" ht="15.75">
      <c r="C6303" s="949"/>
      <c r="D6303" s="946"/>
      <c r="E6303" s="947"/>
      <c r="F6303" s="1054"/>
      <c r="G6303" s="946"/>
      <c r="H6303" s="1031"/>
      <c r="I6303" s="948"/>
    </row>
    <row r="6304" spans="3:9" ht="15.75">
      <c r="C6304" s="945" t="s">
        <v>925</v>
      </c>
      <c r="D6304" s="946"/>
      <c r="E6304" s="947"/>
      <c r="F6304" s="1054"/>
      <c r="G6304" s="946"/>
      <c r="H6304" s="1031"/>
      <c r="I6304" s="948"/>
    </row>
    <row r="6305" spans="2:9" ht="15.75">
      <c r="C6305" s="949" t="s">
        <v>924</v>
      </c>
      <c r="D6305" s="946"/>
      <c r="E6305" s="947" t="str">
        <f>+VLOOKUP(C6305,'Basic (equilibrio) (2)'!B:D,2,FALSE)</f>
        <v>n/a</v>
      </c>
      <c r="F6305" s="1054">
        <f>+VLOOKUP(C6305,'Basic (equilibrio) (2)'!B:D,3,FALSE)</f>
        <v>0</v>
      </c>
      <c r="G6305" s="946"/>
      <c r="H6305" s="1031"/>
      <c r="I6305" s="948">
        <f>D6305*F6305</f>
        <v>0</v>
      </c>
    </row>
    <row r="6306" spans="2:9" ht="15.75">
      <c r="C6306" s="951" t="s">
        <v>918</v>
      </c>
      <c r="D6306" s="946"/>
      <c r="E6306" s="947"/>
      <c r="F6306" s="1054"/>
      <c r="G6306" s="946"/>
      <c r="H6306" s="1031"/>
      <c r="I6306" s="952">
        <f>SUM(I6305)</f>
        <v>0</v>
      </c>
    </row>
    <row r="6307" spans="2:9" ht="15.75">
      <c r="C6307" s="951"/>
      <c r="D6307" s="946"/>
      <c r="E6307" s="947"/>
      <c r="F6307" s="1054"/>
      <c r="G6307" s="946"/>
      <c r="H6307" s="1031"/>
      <c r="I6307" s="952"/>
    </row>
    <row r="6308" spans="2:9" ht="15.75">
      <c r="C6308" s="956" t="s">
        <v>926</v>
      </c>
      <c r="D6308" s="957"/>
      <c r="E6308" s="958"/>
      <c r="F6308" s="1069"/>
      <c r="G6308" s="957"/>
      <c r="H6308" s="1032"/>
      <c r="I6308" s="959">
        <f>+I6292</f>
        <v>1045.8499999999999</v>
      </c>
    </row>
    <row r="6309" spans="2:9" ht="15.75">
      <c r="C6309" s="956" t="s">
        <v>927</v>
      </c>
      <c r="D6309" s="957"/>
      <c r="E6309" s="958"/>
      <c r="F6309" s="1069"/>
      <c r="G6309" s="957"/>
      <c r="H6309" s="1032"/>
      <c r="I6309" s="959">
        <f>+I6298</f>
        <v>301.86</v>
      </c>
    </row>
    <row r="6310" spans="2:9" ht="15.75">
      <c r="C6310" s="956" t="s">
        <v>928</v>
      </c>
      <c r="D6310" s="957"/>
      <c r="E6310" s="958"/>
      <c r="F6310" s="1069"/>
      <c r="G6310" s="957"/>
      <c r="H6310" s="1032"/>
      <c r="I6310" s="959">
        <f>+I6302</f>
        <v>0</v>
      </c>
    </row>
    <row r="6311" spans="2:9" ht="15.75">
      <c r="C6311" s="956" t="s">
        <v>929</v>
      </c>
      <c r="D6311" s="957"/>
      <c r="E6311" s="958"/>
      <c r="F6311" s="1069"/>
      <c r="G6311" s="957"/>
      <c r="H6311" s="1032"/>
      <c r="I6311" s="959">
        <f>+I6306</f>
        <v>0</v>
      </c>
    </row>
    <row r="6312" spans="2:9" ht="15.75">
      <c r="C6312" s="949"/>
      <c r="D6312" s="946"/>
      <c r="E6312" s="947"/>
      <c r="F6312" s="1054"/>
      <c r="G6312" s="946"/>
      <c r="H6312" s="1031"/>
      <c r="I6312" s="948"/>
    </row>
    <row r="6313" spans="2:9" ht="15.75">
      <c r="C6313" s="949"/>
      <c r="D6313" s="946"/>
      <c r="E6313" s="947"/>
      <c r="F6313" s="1054"/>
      <c r="G6313" s="946"/>
      <c r="H6313" s="1031"/>
      <c r="I6313" s="948"/>
    </row>
    <row r="6314" spans="2:9" ht="15.75">
      <c r="C6314" s="951" t="s">
        <v>930</v>
      </c>
      <c r="D6314" s="960"/>
      <c r="E6314" s="943" t="str">
        <f>+E6283</f>
        <v>M2</v>
      </c>
      <c r="F6314" s="1070"/>
      <c r="G6314" s="960"/>
      <c r="H6314" s="1033"/>
      <c r="I6314" s="952">
        <f>SUM(I6308:I6311)</f>
        <v>1347.71</v>
      </c>
    </row>
    <row r="6315" spans="2:9" ht="15.75">
      <c r="C6315" s="951"/>
      <c r="D6315" s="960"/>
      <c r="E6315" s="943"/>
      <c r="F6315" s="1070"/>
      <c r="G6315" s="960"/>
      <c r="H6315" s="1033"/>
      <c r="I6315" s="952"/>
    </row>
    <row r="6316" spans="2:9" ht="15.75">
      <c r="B6316" s="1026">
        <v>4.4000000000000004</v>
      </c>
      <c r="C6316" s="937" t="str">
        <f>+Presupuesto!B395</f>
        <v>Antepecho en muros de bloques 6" h=1.00m</v>
      </c>
      <c r="D6316" s="938"/>
      <c r="E6316" s="962" t="s">
        <v>20</v>
      </c>
      <c r="F6316" s="1066"/>
      <c r="G6316" s="938"/>
      <c r="H6316" s="1029"/>
      <c r="I6316" s="940">
        <f>I6347</f>
        <v>1347.71</v>
      </c>
    </row>
    <row r="6317" spans="2:9" ht="15.75">
      <c r="C6317" s="941" t="s">
        <v>908</v>
      </c>
      <c r="D6317" s="942" t="s">
        <v>9</v>
      </c>
      <c r="E6317" s="943" t="s">
        <v>10</v>
      </c>
      <c r="F6317" s="1067" t="s">
        <v>909</v>
      </c>
      <c r="G6317" s="942" t="s">
        <v>910</v>
      </c>
      <c r="H6317" s="1030" t="s">
        <v>911</v>
      </c>
      <c r="I6317" s="944" t="s">
        <v>912</v>
      </c>
    </row>
    <row r="6318" spans="2:9" ht="15.75">
      <c r="C6318" s="945" t="s">
        <v>913</v>
      </c>
      <c r="D6318" s="946"/>
      <c r="E6318" s="947"/>
      <c r="F6318" s="1054"/>
      <c r="G6318" s="946"/>
      <c r="H6318" s="1031"/>
      <c r="I6318" s="948"/>
    </row>
    <row r="6319" spans="2:9" ht="15.75">
      <c r="C6319" s="949" t="s">
        <v>1578</v>
      </c>
      <c r="D6319" s="946">
        <v>11.61</v>
      </c>
      <c r="E6319" s="947" t="str">
        <f>+VLOOKUP(C6319,'Basic (equilibrio) (2)'!B:D,2,FALSE)</f>
        <v>ud</v>
      </c>
      <c r="F6319" s="1068">
        <f>'Basic (equilibrio) (2)'!$D$301</f>
        <v>33.299999999999997</v>
      </c>
      <c r="G6319" s="946">
        <f t="shared" ref="G6319:G6324" si="47">F6319-(F6319/1.18)</f>
        <v>5.08</v>
      </c>
      <c r="H6319" s="1031"/>
      <c r="I6319" s="948">
        <f t="shared" ref="I6319:I6324" si="48">D6319*F6319</f>
        <v>386.61</v>
      </c>
    </row>
    <row r="6320" spans="2:9" ht="15.75">
      <c r="C6320" s="949" t="s">
        <v>1579</v>
      </c>
      <c r="D6320" s="946">
        <v>11.61</v>
      </c>
      <c r="E6320" s="947" t="str">
        <f>+VLOOKUP(C6320,'Basic (equilibrio) (2)'!B:D,2,FALSE)</f>
        <v>ud</v>
      </c>
      <c r="F6320" s="1068">
        <f>'Basic (equilibrio) (2)'!$D$304</f>
        <v>2.2999999999999998</v>
      </c>
      <c r="G6320" s="946">
        <f t="shared" si="47"/>
        <v>0.35</v>
      </c>
      <c r="H6320" s="1031"/>
      <c r="I6320" s="948">
        <f t="shared" si="48"/>
        <v>26.7</v>
      </c>
    </row>
    <row r="6321" spans="3:9" ht="15.75">
      <c r="C6321" s="949" t="s">
        <v>1204</v>
      </c>
      <c r="D6321" s="946">
        <v>0.04</v>
      </c>
      <c r="E6321" s="947" t="str">
        <f>+VLOOKUP(C6321,'Basic (equilibrio) (2)'!B:D,2,FALSE)</f>
        <v>m3</v>
      </c>
      <c r="F6321" s="1068">
        <f>'Basic (equilibrio) (2)'!$D$307</f>
        <v>6174</v>
      </c>
      <c r="G6321" s="946">
        <f t="shared" si="47"/>
        <v>941.8</v>
      </c>
      <c r="H6321" s="1031"/>
      <c r="I6321" s="948">
        <f t="shared" si="48"/>
        <v>246.96</v>
      </c>
    </row>
    <row r="6322" spans="3:9" ht="15.75">
      <c r="C6322" s="949" t="s">
        <v>1205</v>
      </c>
      <c r="D6322" s="946">
        <v>0.04</v>
      </c>
      <c r="E6322" s="947" t="str">
        <f>+VLOOKUP(C6322,'Basic (equilibrio) (2)'!B:D,2,FALSE)</f>
        <v>m3</v>
      </c>
      <c r="F6322" s="1068">
        <f>'Basic (equilibrio) (2)'!$D$308</f>
        <v>5985</v>
      </c>
      <c r="G6322" s="946">
        <f t="shared" si="47"/>
        <v>912.97</v>
      </c>
      <c r="H6322" s="1031"/>
      <c r="I6322" s="948">
        <f t="shared" si="48"/>
        <v>239.4</v>
      </c>
    </row>
    <row r="6323" spans="3:9" ht="15.75">
      <c r="C6323" s="949" t="s">
        <v>1188</v>
      </c>
      <c r="D6323" s="946">
        <v>0.04</v>
      </c>
      <c r="E6323" s="947" t="str">
        <f>+VLOOKUP(C6323,'Basic (equilibrio) (2)'!B:D,2,FALSE)</f>
        <v>qq</v>
      </c>
      <c r="F6323" s="1068">
        <f>'Basic (equilibrio) (2)'!$D$183</f>
        <v>3600</v>
      </c>
      <c r="G6323" s="946">
        <f t="shared" si="47"/>
        <v>549.15</v>
      </c>
      <c r="H6323" s="1031"/>
      <c r="I6323" s="948">
        <f t="shared" si="48"/>
        <v>144</v>
      </c>
    </row>
    <row r="6324" spans="3:9" ht="15.75">
      <c r="C6324" s="949" t="s">
        <v>1328</v>
      </c>
      <c r="D6324" s="946">
        <v>7.0000000000000007E-2</v>
      </c>
      <c r="E6324" s="947" t="str">
        <f>+VLOOKUP(C6324,'Basic (equilibrio) (2)'!B:D,2,FALSE)</f>
        <v>lb</v>
      </c>
      <c r="F6324" s="1068">
        <f>'Basic (equilibrio) (2)'!$D$334</f>
        <v>31.1</v>
      </c>
      <c r="G6324" s="946">
        <f t="shared" si="47"/>
        <v>4.74</v>
      </c>
      <c r="H6324" s="1031"/>
      <c r="I6324" s="948">
        <f t="shared" si="48"/>
        <v>2.1800000000000002</v>
      </c>
    </row>
    <row r="6325" spans="3:9" ht="15.75">
      <c r="C6325" s="951" t="s">
        <v>918</v>
      </c>
      <c r="D6325" s="946"/>
      <c r="E6325" s="947"/>
      <c r="F6325" s="1068"/>
      <c r="G6325" s="946"/>
      <c r="H6325" s="1031"/>
      <c r="I6325" s="952">
        <f>SUM(I6319:I6324)</f>
        <v>1045.8499999999999</v>
      </c>
    </row>
    <row r="6326" spans="3:9" ht="15.75">
      <c r="C6326" s="949"/>
      <c r="D6326" s="946"/>
      <c r="E6326" s="947"/>
      <c r="F6326" s="1068"/>
      <c r="G6326" s="946"/>
      <c r="H6326" s="1031"/>
      <c r="I6326" s="948"/>
    </row>
    <row r="6327" spans="3:9" ht="15.75">
      <c r="C6327" s="945" t="s">
        <v>919</v>
      </c>
      <c r="D6327" s="946"/>
      <c r="E6327" s="947"/>
      <c r="F6327" s="1068"/>
      <c r="G6327" s="946"/>
      <c r="H6327" s="1031"/>
      <c r="I6327" s="948"/>
    </row>
    <row r="6328" spans="3:9" ht="15.75">
      <c r="C6328" s="949" t="s">
        <v>1074</v>
      </c>
      <c r="D6328" s="953">
        <v>11.61</v>
      </c>
      <c r="E6328" s="954" t="str">
        <f>+VLOOKUP(C6328,'Basic (equilibrio) (2)'!B:D,2,FALSE)</f>
        <v>ud</v>
      </c>
      <c r="F6328" s="1068">
        <f>'Basic (equilibrio) (2)'!$D$26</f>
        <v>1</v>
      </c>
      <c r="G6328" s="946">
        <v>0</v>
      </c>
      <c r="H6328" s="1031"/>
      <c r="I6328" s="948">
        <f>(D6328*F6328)</f>
        <v>11.61</v>
      </c>
    </row>
    <row r="6329" spans="3:9" ht="15.75">
      <c r="C6329" s="949" t="s">
        <v>1075</v>
      </c>
      <c r="D6329" s="953">
        <v>11.61</v>
      </c>
      <c r="E6329" s="954" t="str">
        <f>+VLOOKUP(C6329,'Basic (equilibrio) (2)'!B:D,2,FALSE)</f>
        <v>ud</v>
      </c>
      <c r="F6329" s="1068">
        <f>'Basic (equilibrio) (2)'!$D$27</f>
        <v>3</v>
      </c>
      <c r="G6329" s="946">
        <v>0</v>
      </c>
      <c r="H6329" s="1031"/>
      <c r="I6329" s="948">
        <f>(D6329*F6329)</f>
        <v>34.83</v>
      </c>
    </row>
    <row r="6330" spans="3:9" ht="15.75">
      <c r="C6330" s="949" t="s">
        <v>1077</v>
      </c>
      <c r="D6330" s="953">
        <v>11.61</v>
      </c>
      <c r="E6330" s="954" t="str">
        <f>+VLOOKUP(C6330,'Basic (equilibrio) (2)'!B:D,2,FALSE)</f>
        <v>ud</v>
      </c>
      <c r="F6330" s="1068">
        <f>'Basic (equilibrio) (2)'!$D$29</f>
        <v>22</v>
      </c>
      <c r="G6330" s="946">
        <v>0</v>
      </c>
      <c r="H6330" s="1031"/>
      <c r="I6330" s="948">
        <f>(D6330*F6330)</f>
        <v>255.42</v>
      </c>
    </row>
    <row r="6331" spans="3:9" ht="15.75">
      <c r="C6331" s="951" t="s">
        <v>918</v>
      </c>
      <c r="D6331" s="946"/>
      <c r="E6331" s="947"/>
      <c r="F6331" s="1054"/>
      <c r="G6331" s="946"/>
      <c r="H6331" s="1031"/>
      <c r="I6331" s="952">
        <f>SUM(I6328:I6330)</f>
        <v>301.86</v>
      </c>
    </row>
    <row r="6332" spans="3:9" ht="15.75">
      <c r="C6332" s="949"/>
      <c r="D6332" s="946"/>
      <c r="E6332" s="947"/>
      <c r="F6332" s="1054"/>
      <c r="G6332" s="946"/>
      <c r="H6332" s="1031"/>
      <c r="I6332" s="948"/>
    </row>
    <row r="6333" spans="3:9" ht="15.75">
      <c r="C6333" s="945" t="s">
        <v>923</v>
      </c>
      <c r="D6333" s="946"/>
      <c r="E6333" s="947"/>
      <c r="F6333" s="1054"/>
      <c r="G6333" s="946"/>
      <c r="H6333" s="1031"/>
      <c r="I6333" s="948"/>
    </row>
    <row r="6334" spans="3:9" ht="15.75">
      <c r="C6334" s="949" t="s">
        <v>924</v>
      </c>
      <c r="D6334" s="946"/>
      <c r="E6334" s="947" t="str">
        <f>+VLOOKUP(C6334,'Basic (equilibrio) (2)'!B:D,2,FALSE)</f>
        <v>n/a</v>
      </c>
      <c r="F6334" s="1054">
        <f>+VLOOKUP(C6334,'Basic (equilibrio) (2)'!B:D,3,FALSE)</f>
        <v>0</v>
      </c>
      <c r="G6334" s="946">
        <f>F6334-(F6334/1.18)</f>
        <v>0</v>
      </c>
      <c r="H6334" s="1039"/>
      <c r="I6334" s="955">
        <f>D6334*F6334</f>
        <v>0</v>
      </c>
    </row>
    <row r="6335" spans="3:9" ht="15.75">
      <c r="C6335" s="951" t="s">
        <v>918</v>
      </c>
      <c r="D6335" s="946"/>
      <c r="E6335" s="947"/>
      <c r="F6335" s="1054"/>
      <c r="G6335" s="946"/>
      <c r="H6335" s="1031"/>
      <c r="I6335" s="952">
        <f>SUM(I6334:I6334)</f>
        <v>0</v>
      </c>
    </row>
    <row r="6336" spans="3:9" ht="15.75">
      <c r="C6336" s="949"/>
      <c r="D6336" s="946"/>
      <c r="E6336" s="947"/>
      <c r="F6336" s="1054"/>
      <c r="G6336" s="946"/>
      <c r="H6336" s="1031"/>
      <c r="I6336" s="948"/>
    </row>
    <row r="6337" spans="2:9" ht="15.75">
      <c r="C6337" s="945" t="s">
        <v>925</v>
      </c>
      <c r="D6337" s="946"/>
      <c r="E6337" s="947"/>
      <c r="F6337" s="1054"/>
      <c r="G6337" s="946"/>
      <c r="H6337" s="1031"/>
      <c r="I6337" s="948"/>
    </row>
    <row r="6338" spans="2:9" ht="15.75">
      <c r="C6338" s="949" t="s">
        <v>924</v>
      </c>
      <c r="D6338" s="946"/>
      <c r="E6338" s="947" t="str">
        <f>+VLOOKUP(C6338,'Basic (equilibrio) (2)'!B:D,2,FALSE)</f>
        <v>n/a</v>
      </c>
      <c r="F6338" s="1054">
        <f>+VLOOKUP(C6338,'Basic (equilibrio) (2)'!B:D,3,FALSE)</f>
        <v>0</v>
      </c>
      <c r="G6338" s="946"/>
      <c r="H6338" s="1031"/>
      <c r="I6338" s="948">
        <f>D6338*F6338</f>
        <v>0</v>
      </c>
    </row>
    <row r="6339" spans="2:9" ht="15.75">
      <c r="C6339" s="951" t="s">
        <v>918</v>
      </c>
      <c r="D6339" s="946"/>
      <c r="E6339" s="947"/>
      <c r="F6339" s="1054"/>
      <c r="G6339" s="946"/>
      <c r="H6339" s="1031"/>
      <c r="I6339" s="952">
        <f>SUM(I6338)</f>
        <v>0</v>
      </c>
    </row>
    <row r="6340" spans="2:9" ht="15.75">
      <c r="C6340" s="951"/>
      <c r="D6340" s="946"/>
      <c r="E6340" s="947"/>
      <c r="F6340" s="1054"/>
      <c r="G6340" s="946"/>
      <c r="H6340" s="1031"/>
      <c r="I6340" s="952"/>
    </row>
    <row r="6341" spans="2:9" ht="15.75">
      <c r="C6341" s="956" t="s">
        <v>926</v>
      </c>
      <c r="D6341" s="957"/>
      <c r="E6341" s="958"/>
      <c r="F6341" s="1069"/>
      <c r="G6341" s="957"/>
      <c r="H6341" s="1032"/>
      <c r="I6341" s="959">
        <f>+I6325</f>
        <v>1045.8499999999999</v>
      </c>
    </row>
    <row r="6342" spans="2:9" ht="15.75">
      <c r="C6342" s="956" t="s">
        <v>927</v>
      </c>
      <c r="D6342" s="957"/>
      <c r="E6342" s="958"/>
      <c r="F6342" s="1069"/>
      <c r="G6342" s="957"/>
      <c r="H6342" s="1032"/>
      <c r="I6342" s="959">
        <f>+I6331</f>
        <v>301.86</v>
      </c>
    </row>
    <row r="6343" spans="2:9" ht="15.75">
      <c r="C6343" s="956" t="s">
        <v>928</v>
      </c>
      <c r="D6343" s="957"/>
      <c r="E6343" s="958"/>
      <c r="F6343" s="1069"/>
      <c r="G6343" s="957"/>
      <c r="H6343" s="1032"/>
      <c r="I6343" s="959">
        <f>+I6335</f>
        <v>0</v>
      </c>
    </row>
    <row r="6344" spans="2:9" ht="15.75">
      <c r="C6344" s="956" t="s">
        <v>929</v>
      </c>
      <c r="D6344" s="957"/>
      <c r="E6344" s="958"/>
      <c r="F6344" s="1069"/>
      <c r="G6344" s="957"/>
      <c r="H6344" s="1032"/>
      <c r="I6344" s="959">
        <f>+I6339</f>
        <v>0</v>
      </c>
    </row>
    <row r="6345" spans="2:9" ht="15.75">
      <c r="C6345" s="949"/>
      <c r="D6345" s="946"/>
      <c r="E6345" s="947"/>
      <c r="F6345" s="1054"/>
      <c r="G6345" s="946"/>
      <c r="H6345" s="1031"/>
      <c r="I6345" s="948"/>
    </row>
    <row r="6346" spans="2:9" ht="15.75">
      <c r="C6346" s="949"/>
      <c r="D6346" s="946"/>
      <c r="E6346" s="947"/>
      <c r="F6346" s="1054"/>
      <c r="G6346" s="946"/>
      <c r="H6346" s="1031"/>
      <c r="I6346" s="948"/>
    </row>
    <row r="6347" spans="2:9" ht="15.75">
      <c r="C6347" s="951" t="s">
        <v>930</v>
      </c>
      <c r="D6347" s="960"/>
      <c r="E6347" s="943" t="str">
        <f>+E6316</f>
        <v>M2</v>
      </c>
      <c r="F6347" s="1070"/>
      <c r="G6347" s="960"/>
      <c r="H6347" s="1033"/>
      <c r="I6347" s="952">
        <f>SUM(I6341:I6344)</f>
        <v>1347.71</v>
      </c>
    </row>
    <row r="6348" spans="2:9" ht="15.75">
      <c r="C6348" s="951"/>
      <c r="D6348" s="960"/>
      <c r="E6348" s="943"/>
      <c r="F6348" s="1070"/>
      <c r="G6348" s="960"/>
      <c r="H6348" s="1033"/>
      <c r="I6348" s="952"/>
    </row>
    <row r="6349" spans="2:9" ht="15.75">
      <c r="B6349" s="1026">
        <v>5.0999999999999996</v>
      </c>
      <c r="C6349" s="937" t="str">
        <f>+Presupuesto!B398</f>
        <v>Pañete en muros Interiores</v>
      </c>
      <c r="D6349" s="938"/>
      <c r="E6349" s="962" t="s">
        <v>20</v>
      </c>
      <c r="F6349" s="1066"/>
      <c r="G6349" s="938"/>
      <c r="H6349" s="1029"/>
      <c r="I6349" s="940">
        <f>I6374</f>
        <v>453.5</v>
      </c>
    </row>
    <row r="6350" spans="2:9" ht="15.75">
      <c r="C6350" s="941" t="s">
        <v>908</v>
      </c>
      <c r="D6350" s="942" t="s">
        <v>9</v>
      </c>
      <c r="E6350" s="943" t="s">
        <v>10</v>
      </c>
      <c r="F6350" s="1067" t="s">
        <v>909</v>
      </c>
      <c r="G6350" s="942" t="s">
        <v>910</v>
      </c>
      <c r="H6350" s="1030" t="s">
        <v>911</v>
      </c>
      <c r="I6350" s="944" t="s">
        <v>912</v>
      </c>
    </row>
    <row r="6351" spans="2:9" ht="15.75">
      <c r="C6351" s="945" t="s">
        <v>913</v>
      </c>
      <c r="D6351" s="946"/>
      <c r="E6351" s="947"/>
      <c r="F6351" s="1054"/>
      <c r="G6351" s="946"/>
      <c r="H6351" s="1031"/>
      <c r="I6351" s="948"/>
    </row>
    <row r="6352" spans="2:9" ht="15.75">
      <c r="C6352" s="949" t="s">
        <v>958</v>
      </c>
      <c r="D6352" s="946">
        <v>0.03</v>
      </c>
      <c r="E6352" s="947" t="str">
        <f>+VLOOKUP(C6352,'Basic (equilibrio) (2)'!B:D,2,FALSE)</f>
        <v>m3</v>
      </c>
      <c r="F6352" s="1068">
        <f>'Basic (equilibrio) (2)'!$D$309</f>
        <v>6820</v>
      </c>
      <c r="G6352" s="946">
        <f>F6352-(F6352/1.18)</f>
        <v>1040.3399999999999</v>
      </c>
      <c r="H6352" s="1031"/>
      <c r="I6352" s="948">
        <f>D6352*F6352</f>
        <v>204.6</v>
      </c>
    </row>
    <row r="6353" spans="3:9" ht="15.75">
      <c r="C6353" s="949" t="s">
        <v>1206</v>
      </c>
      <c r="D6353" s="946">
        <v>0.03</v>
      </c>
      <c r="E6353" s="947" t="str">
        <f>+VLOOKUP(C6353,'Basic (equilibrio) (2)'!B:D,2,FALSE)</f>
        <v>pt</v>
      </c>
      <c r="F6353" s="1068">
        <f>'Basic (equilibrio) (2)'!$D$310</f>
        <v>230</v>
      </c>
      <c r="G6353" s="946">
        <f>F6353-(F6353/1.18)</f>
        <v>35.08</v>
      </c>
      <c r="H6353" s="1031"/>
      <c r="I6353" s="948">
        <f>D6353*F6353</f>
        <v>6.9</v>
      </c>
    </row>
    <row r="6354" spans="3:9" ht="15.75">
      <c r="C6354" s="949" t="s">
        <v>1079</v>
      </c>
      <c r="D6354" s="946">
        <v>1</v>
      </c>
      <c r="E6354" s="947" t="str">
        <f>+VLOOKUP(C6354,'Basic (equilibrio) (2)'!B:D,2,FALSE)</f>
        <v>m2</v>
      </c>
      <c r="F6354" s="1068">
        <f>'Basic (equilibrio) (2)'!$D$31</f>
        <v>52</v>
      </c>
      <c r="G6354" s="946">
        <f>F6354-(F6354/1.18)</f>
        <v>7.93</v>
      </c>
      <c r="H6354" s="1031"/>
      <c r="I6354" s="948">
        <f>D6354*F6354</f>
        <v>52</v>
      </c>
    </row>
    <row r="6355" spans="3:9" ht="15.75">
      <c r="C6355" s="951" t="s">
        <v>918</v>
      </c>
      <c r="D6355" s="946"/>
      <c r="E6355" s="947"/>
      <c r="F6355" s="1068"/>
      <c r="G6355" s="946"/>
      <c r="H6355" s="1031"/>
      <c r="I6355" s="952">
        <f>SUM(I6352:I6354)</f>
        <v>263.5</v>
      </c>
    </row>
    <row r="6356" spans="3:9" ht="15.75">
      <c r="C6356" s="949"/>
      <c r="D6356" s="946"/>
      <c r="E6356" s="947"/>
      <c r="F6356" s="1068"/>
      <c r="G6356" s="946"/>
      <c r="H6356" s="1031"/>
      <c r="I6356" s="948"/>
    </row>
    <row r="6357" spans="3:9" ht="15.75">
      <c r="C6357" s="945" t="s">
        <v>919</v>
      </c>
      <c r="D6357" s="946"/>
      <c r="E6357" s="947"/>
      <c r="F6357" s="1068"/>
      <c r="G6357" s="946"/>
      <c r="H6357" s="1031"/>
      <c r="I6357" s="948"/>
    </row>
    <row r="6358" spans="3:9" ht="15.75">
      <c r="C6358" s="949" t="s">
        <v>1078</v>
      </c>
      <c r="D6358" s="953">
        <v>1</v>
      </c>
      <c r="E6358" s="954" t="str">
        <f>+VLOOKUP(C6358,'Basic (equilibrio) (2)'!B:D,2,FALSE)</f>
        <v>m2</v>
      </c>
      <c r="F6358" s="1068">
        <f>'Basic (equilibrio) (2)'!$D$30</f>
        <v>190</v>
      </c>
      <c r="H6358" s="1031"/>
      <c r="I6358" s="948">
        <f>(D6358*F6358)</f>
        <v>190</v>
      </c>
    </row>
    <row r="6359" spans="3:9" ht="15.75">
      <c r="C6359" s="951" t="s">
        <v>918</v>
      </c>
      <c r="D6359" s="946"/>
      <c r="E6359" s="947"/>
      <c r="F6359" s="1054"/>
      <c r="G6359" s="946">
        <v>0</v>
      </c>
      <c r="H6359" s="1031"/>
      <c r="I6359" s="952">
        <f>SUM(I6358:I6358)</f>
        <v>190</v>
      </c>
    </row>
    <row r="6360" spans="3:9" ht="15.75">
      <c r="C6360" s="949"/>
      <c r="D6360" s="946"/>
      <c r="E6360" s="947"/>
      <c r="F6360" s="1054"/>
      <c r="G6360" s="946"/>
      <c r="H6360" s="1031"/>
      <c r="I6360" s="948"/>
    </row>
    <row r="6361" spans="3:9" ht="15.75">
      <c r="C6361" s="945" t="s">
        <v>923</v>
      </c>
      <c r="D6361" s="946"/>
      <c r="E6361" s="947"/>
      <c r="F6361" s="1054"/>
      <c r="G6361" s="946"/>
      <c r="H6361" s="1031"/>
      <c r="I6361" s="948"/>
    </row>
    <row r="6362" spans="3:9" ht="15.75">
      <c r="C6362" s="949" t="s">
        <v>924</v>
      </c>
      <c r="D6362" s="946"/>
      <c r="E6362" s="947" t="str">
        <f>+VLOOKUP(C6362,'Basic (equilibrio) (2)'!B:D,2,FALSE)</f>
        <v>n/a</v>
      </c>
      <c r="F6362" s="1054">
        <f>+VLOOKUP(C6362,'Basic (equilibrio) (2)'!B:D,3,FALSE)</f>
        <v>0</v>
      </c>
      <c r="G6362" s="946">
        <f>F6362-(F6362/1.18)</f>
        <v>0</v>
      </c>
      <c r="H6362" s="1039"/>
      <c r="I6362" s="955">
        <f>D6362*F6362</f>
        <v>0</v>
      </c>
    </row>
    <row r="6363" spans="3:9" ht="15.75">
      <c r="C6363" s="951" t="s">
        <v>918</v>
      </c>
      <c r="D6363" s="946"/>
      <c r="E6363" s="947"/>
      <c r="F6363" s="1054"/>
      <c r="G6363" s="946"/>
      <c r="H6363" s="1031"/>
      <c r="I6363" s="952">
        <f>SUM(I6362:I6362)</f>
        <v>0</v>
      </c>
    </row>
    <row r="6364" spans="3:9" ht="15.75">
      <c r="C6364" s="949"/>
      <c r="D6364" s="946"/>
      <c r="E6364" s="947"/>
      <c r="F6364" s="1054"/>
      <c r="G6364" s="946"/>
      <c r="H6364" s="1031"/>
      <c r="I6364" s="948"/>
    </row>
    <row r="6365" spans="3:9" ht="15.75">
      <c r="C6365" s="945" t="s">
        <v>925</v>
      </c>
      <c r="D6365" s="946"/>
      <c r="E6365" s="947"/>
      <c r="F6365" s="1054"/>
      <c r="G6365" s="946"/>
      <c r="H6365" s="1031"/>
      <c r="I6365" s="948"/>
    </row>
    <row r="6366" spans="3:9" ht="15.75">
      <c r="C6366" s="949" t="s">
        <v>924</v>
      </c>
      <c r="D6366" s="946"/>
      <c r="E6366" s="947" t="str">
        <f>+VLOOKUP(C6366,'Basic (equilibrio) (2)'!B:D,2,FALSE)</f>
        <v>n/a</v>
      </c>
      <c r="F6366" s="1054">
        <f>+VLOOKUP(C6366,'Basic (equilibrio) (2)'!B:D,3,FALSE)</f>
        <v>0</v>
      </c>
      <c r="G6366" s="946"/>
      <c r="H6366" s="1031"/>
      <c r="I6366" s="948">
        <f>D6366*F6366</f>
        <v>0</v>
      </c>
    </row>
    <row r="6367" spans="3:9" ht="15.75">
      <c r="C6367" s="951" t="s">
        <v>918</v>
      </c>
      <c r="D6367" s="946"/>
      <c r="E6367" s="947"/>
      <c r="F6367" s="1054"/>
      <c r="G6367" s="946"/>
      <c r="H6367" s="1031"/>
      <c r="I6367" s="952">
        <f>SUM(I6366)</f>
        <v>0</v>
      </c>
    </row>
    <row r="6368" spans="3:9" ht="15.75">
      <c r="C6368" s="951"/>
      <c r="D6368" s="946"/>
      <c r="E6368" s="947"/>
      <c r="F6368" s="1054"/>
      <c r="G6368" s="946"/>
      <c r="H6368" s="1031"/>
      <c r="I6368" s="952"/>
    </row>
    <row r="6369" spans="2:9" ht="15.75">
      <c r="C6369" s="956" t="s">
        <v>926</v>
      </c>
      <c r="D6369" s="957"/>
      <c r="E6369" s="958"/>
      <c r="F6369" s="1069"/>
      <c r="G6369" s="957"/>
      <c r="H6369" s="1032"/>
      <c r="I6369" s="959">
        <f>+I6355</f>
        <v>263.5</v>
      </c>
    </row>
    <row r="6370" spans="2:9" ht="15.75">
      <c r="C6370" s="956" t="s">
        <v>927</v>
      </c>
      <c r="D6370" s="957"/>
      <c r="E6370" s="958"/>
      <c r="F6370" s="1069"/>
      <c r="G6370" s="957"/>
      <c r="H6370" s="1032"/>
      <c r="I6370" s="959">
        <f>+I6359</f>
        <v>190</v>
      </c>
    </row>
    <row r="6371" spans="2:9" ht="15.75">
      <c r="C6371" s="956" t="s">
        <v>928</v>
      </c>
      <c r="D6371" s="957"/>
      <c r="E6371" s="958"/>
      <c r="F6371" s="1069"/>
      <c r="G6371" s="957"/>
      <c r="H6371" s="1032"/>
      <c r="I6371" s="959">
        <f>+I6363</f>
        <v>0</v>
      </c>
    </row>
    <row r="6372" spans="2:9" ht="15.75">
      <c r="C6372" s="956" t="s">
        <v>929</v>
      </c>
      <c r="D6372" s="957"/>
      <c r="E6372" s="958"/>
      <c r="F6372" s="1069"/>
      <c r="G6372" s="957"/>
      <c r="H6372" s="1032"/>
      <c r="I6372" s="959">
        <f>+I6367</f>
        <v>0</v>
      </c>
    </row>
    <row r="6373" spans="2:9" ht="15.75">
      <c r="C6373" s="949"/>
      <c r="D6373" s="946"/>
      <c r="E6373" s="947"/>
      <c r="F6373" s="1054"/>
      <c r="G6373" s="946"/>
      <c r="H6373" s="1031"/>
      <c r="I6373" s="948"/>
    </row>
    <row r="6374" spans="2:9" ht="15.75">
      <c r="C6374" s="951" t="s">
        <v>930</v>
      </c>
      <c r="D6374" s="960"/>
      <c r="E6374" s="943" t="str">
        <f>+E6349</f>
        <v>M2</v>
      </c>
      <c r="F6374" s="1070"/>
      <c r="G6374" s="960"/>
      <c r="H6374" s="1033"/>
      <c r="I6374" s="952">
        <f>SUM(I6369:I6372)</f>
        <v>453.5</v>
      </c>
    </row>
    <row r="6375" spans="2:9" ht="15.75">
      <c r="C6375" s="951"/>
      <c r="D6375" s="960"/>
      <c r="E6375" s="943"/>
      <c r="F6375" s="1070"/>
      <c r="G6375" s="960"/>
      <c r="H6375" s="1033"/>
      <c r="I6375" s="952"/>
    </row>
    <row r="6376" spans="2:9" ht="15.75">
      <c r="B6376" s="1026">
        <v>5.2</v>
      </c>
      <c r="C6376" s="937" t="str">
        <f>+Presupuesto!B399</f>
        <v>Pañete en muros Exteriores</v>
      </c>
      <c r="D6376" s="938"/>
      <c r="E6376" s="962" t="s">
        <v>20</v>
      </c>
      <c r="F6376" s="1066"/>
      <c r="G6376" s="938"/>
      <c r="H6376" s="1029"/>
      <c r="I6376" s="940">
        <f>I6401</f>
        <v>453.5</v>
      </c>
    </row>
    <row r="6377" spans="2:9" ht="15.75">
      <c r="C6377" s="941" t="s">
        <v>908</v>
      </c>
      <c r="D6377" s="942" t="s">
        <v>9</v>
      </c>
      <c r="E6377" s="943" t="s">
        <v>10</v>
      </c>
      <c r="F6377" s="1067" t="s">
        <v>909</v>
      </c>
      <c r="G6377" s="942" t="s">
        <v>910</v>
      </c>
      <c r="H6377" s="1030" t="s">
        <v>911</v>
      </c>
      <c r="I6377" s="944" t="s">
        <v>912</v>
      </c>
    </row>
    <row r="6378" spans="2:9" ht="15.75">
      <c r="C6378" s="945" t="s">
        <v>913</v>
      </c>
      <c r="D6378" s="946"/>
      <c r="E6378" s="947"/>
      <c r="F6378" s="1054"/>
      <c r="G6378" s="946"/>
      <c r="H6378" s="1031"/>
      <c r="I6378" s="948"/>
    </row>
    <row r="6379" spans="2:9" ht="15.75">
      <c r="C6379" s="949" t="s">
        <v>958</v>
      </c>
      <c r="D6379" s="946">
        <v>0.03</v>
      </c>
      <c r="E6379" s="947" t="str">
        <f>+VLOOKUP(C6379,'Basic (equilibrio) (2)'!B:D,2,FALSE)</f>
        <v>m3</v>
      </c>
      <c r="F6379" s="1068">
        <f>'Basic (equilibrio) (2)'!$D$309</f>
        <v>6820</v>
      </c>
      <c r="G6379" s="946">
        <f>F6379-(F6379/1.18)</f>
        <v>1040.3399999999999</v>
      </c>
      <c r="H6379" s="1031"/>
      <c r="I6379" s="948">
        <f>D6379*F6379</f>
        <v>204.6</v>
      </c>
    </row>
    <row r="6380" spans="2:9" ht="15.75">
      <c r="C6380" s="949" t="s">
        <v>1206</v>
      </c>
      <c r="D6380" s="946">
        <v>0.03</v>
      </c>
      <c r="E6380" s="947" t="str">
        <f>+VLOOKUP(C6380,'Basic (equilibrio) (2)'!B:D,2,FALSE)</f>
        <v>pt</v>
      </c>
      <c r="F6380" s="1068">
        <f>'Basic (equilibrio) (2)'!$D$310</f>
        <v>230</v>
      </c>
      <c r="G6380" s="946">
        <f>F6380-(F6380/1.18)</f>
        <v>35.08</v>
      </c>
      <c r="H6380" s="1031"/>
      <c r="I6380" s="948">
        <f>D6380*F6380</f>
        <v>6.9</v>
      </c>
    </row>
    <row r="6381" spans="2:9" ht="15.75">
      <c r="C6381" s="949" t="s">
        <v>1079</v>
      </c>
      <c r="D6381" s="946">
        <v>1</v>
      </c>
      <c r="E6381" s="947" t="str">
        <f>+VLOOKUP(C6381,'Basic (equilibrio) (2)'!B:D,2,FALSE)</f>
        <v>m2</v>
      </c>
      <c r="F6381" s="1068">
        <f>'Basic (equilibrio) (2)'!$D$31</f>
        <v>52</v>
      </c>
      <c r="G6381" s="946">
        <f>F6381-(F6381/1.18)</f>
        <v>7.93</v>
      </c>
      <c r="H6381" s="1031"/>
      <c r="I6381" s="948">
        <f>D6381*F6381</f>
        <v>52</v>
      </c>
    </row>
    <row r="6382" spans="2:9" ht="15.75">
      <c r="C6382" s="951" t="s">
        <v>918</v>
      </c>
      <c r="D6382" s="946"/>
      <c r="E6382" s="947"/>
      <c r="F6382" s="1068"/>
      <c r="G6382" s="946"/>
      <c r="H6382" s="1031"/>
      <c r="I6382" s="952">
        <f>SUM(I6379:I6381)</f>
        <v>263.5</v>
      </c>
    </row>
    <row r="6383" spans="2:9" ht="15.75">
      <c r="C6383" s="949"/>
      <c r="D6383" s="946"/>
      <c r="E6383" s="947"/>
      <c r="F6383" s="1068"/>
      <c r="G6383" s="946"/>
      <c r="H6383" s="1031"/>
      <c r="I6383" s="948"/>
    </row>
    <row r="6384" spans="2:9" ht="15.75">
      <c r="C6384" s="945" t="s">
        <v>919</v>
      </c>
      <c r="D6384" s="946"/>
      <c r="E6384" s="947"/>
      <c r="F6384" s="1068"/>
      <c r="G6384" s="946"/>
      <c r="H6384" s="1031"/>
      <c r="I6384" s="948"/>
    </row>
    <row r="6385" spans="3:9" ht="15.75">
      <c r="C6385" s="949" t="s">
        <v>1078</v>
      </c>
      <c r="D6385" s="953">
        <v>1</v>
      </c>
      <c r="E6385" s="954" t="str">
        <f>+VLOOKUP(C6385,'Basic (equilibrio) (2)'!B:D,2,FALSE)</f>
        <v>m2</v>
      </c>
      <c r="F6385" s="1068">
        <f>'Basic (equilibrio) (2)'!$D$30</f>
        <v>190</v>
      </c>
      <c r="G6385" s="946">
        <v>0</v>
      </c>
      <c r="H6385" s="1031"/>
      <c r="I6385" s="948">
        <f>(D6385*F6385)</f>
        <v>190</v>
      </c>
    </row>
    <row r="6386" spans="3:9" ht="15.75">
      <c r="C6386" s="951" t="s">
        <v>918</v>
      </c>
      <c r="D6386" s="946"/>
      <c r="E6386" s="947"/>
      <c r="F6386" s="1054"/>
      <c r="G6386" s="946"/>
      <c r="H6386" s="1031"/>
      <c r="I6386" s="952">
        <f>SUM(I6385:I6385)</f>
        <v>190</v>
      </c>
    </row>
    <row r="6387" spans="3:9" ht="15.75">
      <c r="C6387" s="949"/>
      <c r="D6387" s="946"/>
      <c r="E6387" s="947"/>
      <c r="F6387" s="1054"/>
      <c r="G6387" s="946"/>
      <c r="H6387" s="1031"/>
      <c r="I6387" s="948"/>
    </row>
    <row r="6388" spans="3:9" ht="15.75">
      <c r="C6388" s="945" t="s">
        <v>923</v>
      </c>
      <c r="D6388" s="946"/>
      <c r="E6388" s="947"/>
      <c r="F6388" s="1054"/>
      <c r="G6388" s="946"/>
      <c r="H6388" s="1031"/>
      <c r="I6388" s="948"/>
    </row>
    <row r="6389" spans="3:9" ht="15.75">
      <c r="C6389" s="949" t="s">
        <v>924</v>
      </c>
      <c r="D6389" s="946"/>
      <c r="E6389" s="947" t="str">
        <f>+VLOOKUP(C6389,'Basic (equilibrio) (2)'!B:D,2,FALSE)</f>
        <v>n/a</v>
      </c>
      <c r="F6389" s="1054">
        <f>+VLOOKUP(C6389,'Basic (equilibrio) (2)'!B:D,3,FALSE)</f>
        <v>0</v>
      </c>
      <c r="G6389" s="946">
        <f>F6389-(F6389/1.18)</f>
        <v>0</v>
      </c>
      <c r="H6389" s="1039"/>
      <c r="I6389" s="955">
        <f>D6389*F6389</f>
        <v>0</v>
      </c>
    </row>
    <row r="6390" spans="3:9" ht="15.75">
      <c r="C6390" s="951" t="s">
        <v>918</v>
      </c>
      <c r="D6390" s="946"/>
      <c r="E6390" s="947"/>
      <c r="F6390" s="1054"/>
      <c r="G6390" s="946"/>
      <c r="H6390" s="1031"/>
      <c r="I6390" s="952">
        <f>SUM(I6389:I6389)</f>
        <v>0</v>
      </c>
    </row>
    <row r="6391" spans="3:9" ht="15.75">
      <c r="C6391" s="949"/>
      <c r="D6391" s="946"/>
      <c r="E6391" s="947"/>
      <c r="F6391" s="1054"/>
      <c r="G6391" s="946"/>
      <c r="H6391" s="1031"/>
      <c r="I6391" s="948"/>
    </row>
    <row r="6392" spans="3:9" ht="15.75">
      <c r="C6392" s="945" t="s">
        <v>925</v>
      </c>
      <c r="D6392" s="946"/>
      <c r="E6392" s="947"/>
      <c r="F6392" s="1054"/>
      <c r="G6392" s="946"/>
      <c r="H6392" s="1031"/>
      <c r="I6392" s="948"/>
    </row>
    <row r="6393" spans="3:9" ht="15.75">
      <c r="C6393" s="949" t="s">
        <v>924</v>
      </c>
      <c r="D6393" s="946"/>
      <c r="E6393" s="947" t="str">
        <f>+VLOOKUP(C6393,'Basic (equilibrio) (2)'!B:D,2,FALSE)</f>
        <v>n/a</v>
      </c>
      <c r="F6393" s="1054">
        <f>+VLOOKUP(C6393,'Basic (equilibrio) (2)'!B:D,3,FALSE)</f>
        <v>0</v>
      </c>
      <c r="G6393" s="946"/>
      <c r="H6393" s="1031"/>
      <c r="I6393" s="948">
        <f>D6393*F6393</f>
        <v>0</v>
      </c>
    </row>
    <row r="6394" spans="3:9" ht="15.75">
      <c r="C6394" s="951" t="s">
        <v>918</v>
      </c>
      <c r="D6394" s="946"/>
      <c r="E6394" s="947"/>
      <c r="F6394" s="1054"/>
      <c r="G6394" s="946"/>
      <c r="H6394" s="1031"/>
      <c r="I6394" s="952">
        <f>SUM(I6393)</f>
        <v>0</v>
      </c>
    </row>
    <row r="6395" spans="3:9" ht="15.75">
      <c r="C6395" s="951"/>
      <c r="D6395" s="946"/>
      <c r="E6395" s="947"/>
      <c r="F6395" s="1054"/>
      <c r="G6395" s="946"/>
      <c r="H6395" s="1031"/>
      <c r="I6395" s="952"/>
    </row>
    <row r="6396" spans="3:9" ht="15.75">
      <c r="C6396" s="956" t="s">
        <v>926</v>
      </c>
      <c r="D6396" s="957"/>
      <c r="E6396" s="958"/>
      <c r="F6396" s="1069"/>
      <c r="G6396" s="957"/>
      <c r="H6396" s="1032"/>
      <c r="I6396" s="959">
        <f>+I6382</f>
        <v>263.5</v>
      </c>
    </row>
    <row r="6397" spans="3:9" ht="15.75">
      <c r="C6397" s="956" t="s">
        <v>927</v>
      </c>
      <c r="D6397" s="957"/>
      <c r="E6397" s="958"/>
      <c r="F6397" s="1069"/>
      <c r="G6397" s="957"/>
      <c r="H6397" s="1032"/>
      <c r="I6397" s="959">
        <f>+I6386</f>
        <v>190</v>
      </c>
    </row>
    <row r="6398" spans="3:9" ht="15.75">
      <c r="C6398" s="956" t="s">
        <v>928</v>
      </c>
      <c r="D6398" s="957"/>
      <c r="E6398" s="958"/>
      <c r="F6398" s="1069"/>
      <c r="G6398" s="957"/>
      <c r="H6398" s="1032"/>
      <c r="I6398" s="959">
        <f>+I6390</f>
        <v>0</v>
      </c>
    </row>
    <row r="6399" spans="3:9" ht="15.75">
      <c r="C6399" s="956" t="s">
        <v>929</v>
      </c>
      <c r="D6399" s="957"/>
      <c r="E6399" s="958"/>
      <c r="F6399" s="1069"/>
      <c r="G6399" s="957"/>
      <c r="H6399" s="1032"/>
      <c r="I6399" s="959">
        <f>+I6394</f>
        <v>0</v>
      </c>
    </row>
    <row r="6400" spans="3:9" ht="15.75">
      <c r="C6400" s="949"/>
      <c r="D6400" s="946"/>
      <c r="E6400" s="947"/>
      <c r="F6400" s="1054"/>
      <c r="G6400" s="946"/>
      <c r="H6400" s="1031"/>
      <c r="I6400" s="948"/>
    </row>
    <row r="6401" spans="2:9" ht="15.75">
      <c r="C6401" s="951" t="s">
        <v>930</v>
      </c>
      <c r="D6401" s="960"/>
      <c r="E6401" s="943" t="str">
        <f>+E6376</f>
        <v>M2</v>
      </c>
      <c r="F6401" s="1070"/>
      <c r="G6401" s="960"/>
      <c r="H6401" s="1033"/>
      <c r="I6401" s="952">
        <f>SUM(I6396:I6399)</f>
        <v>453.5</v>
      </c>
    </row>
    <row r="6402" spans="2:9" ht="15.75">
      <c r="C6402" s="951"/>
      <c r="D6402" s="960"/>
      <c r="E6402" s="943"/>
      <c r="F6402" s="1070"/>
      <c r="G6402" s="960"/>
      <c r="H6402" s="1033"/>
      <c r="I6402" s="952"/>
    </row>
    <row r="6403" spans="2:9" ht="15.75">
      <c r="B6403" s="1026">
        <v>5.3</v>
      </c>
      <c r="C6403" s="937" t="str">
        <f>+Presupuesto!B400</f>
        <v>Pañete en interior losa de techo</v>
      </c>
      <c r="D6403" s="938"/>
      <c r="E6403" s="962" t="s">
        <v>20</v>
      </c>
      <c r="F6403" s="1066"/>
      <c r="G6403" s="938"/>
      <c r="H6403" s="1029"/>
      <c r="I6403" s="940">
        <f>I6429</f>
        <v>503.5</v>
      </c>
    </row>
    <row r="6404" spans="2:9" ht="15.75">
      <c r="C6404" s="941" t="s">
        <v>908</v>
      </c>
      <c r="D6404" s="942" t="s">
        <v>9</v>
      </c>
      <c r="E6404" s="943" t="s">
        <v>10</v>
      </c>
      <c r="F6404" s="1067" t="s">
        <v>909</v>
      </c>
      <c r="G6404" s="942" t="s">
        <v>910</v>
      </c>
      <c r="H6404" s="1030" t="s">
        <v>911</v>
      </c>
      <c r="I6404" s="944" t="s">
        <v>912</v>
      </c>
    </row>
    <row r="6405" spans="2:9" ht="15.75">
      <c r="C6405" s="945" t="s">
        <v>913</v>
      </c>
      <c r="D6405" s="946"/>
      <c r="E6405" s="947"/>
      <c r="F6405" s="1054"/>
      <c r="G6405" s="946"/>
      <c r="H6405" s="1031"/>
      <c r="I6405" s="948"/>
    </row>
    <row r="6406" spans="2:9" ht="15.75">
      <c r="C6406" s="949" t="s">
        <v>958</v>
      </c>
      <c r="D6406" s="946">
        <v>0.03</v>
      </c>
      <c r="E6406" s="947" t="str">
        <f>+VLOOKUP(C6406,'Basic (equilibrio) (2)'!B:D,2,FALSE)</f>
        <v>m3</v>
      </c>
      <c r="F6406" s="1068">
        <f>'Basic (equilibrio) (2)'!$D$309</f>
        <v>6820</v>
      </c>
      <c r="G6406" s="946">
        <f>F6406-(F6406/1.18)</f>
        <v>1040.3399999999999</v>
      </c>
      <c r="H6406" s="1031"/>
      <c r="I6406" s="948">
        <f>D6406*F6406</f>
        <v>204.6</v>
      </c>
    </row>
    <row r="6407" spans="2:9" ht="15.75">
      <c r="C6407" s="949" t="s">
        <v>1206</v>
      </c>
      <c r="D6407" s="946">
        <v>0.03</v>
      </c>
      <c r="E6407" s="947" t="str">
        <f>+VLOOKUP(C6407,'Basic (equilibrio) (2)'!B:D,2,FALSE)</f>
        <v>pt</v>
      </c>
      <c r="F6407" s="1068">
        <f>'Basic (equilibrio) (2)'!$D$310</f>
        <v>230</v>
      </c>
      <c r="G6407" s="946">
        <f>F6407-(F6407/1.18)</f>
        <v>35.08</v>
      </c>
      <c r="H6407" s="1031"/>
      <c r="I6407" s="948">
        <f>D6407*F6407</f>
        <v>6.9</v>
      </c>
    </row>
    <row r="6408" spans="2:9" ht="15.75">
      <c r="C6408" s="949" t="s">
        <v>1079</v>
      </c>
      <c r="D6408" s="946">
        <v>1</v>
      </c>
      <c r="E6408" s="947" t="str">
        <f>+VLOOKUP(C6408,'Basic (equilibrio) (2)'!B:D,2,FALSE)</f>
        <v>m2</v>
      </c>
      <c r="F6408" s="1068">
        <f>'Basic (equilibrio) (2)'!$D$31</f>
        <v>52</v>
      </c>
      <c r="G6408" s="946">
        <f>F6408-(F6408/1.18)</f>
        <v>7.93</v>
      </c>
      <c r="H6408" s="1031"/>
      <c r="I6408" s="948">
        <f>D6408*F6408</f>
        <v>52</v>
      </c>
    </row>
    <row r="6409" spans="2:9" ht="15.75">
      <c r="C6409" s="951" t="s">
        <v>918</v>
      </c>
      <c r="D6409" s="946"/>
      <c r="E6409" s="947"/>
      <c r="F6409" s="1068"/>
      <c r="G6409" s="946"/>
      <c r="H6409" s="1031"/>
      <c r="I6409" s="952">
        <f>SUM(I6406:I6408)</f>
        <v>263.5</v>
      </c>
    </row>
    <row r="6410" spans="2:9" ht="15.75">
      <c r="C6410" s="949"/>
      <c r="D6410" s="946"/>
      <c r="E6410" s="947"/>
      <c r="F6410" s="1068"/>
      <c r="G6410" s="946"/>
      <c r="H6410" s="1031"/>
      <c r="I6410" s="948"/>
    </row>
    <row r="6411" spans="2:9" ht="15.75">
      <c r="C6411" s="945" t="s">
        <v>919</v>
      </c>
      <c r="D6411" s="946"/>
      <c r="E6411" s="947"/>
      <c r="F6411" s="1068"/>
      <c r="G6411" s="946"/>
      <c r="H6411" s="1031"/>
      <c r="I6411" s="948"/>
    </row>
    <row r="6412" spans="2:9" ht="15.75">
      <c r="C6412" s="949" t="s">
        <v>1078</v>
      </c>
      <c r="D6412" s="953">
        <v>1</v>
      </c>
      <c r="E6412" s="954" t="str">
        <f>+VLOOKUP(C6412,'Basic (equilibrio) (2)'!B:D,2,FALSE)</f>
        <v>m2</v>
      </c>
      <c r="F6412" s="1068">
        <f>'Basic (equilibrio) (2)'!$D$30</f>
        <v>190</v>
      </c>
      <c r="G6412" s="946">
        <v>0</v>
      </c>
      <c r="H6412" s="1031"/>
      <c r="I6412" s="948">
        <f>(D6412*F6412)</f>
        <v>190</v>
      </c>
    </row>
    <row r="6413" spans="2:9" ht="15.75">
      <c r="C6413" s="949" t="s">
        <v>1555</v>
      </c>
      <c r="D6413" s="953">
        <v>1</v>
      </c>
      <c r="E6413" s="954" t="str">
        <f>+VLOOKUP(C6413,'Basic (equilibrio) (2)'!B:D,2,FALSE)</f>
        <v>m2</v>
      </c>
      <c r="F6413" s="1068">
        <f>'Basic (equilibrio) (2)'!$D$54</f>
        <v>50</v>
      </c>
      <c r="G6413" s="946">
        <v>0</v>
      </c>
      <c r="H6413" s="1031"/>
      <c r="I6413" s="948">
        <f>(D6413*F6413)</f>
        <v>50</v>
      </c>
    </row>
    <row r="6414" spans="2:9" ht="15.75">
      <c r="C6414" s="951" t="s">
        <v>918</v>
      </c>
      <c r="D6414" s="946"/>
      <c r="E6414" s="947"/>
      <c r="F6414" s="1054"/>
      <c r="G6414" s="946"/>
      <c r="H6414" s="1031"/>
      <c r="I6414" s="952">
        <f>SUM(I6412:I6413)</f>
        <v>240</v>
      </c>
    </row>
    <row r="6415" spans="2:9" ht="15.75">
      <c r="C6415" s="949"/>
      <c r="D6415" s="946"/>
      <c r="E6415" s="947"/>
      <c r="F6415" s="1054"/>
      <c r="G6415" s="946"/>
      <c r="H6415" s="1031"/>
      <c r="I6415" s="948"/>
    </row>
    <row r="6416" spans="2:9" ht="15.75">
      <c r="C6416" s="945" t="s">
        <v>923</v>
      </c>
      <c r="D6416" s="946"/>
      <c r="E6416" s="947"/>
      <c r="F6416" s="1054"/>
      <c r="G6416" s="946"/>
      <c r="H6416" s="1031"/>
      <c r="I6416" s="948"/>
    </row>
    <row r="6417" spans="2:9" ht="15.75">
      <c r="C6417" s="949" t="s">
        <v>924</v>
      </c>
      <c r="D6417" s="946"/>
      <c r="E6417" s="947" t="str">
        <f>+VLOOKUP(C6417,'Basic (equilibrio) (2)'!B:D,2,FALSE)</f>
        <v>n/a</v>
      </c>
      <c r="F6417" s="1054">
        <f>+VLOOKUP(C6417,'Basic (equilibrio) (2)'!B:D,3,FALSE)</f>
        <v>0</v>
      </c>
      <c r="G6417" s="946">
        <f>F6417-(F6417/1.18)</f>
        <v>0</v>
      </c>
      <c r="H6417" s="1039"/>
      <c r="I6417" s="955">
        <f>D6417*F6417</f>
        <v>0</v>
      </c>
    </row>
    <row r="6418" spans="2:9" ht="15.75">
      <c r="C6418" s="951" t="s">
        <v>918</v>
      </c>
      <c r="D6418" s="946"/>
      <c r="E6418" s="947"/>
      <c r="F6418" s="1054"/>
      <c r="G6418" s="946"/>
      <c r="H6418" s="1031"/>
      <c r="I6418" s="952">
        <f>SUM(I6417:I6417)</f>
        <v>0</v>
      </c>
    </row>
    <row r="6419" spans="2:9" ht="15.75">
      <c r="C6419" s="949"/>
      <c r="D6419" s="946"/>
      <c r="E6419" s="947"/>
      <c r="F6419" s="1054"/>
      <c r="G6419" s="946"/>
      <c r="H6419" s="1031"/>
      <c r="I6419" s="948"/>
    </row>
    <row r="6420" spans="2:9" ht="15.75">
      <c r="C6420" s="945" t="s">
        <v>925</v>
      </c>
      <c r="D6420" s="946"/>
      <c r="E6420" s="947"/>
      <c r="F6420" s="1054"/>
      <c r="G6420" s="946"/>
      <c r="H6420" s="1031"/>
      <c r="I6420" s="948"/>
    </row>
    <row r="6421" spans="2:9" ht="15.75">
      <c r="C6421" s="949" t="s">
        <v>924</v>
      </c>
      <c r="D6421" s="946"/>
      <c r="E6421" s="947" t="str">
        <f>+VLOOKUP(C6421,'Basic (equilibrio) (2)'!B:D,2,FALSE)</f>
        <v>n/a</v>
      </c>
      <c r="F6421" s="1054">
        <f>+VLOOKUP(C6421,'Basic (equilibrio) (2)'!B:D,3,FALSE)</f>
        <v>0</v>
      </c>
      <c r="G6421" s="946"/>
      <c r="H6421" s="1031"/>
      <c r="I6421" s="948">
        <f>D6421*F6421</f>
        <v>0</v>
      </c>
    </row>
    <row r="6422" spans="2:9" ht="15.75">
      <c r="C6422" s="951" t="s">
        <v>918</v>
      </c>
      <c r="D6422" s="946"/>
      <c r="E6422" s="947"/>
      <c r="F6422" s="1054"/>
      <c r="G6422" s="946"/>
      <c r="H6422" s="1031"/>
      <c r="I6422" s="952">
        <f>SUM(I6421)</f>
        <v>0</v>
      </c>
    </row>
    <row r="6423" spans="2:9" ht="15.75">
      <c r="C6423" s="951"/>
      <c r="D6423" s="946"/>
      <c r="E6423" s="947"/>
      <c r="F6423" s="1054"/>
      <c r="G6423" s="946"/>
      <c r="H6423" s="1031"/>
      <c r="I6423" s="952"/>
    </row>
    <row r="6424" spans="2:9" ht="15.75">
      <c r="C6424" s="956" t="s">
        <v>926</v>
      </c>
      <c r="D6424" s="957"/>
      <c r="E6424" s="958"/>
      <c r="F6424" s="1069"/>
      <c r="G6424" s="957"/>
      <c r="H6424" s="1032"/>
      <c r="I6424" s="959">
        <f>+I6409</f>
        <v>263.5</v>
      </c>
    </row>
    <row r="6425" spans="2:9" ht="15.75">
      <c r="C6425" s="956" t="s">
        <v>927</v>
      </c>
      <c r="D6425" s="957"/>
      <c r="E6425" s="958"/>
      <c r="F6425" s="1069"/>
      <c r="G6425" s="957"/>
      <c r="H6425" s="1032"/>
      <c r="I6425" s="959">
        <f>+I6414</f>
        <v>240</v>
      </c>
    </row>
    <row r="6426" spans="2:9" ht="15.75">
      <c r="C6426" s="956" t="s">
        <v>928</v>
      </c>
      <c r="D6426" s="957"/>
      <c r="E6426" s="958"/>
      <c r="F6426" s="1069"/>
      <c r="G6426" s="957"/>
      <c r="H6426" s="1032"/>
      <c r="I6426" s="959">
        <f>+I6418</f>
        <v>0</v>
      </c>
    </row>
    <row r="6427" spans="2:9" ht="15.75">
      <c r="C6427" s="956" t="s">
        <v>929</v>
      </c>
      <c r="D6427" s="957"/>
      <c r="E6427" s="958"/>
      <c r="F6427" s="1069"/>
      <c r="G6427" s="957"/>
      <c r="H6427" s="1032"/>
      <c r="I6427" s="959">
        <f>+I6422</f>
        <v>0</v>
      </c>
    </row>
    <row r="6428" spans="2:9" ht="15.75">
      <c r="C6428" s="949"/>
      <c r="D6428" s="946"/>
      <c r="E6428" s="947"/>
      <c r="F6428" s="1054"/>
      <c r="G6428" s="946"/>
      <c r="H6428" s="1031"/>
      <c r="I6428" s="948"/>
    </row>
    <row r="6429" spans="2:9" ht="15.75">
      <c r="C6429" s="951" t="s">
        <v>930</v>
      </c>
      <c r="D6429" s="960"/>
      <c r="E6429" s="943" t="str">
        <f>+E6403</f>
        <v>M2</v>
      </c>
      <c r="F6429" s="1070"/>
      <c r="G6429" s="960"/>
      <c r="H6429" s="1033"/>
      <c r="I6429" s="952">
        <f>SUM(I6424:I6427)</f>
        <v>503.5</v>
      </c>
    </row>
    <row r="6430" spans="2:9" ht="15.75">
      <c r="C6430" s="951"/>
      <c r="D6430" s="960"/>
      <c r="E6430" s="943"/>
      <c r="F6430" s="1070"/>
      <c r="G6430" s="960"/>
      <c r="H6430" s="1033"/>
      <c r="I6430" s="952"/>
    </row>
    <row r="6431" spans="2:9" ht="15.75">
      <c r="B6431" s="1026">
        <v>5.4</v>
      </c>
      <c r="C6431" s="937" t="str">
        <f>+Presupuesto!B401</f>
        <v>Fraguache sobre superficies.</v>
      </c>
      <c r="D6431" s="938"/>
      <c r="E6431" s="962" t="s">
        <v>20</v>
      </c>
      <c r="F6431" s="1066"/>
      <c r="G6431" s="938"/>
      <c r="H6431" s="1029"/>
      <c r="I6431" s="940">
        <f>I6455</f>
        <v>101.1</v>
      </c>
    </row>
    <row r="6432" spans="2:9" ht="15.75">
      <c r="C6432" s="941" t="s">
        <v>908</v>
      </c>
      <c r="D6432" s="942" t="s">
        <v>9</v>
      </c>
      <c r="E6432" s="943" t="s">
        <v>10</v>
      </c>
      <c r="F6432" s="1067" t="s">
        <v>909</v>
      </c>
      <c r="G6432" s="942" t="s">
        <v>910</v>
      </c>
      <c r="H6432" s="1030" t="s">
        <v>911</v>
      </c>
      <c r="I6432" s="944" t="s">
        <v>912</v>
      </c>
    </row>
    <row r="6433" spans="3:9" ht="15.75">
      <c r="C6433" s="945" t="s">
        <v>913</v>
      </c>
      <c r="D6433" s="946"/>
      <c r="E6433" s="947"/>
      <c r="F6433" s="1054"/>
      <c r="G6433" s="946"/>
      <c r="H6433" s="1031"/>
      <c r="I6433" s="948"/>
    </row>
    <row r="6434" spans="3:9" ht="15.75">
      <c r="C6434" s="949" t="s">
        <v>958</v>
      </c>
      <c r="D6434" s="946">
        <v>0.01</v>
      </c>
      <c r="E6434" s="947" t="str">
        <f>+VLOOKUP(C6434,'Basic (equilibrio) (2)'!B:D,2,FALSE)</f>
        <v>m3</v>
      </c>
      <c r="F6434" s="1068">
        <f>'Basic (equilibrio) (2)'!$D$309</f>
        <v>6820</v>
      </c>
      <c r="G6434" s="946">
        <f>F6434-(F6434/1.18)</f>
        <v>1040.3399999999999</v>
      </c>
      <c r="H6434" s="1031"/>
      <c r="I6434" s="948">
        <f>D6434*F6434</f>
        <v>68.2</v>
      </c>
    </row>
    <row r="6435" spans="3:9" ht="15.75">
      <c r="C6435" s="949" t="s">
        <v>1206</v>
      </c>
      <c r="D6435" s="946">
        <v>0.03</v>
      </c>
      <c r="E6435" s="947" t="str">
        <f>+VLOOKUP(C6435,'Basic (equilibrio) (2)'!B:D,2,FALSE)</f>
        <v>pt</v>
      </c>
      <c r="F6435" s="1068">
        <f>'Basic (equilibrio) (2)'!$D$310</f>
        <v>230</v>
      </c>
      <c r="G6435" s="946">
        <f>F6435-(F6435/1.18)</f>
        <v>35.08</v>
      </c>
      <c r="H6435" s="1031"/>
      <c r="I6435" s="948">
        <f>D6435*F6435</f>
        <v>6.9</v>
      </c>
    </row>
    <row r="6436" spans="3:9" ht="15.75">
      <c r="C6436" s="951" t="s">
        <v>918</v>
      </c>
      <c r="D6436" s="946"/>
      <c r="E6436" s="947"/>
      <c r="F6436" s="1068"/>
      <c r="G6436" s="946"/>
      <c r="H6436" s="1031"/>
      <c r="I6436" s="952">
        <f>SUM(I6434:I6435)</f>
        <v>75.099999999999994</v>
      </c>
    </row>
    <row r="6437" spans="3:9" ht="15.75">
      <c r="C6437" s="949"/>
      <c r="D6437" s="946"/>
      <c r="E6437" s="947"/>
      <c r="F6437" s="1068"/>
      <c r="G6437" s="946"/>
      <c r="H6437" s="1031"/>
      <c r="I6437" s="948"/>
    </row>
    <row r="6438" spans="3:9" ht="15.75">
      <c r="C6438" s="945" t="s">
        <v>919</v>
      </c>
      <c r="D6438" s="946"/>
      <c r="E6438" s="947"/>
      <c r="F6438" s="1068"/>
      <c r="G6438" s="946"/>
      <c r="H6438" s="1031"/>
      <c r="I6438" s="948"/>
    </row>
    <row r="6439" spans="3:9" ht="15.75">
      <c r="C6439" s="949" t="s">
        <v>1080</v>
      </c>
      <c r="D6439" s="953">
        <v>1</v>
      </c>
      <c r="E6439" s="954" t="str">
        <f>+VLOOKUP(C6439,'Basic (equilibrio) (2)'!B:D,2,FALSE)</f>
        <v>m2</v>
      </c>
      <c r="F6439" s="1068">
        <f>'Basic (equilibrio) (2)'!$D$32</f>
        <v>26</v>
      </c>
      <c r="G6439" s="946">
        <v>0</v>
      </c>
      <c r="H6439" s="1031"/>
      <c r="I6439" s="948">
        <f>(D6439*F6439)</f>
        <v>26</v>
      </c>
    </row>
    <row r="6440" spans="3:9" ht="15.75">
      <c r="C6440" s="951" t="s">
        <v>918</v>
      </c>
      <c r="D6440" s="946"/>
      <c r="E6440" s="947"/>
      <c r="F6440" s="1054"/>
      <c r="G6440" s="946"/>
      <c r="H6440" s="1031"/>
      <c r="I6440" s="952">
        <f>SUM(I6439:I6439)</f>
        <v>26</v>
      </c>
    </row>
    <row r="6441" spans="3:9" ht="15.75">
      <c r="C6441" s="949"/>
      <c r="D6441" s="946"/>
      <c r="E6441" s="947"/>
      <c r="F6441" s="1054"/>
      <c r="G6441" s="946"/>
      <c r="H6441" s="1031"/>
      <c r="I6441" s="948"/>
    </row>
    <row r="6442" spans="3:9" ht="15.75">
      <c r="C6442" s="945" t="s">
        <v>923</v>
      </c>
      <c r="D6442" s="946"/>
      <c r="E6442" s="947"/>
      <c r="F6442" s="1054"/>
      <c r="G6442" s="946"/>
      <c r="H6442" s="1031"/>
      <c r="I6442" s="948"/>
    </row>
    <row r="6443" spans="3:9" ht="15.75">
      <c r="C6443" s="949" t="s">
        <v>924</v>
      </c>
      <c r="D6443" s="946"/>
      <c r="E6443" s="947" t="str">
        <f>+VLOOKUP(C6443,'Basic (equilibrio) (2)'!B:D,2,FALSE)</f>
        <v>n/a</v>
      </c>
      <c r="F6443" s="1054">
        <f>+VLOOKUP(C6443,'Basic (equilibrio) (2)'!B:D,3,FALSE)</f>
        <v>0</v>
      </c>
      <c r="G6443" s="946">
        <f>F6443-(F6443/1.18)</f>
        <v>0</v>
      </c>
      <c r="H6443" s="1039"/>
      <c r="I6443" s="955">
        <f>D6443*F6443</f>
        <v>0</v>
      </c>
    </row>
    <row r="6444" spans="3:9" ht="15.75">
      <c r="C6444" s="951" t="s">
        <v>918</v>
      </c>
      <c r="D6444" s="946"/>
      <c r="E6444" s="947"/>
      <c r="F6444" s="1054"/>
      <c r="G6444" s="946"/>
      <c r="H6444" s="1031"/>
      <c r="I6444" s="952">
        <f>SUM(I6443:I6443)</f>
        <v>0</v>
      </c>
    </row>
    <row r="6445" spans="3:9" ht="15.75">
      <c r="C6445" s="949"/>
      <c r="D6445" s="946"/>
      <c r="E6445" s="947"/>
      <c r="F6445" s="1054"/>
      <c r="G6445" s="946"/>
      <c r="H6445" s="1031"/>
      <c r="I6445" s="948"/>
    </row>
    <row r="6446" spans="3:9" ht="15.75">
      <c r="C6446" s="945" t="s">
        <v>925</v>
      </c>
      <c r="D6446" s="946"/>
      <c r="E6446" s="947"/>
      <c r="F6446" s="1054"/>
      <c r="G6446" s="946"/>
      <c r="H6446" s="1031"/>
      <c r="I6446" s="948"/>
    </row>
    <row r="6447" spans="3:9" ht="15.75">
      <c r="C6447" s="949" t="s">
        <v>924</v>
      </c>
      <c r="D6447" s="946"/>
      <c r="E6447" s="947" t="str">
        <f>+VLOOKUP(C6447,'Basic (equilibrio) (2)'!B:D,2,FALSE)</f>
        <v>n/a</v>
      </c>
      <c r="F6447" s="1054">
        <f>+VLOOKUP(C6447,'Basic (equilibrio) (2)'!B:D,3,FALSE)</f>
        <v>0</v>
      </c>
      <c r="G6447" s="946"/>
      <c r="H6447" s="1031"/>
      <c r="I6447" s="948">
        <f>D6447*F6447</f>
        <v>0</v>
      </c>
    </row>
    <row r="6448" spans="3:9" ht="15.75">
      <c r="C6448" s="951" t="s">
        <v>918</v>
      </c>
      <c r="D6448" s="946"/>
      <c r="E6448" s="947"/>
      <c r="F6448" s="1054"/>
      <c r="G6448" s="946"/>
      <c r="H6448" s="1031"/>
      <c r="I6448" s="952">
        <f>SUM(I6447)</f>
        <v>0</v>
      </c>
    </row>
    <row r="6449" spans="2:9" ht="15.75">
      <c r="C6449" s="951"/>
      <c r="D6449" s="946"/>
      <c r="E6449" s="947"/>
      <c r="F6449" s="1054"/>
      <c r="G6449" s="946"/>
      <c r="H6449" s="1031"/>
      <c r="I6449" s="952"/>
    </row>
    <row r="6450" spans="2:9" ht="15.75">
      <c r="C6450" s="956" t="s">
        <v>926</v>
      </c>
      <c r="D6450" s="957"/>
      <c r="E6450" s="958"/>
      <c r="F6450" s="1069"/>
      <c r="G6450" s="957"/>
      <c r="H6450" s="1032"/>
      <c r="I6450" s="959">
        <f>+I6436</f>
        <v>75.099999999999994</v>
      </c>
    </row>
    <row r="6451" spans="2:9" ht="15.75">
      <c r="C6451" s="956" t="s">
        <v>927</v>
      </c>
      <c r="D6451" s="957"/>
      <c r="E6451" s="958"/>
      <c r="F6451" s="1069"/>
      <c r="G6451" s="957"/>
      <c r="H6451" s="1032"/>
      <c r="I6451" s="959">
        <f>+I6440</f>
        <v>26</v>
      </c>
    </row>
    <row r="6452" spans="2:9" ht="15.75">
      <c r="C6452" s="956" t="s">
        <v>928</v>
      </c>
      <c r="D6452" s="957"/>
      <c r="E6452" s="958"/>
      <c r="F6452" s="1069"/>
      <c r="G6452" s="957"/>
      <c r="H6452" s="1032"/>
      <c r="I6452" s="959">
        <f>+I6444</f>
        <v>0</v>
      </c>
    </row>
    <row r="6453" spans="2:9" ht="15.75">
      <c r="C6453" s="956" t="s">
        <v>929</v>
      </c>
      <c r="D6453" s="957"/>
      <c r="E6453" s="958"/>
      <c r="F6453" s="1069"/>
      <c r="G6453" s="957"/>
      <c r="H6453" s="1032"/>
      <c r="I6453" s="959">
        <f>+I6448</f>
        <v>0</v>
      </c>
    </row>
    <row r="6454" spans="2:9" ht="15.75">
      <c r="C6454" s="949"/>
      <c r="D6454" s="946"/>
      <c r="E6454" s="947"/>
      <c r="F6454" s="1054"/>
      <c r="G6454" s="946"/>
      <c r="H6454" s="1031"/>
      <c r="I6454" s="948"/>
    </row>
    <row r="6455" spans="2:9" ht="15.75">
      <c r="C6455" s="951" t="s">
        <v>930</v>
      </c>
      <c r="D6455" s="960"/>
      <c r="E6455" s="943" t="str">
        <f>+E6431</f>
        <v>M2</v>
      </c>
      <c r="F6455" s="1070"/>
      <c r="G6455" s="960"/>
      <c r="H6455" s="1033"/>
      <c r="I6455" s="952">
        <f>SUM(I6450:I6453)</f>
        <v>101.1</v>
      </c>
    </row>
    <row r="6456" spans="2:9" ht="15.75">
      <c r="C6456" s="951"/>
      <c r="D6456" s="960"/>
      <c r="E6456" s="943"/>
      <c r="F6456" s="1070"/>
      <c r="G6456" s="960"/>
      <c r="H6456" s="1033"/>
      <c r="I6456" s="952"/>
    </row>
    <row r="6457" spans="2:9" ht="15.75">
      <c r="B6457" s="1026">
        <v>5.5</v>
      </c>
      <c r="C6457" s="937" t="str">
        <f>+Presupuesto!B402</f>
        <v>Repello</v>
      </c>
      <c r="D6457" s="938"/>
      <c r="E6457" s="962" t="s">
        <v>20</v>
      </c>
      <c r="F6457" s="1066"/>
      <c r="G6457" s="938"/>
      <c r="H6457" s="1029"/>
      <c r="I6457" s="940">
        <f>I6480</f>
        <v>317.60000000000002</v>
      </c>
    </row>
    <row r="6458" spans="2:9" ht="15.75">
      <c r="C6458" s="941" t="s">
        <v>908</v>
      </c>
      <c r="D6458" s="942" t="s">
        <v>9</v>
      </c>
      <c r="E6458" s="943" t="s">
        <v>10</v>
      </c>
      <c r="F6458" s="1067" t="s">
        <v>909</v>
      </c>
      <c r="G6458" s="942" t="s">
        <v>910</v>
      </c>
      <c r="H6458" s="1030" t="s">
        <v>911</v>
      </c>
      <c r="I6458" s="944" t="s">
        <v>912</v>
      </c>
    </row>
    <row r="6459" spans="2:9" ht="15.75">
      <c r="C6459" s="945" t="s">
        <v>913</v>
      </c>
      <c r="D6459" s="946"/>
      <c r="E6459" s="947"/>
      <c r="F6459" s="1054"/>
      <c r="G6459" s="946"/>
      <c r="H6459" s="1031"/>
      <c r="I6459" s="948"/>
    </row>
    <row r="6460" spans="2:9" ht="15.75">
      <c r="C6460" s="949" t="s">
        <v>958</v>
      </c>
      <c r="D6460" s="946">
        <v>0.03</v>
      </c>
      <c r="E6460" s="947" t="str">
        <f>+VLOOKUP(C6460,'Basic (equilibrio) (2)'!B:D,2,FALSE)</f>
        <v>m3</v>
      </c>
      <c r="F6460" s="1068">
        <f>'Basic (equilibrio) (2)'!$D$309</f>
        <v>6820</v>
      </c>
      <c r="G6460" s="946">
        <f>F6460-(F6460/1.18)</f>
        <v>1040.3399999999999</v>
      </c>
      <c r="H6460" s="1031"/>
      <c r="I6460" s="948">
        <f>D6460*F6460</f>
        <v>204.6</v>
      </c>
    </row>
    <row r="6461" spans="2:9" ht="15.75">
      <c r="C6461" s="951" t="s">
        <v>918</v>
      </c>
      <c r="D6461" s="946"/>
      <c r="E6461" s="947"/>
      <c r="F6461" s="1068"/>
      <c r="G6461" s="946"/>
      <c r="H6461" s="1031"/>
      <c r="I6461" s="952">
        <f>SUM(I6460:I6460)</f>
        <v>204.6</v>
      </c>
    </row>
    <row r="6462" spans="2:9" ht="15.75">
      <c r="C6462" s="949"/>
      <c r="D6462" s="946"/>
      <c r="E6462" s="947"/>
      <c r="F6462" s="1068"/>
      <c r="G6462" s="946"/>
      <c r="H6462" s="1031"/>
      <c r="I6462" s="948"/>
    </row>
    <row r="6463" spans="2:9" ht="15.75">
      <c r="C6463" s="945" t="s">
        <v>919</v>
      </c>
      <c r="D6463" s="946"/>
      <c r="E6463" s="947"/>
      <c r="F6463" s="1068"/>
      <c r="G6463" s="946"/>
      <c r="H6463" s="1031"/>
      <c r="I6463" s="948"/>
    </row>
    <row r="6464" spans="2:9" ht="15.75">
      <c r="C6464" s="949" t="s">
        <v>1580</v>
      </c>
      <c r="D6464" s="953">
        <v>1</v>
      </c>
      <c r="E6464" s="954" t="str">
        <f>+VLOOKUP(C6464,'Basic (equilibrio) (2)'!B:D,2,FALSE)</f>
        <v>m2</v>
      </c>
      <c r="F6464" s="1068">
        <f>'Basic (equilibrio) (2)'!$D$4</f>
        <v>113</v>
      </c>
      <c r="G6464" s="946">
        <v>0</v>
      </c>
      <c r="H6464" s="1031"/>
      <c r="I6464" s="948">
        <f>(D6464*F6464)</f>
        <v>113</v>
      </c>
    </row>
    <row r="6465" spans="3:9" ht="15.75">
      <c r="C6465" s="951" t="s">
        <v>918</v>
      </c>
      <c r="D6465" s="946"/>
      <c r="E6465" s="947"/>
      <c r="F6465" s="1054"/>
      <c r="G6465" s="946"/>
      <c r="H6465" s="1031"/>
      <c r="I6465" s="952">
        <f>SUM(I6464:I6464)</f>
        <v>113</v>
      </c>
    </row>
    <row r="6466" spans="3:9" ht="15.75">
      <c r="C6466" s="949"/>
      <c r="D6466" s="946"/>
      <c r="E6466" s="947"/>
      <c r="F6466" s="1054"/>
      <c r="G6466" s="946"/>
      <c r="H6466" s="1031"/>
      <c r="I6466" s="948"/>
    </row>
    <row r="6467" spans="3:9" ht="15.75">
      <c r="C6467" s="945" t="s">
        <v>923</v>
      </c>
      <c r="D6467" s="946"/>
      <c r="E6467" s="947"/>
      <c r="F6467" s="1054"/>
      <c r="G6467" s="946"/>
      <c r="H6467" s="1031"/>
      <c r="I6467" s="948"/>
    </row>
    <row r="6468" spans="3:9" ht="15.75">
      <c r="C6468" s="949" t="s">
        <v>924</v>
      </c>
      <c r="D6468" s="946"/>
      <c r="E6468" s="947" t="str">
        <f>+VLOOKUP(C6468,'Basic (equilibrio) (2)'!B:D,2,FALSE)</f>
        <v>n/a</v>
      </c>
      <c r="F6468" s="1054">
        <f>+VLOOKUP(C6468,'Basic (equilibrio) (2)'!B:D,3,FALSE)</f>
        <v>0</v>
      </c>
      <c r="G6468" s="946">
        <f>F6468-(F6468/1.18)</f>
        <v>0</v>
      </c>
      <c r="H6468" s="1039"/>
      <c r="I6468" s="955">
        <f>D6468*F6468</f>
        <v>0</v>
      </c>
    </row>
    <row r="6469" spans="3:9" ht="15.75">
      <c r="C6469" s="951" t="s">
        <v>918</v>
      </c>
      <c r="D6469" s="946"/>
      <c r="E6469" s="947"/>
      <c r="F6469" s="1054"/>
      <c r="G6469" s="946"/>
      <c r="H6469" s="1031"/>
      <c r="I6469" s="952">
        <f>SUM(I6468:I6468)</f>
        <v>0</v>
      </c>
    </row>
    <row r="6470" spans="3:9" ht="15.75">
      <c r="C6470" s="949"/>
      <c r="D6470" s="946"/>
      <c r="E6470" s="947"/>
      <c r="F6470" s="1054"/>
      <c r="G6470" s="946"/>
      <c r="H6470" s="1031"/>
      <c r="I6470" s="948"/>
    </row>
    <row r="6471" spans="3:9" ht="15.75">
      <c r="C6471" s="945" t="s">
        <v>925</v>
      </c>
      <c r="D6471" s="946"/>
      <c r="E6471" s="947"/>
      <c r="F6471" s="1054"/>
      <c r="G6471" s="946"/>
      <c r="H6471" s="1031"/>
      <c r="I6471" s="948"/>
    </row>
    <row r="6472" spans="3:9" ht="15.75">
      <c r="C6472" s="949" t="s">
        <v>924</v>
      </c>
      <c r="D6472" s="946"/>
      <c r="E6472" s="947" t="str">
        <f>+VLOOKUP(C6472,'Basic (equilibrio) (2)'!B:D,2,FALSE)</f>
        <v>n/a</v>
      </c>
      <c r="F6472" s="1054">
        <f>+VLOOKUP(C6472,'Basic (equilibrio) (2)'!B:D,3,FALSE)</f>
        <v>0</v>
      </c>
      <c r="G6472" s="946"/>
      <c r="H6472" s="1031"/>
      <c r="I6472" s="948">
        <f>D6472*F6472</f>
        <v>0</v>
      </c>
    </row>
    <row r="6473" spans="3:9" ht="15.75">
      <c r="C6473" s="951" t="s">
        <v>918</v>
      </c>
      <c r="D6473" s="946"/>
      <c r="E6473" s="947"/>
      <c r="F6473" s="1054"/>
      <c r="G6473" s="946"/>
      <c r="H6473" s="1031"/>
      <c r="I6473" s="952">
        <f>SUM(I6472)</f>
        <v>0</v>
      </c>
    </row>
    <row r="6474" spans="3:9" ht="15.75">
      <c r="C6474" s="951"/>
      <c r="D6474" s="946"/>
      <c r="E6474" s="947"/>
      <c r="F6474" s="1054"/>
      <c r="G6474" s="946"/>
      <c r="H6474" s="1031"/>
      <c r="I6474" s="952"/>
    </row>
    <row r="6475" spans="3:9" ht="15.75">
      <c r="C6475" s="956" t="s">
        <v>926</v>
      </c>
      <c r="D6475" s="957"/>
      <c r="E6475" s="958"/>
      <c r="F6475" s="1069"/>
      <c r="G6475" s="957"/>
      <c r="H6475" s="1032"/>
      <c r="I6475" s="959">
        <f>+I6461</f>
        <v>204.6</v>
      </c>
    </row>
    <row r="6476" spans="3:9" ht="15.75">
      <c r="C6476" s="956" t="s">
        <v>927</v>
      </c>
      <c r="D6476" s="957"/>
      <c r="E6476" s="958"/>
      <c r="F6476" s="1069"/>
      <c r="G6476" s="957"/>
      <c r="H6476" s="1032"/>
      <c r="I6476" s="959">
        <f>+I6465</f>
        <v>113</v>
      </c>
    </row>
    <row r="6477" spans="3:9" ht="15.75">
      <c r="C6477" s="956" t="s">
        <v>928</v>
      </c>
      <c r="D6477" s="957"/>
      <c r="E6477" s="958"/>
      <c r="F6477" s="1069"/>
      <c r="G6477" s="957"/>
      <c r="H6477" s="1032"/>
      <c r="I6477" s="959">
        <f>+I6469</f>
        <v>0</v>
      </c>
    </row>
    <row r="6478" spans="3:9" ht="15.75">
      <c r="C6478" s="956" t="s">
        <v>929</v>
      </c>
      <c r="D6478" s="957"/>
      <c r="E6478" s="958"/>
      <c r="F6478" s="1069"/>
      <c r="G6478" s="957"/>
      <c r="H6478" s="1032"/>
      <c r="I6478" s="959">
        <f>+I6473</f>
        <v>0</v>
      </c>
    </row>
    <row r="6479" spans="3:9" ht="15.75">
      <c r="C6479" s="949"/>
      <c r="D6479" s="946"/>
      <c r="E6479" s="947"/>
      <c r="F6479" s="1054"/>
      <c r="G6479" s="946"/>
      <c r="H6479" s="1031"/>
      <c r="I6479" s="948"/>
    </row>
    <row r="6480" spans="3:9" ht="15.75">
      <c r="C6480" s="951" t="s">
        <v>930</v>
      </c>
      <c r="D6480" s="960"/>
      <c r="E6480" s="943" t="str">
        <f>+E6457</f>
        <v>M2</v>
      </c>
      <c r="F6480" s="1070"/>
      <c r="G6480" s="960"/>
      <c r="H6480" s="1033"/>
      <c r="I6480" s="952">
        <f>SUM(I6475:I6478)</f>
        <v>317.60000000000002</v>
      </c>
    </row>
    <row r="6481" spans="2:9" ht="15.75">
      <c r="C6481" s="951"/>
      <c r="D6481" s="960"/>
      <c r="E6481" s="943"/>
      <c r="F6481" s="1070"/>
      <c r="G6481" s="960"/>
      <c r="H6481" s="1033"/>
      <c r="I6481" s="952"/>
    </row>
    <row r="6482" spans="2:9" ht="15.75">
      <c r="C6482" s="951"/>
      <c r="D6482" s="960"/>
      <c r="E6482" s="943"/>
      <c r="F6482" s="1070"/>
      <c r="G6482" s="960"/>
      <c r="H6482" s="1033"/>
      <c r="I6482" s="952"/>
    </row>
    <row r="6483" spans="2:9" ht="15.75">
      <c r="B6483" s="1026">
        <v>5.6</v>
      </c>
      <c r="C6483" s="937" t="str">
        <f>+Presupuesto!B403</f>
        <v>Estrias y/o alto relieve en antepecho frontal</v>
      </c>
      <c r="D6483" s="938"/>
      <c r="E6483" s="962" t="s">
        <v>20</v>
      </c>
      <c r="F6483" s="1066"/>
      <c r="G6483" s="938"/>
      <c r="H6483" s="1029"/>
      <c r="I6483" s="940">
        <f>I6506</f>
        <v>319.89999999999998</v>
      </c>
    </row>
    <row r="6484" spans="2:9" ht="15.75">
      <c r="C6484" s="941" t="s">
        <v>908</v>
      </c>
      <c r="D6484" s="942" t="s">
        <v>9</v>
      </c>
      <c r="E6484" s="943" t="s">
        <v>10</v>
      </c>
      <c r="F6484" s="1067" t="s">
        <v>909</v>
      </c>
      <c r="G6484" s="942" t="s">
        <v>910</v>
      </c>
      <c r="H6484" s="1030" t="s">
        <v>911</v>
      </c>
      <c r="I6484" s="944" t="s">
        <v>912</v>
      </c>
    </row>
    <row r="6485" spans="2:9" ht="15.75">
      <c r="C6485" s="945" t="s">
        <v>913</v>
      </c>
      <c r="D6485" s="946"/>
      <c r="E6485" s="947"/>
      <c r="F6485" s="1054"/>
      <c r="G6485" s="946"/>
      <c r="H6485" s="1031"/>
      <c r="I6485" s="948"/>
    </row>
    <row r="6486" spans="2:9" ht="15.75">
      <c r="C6486" s="949" t="s">
        <v>958</v>
      </c>
      <c r="D6486" s="946">
        <v>0.03</v>
      </c>
      <c r="E6486" s="947" t="str">
        <f>+VLOOKUP(C6486,'Basic (equilibrio) (2)'!B:D,2,FALSE)</f>
        <v>m3</v>
      </c>
      <c r="F6486" s="1068">
        <f>'Basic (equilibrio) (2)'!$D$309</f>
        <v>6820</v>
      </c>
      <c r="G6486" s="946">
        <f>F6486-(F6486/1.18)</f>
        <v>1040.3399999999999</v>
      </c>
      <c r="H6486" s="1031"/>
      <c r="I6486" s="948">
        <f>D6486*F6486</f>
        <v>204.6</v>
      </c>
    </row>
    <row r="6487" spans="2:9" ht="15.75">
      <c r="C6487" s="951" t="s">
        <v>918</v>
      </c>
      <c r="D6487" s="946"/>
      <c r="E6487" s="947"/>
      <c r="F6487" s="1068"/>
      <c r="G6487" s="946"/>
      <c r="H6487" s="1031"/>
      <c r="I6487" s="952">
        <f>SUM(I6486:I6486)</f>
        <v>204.6</v>
      </c>
    </row>
    <row r="6488" spans="2:9" ht="15.75">
      <c r="C6488" s="949"/>
      <c r="D6488" s="946"/>
      <c r="E6488" s="947"/>
      <c r="F6488" s="1068"/>
      <c r="G6488" s="946"/>
      <c r="H6488" s="1031"/>
      <c r="I6488" s="948"/>
    </row>
    <row r="6489" spans="2:9" ht="15.75">
      <c r="C6489" s="945" t="s">
        <v>919</v>
      </c>
      <c r="D6489" s="946"/>
      <c r="E6489" s="947"/>
      <c r="F6489" s="1068"/>
      <c r="G6489" s="946"/>
      <c r="H6489" s="1031"/>
      <c r="I6489" s="948"/>
    </row>
    <row r="6490" spans="2:9" ht="15.75">
      <c r="C6490" s="949" t="s">
        <v>1581</v>
      </c>
      <c r="D6490" s="953">
        <v>1</v>
      </c>
      <c r="E6490" s="954" t="str">
        <f>+VLOOKUP(C6490,'Basic (equilibrio) (2)'!B:D,2,FALSE)</f>
        <v>m</v>
      </c>
      <c r="F6490" s="1068">
        <f>'Basic (equilibrio) (2)'!$D$5</f>
        <v>115.3</v>
      </c>
      <c r="G6490" s="946">
        <v>0</v>
      </c>
      <c r="H6490" s="1031"/>
      <c r="I6490" s="948">
        <f>(D6490*F6490)</f>
        <v>115.3</v>
      </c>
    </row>
    <row r="6491" spans="2:9" ht="15.75">
      <c r="C6491" s="951" t="s">
        <v>918</v>
      </c>
      <c r="D6491" s="946"/>
      <c r="E6491" s="947"/>
      <c r="F6491" s="1054"/>
      <c r="G6491" s="946"/>
      <c r="H6491" s="1031"/>
      <c r="I6491" s="952">
        <f>SUM(I6490:I6490)</f>
        <v>115.3</v>
      </c>
    </row>
    <row r="6492" spans="2:9" ht="15.75">
      <c r="C6492" s="949"/>
      <c r="D6492" s="946"/>
      <c r="E6492" s="947"/>
      <c r="F6492" s="1054"/>
      <c r="G6492" s="946"/>
      <c r="H6492" s="1031"/>
      <c r="I6492" s="948"/>
    </row>
    <row r="6493" spans="2:9" ht="15.75">
      <c r="C6493" s="945" t="s">
        <v>923</v>
      </c>
      <c r="D6493" s="946"/>
      <c r="E6493" s="947"/>
      <c r="F6493" s="1054"/>
      <c r="G6493" s="946"/>
      <c r="H6493" s="1031"/>
      <c r="I6493" s="948"/>
    </row>
    <row r="6494" spans="2:9" ht="15.75">
      <c r="C6494" s="949" t="s">
        <v>924</v>
      </c>
      <c r="D6494" s="946"/>
      <c r="E6494" s="947" t="str">
        <f>+VLOOKUP(C6494,'Basic (equilibrio) (2)'!B:D,2,FALSE)</f>
        <v>n/a</v>
      </c>
      <c r="F6494" s="1054">
        <f>+VLOOKUP(C6494,'Basic (equilibrio) (2)'!B:D,3,FALSE)</f>
        <v>0</v>
      </c>
      <c r="G6494" s="946">
        <f>F6494-(F6494/1.18)</f>
        <v>0</v>
      </c>
      <c r="H6494" s="1039"/>
      <c r="I6494" s="955">
        <f>D6494*F6494</f>
        <v>0</v>
      </c>
    </row>
    <row r="6495" spans="2:9" ht="15.75">
      <c r="C6495" s="951" t="s">
        <v>918</v>
      </c>
      <c r="D6495" s="946"/>
      <c r="E6495" s="947"/>
      <c r="F6495" s="1054"/>
      <c r="G6495" s="946"/>
      <c r="H6495" s="1031"/>
      <c r="I6495" s="952">
        <f>SUM(I6494:I6494)</f>
        <v>0</v>
      </c>
    </row>
    <row r="6496" spans="2:9" ht="15.75">
      <c r="C6496" s="949"/>
      <c r="D6496" s="946"/>
      <c r="E6496" s="947"/>
      <c r="F6496" s="1054"/>
      <c r="G6496" s="946"/>
      <c r="H6496" s="1031"/>
      <c r="I6496" s="948"/>
    </row>
    <row r="6497" spans="2:9" ht="15.75">
      <c r="C6497" s="945" t="s">
        <v>925</v>
      </c>
      <c r="D6497" s="946"/>
      <c r="E6497" s="947"/>
      <c r="F6497" s="1054"/>
      <c r="G6497" s="946"/>
      <c r="H6497" s="1031"/>
      <c r="I6497" s="948"/>
    </row>
    <row r="6498" spans="2:9" ht="15.75">
      <c r="C6498" s="949" t="s">
        <v>924</v>
      </c>
      <c r="D6498" s="946"/>
      <c r="E6498" s="947" t="str">
        <f>+VLOOKUP(C6498,'Basic (equilibrio) (2)'!B:D,2,FALSE)</f>
        <v>n/a</v>
      </c>
      <c r="F6498" s="1054">
        <f>+VLOOKUP(C6498,'Basic (equilibrio) (2)'!B:D,3,FALSE)</f>
        <v>0</v>
      </c>
      <c r="G6498" s="946"/>
      <c r="H6498" s="1031"/>
      <c r="I6498" s="948">
        <f>D6498*F6498</f>
        <v>0</v>
      </c>
    </row>
    <row r="6499" spans="2:9" ht="15.75">
      <c r="C6499" s="951" t="s">
        <v>918</v>
      </c>
      <c r="D6499" s="946"/>
      <c r="E6499" s="947"/>
      <c r="F6499" s="1054"/>
      <c r="G6499" s="946"/>
      <c r="H6499" s="1031"/>
      <c r="I6499" s="952">
        <f>SUM(I6498)</f>
        <v>0</v>
      </c>
    </row>
    <row r="6500" spans="2:9" ht="15.75">
      <c r="C6500" s="951"/>
      <c r="D6500" s="946"/>
      <c r="E6500" s="947"/>
      <c r="F6500" s="1054"/>
      <c r="G6500" s="946"/>
      <c r="H6500" s="1031"/>
      <c r="I6500" s="952"/>
    </row>
    <row r="6501" spans="2:9" ht="15.75">
      <c r="C6501" s="956" t="s">
        <v>926</v>
      </c>
      <c r="D6501" s="957"/>
      <c r="E6501" s="958"/>
      <c r="F6501" s="1069"/>
      <c r="G6501" s="957"/>
      <c r="H6501" s="1032"/>
      <c r="I6501" s="959">
        <f>+I6487</f>
        <v>204.6</v>
      </c>
    </row>
    <row r="6502" spans="2:9" ht="15.75">
      <c r="C6502" s="956" t="s">
        <v>927</v>
      </c>
      <c r="D6502" s="957"/>
      <c r="E6502" s="958"/>
      <c r="F6502" s="1069"/>
      <c r="G6502" s="957"/>
      <c r="H6502" s="1032"/>
      <c r="I6502" s="959">
        <f>+I6491</f>
        <v>115.3</v>
      </c>
    </row>
    <row r="6503" spans="2:9" ht="15.75">
      <c r="C6503" s="956" t="s">
        <v>928</v>
      </c>
      <c r="D6503" s="957"/>
      <c r="E6503" s="958"/>
      <c r="F6503" s="1069"/>
      <c r="G6503" s="957"/>
      <c r="H6503" s="1032"/>
      <c r="I6503" s="959">
        <f>+I6495</f>
        <v>0</v>
      </c>
    </row>
    <row r="6504" spans="2:9" ht="15.75">
      <c r="C6504" s="956" t="s">
        <v>929</v>
      </c>
      <c r="D6504" s="957"/>
      <c r="E6504" s="958"/>
      <c r="F6504" s="1069"/>
      <c r="G6504" s="957"/>
      <c r="H6504" s="1032"/>
      <c r="I6504" s="959">
        <f>+I6499</f>
        <v>0</v>
      </c>
    </row>
    <row r="6505" spans="2:9" ht="15.75">
      <c r="C6505" s="949"/>
      <c r="D6505" s="946"/>
      <c r="E6505" s="947"/>
      <c r="F6505" s="1054"/>
      <c r="G6505" s="946"/>
      <c r="H6505" s="1031"/>
      <c r="I6505" s="948"/>
    </row>
    <row r="6506" spans="2:9" ht="15.75">
      <c r="C6506" s="951" t="s">
        <v>930</v>
      </c>
      <c r="D6506" s="960"/>
      <c r="E6506" s="943" t="str">
        <f>+E6483</f>
        <v>M2</v>
      </c>
      <c r="F6506" s="1070"/>
      <c r="G6506" s="960"/>
      <c r="H6506" s="1033"/>
      <c r="I6506" s="952">
        <f>SUM(I6501:I6504)</f>
        <v>319.89999999999998</v>
      </c>
    </row>
    <row r="6507" spans="2:9" ht="15.75">
      <c r="C6507" s="951"/>
      <c r="D6507" s="960"/>
      <c r="E6507" s="943"/>
      <c r="F6507" s="1070"/>
      <c r="G6507" s="960"/>
      <c r="H6507" s="1033"/>
      <c r="I6507" s="952"/>
    </row>
    <row r="6508" spans="2:9" ht="15.75">
      <c r="B6508" s="1026">
        <v>5.7</v>
      </c>
      <c r="C6508" s="937" t="str">
        <f>+Presupuesto!B404</f>
        <v>Mochetas</v>
      </c>
      <c r="D6508" s="938"/>
      <c r="E6508" s="962" t="s">
        <v>15</v>
      </c>
      <c r="F6508" s="1066"/>
      <c r="G6508" s="938"/>
      <c r="H6508" s="1029"/>
      <c r="I6508" s="940">
        <f>+I6532</f>
        <v>138.5</v>
      </c>
    </row>
    <row r="6509" spans="2:9" ht="15.75">
      <c r="C6509" s="941" t="s">
        <v>908</v>
      </c>
      <c r="D6509" s="942" t="s">
        <v>9</v>
      </c>
      <c r="E6509" s="943" t="s">
        <v>10</v>
      </c>
      <c r="F6509" s="1067" t="s">
        <v>909</v>
      </c>
      <c r="G6509" s="942" t="s">
        <v>910</v>
      </c>
      <c r="H6509" s="1030" t="s">
        <v>911</v>
      </c>
      <c r="I6509" s="944" t="s">
        <v>912</v>
      </c>
    </row>
    <row r="6510" spans="2:9" ht="15.75">
      <c r="C6510" s="945" t="s">
        <v>913</v>
      </c>
      <c r="D6510" s="946"/>
      <c r="E6510" s="947"/>
      <c r="F6510" s="1054"/>
      <c r="G6510" s="946"/>
      <c r="H6510" s="1031"/>
      <c r="I6510" s="948"/>
    </row>
    <row r="6511" spans="2:9" ht="15.75">
      <c r="C6511" s="949" t="s">
        <v>958</v>
      </c>
      <c r="D6511" s="946">
        <v>0.01</v>
      </c>
      <c r="E6511" s="947" t="str">
        <f>+VLOOKUP(C6511,'Basic (equilibrio) (2)'!B:D,2,FALSE)</f>
        <v>m3</v>
      </c>
      <c r="F6511" s="1068">
        <f>'Basic (equilibrio) (2)'!$D$309</f>
        <v>6820</v>
      </c>
      <c r="G6511" s="946">
        <f>F6511-(F6511/1.18)</f>
        <v>1040.3399999999999</v>
      </c>
      <c r="H6511" s="1031"/>
      <c r="I6511" s="948">
        <f>D6511*F6511</f>
        <v>68.2</v>
      </c>
    </row>
    <row r="6512" spans="2:9" ht="15.75">
      <c r="C6512" s="949" t="s">
        <v>1206</v>
      </c>
      <c r="D6512" s="946">
        <v>0.11</v>
      </c>
      <c r="E6512" s="947" t="str">
        <f>+VLOOKUP(C6512,'Basic (equilibrio) (2)'!B:D,2,FALSE)</f>
        <v>pt</v>
      </c>
      <c r="F6512" s="1068">
        <f>'Basic (equilibrio) (2)'!$D$310</f>
        <v>230</v>
      </c>
      <c r="G6512" s="946">
        <f>F6512-(F6512/1.18)</f>
        <v>35.08</v>
      </c>
      <c r="H6512" s="1031"/>
      <c r="I6512" s="948">
        <f>D6512*F6512</f>
        <v>25.3</v>
      </c>
    </row>
    <row r="6513" spans="3:9" ht="15.75">
      <c r="C6513" s="951" t="s">
        <v>918</v>
      </c>
      <c r="D6513" s="946"/>
      <c r="E6513" s="947"/>
      <c r="F6513" s="1068"/>
      <c r="G6513" s="946"/>
      <c r="H6513" s="1031"/>
      <c r="I6513" s="952">
        <f>SUM(I6511:I6512)</f>
        <v>93.5</v>
      </c>
    </row>
    <row r="6514" spans="3:9" ht="15.75">
      <c r="C6514" s="949"/>
      <c r="D6514" s="946"/>
      <c r="E6514" s="947"/>
      <c r="F6514" s="1068"/>
      <c r="G6514" s="946"/>
      <c r="H6514" s="1031"/>
      <c r="I6514" s="948"/>
    </row>
    <row r="6515" spans="3:9" ht="15.75">
      <c r="C6515" s="945" t="s">
        <v>919</v>
      </c>
      <c r="D6515" s="946"/>
      <c r="E6515" s="947"/>
      <c r="F6515" s="1068"/>
      <c r="G6515" s="946"/>
      <c r="H6515" s="1031"/>
      <c r="I6515" s="948"/>
    </row>
    <row r="6516" spans="3:9" ht="15.75">
      <c r="C6516" s="949" t="s">
        <v>1582</v>
      </c>
      <c r="D6516" s="953">
        <v>1</v>
      </c>
      <c r="E6516" s="954" t="str">
        <f>+VLOOKUP(C6516,'Basic (equilibrio) (2)'!B:D,2,FALSE)</f>
        <v>m</v>
      </c>
      <c r="F6516" s="1068">
        <f>'Basic (equilibrio) (2)'!$D$6</f>
        <v>45</v>
      </c>
      <c r="G6516" s="946">
        <v>0</v>
      </c>
      <c r="H6516" s="1031"/>
      <c r="I6516" s="948">
        <f>(D6516*F6516)</f>
        <v>45</v>
      </c>
    </row>
    <row r="6517" spans="3:9" ht="15.75">
      <c r="C6517" s="951" t="s">
        <v>918</v>
      </c>
      <c r="D6517" s="946"/>
      <c r="E6517" s="947"/>
      <c r="F6517" s="1054"/>
      <c r="G6517" s="946"/>
      <c r="H6517" s="1031"/>
      <c r="I6517" s="952">
        <f>SUM(I6516:I6516)</f>
        <v>45</v>
      </c>
    </row>
    <row r="6518" spans="3:9" ht="15.75">
      <c r="C6518" s="949"/>
      <c r="D6518" s="946"/>
      <c r="E6518" s="947"/>
      <c r="F6518" s="1054"/>
      <c r="G6518" s="946"/>
      <c r="H6518" s="1031"/>
      <c r="I6518" s="948"/>
    </row>
    <row r="6519" spans="3:9" ht="15.75">
      <c r="C6519" s="945" t="s">
        <v>923</v>
      </c>
      <c r="D6519" s="946"/>
      <c r="E6519" s="947"/>
      <c r="F6519" s="1054"/>
      <c r="G6519" s="946"/>
      <c r="H6519" s="1031"/>
      <c r="I6519" s="948"/>
    </row>
    <row r="6520" spans="3:9" ht="15.75">
      <c r="C6520" s="949" t="s">
        <v>924</v>
      </c>
      <c r="D6520" s="946"/>
      <c r="E6520" s="947" t="str">
        <f>+VLOOKUP(C6520,'Basic (equilibrio) (2)'!B:D,2,FALSE)</f>
        <v>n/a</v>
      </c>
      <c r="F6520" s="1054">
        <f>+VLOOKUP(C6520,'Basic (equilibrio) (2)'!B:D,3,FALSE)</f>
        <v>0</v>
      </c>
      <c r="G6520" s="946">
        <f>F6520-(F6520/1.18)</f>
        <v>0</v>
      </c>
      <c r="H6520" s="1039"/>
      <c r="I6520" s="955">
        <f>D6520*F6520</f>
        <v>0</v>
      </c>
    </row>
    <row r="6521" spans="3:9" ht="15.75">
      <c r="C6521" s="951" t="s">
        <v>918</v>
      </c>
      <c r="D6521" s="946"/>
      <c r="E6521" s="947"/>
      <c r="F6521" s="1054"/>
      <c r="G6521" s="946"/>
      <c r="H6521" s="1031"/>
      <c r="I6521" s="952">
        <f>SUM(I6520:I6520)</f>
        <v>0</v>
      </c>
    </row>
    <row r="6522" spans="3:9" ht="15.75">
      <c r="C6522" s="949"/>
      <c r="D6522" s="946"/>
      <c r="E6522" s="947"/>
      <c r="F6522" s="1054"/>
      <c r="G6522" s="946"/>
      <c r="H6522" s="1031"/>
      <c r="I6522" s="948"/>
    </row>
    <row r="6523" spans="3:9" ht="15.75">
      <c r="C6523" s="945" t="s">
        <v>925</v>
      </c>
      <c r="D6523" s="946"/>
      <c r="E6523" s="947"/>
      <c r="F6523" s="1054"/>
      <c r="G6523" s="946"/>
      <c r="H6523" s="1031"/>
      <c r="I6523" s="948"/>
    </row>
    <row r="6524" spans="3:9" ht="15.75">
      <c r="C6524" s="949" t="s">
        <v>924</v>
      </c>
      <c r="D6524" s="946"/>
      <c r="E6524" s="947" t="str">
        <f>+VLOOKUP(C6524,'Basic (equilibrio) (2)'!B:D,2,FALSE)</f>
        <v>n/a</v>
      </c>
      <c r="F6524" s="1054">
        <f>+VLOOKUP(C6524,'Basic (equilibrio) (2)'!B:D,3,FALSE)</f>
        <v>0</v>
      </c>
      <c r="G6524" s="946"/>
      <c r="H6524" s="1031"/>
      <c r="I6524" s="948">
        <f>D6524*F6524</f>
        <v>0</v>
      </c>
    </row>
    <row r="6525" spans="3:9" ht="15.75">
      <c r="C6525" s="951" t="s">
        <v>918</v>
      </c>
      <c r="D6525" s="946"/>
      <c r="E6525" s="947"/>
      <c r="F6525" s="1054"/>
      <c r="G6525" s="946"/>
      <c r="H6525" s="1031"/>
      <c r="I6525" s="952">
        <f>SUM(I6524)</f>
        <v>0</v>
      </c>
    </row>
    <row r="6526" spans="3:9" ht="15.75">
      <c r="C6526" s="951"/>
      <c r="D6526" s="946"/>
      <c r="E6526" s="947"/>
      <c r="F6526" s="1054"/>
      <c r="G6526" s="946"/>
      <c r="H6526" s="1031"/>
      <c r="I6526" s="952"/>
    </row>
    <row r="6527" spans="3:9" ht="15.75">
      <c r="C6527" s="956" t="s">
        <v>926</v>
      </c>
      <c r="D6527" s="957"/>
      <c r="E6527" s="958"/>
      <c r="F6527" s="1069"/>
      <c r="G6527" s="957"/>
      <c r="H6527" s="1032"/>
      <c r="I6527" s="959">
        <f>+I6513</f>
        <v>93.5</v>
      </c>
    </row>
    <row r="6528" spans="3:9" ht="15.75">
      <c r="C6528" s="956" t="s">
        <v>927</v>
      </c>
      <c r="D6528" s="957"/>
      <c r="E6528" s="958"/>
      <c r="F6528" s="1069"/>
      <c r="G6528" s="957"/>
      <c r="H6528" s="1032"/>
      <c r="I6528" s="959">
        <f>+I6517</f>
        <v>45</v>
      </c>
    </row>
    <row r="6529" spans="2:9" ht="15.75">
      <c r="C6529" s="956" t="s">
        <v>928</v>
      </c>
      <c r="D6529" s="957"/>
      <c r="E6529" s="958"/>
      <c r="F6529" s="1069"/>
      <c r="G6529" s="957"/>
      <c r="H6529" s="1032"/>
      <c r="I6529" s="959">
        <f>+I6521</f>
        <v>0</v>
      </c>
    </row>
    <row r="6530" spans="2:9" ht="15.75">
      <c r="C6530" s="956" t="s">
        <v>929</v>
      </c>
      <c r="D6530" s="957"/>
      <c r="E6530" s="958"/>
      <c r="F6530" s="1069"/>
      <c r="G6530" s="957"/>
      <c r="H6530" s="1032"/>
      <c r="I6530" s="959">
        <f>+I6525</f>
        <v>0</v>
      </c>
    </row>
    <row r="6531" spans="2:9" ht="15.75">
      <c r="C6531" s="949"/>
      <c r="D6531" s="946"/>
      <c r="E6531" s="947"/>
      <c r="F6531" s="1054"/>
      <c r="G6531" s="946"/>
      <c r="H6531" s="1031"/>
      <c r="I6531" s="948"/>
    </row>
    <row r="6532" spans="2:9" ht="15.75">
      <c r="C6532" s="951" t="s">
        <v>930</v>
      </c>
      <c r="D6532" s="960"/>
      <c r="E6532" s="943" t="str">
        <f>+E6509</f>
        <v>Ud</v>
      </c>
      <c r="F6532" s="1070"/>
      <c r="G6532" s="960"/>
      <c r="H6532" s="1033"/>
      <c r="I6532" s="952">
        <f>SUM(I6527:I6530)</f>
        <v>138.5</v>
      </c>
    </row>
    <row r="6533" spans="2:9" ht="15.75">
      <c r="C6533" s="951"/>
      <c r="D6533" s="960"/>
      <c r="E6533" s="943"/>
      <c r="F6533" s="1070"/>
      <c r="G6533" s="960"/>
      <c r="H6533" s="1033"/>
      <c r="I6533" s="952"/>
    </row>
    <row r="6534" spans="2:9" ht="15.75">
      <c r="B6534" s="1026">
        <v>5.8</v>
      </c>
      <c r="C6534" s="937" t="str">
        <f>+Presupuesto!B405</f>
        <v>Cantos en general.</v>
      </c>
      <c r="D6534" s="938"/>
      <c r="E6534" s="962" t="s">
        <v>15</v>
      </c>
      <c r="F6534" s="1066"/>
      <c r="G6534" s="938"/>
      <c r="H6534" s="1029"/>
      <c r="I6534" s="940">
        <f>I6558</f>
        <v>158.5</v>
      </c>
    </row>
    <row r="6535" spans="2:9" ht="15.75">
      <c r="C6535" s="941" t="s">
        <v>908</v>
      </c>
      <c r="D6535" s="942" t="s">
        <v>9</v>
      </c>
      <c r="E6535" s="943" t="s">
        <v>10</v>
      </c>
      <c r="F6535" s="1067" t="s">
        <v>909</v>
      </c>
      <c r="G6535" s="942" t="s">
        <v>910</v>
      </c>
      <c r="H6535" s="1030" t="s">
        <v>911</v>
      </c>
      <c r="I6535" s="944" t="s">
        <v>912</v>
      </c>
    </row>
    <row r="6536" spans="2:9" ht="15.75">
      <c r="C6536" s="945" t="s">
        <v>913</v>
      </c>
      <c r="D6536" s="946"/>
      <c r="E6536" s="947"/>
      <c r="F6536" s="1054"/>
      <c r="G6536" s="946"/>
      <c r="H6536" s="1031"/>
      <c r="I6536" s="948"/>
    </row>
    <row r="6537" spans="2:9" ht="15.75">
      <c r="C6537" s="949" t="s">
        <v>958</v>
      </c>
      <c r="D6537" s="946">
        <v>0.01</v>
      </c>
      <c r="E6537" s="947" t="str">
        <f>+VLOOKUP(C6537,'Basic (equilibrio) (2)'!B:D,2,FALSE)</f>
        <v>m3</v>
      </c>
      <c r="F6537" s="1068">
        <f>'Basic (equilibrio) (2)'!$D$309</f>
        <v>6820</v>
      </c>
      <c r="G6537" s="946">
        <f>F6537-(F6537/1.18)</f>
        <v>1040.3399999999999</v>
      </c>
      <c r="H6537" s="1031"/>
      <c r="I6537" s="948">
        <f>D6537*F6537</f>
        <v>68.2</v>
      </c>
    </row>
    <row r="6538" spans="2:9" ht="15.75">
      <c r="C6538" s="949" t="s">
        <v>1206</v>
      </c>
      <c r="D6538" s="946">
        <v>0.11</v>
      </c>
      <c r="E6538" s="947" t="str">
        <f>+VLOOKUP(C6538,'Basic (equilibrio) (2)'!B:D,2,FALSE)</f>
        <v>pt</v>
      </c>
      <c r="F6538" s="1068">
        <f>'Basic (equilibrio) (2)'!$D$310</f>
        <v>230</v>
      </c>
      <c r="G6538" s="946">
        <f>F6538-(F6538/1.18)</f>
        <v>35.08</v>
      </c>
      <c r="H6538" s="1031"/>
      <c r="I6538" s="948">
        <f>D6538*F6538</f>
        <v>25.3</v>
      </c>
    </row>
    <row r="6539" spans="2:9" ht="15.75">
      <c r="C6539" s="951" t="s">
        <v>918</v>
      </c>
      <c r="D6539" s="946"/>
      <c r="E6539" s="947"/>
      <c r="F6539" s="1068"/>
      <c r="G6539" s="946"/>
      <c r="H6539" s="1031"/>
      <c r="I6539" s="952">
        <f>SUM(I6537:I6538)</f>
        <v>93.5</v>
      </c>
    </row>
    <row r="6540" spans="2:9" ht="15.75">
      <c r="C6540" s="949"/>
      <c r="D6540" s="946"/>
      <c r="E6540" s="947"/>
      <c r="F6540" s="1068"/>
      <c r="G6540" s="946"/>
      <c r="H6540" s="1031"/>
      <c r="I6540" s="948"/>
    </row>
    <row r="6541" spans="2:9" ht="15.75">
      <c r="C6541" s="945" t="s">
        <v>919</v>
      </c>
      <c r="D6541" s="946"/>
      <c r="E6541" s="947"/>
      <c r="F6541" s="1068"/>
      <c r="G6541" s="946"/>
      <c r="H6541" s="1031"/>
      <c r="I6541" s="948"/>
    </row>
    <row r="6542" spans="2:9" ht="15.75">
      <c r="C6542" s="949" t="s">
        <v>1081</v>
      </c>
      <c r="D6542" s="953">
        <v>1</v>
      </c>
      <c r="E6542" s="954" t="str">
        <f>+VLOOKUP(C6542,'Basic (equilibrio) (2)'!B:D,2,FALSE)</f>
        <v>ml</v>
      </c>
      <c r="F6542" s="1068">
        <f>'Basic (equilibrio) (2)'!$D$33</f>
        <v>65</v>
      </c>
      <c r="G6542" s="946">
        <v>0</v>
      </c>
      <c r="H6542" s="1031"/>
      <c r="I6542" s="948">
        <f>(D6542*F6542)</f>
        <v>65</v>
      </c>
    </row>
    <row r="6543" spans="2:9" ht="15.75">
      <c r="C6543" s="951" t="s">
        <v>918</v>
      </c>
      <c r="D6543" s="946"/>
      <c r="E6543" s="947"/>
      <c r="F6543" s="1054"/>
      <c r="G6543" s="946"/>
      <c r="H6543" s="1031"/>
      <c r="I6543" s="952">
        <f>SUM(I6542:I6542)</f>
        <v>65</v>
      </c>
    </row>
    <row r="6544" spans="2:9" ht="15.75">
      <c r="C6544" s="949"/>
      <c r="D6544" s="946"/>
      <c r="E6544" s="947"/>
      <c r="F6544" s="1054"/>
      <c r="G6544" s="946"/>
      <c r="H6544" s="1031"/>
      <c r="I6544" s="948"/>
    </row>
    <row r="6545" spans="2:9" ht="15.75">
      <c r="C6545" s="945" t="s">
        <v>923</v>
      </c>
      <c r="D6545" s="946"/>
      <c r="E6545" s="947"/>
      <c r="F6545" s="1054"/>
      <c r="G6545" s="946"/>
      <c r="H6545" s="1031"/>
      <c r="I6545" s="948"/>
    </row>
    <row r="6546" spans="2:9" ht="15.75">
      <c r="C6546" s="949" t="s">
        <v>924</v>
      </c>
      <c r="D6546" s="946"/>
      <c r="E6546" s="947" t="str">
        <f>+VLOOKUP(C6546,'Basic (equilibrio) (2)'!B:D,2,FALSE)</f>
        <v>n/a</v>
      </c>
      <c r="F6546" s="1054">
        <f>+VLOOKUP(C6546,'Basic (equilibrio) (2)'!B:D,3,FALSE)</f>
        <v>0</v>
      </c>
      <c r="G6546" s="946">
        <f>F6546-(F6546/1.18)</f>
        <v>0</v>
      </c>
      <c r="H6546" s="1039"/>
      <c r="I6546" s="955">
        <f>D6546*F6546</f>
        <v>0</v>
      </c>
    </row>
    <row r="6547" spans="2:9" ht="15.75">
      <c r="C6547" s="951" t="s">
        <v>918</v>
      </c>
      <c r="D6547" s="946"/>
      <c r="E6547" s="947"/>
      <c r="F6547" s="1054"/>
      <c r="G6547" s="946"/>
      <c r="H6547" s="1031"/>
      <c r="I6547" s="952">
        <f>SUM(I6546:I6546)</f>
        <v>0</v>
      </c>
    </row>
    <row r="6548" spans="2:9" ht="15.75">
      <c r="C6548" s="949"/>
      <c r="D6548" s="946"/>
      <c r="E6548" s="947"/>
      <c r="F6548" s="1054"/>
      <c r="G6548" s="946"/>
      <c r="H6548" s="1031"/>
      <c r="I6548" s="948"/>
    </row>
    <row r="6549" spans="2:9" ht="15.75">
      <c r="C6549" s="945" t="s">
        <v>925</v>
      </c>
      <c r="D6549" s="946"/>
      <c r="E6549" s="947"/>
      <c r="F6549" s="1054"/>
      <c r="G6549" s="946"/>
      <c r="H6549" s="1031"/>
      <c r="I6549" s="948"/>
    </row>
    <row r="6550" spans="2:9" ht="15.75">
      <c r="C6550" s="949" t="s">
        <v>924</v>
      </c>
      <c r="D6550" s="946"/>
      <c r="E6550" s="947" t="str">
        <f>+VLOOKUP(C6550,'Basic (equilibrio) (2)'!B:D,2,FALSE)</f>
        <v>n/a</v>
      </c>
      <c r="F6550" s="1054">
        <f>+VLOOKUP(C6550,'Basic (equilibrio) (2)'!B:D,3,FALSE)</f>
        <v>0</v>
      </c>
      <c r="G6550" s="946"/>
      <c r="H6550" s="1031"/>
      <c r="I6550" s="948">
        <f>D6550*F6550</f>
        <v>0</v>
      </c>
    </row>
    <row r="6551" spans="2:9" ht="15.75">
      <c r="C6551" s="951" t="s">
        <v>918</v>
      </c>
      <c r="D6551" s="946"/>
      <c r="E6551" s="947"/>
      <c r="F6551" s="1054"/>
      <c r="G6551" s="946"/>
      <c r="H6551" s="1031"/>
      <c r="I6551" s="952">
        <f>SUM(I6550)</f>
        <v>0</v>
      </c>
    </row>
    <row r="6552" spans="2:9" ht="15.75">
      <c r="C6552" s="951"/>
      <c r="D6552" s="946"/>
      <c r="E6552" s="947"/>
      <c r="F6552" s="1054"/>
      <c r="G6552" s="946"/>
      <c r="H6552" s="1031"/>
      <c r="I6552" s="952"/>
    </row>
    <row r="6553" spans="2:9" ht="15.75">
      <c r="C6553" s="956" t="s">
        <v>926</v>
      </c>
      <c r="D6553" s="957"/>
      <c r="E6553" s="958"/>
      <c r="F6553" s="1069"/>
      <c r="G6553" s="957"/>
      <c r="H6553" s="1032"/>
      <c r="I6553" s="959">
        <f>+I6539</f>
        <v>93.5</v>
      </c>
    </row>
    <row r="6554" spans="2:9" ht="15.75">
      <c r="C6554" s="956" t="s">
        <v>927</v>
      </c>
      <c r="D6554" s="957"/>
      <c r="E6554" s="958"/>
      <c r="F6554" s="1069"/>
      <c r="G6554" s="957"/>
      <c r="H6554" s="1032"/>
      <c r="I6554" s="959">
        <f>+I6543</f>
        <v>65</v>
      </c>
    </row>
    <row r="6555" spans="2:9" ht="15.75">
      <c r="C6555" s="956" t="s">
        <v>928</v>
      </c>
      <c r="D6555" s="957"/>
      <c r="E6555" s="958"/>
      <c r="F6555" s="1069"/>
      <c r="G6555" s="957"/>
      <c r="H6555" s="1032"/>
      <c r="I6555" s="959">
        <f>+I6547</f>
        <v>0</v>
      </c>
    </row>
    <row r="6556" spans="2:9" ht="15.75">
      <c r="C6556" s="956" t="s">
        <v>929</v>
      </c>
      <c r="D6556" s="957"/>
      <c r="E6556" s="958"/>
      <c r="F6556" s="1069"/>
      <c r="G6556" s="957"/>
      <c r="H6556" s="1032"/>
      <c r="I6556" s="959">
        <f>+I6551</f>
        <v>0</v>
      </c>
    </row>
    <row r="6557" spans="2:9" ht="15.75">
      <c r="C6557" s="949"/>
      <c r="D6557" s="946"/>
      <c r="E6557" s="947"/>
      <c r="F6557" s="1054"/>
      <c r="G6557" s="946"/>
      <c r="H6557" s="1031"/>
      <c r="I6557" s="948"/>
    </row>
    <row r="6558" spans="2:9" ht="15.75">
      <c r="C6558" s="951" t="s">
        <v>930</v>
      </c>
      <c r="D6558" s="960"/>
      <c r="E6558" s="943" t="str">
        <f>+E6534</f>
        <v>M</v>
      </c>
      <c r="F6558" s="1070"/>
      <c r="G6558" s="960"/>
      <c r="H6558" s="1033"/>
      <c r="I6558" s="952">
        <f>SUM(I6553:I6556)</f>
        <v>158.5</v>
      </c>
    </row>
    <row r="6559" spans="2:9" ht="15.75">
      <c r="C6559" s="951"/>
      <c r="D6559" s="960"/>
      <c r="E6559" s="943"/>
      <c r="F6559" s="1070"/>
      <c r="G6559" s="960"/>
      <c r="H6559" s="1033"/>
      <c r="I6559" s="952"/>
    </row>
    <row r="6560" spans="2:9" ht="15.75">
      <c r="B6560" s="1026">
        <v>6.1</v>
      </c>
      <c r="C6560" s="937" t="str">
        <f>+Presupuesto!B408</f>
        <v>Ventanas corredizas en aluminio y vidrio color plata</v>
      </c>
      <c r="D6560" s="938"/>
      <c r="E6560" s="962" t="s">
        <v>1585</v>
      </c>
      <c r="F6560" s="1066"/>
      <c r="G6560" s="938"/>
      <c r="H6560" s="1029"/>
      <c r="I6560" s="940">
        <f>+I6583</f>
        <v>285.60000000000002</v>
      </c>
    </row>
    <row r="6561" spans="3:9" ht="15.75">
      <c r="C6561" s="941" t="s">
        <v>908</v>
      </c>
      <c r="D6561" s="942" t="s">
        <v>9</v>
      </c>
      <c r="E6561" s="943" t="s">
        <v>10</v>
      </c>
      <c r="F6561" s="1067" t="s">
        <v>909</v>
      </c>
      <c r="G6561" s="942" t="s">
        <v>910</v>
      </c>
      <c r="H6561" s="1030" t="s">
        <v>911</v>
      </c>
      <c r="I6561" s="944" t="s">
        <v>912</v>
      </c>
    </row>
    <row r="6562" spans="3:9" ht="15.75">
      <c r="C6562" s="945" t="s">
        <v>913</v>
      </c>
      <c r="D6562" s="946"/>
      <c r="E6562" s="947"/>
      <c r="F6562" s="1054"/>
      <c r="G6562" s="946"/>
      <c r="H6562" s="1031"/>
      <c r="I6562" s="948"/>
    </row>
    <row r="6563" spans="3:9" ht="15.75">
      <c r="C6563" s="949" t="s">
        <v>1583</v>
      </c>
      <c r="D6563" s="946">
        <v>1.02</v>
      </c>
      <c r="E6563" s="947" t="str">
        <f>+VLOOKUP(C6563,'Basic (equilibrio) (2)'!B:D,2,FALSE)</f>
        <v>pie2</v>
      </c>
      <c r="F6563" s="1068">
        <f>'Basic (equilibrio) (2)'!$D$197</f>
        <v>280</v>
      </c>
      <c r="G6563" s="946">
        <f>F6563-(F6563/1.18)</f>
        <v>42.71</v>
      </c>
      <c r="H6563" s="1031"/>
      <c r="I6563" s="948">
        <f>D6563*F6563</f>
        <v>285.60000000000002</v>
      </c>
    </row>
    <row r="6564" spans="3:9" ht="15.75">
      <c r="C6564" s="951" t="s">
        <v>918</v>
      </c>
      <c r="D6564" s="946"/>
      <c r="E6564" s="947"/>
      <c r="F6564" s="1068"/>
      <c r="G6564" s="946"/>
      <c r="H6564" s="1031"/>
      <c r="I6564" s="952">
        <f>SUM(I6563:I6563)</f>
        <v>285.60000000000002</v>
      </c>
    </row>
    <row r="6565" spans="3:9" ht="15.75">
      <c r="C6565" s="949"/>
      <c r="D6565" s="946"/>
      <c r="E6565" s="947"/>
      <c r="F6565" s="1068"/>
      <c r="G6565" s="946"/>
      <c r="H6565" s="1031"/>
      <c r="I6565" s="948"/>
    </row>
    <row r="6566" spans="3:9" ht="15.75">
      <c r="C6566" s="945" t="s">
        <v>919</v>
      </c>
      <c r="D6566" s="946"/>
      <c r="E6566" s="947"/>
      <c r="F6566" s="1068"/>
      <c r="G6566" s="946"/>
      <c r="H6566" s="1031"/>
      <c r="I6566" s="948"/>
    </row>
    <row r="6567" spans="3:9" ht="15.75">
      <c r="C6567" s="949" t="s">
        <v>924</v>
      </c>
      <c r="D6567" s="953">
        <v>8.33</v>
      </c>
      <c r="E6567" s="954" t="str">
        <f>+VLOOKUP(C6567,'Basic (equilibrio) (2)'!B:D,2,FALSE)</f>
        <v>n/a</v>
      </c>
      <c r="F6567" s="1068">
        <f>+VLOOKUP(C6567,'Basic (equilibrio) (2)'!B:D,3,FALSE)</f>
        <v>0</v>
      </c>
      <c r="G6567" s="946">
        <v>0</v>
      </c>
      <c r="H6567" s="1031"/>
      <c r="I6567" s="948">
        <f>(D6567*F6567)</f>
        <v>0</v>
      </c>
    </row>
    <row r="6568" spans="3:9" ht="15.75">
      <c r="C6568" s="951" t="s">
        <v>918</v>
      </c>
      <c r="D6568" s="946"/>
      <c r="E6568" s="947"/>
      <c r="F6568" s="1054"/>
      <c r="G6568" s="946"/>
      <c r="H6568" s="1031"/>
      <c r="I6568" s="952">
        <f>SUM(I6567:I6567)</f>
        <v>0</v>
      </c>
    </row>
    <row r="6569" spans="3:9" ht="15.75">
      <c r="C6569" s="949"/>
      <c r="D6569" s="946"/>
      <c r="E6569" s="947"/>
      <c r="F6569" s="1054"/>
      <c r="G6569" s="946"/>
      <c r="H6569" s="1031"/>
      <c r="I6569" s="948"/>
    </row>
    <row r="6570" spans="3:9" ht="15.75">
      <c r="C6570" s="945" t="s">
        <v>923</v>
      </c>
      <c r="D6570" s="946"/>
      <c r="E6570" s="947"/>
      <c r="F6570" s="1054"/>
      <c r="G6570" s="946"/>
      <c r="H6570" s="1031"/>
      <c r="I6570" s="948"/>
    </row>
    <row r="6571" spans="3:9" ht="15.75">
      <c r="C6571" s="949" t="s">
        <v>924</v>
      </c>
      <c r="D6571" s="946"/>
      <c r="E6571" s="947" t="str">
        <f>+VLOOKUP(C6571,'Basic (equilibrio) (2)'!B:D,2,FALSE)</f>
        <v>n/a</v>
      </c>
      <c r="F6571" s="1054">
        <f>+VLOOKUP(C6571,'Basic (equilibrio) (2)'!B:D,3,FALSE)</f>
        <v>0</v>
      </c>
      <c r="G6571" s="946">
        <f>F6571-(F6571/1.18)</f>
        <v>0</v>
      </c>
      <c r="H6571" s="1039"/>
      <c r="I6571" s="955">
        <f>D6571*F6571</f>
        <v>0</v>
      </c>
    </row>
    <row r="6572" spans="3:9" ht="15.75">
      <c r="C6572" s="951" t="s">
        <v>918</v>
      </c>
      <c r="D6572" s="946"/>
      <c r="E6572" s="947"/>
      <c r="F6572" s="1054"/>
      <c r="G6572" s="946"/>
      <c r="H6572" s="1031"/>
      <c r="I6572" s="952">
        <f>SUM(I6571:I6571)</f>
        <v>0</v>
      </c>
    </row>
    <row r="6573" spans="3:9" ht="15.75">
      <c r="C6573" s="949"/>
      <c r="D6573" s="946"/>
      <c r="E6573" s="947"/>
      <c r="F6573" s="1054"/>
      <c r="G6573" s="946"/>
      <c r="H6573" s="1031"/>
      <c r="I6573" s="948"/>
    </row>
    <row r="6574" spans="3:9" ht="15.75">
      <c r="C6574" s="945" t="s">
        <v>925</v>
      </c>
      <c r="D6574" s="946"/>
      <c r="E6574" s="947"/>
      <c r="F6574" s="1054"/>
      <c r="G6574" s="946"/>
      <c r="H6574" s="1031"/>
      <c r="I6574" s="948"/>
    </row>
    <row r="6575" spans="3:9" ht="15.75">
      <c r="C6575" s="949" t="s">
        <v>924</v>
      </c>
      <c r="D6575" s="946"/>
      <c r="E6575" s="947" t="str">
        <f>+VLOOKUP(C6575,'Basic (equilibrio) (2)'!B:D,2,FALSE)</f>
        <v>n/a</v>
      </c>
      <c r="F6575" s="1054">
        <f>+VLOOKUP(C6575,'Basic (equilibrio) (2)'!B:D,3,FALSE)</f>
        <v>0</v>
      </c>
      <c r="G6575" s="946"/>
      <c r="H6575" s="1031"/>
      <c r="I6575" s="948">
        <f>D6575*F6575</f>
        <v>0</v>
      </c>
    </row>
    <row r="6576" spans="3:9" ht="15.75">
      <c r="C6576" s="951" t="s">
        <v>918</v>
      </c>
      <c r="D6576" s="946"/>
      <c r="E6576" s="947"/>
      <c r="F6576" s="1054"/>
      <c r="G6576" s="946"/>
      <c r="H6576" s="1031"/>
      <c r="I6576" s="952">
        <f>SUM(I6575)</f>
        <v>0</v>
      </c>
    </row>
    <row r="6577" spans="2:9" ht="15.75">
      <c r="C6577" s="951"/>
      <c r="D6577" s="946"/>
      <c r="E6577" s="947"/>
      <c r="F6577" s="1054"/>
      <c r="G6577" s="946"/>
      <c r="H6577" s="1031"/>
      <c r="I6577" s="952"/>
    </row>
    <row r="6578" spans="2:9" ht="15.75">
      <c r="C6578" s="956" t="s">
        <v>926</v>
      </c>
      <c r="D6578" s="957"/>
      <c r="E6578" s="958"/>
      <c r="F6578" s="1069"/>
      <c r="G6578" s="957"/>
      <c r="H6578" s="1032"/>
      <c r="I6578" s="959">
        <f>+I6564</f>
        <v>285.60000000000002</v>
      </c>
    </row>
    <row r="6579" spans="2:9" ht="15.75">
      <c r="C6579" s="956" t="s">
        <v>927</v>
      </c>
      <c r="D6579" s="957"/>
      <c r="E6579" s="958"/>
      <c r="F6579" s="1069"/>
      <c r="G6579" s="957"/>
      <c r="H6579" s="1032"/>
      <c r="I6579" s="959">
        <f>+I6568</f>
        <v>0</v>
      </c>
    </row>
    <row r="6580" spans="2:9" ht="15.75">
      <c r="C6580" s="956" t="s">
        <v>928</v>
      </c>
      <c r="D6580" s="957"/>
      <c r="E6580" s="958"/>
      <c r="F6580" s="1069"/>
      <c r="G6580" s="957"/>
      <c r="H6580" s="1032"/>
      <c r="I6580" s="959">
        <f>+I6572</f>
        <v>0</v>
      </c>
    </row>
    <row r="6581" spans="2:9" ht="15.75">
      <c r="C6581" s="956" t="s">
        <v>929</v>
      </c>
      <c r="D6581" s="957"/>
      <c r="E6581" s="958"/>
      <c r="F6581" s="1069"/>
      <c r="G6581" s="957"/>
      <c r="H6581" s="1032"/>
      <c r="I6581" s="959">
        <f>+I6576</f>
        <v>0</v>
      </c>
    </row>
    <row r="6582" spans="2:9" ht="15.75">
      <c r="C6582" s="949"/>
      <c r="D6582" s="946"/>
      <c r="E6582" s="947"/>
      <c r="F6582" s="1054"/>
      <c r="G6582" s="946"/>
      <c r="H6582" s="1031"/>
      <c r="I6582" s="948"/>
    </row>
    <row r="6583" spans="2:9" ht="15.75">
      <c r="C6583" s="951" t="s">
        <v>930</v>
      </c>
      <c r="D6583" s="960"/>
      <c r="E6583" s="975" t="str">
        <f>+E6560</f>
        <v xml:space="preserve">pie2 </v>
      </c>
      <c r="F6583" s="1070"/>
      <c r="G6583" s="960"/>
      <c r="H6583" s="1033"/>
      <c r="I6583" s="952">
        <f>SUM(I6578:I6581)</f>
        <v>285.60000000000002</v>
      </c>
    </row>
    <row r="6584" spans="2:9" ht="15.75">
      <c r="C6584" s="951"/>
      <c r="D6584" s="960"/>
      <c r="E6584" s="943"/>
      <c r="F6584" s="1070"/>
      <c r="G6584" s="960"/>
      <c r="H6584" s="1033"/>
      <c r="I6584" s="952"/>
    </row>
    <row r="6585" spans="2:9" ht="15.75">
      <c r="B6585" s="1026">
        <v>6.2</v>
      </c>
      <c r="C6585" s="937" t="str">
        <f>++Presupuesto!B409</f>
        <v>Ventanas salomonica en aluminio y vidrio martillado</v>
      </c>
      <c r="D6585" s="938"/>
      <c r="E6585" s="962" t="s">
        <v>1585</v>
      </c>
      <c r="F6585" s="1066"/>
      <c r="G6585" s="938"/>
      <c r="H6585" s="1029"/>
      <c r="I6585" s="940">
        <f>+I6608</f>
        <v>285.60000000000002</v>
      </c>
    </row>
    <row r="6586" spans="2:9" ht="15.75">
      <c r="C6586" s="941" t="s">
        <v>908</v>
      </c>
      <c r="D6586" s="942" t="s">
        <v>9</v>
      </c>
      <c r="E6586" s="943" t="s">
        <v>10</v>
      </c>
      <c r="F6586" s="1067" t="s">
        <v>909</v>
      </c>
      <c r="G6586" s="942" t="s">
        <v>910</v>
      </c>
      <c r="H6586" s="1030" t="s">
        <v>911</v>
      </c>
      <c r="I6586" s="944" t="s">
        <v>912</v>
      </c>
    </row>
    <row r="6587" spans="2:9" ht="15.75">
      <c r="C6587" s="945" t="s">
        <v>913</v>
      </c>
      <c r="D6587" s="946"/>
      <c r="E6587" s="947"/>
      <c r="F6587" s="1054"/>
      <c r="G6587" s="946"/>
      <c r="H6587" s="1031"/>
      <c r="I6587" s="948"/>
    </row>
    <row r="6588" spans="2:9" ht="15.75">
      <c r="C6588" s="949" t="str">
        <f>+'Basic (equilibrio) (2)'!B198</f>
        <v>S/I Ventana Corrediza de Aluminio c/ vidrio amartillado</v>
      </c>
      <c r="D6588" s="946">
        <v>1.02</v>
      </c>
      <c r="E6588" s="947" t="str">
        <f>+VLOOKUP(C6588,'Basic (equilibrio) (2)'!B:D,2,FALSE)</f>
        <v>pie2</v>
      </c>
      <c r="F6588" s="1068">
        <f>'Basic (equilibrio) (2)'!$D$198</f>
        <v>280</v>
      </c>
      <c r="G6588" s="946">
        <f>F6588-(F6588/1.18)</f>
        <v>42.71</v>
      </c>
      <c r="H6588" s="1031"/>
      <c r="I6588" s="948">
        <f>D6588*F6588</f>
        <v>285.60000000000002</v>
      </c>
    </row>
    <row r="6589" spans="2:9" ht="15.75">
      <c r="C6589" s="951" t="s">
        <v>918</v>
      </c>
      <c r="D6589" s="946"/>
      <c r="E6589" s="947"/>
      <c r="F6589" s="1068"/>
      <c r="G6589" s="946"/>
      <c r="H6589" s="1031"/>
      <c r="I6589" s="952">
        <f>SUM(I6588:I6588)</f>
        <v>285.60000000000002</v>
      </c>
    </row>
    <row r="6590" spans="2:9" ht="15.75">
      <c r="C6590" s="949"/>
      <c r="D6590" s="946"/>
      <c r="E6590" s="947"/>
      <c r="F6590" s="1068"/>
      <c r="G6590" s="946"/>
      <c r="H6590" s="1031"/>
      <c r="I6590" s="948"/>
    </row>
    <row r="6591" spans="2:9" ht="15.75">
      <c r="C6591" s="945" t="s">
        <v>919</v>
      </c>
      <c r="D6591" s="946"/>
      <c r="E6591" s="947"/>
      <c r="F6591" s="1068"/>
      <c r="G6591" s="946"/>
      <c r="H6591" s="1031"/>
      <c r="I6591" s="948"/>
    </row>
    <row r="6592" spans="2:9" ht="15.75">
      <c r="C6592" s="949" t="s">
        <v>924</v>
      </c>
      <c r="D6592" s="953">
        <v>8.33</v>
      </c>
      <c r="E6592" s="954" t="str">
        <f>+VLOOKUP(C6592,'Basic (equilibrio) (2)'!B:D,2,FALSE)</f>
        <v>n/a</v>
      </c>
      <c r="F6592" s="1068">
        <f>+VLOOKUP(C6592,'Basic (equilibrio) (2)'!B:D,3,FALSE)</f>
        <v>0</v>
      </c>
      <c r="G6592" s="946">
        <v>0</v>
      </c>
      <c r="H6592" s="1031"/>
      <c r="I6592" s="948">
        <f>(D6592*F6592)</f>
        <v>0</v>
      </c>
    </row>
    <row r="6593" spans="3:9" ht="15.75">
      <c r="C6593" s="951" t="s">
        <v>918</v>
      </c>
      <c r="D6593" s="946"/>
      <c r="E6593" s="947"/>
      <c r="F6593" s="1054"/>
      <c r="G6593" s="946"/>
      <c r="H6593" s="1031"/>
      <c r="I6593" s="952">
        <f>SUM(I6592:I6592)</f>
        <v>0</v>
      </c>
    </row>
    <row r="6594" spans="3:9" ht="15.75">
      <c r="C6594" s="949"/>
      <c r="D6594" s="946"/>
      <c r="E6594" s="947"/>
      <c r="F6594" s="1054"/>
      <c r="G6594" s="946"/>
      <c r="H6594" s="1031"/>
      <c r="I6594" s="948"/>
    </row>
    <row r="6595" spans="3:9" ht="15.75">
      <c r="C6595" s="945" t="s">
        <v>923</v>
      </c>
      <c r="D6595" s="946"/>
      <c r="E6595" s="947"/>
      <c r="F6595" s="1054"/>
      <c r="G6595" s="946"/>
      <c r="H6595" s="1031"/>
      <c r="I6595" s="948"/>
    </row>
    <row r="6596" spans="3:9" ht="15.75">
      <c r="C6596" s="949" t="s">
        <v>924</v>
      </c>
      <c r="D6596" s="946"/>
      <c r="E6596" s="947" t="str">
        <f>+VLOOKUP(C6596,'Basic (equilibrio) (2)'!B:D,2,FALSE)</f>
        <v>n/a</v>
      </c>
      <c r="F6596" s="1054">
        <f>+VLOOKUP(C6596,'Basic (equilibrio) (2)'!B:D,3,FALSE)</f>
        <v>0</v>
      </c>
      <c r="G6596" s="946">
        <f>F6596-(F6596/1.18)</f>
        <v>0</v>
      </c>
      <c r="H6596" s="1039"/>
      <c r="I6596" s="955">
        <f>D6596*F6596</f>
        <v>0</v>
      </c>
    </row>
    <row r="6597" spans="3:9" ht="15.75">
      <c r="C6597" s="951" t="s">
        <v>918</v>
      </c>
      <c r="D6597" s="946"/>
      <c r="E6597" s="947"/>
      <c r="F6597" s="1054"/>
      <c r="G6597" s="946"/>
      <c r="H6597" s="1031"/>
      <c r="I6597" s="952">
        <f>SUM(I6596:I6596)</f>
        <v>0</v>
      </c>
    </row>
    <row r="6598" spans="3:9" ht="15.75">
      <c r="C6598" s="949"/>
      <c r="D6598" s="946"/>
      <c r="E6598" s="947"/>
      <c r="F6598" s="1054"/>
      <c r="G6598" s="946"/>
      <c r="H6598" s="1031"/>
      <c r="I6598" s="948"/>
    </row>
    <row r="6599" spans="3:9" ht="15.75">
      <c r="C6599" s="945" t="s">
        <v>925</v>
      </c>
      <c r="D6599" s="946"/>
      <c r="E6599" s="947"/>
      <c r="F6599" s="1054"/>
      <c r="G6599" s="946"/>
      <c r="H6599" s="1031"/>
      <c r="I6599" s="948"/>
    </row>
    <row r="6600" spans="3:9" ht="15.75">
      <c r="C6600" s="949" t="s">
        <v>924</v>
      </c>
      <c r="D6600" s="946"/>
      <c r="E6600" s="947" t="str">
        <f>+VLOOKUP(C6600,'Basic (equilibrio) (2)'!B:D,2,FALSE)</f>
        <v>n/a</v>
      </c>
      <c r="F6600" s="1054">
        <f>+VLOOKUP(C6600,'Basic (equilibrio) (2)'!B:D,3,FALSE)</f>
        <v>0</v>
      </c>
      <c r="G6600" s="946"/>
      <c r="H6600" s="1031"/>
      <c r="I6600" s="948">
        <f>D6600*F6600</f>
        <v>0</v>
      </c>
    </row>
    <row r="6601" spans="3:9" ht="15.75">
      <c r="C6601" s="951" t="s">
        <v>918</v>
      </c>
      <c r="D6601" s="946"/>
      <c r="E6601" s="947"/>
      <c r="F6601" s="1054"/>
      <c r="G6601" s="946"/>
      <c r="H6601" s="1031"/>
      <c r="I6601" s="952">
        <f>SUM(I6600)</f>
        <v>0</v>
      </c>
    </row>
    <row r="6602" spans="3:9" ht="15.75">
      <c r="C6602" s="951"/>
      <c r="D6602" s="946"/>
      <c r="E6602" s="947"/>
      <c r="F6602" s="1054"/>
      <c r="G6602" s="946"/>
      <c r="H6602" s="1031"/>
      <c r="I6602" s="952"/>
    </row>
    <row r="6603" spans="3:9" ht="15.75">
      <c r="C6603" s="956" t="s">
        <v>926</v>
      </c>
      <c r="D6603" s="957"/>
      <c r="E6603" s="958"/>
      <c r="F6603" s="1069"/>
      <c r="G6603" s="957"/>
      <c r="H6603" s="1032"/>
      <c r="I6603" s="959">
        <f>+I6589</f>
        <v>285.60000000000002</v>
      </c>
    </row>
    <row r="6604" spans="3:9" ht="15.75">
      <c r="C6604" s="956" t="s">
        <v>927</v>
      </c>
      <c r="D6604" s="957"/>
      <c r="E6604" s="958"/>
      <c r="F6604" s="1069"/>
      <c r="G6604" s="957"/>
      <c r="H6604" s="1032"/>
      <c r="I6604" s="959">
        <f>+I6593</f>
        <v>0</v>
      </c>
    </row>
    <row r="6605" spans="3:9" ht="15.75">
      <c r="C6605" s="956" t="s">
        <v>928</v>
      </c>
      <c r="D6605" s="957"/>
      <c r="E6605" s="958"/>
      <c r="F6605" s="1069"/>
      <c r="G6605" s="957"/>
      <c r="H6605" s="1032"/>
      <c r="I6605" s="959">
        <f>+I6597</f>
        <v>0</v>
      </c>
    </row>
    <row r="6606" spans="3:9" ht="15.75">
      <c r="C6606" s="956" t="s">
        <v>929</v>
      </c>
      <c r="D6606" s="957"/>
      <c r="E6606" s="958"/>
      <c r="F6606" s="1069"/>
      <c r="G6606" s="957"/>
      <c r="H6606" s="1032"/>
      <c r="I6606" s="959">
        <f>+I6601</f>
        <v>0</v>
      </c>
    </row>
    <row r="6607" spans="3:9" ht="15.75">
      <c r="C6607" s="949"/>
      <c r="D6607" s="946"/>
      <c r="E6607" s="947"/>
      <c r="F6607" s="1054"/>
      <c r="G6607" s="946"/>
      <c r="H6607" s="1031"/>
      <c r="I6607" s="948"/>
    </row>
    <row r="6608" spans="3:9" ht="15.75">
      <c r="C6608" s="951" t="s">
        <v>930</v>
      </c>
      <c r="D6608" s="960"/>
      <c r="E6608" s="975" t="str">
        <f>+E6585</f>
        <v xml:space="preserve">pie2 </v>
      </c>
      <c r="F6608" s="1070"/>
      <c r="G6608" s="960"/>
      <c r="H6608" s="1033"/>
      <c r="I6608" s="952">
        <f>SUM(I6603:I6606)</f>
        <v>285.60000000000002</v>
      </c>
    </row>
    <row r="6609" spans="2:9" ht="15.75">
      <c r="C6609" s="951"/>
      <c r="D6609" s="960"/>
      <c r="E6609" s="943"/>
      <c r="F6609" s="1070"/>
      <c r="G6609" s="960"/>
      <c r="H6609" s="1033"/>
      <c r="I6609" s="952"/>
    </row>
    <row r="6610" spans="2:9" ht="15.75">
      <c r="C6610" s="951"/>
      <c r="D6610" s="960"/>
      <c r="E6610" s="943"/>
      <c r="F6610" s="1070"/>
      <c r="G6610" s="960"/>
      <c r="H6610" s="1033"/>
      <c r="I6610" s="952"/>
    </row>
    <row r="6611" spans="2:9" ht="15.75">
      <c r="B6611" s="1026">
        <v>7.1</v>
      </c>
      <c r="C6611" s="937" t="str">
        <f>+Presupuesto!B412</f>
        <v>Puerta comercial en cristal y aluminio (0.90m x 2.10m)</v>
      </c>
      <c r="D6611" s="938"/>
      <c r="E6611" s="962" t="s">
        <v>1106</v>
      </c>
      <c r="F6611" s="1066"/>
      <c r="G6611" s="938"/>
      <c r="H6611" s="1029"/>
      <c r="I6611" s="940">
        <f>+I6634</f>
        <v>16007.88</v>
      </c>
    </row>
    <row r="6612" spans="2:9" ht="15.75">
      <c r="C6612" s="941" t="s">
        <v>908</v>
      </c>
      <c r="D6612" s="942" t="s">
        <v>9</v>
      </c>
      <c r="E6612" s="943" t="s">
        <v>10</v>
      </c>
      <c r="F6612" s="1067" t="s">
        <v>909</v>
      </c>
      <c r="G6612" s="942" t="s">
        <v>910</v>
      </c>
      <c r="H6612" s="1030" t="s">
        <v>911</v>
      </c>
      <c r="I6612" s="944" t="s">
        <v>912</v>
      </c>
    </row>
    <row r="6613" spans="2:9" ht="15.75">
      <c r="C6613" s="945" t="s">
        <v>913</v>
      </c>
      <c r="D6613" s="946"/>
      <c r="E6613" s="947"/>
      <c r="F6613" s="1054"/>
      <c r="G6613" s="946"/>
      <c r="H6613" s="1031"/>
      <c r="I6613" s="948"/>
    </row>
    <row r="6614" spans="2:9" ht="15.75">
      <c r="C6614" s="949" t="s">
        <v>1586</v>
      </c>
      <c r="D6614" s="946">
        <v>1.02</v>
      </c>
      <c r="E6614" s="947" t="str">
        <f>+VLOOKUP(C6614,'Basic (equilibrio) (2)'!B:D,2,FALSE)</f>
        <v>ud</v>
      </c>
      <c r="F6614" s="1068">
        <f>'Basic (equilibrio) (2)'!$D$337</f>
        <v>15694</v>
      </c>
      <c r="G6614" s="946">
        <f>F6614-(F6614/1.18)</f>
        <v>2394</v>
      </c>
      <c r="H6614" s="1031"/>
      <c r="I6614" s="948">
        <f>D6614*F6614</f>
        <v>16007.88</v>
      </c>
    </row>
    <row r="6615" spans="2:9" ht="15.75">
      <c r="C6615" s="951" t="s">
        <v>918</v>
      </c>
      <c r="D6615" s="946"/>
      <c r="E6615" s="947"/>
      <c r="F6615" s="1068"/>
      <c r="G6615" s="946"/>
      <c r="H6615" s="1031"/>
      <c r="I6615" s="952">
        <f>SUM(I6614:I6614)</f>
        <v>16007.88</v>
      </c>
    </row>
    <row r="6616" spans="2:9" ht="15.75">
      <c r="C6616" s="949"/>
      <c r="D6616" s="946"/>
      <c r="E6616" s="947"/>
      <c r="F6616" s="1068"/>
      <c r="G6616" s="946"/>
      <c r="H6616" s="1031"/>
      <c r="I6616" s="948"/>
    </row>
    <row r="6617" spans="2:9" ht="15.75">
      <c r="C6617" s="945" t="s">
        <v>919</v>
      </c>
      <c r="D6617" s="946"/>
      <c r="E6617" s="947"/>
      <c r="F6617" s="1068"/>
      <c r="G6617" s="946"/>
      <c r="H6617" s="1031"/>
      <c r="I6617" s="948"/>
    </row>
    <row r="6618" spans="2:9" ht="15.75">
      <c r="C6618" s="949" t="s">
        <v>924</v>
      </c>
      <c r="D6618" s="953">
        <v>8.33</v>
      </c>
      <c r="E6618" s="954" t="str">
        <f>+VLOOKUP(C6618,'Basic (equilibrio) (2)'!B:D,2,FALSE)</f>
        <v>n/a</v>
      </c>
      <c r="F6618" s="1068">
        <f>+VLOOKUP(C6618,'Basic (equilibrio) (2)'!B:D,3,FALSE)</f>
        <v>0</v>
      </c>
      <c r="G6618" s="946">
        <v>0</v>
      </c>
      <c r="H6618" s="1031"/>
      <c r="I6618" s="948">
        <f>(D6618*F6618)</f>
        <v>0</v>
      </c>
    </row>
    <row r="6619" spans="2:9" ht="15.75">
      <c r="C6619" s="951" t="s">
        <v>918</v>
      </c>
      <c r="D6619" s="946"/>
      <c r="E6619" s="947"/>
      <c r="F6619" s="1054"/>
      <c r="G6619" s="946"/>
      <c r="H6619" s="1031"/>
      <c r="I6619" s="952">
        <f>SUM(I6618:I6618)</f>
        <v>0</v>
      </c>
    </row>
    <row r="6620" spans="2:9" ht="15.75">
      <c r="C6620" s="949"/>
      <c r="D6620" s="946"/>
      <c r="E6620" s="947"/>
      <c r="F6620" s="1054"/>
      <c r="G6620" s="946"/>
      <c r="H6620" s="1031"/>
      <c r="I6620" s="948"/>
    </row>
    <row r="6621" spans="2:9" ht="15.75">
      <c r="C6621" s="945" t="s">
        <v>923</v>
      </c>
      <c r="D6621" s="946"/>
      <c r="E6621" s="947"/>
      <c r="F6621" s="1054"/>
      <c r="G6621" s="946"/>
      <c r="H6621" s="1031"/>
      <c r="I6621" s="948"/>
    </row>
    <row r="6622" spans="2:9" ht="15.75">
      <c r="C6622" s="949" t="s">
        <v>924</v>
      </c>
      <c r="D6622" s="946"/>
      <c r="E6622" s="947" t="str">
        <f>+VLOOKUP(C6622,'Basic (equilibrio) (2)'!B:D,2,FALSE)</f>
        <v>n/a</v>
      </c>
      <c r="F6622" s="1054">
        <f>+VLOOKUP(C6622,'Basic (equilibrio) (2)'!B:D,3,FALSE)</f>
        <v>0</v>
      </c>
      <c r="G6622" s="946">
        <f>F6622-(F6622/1.18)</f>
        <v>0</v>
      </c>
      <c r="H6622" s="1039"/>
      <c r="I6622" s="955">
        <f>D6622*F6622</f>
        <v>0</v>
      </c>
    </row>
    <row r="6623" spans="2:9" ht="15.75">
      <c r="C6623" s="951" t="s">
        <v>918</v>
      </c>
      <c r="D6623" s="946"/>
      <c r="E6623" s="947"/>
      <c r="F6623" s="1054"/>
      <c r="G6623" s="946"/>
      <c r="H6623" s="1031"/>
      <c r="I6623" s="952">
        <f>SUM(I6622:I6622)</f>
        <v>0</v>
      </c>
    </row>
    <row r="6624" spans="2:9" ht="15.75">
      <c r="C6624" s="949"/>
      <c r="D6624" s="946"/>
      <c r="E6624" s="947"/>
      <c r="F6624" s="1054"/>
      <c r="G6624" s="946"/>
      <c r="H6624" s="1031"/>
      <c r="I6624" s="948"/>
    </row>
    <row r="6625" spans="2:9" ht="15.75">
      <c r="C6625" s="945" t="s">
        <v>925</v>
      </c>
      <c r="D6625" s="946"/>
      <c r="E6625" s="947"/>
      <c r="F6625" s="1054"/>
      <c r="G6625" s="946"/>
      <c r="H6625" s="1031"/>
      <c r="I6625" s="948"/>
    </row>
    <row r="6626" spans="2:9" ht="15.75">
      <c r="C6626" s="949" t="s">
        <v>924</v>
      </c>
      <c r="D6626" s="946"/>
      <c r="E6626" s="947" t="str">
        <f>+VLOOKUP(C6626,'Basic (equilibrio) (2)'!B:D,2,FALSE)</f>
        <v>n/a</v>
      </c>
      <c r="F6626" s="1054">
        <f>+VLOOKUP(C6626,'Basic (equilibrio) (2)'!B:D,3,FALSE)</f>
        <v>0</v>
      </c>
      <c r="G6626" s="946"/>
      <c r="H6626" s="1031"/>
      <c r="I6626" s="948">
        <f>D6626*F6626</f>
        <v>0</v>
      </c>
    </row>
    <row r="6627" spans="2:9" ht="15.75">
      <c r="C6627" s="951" t="s">
        <v>918</v>
      </c>
      <c r="D6627" s="946"/>
      <c r="E6627" s="947"/>
      <c r="F6627" s="1054"/>
      <c r="G6627" s="946"/>
      <c r="H6627" s="1031"/>
      <c r="I6627" s="952">
        <f>SUM(I6626)</f>
        <v>0</v>
      </c>
    </row>
    <row r="6628" spans="2:9" ht="15.75">
      <c r="C6628" s="951"/>
      <c r="D6628" s="946"/>
      <c r="E6628" s="947"/>
      <c r="F6628" s="1054"/>
      <c r="G6628" s="946"/>
      <c r="H6628" s="1031"/>
      <c r="I6628" s="952"/>
    </row>
    <row r="6629" spans="2:9" ht="15.75">
      <c r="C6629" s="956" t="s">
        <v>926</v>
      </c>
      <c r="D6629" s="957"/>
      <c r="E6629" s="958"/>
      <c r="F6629" s="1069"/>
      <c r="G6629" s="957"/>
      <c r="H6629" s="1032"/>
      <c r="I6629" s="959">
        <f>+I6615</f>
        <v>16007.88</v>
      </c>
    </row>
    <row r="6630" spans="2:9" ht="15.75">
      <c r="C6630" s="956" t="s">
        <v>927</v>
      </c>
      <c r="D6630" s="957"/>
      <c r="E6630" s="958"/>
      <c r="F6630" s="1069"/>
      <c r="G6630" s="957"/>
      <c r="H6630" s="1032"/>
      <c r="I6630" s="959">
        <f>+I6619</f>
        <v>0</v>
      </c>
    </row>
    <row r="6631" spans="2:9" ht="15.75">
      <c r="C6631" s="956" t="s">
        <v>928</v>
      </c>
      <c r="D6631" s="957"/>
      <c r="E6631" s="958"/>
      <c r="F6631" s="1069"/>
      <c r="G6631" s="957"/>
      <c r="H6631" s="1032"/>
      <c r="I6631" s="959">
        <f>+I6623</f>
        <v>0</v>
      </c>
    </row>
    <row r="6632" spans="2:9" ht="15.75">
      <c r="C6632" s="956" t="s">
        <v>929</v>
      </c>
      <c r="D6632" s="957"/>
      <c r="E6632" s="958"/>
      <c r="F6632" s="1069"/>
      <c r="G6632" s="957"/>
      <c r="H6632" s="1032"/>
      <c r="I6632" s="959">
        <f>+I6627</f>
        <v>0</v>
      </c>
    </row>
    <row r="6633" spans="2:9" ht="15.75">
      <c r="C6633" s="949"/>
      <c r="D6633" s="946"/>
      <c r="E6633" s="947"/>
      <c r="F6633" s="1054"/>
      <c r="G6633" s="946"/>
      <c r="H6633" s="1031"/>
      <c r="I6633" s="948"/>
    </row>
    <row r="6634" spans="2:9" ht="15.75">
      <c r="C6634" s="951" t="s">
        <v>930</v>
      </c>
      <c r="D6634" s="960"/>
      <c r="E6634" s="975" t="str">
        <f>+E6611</f>
        <v>und</v>
      </c>
      <c r="F6634" s="1070"/>
      <c r="G6634" s="960"/>
      <c r="H6634" s="1033"/>
      <c r="I6634" s="952">
        <f>SUM(I6629:I6632)</f>
        <v>16007.88</v>
      </c>
    </row>
    <row r="6635" spans="2:9" ht="15.75">
      <c r="C6635" s="951"/>
      <c r="D6635" s="960"/>
      <c r="E6635" s="943"/>
      <c r="F6635" s="1070"/>
      <c r="G6635" s="960"/>
      <c r="H6635" s="1033"/>
      <c r="I6635" s="952"/>
    </row>
    <row r="6636" spans="2:9" ht="15.75">
      <c r="C6636" s="951"/>
      <c r="D6636" s="960"/>
      <c r="E6636" s="943"/>
      <c r="F6636" s="1070"/>
      <c r="G6636" s="960"/>
      <c r="H6636" s="1033"/>
      <c r="I6636" s="952"/>
    </row>
    <row r="6637" spans="2:9" ht="15.75">
      <c r="B6637" s="1026">
        <v>7.2</v>
      </c>
      <c r="C6637" s="937" t="str">
        <f>+Presupuesto!B413</f>
        <v>Puerta Polimetal (1.00m x 2.10m)</v>
      </c>
      <c r="D6637" s="938"/>
      <c r="E6637" s="962" t="s">
        <v>1106</v>
      </c>
      <c r="F6637" s="1066"/>
      <c r="G6637" s="938"/>
      <c r="H6637" s="1029"/>
      <c r="I6637" s="940">
        <f>+I6660</f>
        <v>8670</v>
      </c>
    </row>
    <row r="6638" spans="2:9" ht="15.75">
      <c r="C6638" s="941" t="s">
        <v>908</v>
      </c>
      <c r="D6638" s="942" t="s">
        <v>9</v>
      </c>
      <c r="E6638" s="943" t="s">
        <v>10</v>
      </c>
      <c r="F6638" s="1067" t="s">
        <v>909</v>
      </c>
      <c r="G6638" s="942" t="s">
        <v>910</v>
      </c>
      <c r="H6638" s="1030" t="s">
        <v>911</v>
      </c>
      <c r="I6638" s="944" t="s">
        <v>912</v>
      </c>
    </row>
    <row r="6639" spans="2:9" ht="15.75">
      <c r="C6639" s="945" t="s">
        <v>913</v>
      </c>
      <c r="D6639" s="946"/>
      <c r="E6639" s="947"/>
      <c r="F6639" s="1054"/>
      <c r="G6639" s="946"/>
      <c r="H6639" s="1031"/>
      <c r="I6639" s="948"/>
    </row>
    <row r="6640" spans="2:9" ht="31.5">
      <c r="C6640" s="949" t="s">
        <v>1587</v>
      </c>
      <c r="D6640" s="946">
        <v>1.02</v>
      </c>
      <c r="E6640" s="947" t="str">
        <f>+VLOOKUP(C6640,'Basic (equilibrio) (2)'!B:D,2,FALSE)</f>
        <v>ud</v>
      </c>
      <c r="F6640" s="1068">
        <f>'Basic (equilibrio) (2)'!$D$338</f>
        <v>8500</v>
      </c>
      <c r="G6640" s="946">
        <f>F6640-(F6640/1.18)</f>
        <v>1296.6099999999999</v>
      </c>
      <c r="H6640" s="1031"/>
      <c r="I6640" s="948">
        <f>D6640*F6640</f>
        <v>8670</v>
      </c>
    </row>
    <row r="6641" spans="3:9" ht="15.75">
      <c r="C6641" s="951" t="s">
        <v>918</v>
      </c>
      <c r="D6641" s="946"/>
      <c r="E6641" s="947"/>
      <c r="F6641" s="1068"/>
      <c r="G6641" s="946"/>
      <c r="H6641" s="1031"/>
      <c r="I6641" s="952">
        <f>SUM(I6640:I6640)</f>
        <v>8670</v>
      </c>
    </row>
    <row r="6642" spans="3:9" ht="15.75">
      <c r="C6642" s="949"/>
      <c r="D6642" s="946"/>
      <c r="E6642" s="947"/>
      <c r="F6642" s="1068"/>
      <c r="G6642" s="946"/>
      <c r="H6642" s="1031"/>
      <c r="I6642" s="948"/>
    </row>
    <row r="6643" spans="3:9" ht="15.75">
      <c r="C6643" s="945" t="s">
        <v>919</v>
      </c>
      <c r="D6643" s="946"/>
      <c r="E6643" s="947"/>
      <c r="F6643" s="1068"/>
      <c r="G6643" s="946"/>
      <c r="H6643" s="1031"/>
      <c r="I6643" s="948"/>
    </row>
    <row r="6644" spans="3:9" ht="15.75">
      <c r="C6644" s="949" t="s">
        <v>924</v>
      </c>
      <c r="D6644" s="953">
        <v>8.33</v>
      </c>
      <c r="E6644" s="954" t="str">
        <f>+VLOOKUP(C6644,'Basic (equilibrio) (2)'!B:D,2,FALSE)</f>
        <v>n/a</v>
      </c>
      <c r="F6644" s="1068">
        <f>+VLOOKUP(C6644,'Basic (equilibrio) (2)'!B:D,3,FALSE)</f>
        <v>0</v>
      </c>
      <c r="G6644" s="946">
        <v>0</v>
      </c>
      <c r="H6644" s="1031"/>
      <c r="I6644" s="948">
        <f>(D6644*F6644)</f>
        <v>0</v>
      </c>
    </row>
    <row r="6645" spans="3:9" ht="15.75">
      <c r="C6645" s="951" t="s">
        <v>918</v>
      </c>
      <c r="D6645" s="946"/>
      <c r="E6645" s="947"/>
      <c r="F6645" s="1054"/>
      <c r="G6645" s="946"/>
      <c r="H6645" s="1031"/>
      <c r="I6645" s="952">
        <f>SUM(I6644:I6644)</f>
        <v>0</v>
      </c>
    </row>
    <row r="6646" spans="3:9" ht="15.75">
      <c r="C6646" s="949"/>
      <c r="D6646" s="946"/>
      <c r="E6646" s="947"/>
      <c r="F6646" s="1054"/>
      <c r="G6646" s="946"/>
      <c r="H6646" s="1031"/>
      <c r="I6646" s="948"/>
    </row>
    <row r="6647" spans="3:9" ht="15.75">
      <c r="C6647" s="945" t="s">
        <v>923</v>
      </c>
      <c r="D6647" s="946"/>
      <c r="E6647" s="947"/>
      <c r="F6647" s="1054"/>
      <c r="G6647" s="946"/>
      <c r="H6647" s="1031"/>
      <c r="I6647" s="948"/>
    </row>
    <row r="6648" spans="3:9" ht="15.75">
      <c r="C6648" s="949" t="s">
        <v>924</v>
      </c>
      <c r="D6648" s="946"/>
      <c r="E6648" s="947" t="str">
        <f>+VLOOKUP(C6648,'Basic (equilibrio) (2)'!B:D,2,FALSE)</f>
        <v>n/a</v>
      </c>
      <c r="F6648" s="1054">
        <f>+VLOOKUP(C6648,'Basic (equilibrio) (2)'!B:D,3,FALSE)</f>
        <v>0</v>
      </c>
      <c r="G6648" s="946">
        <f>F6648-(F6648/1.18)</f>
        <v>0</v>
      </c>
      <c r="H6648" s="1039"/>
      <c r="I6648" s="955">
        <f>D6648*F6648</f>
        <v>0</v>
      </c>
    </row>
    <row r="6649" spans="3:9" ht="15.75">
      <c r="C6649" s="951" t="s">
        <v>918</v>
      </c>
      <c r="D6649" s="946"/>
      <c r="E6649" s="947"/>
      <c r="F6649" s="1054"/>
      <c r="G6649" s="946"/>
      <c r="H6649" s="1031"/>
      <c r="I6649" s="952">
        <f>SUM(I6648:I6648)</f>
        <v>0</v>
      </c>
    </row>
    <row r="6650" spans="3:9" ht="15.75">
      <c r="C6650" s="949"/>
      <c r="D6650" s="946"/>
      <c r="E6650" s="947"/>
      <c r="F6650" s="1054"/>
      <c r="G6650" s="946"/>
      <c r="H6650" s="1031"/>
      <c r="I6650" s="948"/>
    </row>
    <row r="6651" spans="3:9" ht="15.75">
      <c r="C6651" s="945" t="s">
        <v>925</v>
      </c>
      <c r="D6651" s="946"/>
      <c r="E6651" s="947"/>
      <c r="F6651" s="1054"/>
      <c r="G6651" s="946"/>
      <c r="H6651" s="1031"/>
      <c r="I6651" s="948"/>
    </row>
    <row r="6652" spans="3:9" ht="15.75">
      <c r="C6652" s="949" t="s">
        <v>924</v>
      </c>
      <c r="D6652" s="946"/>
      <c r="E6652" s="947" t="str">
        <f>+VLOOKUP(C6652,'Basic (equilibrio) (2)'!B:D,2,FALSE)</f>
        <v>n/a</v>
      </c>
      <c r="F6652" s="1054">
        <f>+VLOOKUP(C6652,'Basic (equilibrio) (2)'!B:D,3,FALSE)</f>
        <v>0</v>
      </c>
      <c r="G6652" s="946"/>
      <c r="H6652" s="1031"/>
      <c r="I6652" s="948">
        <f>D6652*F6652</f>
        <v>0</v>
      </c>
    </row>
    <row r="6653" spans="3:9" ht="15.75">
      <c r="C6653" s="951" t="s">
        <v>918</v>
      </c>
      <c r="D6653" s="946"/>
      <c r="E6653" s="947"/>
      <c r="F6653" s="1054"/>
      <c r="G6653" s="946"/>
      <c r="H6653" s="1031"/>
      <c r="I6653" s="952">
        <f>SUM(I6652)</f>
        <v>0</v>
      </c>
    </row>
    <row r="6654" spans="3:9" ht="15.75">
      <c r="C6654" s="951"/>
      <c r="D6654" s="946"/>
      <c r="E6654" s="947"/>
      <c r="F6654" s="1054"/>
      <c r="G6654" s="946"/>
      <c r="H6654" s="1031"/>
      <c r="I6654" s="952"/>
    </row>
    <row r="6655" spans="3:9" ht="15.75">
      <c r="C6655" s="956" t="s">
        <v>926</v>
      </c>
      <c r="D6655" s="957"/>
      <c r="E6655" s="958"/>
      <c r="F6655" s="1069"/>
      <c r="G6655" s="957"/>
      <c r="H6655" s="1032"/>
      <c r="I6655" s="959">
        <f>+I6641</f>
        <v>8670</v>
      </c>
    </row>
    <row r="6656" spans="3:9" ht="15.75">
      <c r="C6656" s="956" t="s">
        <v>927</v>
      </c>
      <c r="D6656" s="957"/>
      <c r="E6656" s="958"/>
      <c r="F6656" s="1069"/>
      <c r="G6656" s="957"/>
      <c r="H6656" s="1032"/>
      <c r="I6656" s="959">
        <f>+I6645</f>
        <v>0</v>
      </c>
    </row>
    <row r="6657" spans="2:9" ht="15.75">
      <c r="C6657" s="956" t="s">
        <v>928</v>
      </c>
      <c r="D6657" s="957"/>
      <c r="E6657" s="958"/>
      <c r="F6657" s="1069"/>
      <c r="G6657" s="957"/>
      <c r="H6657" s="1032"/>
      <c r="I6657" s="959">
        <f>+I6649</f>
        <v>0</v>
      </c>
    </row>
    <row r="6658" spans="2:9" ht="15.75">
      <c r="C6658" s="956" t="s">
        <v>929</v>
      </c>
      <c r="D6658" s="957"/>
      <c r="E6658" s="958"/>
      <c r="F6658" s="1069"/>
      <c r="G6658" s="957"/>
      <c r="H6658" s="1032"/>
      <c r="I6658" s="959">
        <f>+I6653</f>
        <v>0</v>
      </c>
    </row>
    <row r="6659" spans="2:9" ht="15.75">
      <c r="C6659" s="949"/>
      <c r="D6659" s="946"/>
      <c r="E6659" s="947"/>
      <c r="F6659" s="1054"/>
      <c r="G6659" s="946"/>
      <c r="H6659" s="1031"/>
      <c r="I6659" s="948"/>
    </row>
    <row r="6660" spans="2:9" ht="15.75">
      <c r="C6660" s="951" t="s">
        <v>930</v>
      </c>
      <c r="D6660" s="960"/>
      <c r="E6660" s="975" t="str">
        <f>+E6637</f>
        <v>und</v>
      </c>
      <c r="F6660" s="1070"/>
      <c r="G6660" s="960"/>
      <c r="H6660" s="1033"/>
      <c r="I6660" s="952">
        <f>SUM(I6655:I6658)</f>
        <v>8670</v>
      </c>
    </row>
    <row r="6661" spans="2:9" ht="15.75">
      <c r="C6661" s="951"/>
      <c r="D6661" s="960"/>
      <c r="E6661" s="943"/>
      <c r="F6661" s="1070"/>
      <c r="G6661" s="960"/>
      <c r="H6661" s="1033"/>
      <c r="I6661" s="952"/>
    </row>
    <row r="6662" spans="2:9" ht="15.75">
      <c r="C6662" s="951"/>
      <c r="D6662" s="960"/>
      <c r="E6662" s="943"/>
      <c r="F6662" s="1070"/>
      <c r="G6662" s="960"/>
      <c r="H6662" s="1033"/>
      <c r="I6662" s="952"/>
    </row>
    <row r="6663" spans="2:9" ht="15.75">
      <c r="B6663" s="1026">
        <v>7.3</v>
      </c>
      <c r="C6663" s="937" t="str">
        <f>+Presupuesto!B414</f>
        <v>Puerta Polimetal (0.90m x 2.10m)</v>
      </c>
      <c r="D6663" s="938"/>
      <c r="E6663" s="962" t="s">
        <v>1106</v>
      </c>
      <c r="F6663" s="1066"/>
      <c r="G6663" s="938"/>
      <c r="H6663" s="1029"/>
      <c r="I6663" s="940">
        <f>+I6686</f>
        <v>8670</v>
      </c>
    </row>
    <row r="6664" spans="2:9" ht="15.75">
      <c r="C6664" s="941" t="s">
        <v>908</v>
      </c>
      <c r="D6664" s="942" t="s">
        <v>9</v>
      </c>
      <c r="E6664" s="943" t="s">
        <v>10</v>
      </c>
      <c r="F6664" s="1067" t="s">
        <v>909</v>
      </c>
      <c r="G6664" s="942" t="s">
        <v>910</v>
      </c>
      <c r="H6664" s="1030" t="s">
        <v>911</v>
      </c>
      <c r="I6664" s="944" t="s">
        <v>912</v>
      </c>
    </row>
    <row r="6665" spans="2:9" ht="15.75">
      <c r="C6665" s="945" t="s">
        <v>913</v>
      </c>
      <c r="D6665" s="946"/>
      <c r="E6665" s="947"/>
      <c r="F6665" s="1054"/>
      <c r="G6665" s="946"/>
      <c r="H6665" s="1031"/>
      <c r="I6665" s="948"/>
    </row>
    <row r="6666" spans="2:9" ht="31.5">
      <c r="C6666" s="949" t="s">
        <v>1587</v>
      </c>
      <c r="D6666" s="946">
        <v>1.02</v>
      </c>
      <c r="E6666" s="947" t="str">
        <f>+VLOOKUP(C6666,'Basic (equilibrio) (2)'!B:D,2,FALSE)</f>
        <v>ud</v>
      </c>
      <c r="F6666" s="1068">
        <f>'Basic (equilibrio) (2)'!$D$338</f>
        <v>8500</v>
      </c>
      <c r="G6666" s="946">
        <f>F6666-(F6666/1.18)</f>
        <v>1296.6099999999999</v>
      </c>
      <c r="H6666" s="1031"/>
      <c r="I6666" s="948">
        <f>D6666*F6666</f>
        <v>8670</v>
      </c>
    </row>
    <row r="6667" spans="2:9" ht="15.75">
      <c r="C6667" s="951" t="s">
        <v>918</v>
      </c>
      <c r="D6667" s="946"/>
      <c r="E6667" s="947"/>
      <c r="F6667" s="1068"/>
      <c r="G6667" s="946"/>
      <c r="H6667" s="1031"/>
      <c r="I6667" s="952">
        <f>SUM(I6666:I6666)</f>
        <v>8670</v>
      </c>
    </row>
    <row r="6668" spans="2:9" ht="15.75">
      <c r="C6668" s="949"/>
      <c r="D6668" s="946"/>
      <c r="E6668" s="947"/>
      <c r="F6668" s="1068"/>
      <c r="G6668" s="946"/>
      <c r="H6668" s="1031"/>
      <c r="I6668" s="948"/>
    </row>
    <row r="6669" spans="2:9" ht="15.75">
      <c r="C6669" s="945" t="s">
        <v>919</v>
      </c>
      <c r="D6669" s="946"/>
      <c r="E6669" s="947"/>
      <c r="F6669" s="1068"/>
      <c r="G6669" s="946"/>
      <c r="H6669" s="1031"/>
      <c r="I6669" s="948"/>
    </row>
    <row r="6670" spans="2:9" ht="15.75">
      <c r="C6670" s="949" t="s">
        <v>924</v>
      </c>
      <c r="D6670" s="953">
        <v>8.33</v>
      </c>
      <c r="E6670" s="954" t="str">
        <f>+VLOOKUP(C6670,'Basic (equilibrio) (2)'!B:D,2,FALSE)</f>
        <v>n/a</v>
      </c>
      <c r="F6670" s="1068">
        <f>+VLOOKUP(C6670,'Basic (equilibrio) (2)'!B:D,3,FALSE)</f>
        <v>0</v>
      </c>
      <c r="G6670" s="946">
        <v>0</v>
      </c>
      <c r="H6670" s="1031"/>
      <c r="I6670" s="948">
        <f>(D6670*F6670)</f>
        <v>0</v>
      </c>
    </row>
    <row r="6671" spans="2:9" ht="15.75">
      <c r="C6671" s="951" t="s">
        <v>918</v>
      </c>
      <c r="D6671" s="946"/>
      <c r="E6671" s="947"/>
      <c r="F6671" s="1054"/>
      <c r="G6671" s="946"/>
      <c r="H6671" s="1031"/>
      <c r="I6671" s="952">
        <f>SUM(I6670:I6670)</f>
        <v>0</v>
      </c>
    </row>
    <row r="6672" spans="2:9" ht="15.75">
      <c r="C6672" s="949"/>
      <c r="D6672" s="946"/>
      <c r="E6672" s="947"/>
      <c r="F6672" s="1054"/>
      <c r="G6672" s="946"/>
      <c r="H6672" s="1031"/>
      <c r="I6672" s="948"/>
    </row>
    <row r="6673" spans="3:9" ht="15.75">
      <c r="C6673" s="945" t="s">
        <v>923</v>
      </c>
      <c r="D6673" s="946"/>
      <c r="E6673" s="947"/>
      <c r="F6673" s="1054"/>
      <c r="G6673" s="946"/>
      <c r="H6673" s="1031"/>
      <c r="I6673" s="948"/>
    </row>
    <row r="6674" spans="3:9" ht="15.75">
      <c r="C6674" s="949" t="s">
        <v>924</v>
      </c>
      <c r="D6674" s="946"/>
      <c r="E6674" s="947" t="str">
        <f>+VLOOKUP(C6674,'Basic (equilibrio) (2)'!B:D,2,FALSE)</f>
        <v>n/a</v>
      </c>
      <c r="F6674" s="1054">
        <f>+VLOOKUP(C6674,'Basic (equilibrio) (2)'!B:D,3,FALSE)</f>
        <v>0</v>
      </c>
      <c r="G6674" s="946">
        <f>F6674-(F6674/1.18)</f>
        <v>0</v>
      </c>
      <c r="H6674" s="1039"/>
      <c r="I6674" s="955">
        <f>D6674*F6674</f>
        <v>0</v>
      </c>
    </row>
    <row r="6675" spans="3:9" ht="15.75">
      <c r="C6675" s="951" t="s">
        <v>918</v>
      </c>
      <c r="D6675" s="946"/>
      <c r="E6675" s="947"/>
      <c r="F6675" s="1054"/>
      <c r="G6675" s="946"/>
      <c r="H6675" s="1031"/>
      <c r="I6675" s="952">
        <f>SUM(I6674:I6674)</f>
        <v>0</v>
      </c>
    </row>
    <row r="6676" spans="3:9" ht="15.75">
      <c r="C6676" s="949"/>
      <c r="D6676" s="946"/>
      <c r="E6676" s="947"/>
      <c r="F6676" s="1054"/>
      <c r="G6676" s="946"/>
      <c r="H6676" s="1031"/>
      <c r="I6676" s="948"/>
    </row>
    <row r="6677" spans="3:9" ht="15.75">
      <c r="C6677" s="945" t="s">
        <v>925</v>
      </c>
      <c r="D6677" s="946"/>
      <c r="E6677" s="947"/>
      <c r="F6677" s="1054"/>
      <c r="G6677" s="946"/>
      <c r="H6677" s="1031"/>
      <c r="I6677" s="948"/>
    </row>
    <row r="6678" spans="3:9" ht="15.75">
      <c r="C6678" s="949" t="s">
        <v>924</v>
      </c>
      <c r="D6678" s="946"/>
      <c r="E6678" s="947" t="str">
        <f>+VLOOKUP(C6678,'Basic (equilibrio) (2)'!B:D,2,FALSE)</f>
        <v>n/a</v>
      </c>
      <c r="F6678" s="1054">
        <f>+VLOOKUP(C6678,'Basic (equilibrio) (2)'!B:D,3,FALSE)</f>
        <v>0</v>
      </c>
      <c r="G6678" s="946"/>
      <c r="H6678" s="1031"/>
      <c r="I6678" s="948">
        <f>D6678*F6678</f>
        <v>0</v>
      </c>
    </row>
    <row r="6679" spans="3:9" ht="15.75">
      <c r="C6679" s="951" t="s">
        <v>918</v>
      </c>
      <c r="D6679" s="946"/>
      <c r="E6679" s="947"/>
      <c r="F6679" s="1054"/>
      <c r="G6679" s="946"/>
      <c r="H6679" s="1031"/>
      <c r="I6679" s="952">
        <f>SUM(I6678)</f>
        <v>0</v>
      </c>
    </row>
    <row r="6680" spans="3:9" ht="15.75">
      <c r="C6680" s="951"/>
      <c r="D6680" s="946"/>
      <c r="E6680" s="947"/>
      <c r="F6680" s="1054"/>
      <c r="G6680" s="946"/>
      <c r="H6680" s="1031"/>
      <c r="I6680" s="952"/>
    </row>
    <row r="6681" spans="3:9" ht="15.75">
      <c r="C6681" s="956" t="s">
        <v>926</v>
      </c>
      <c r="D6681" s="957"/>
      <c r="E6681" s="958"/>
      <c r="F6681" s="1069"/>
      <c r="G6681" s="957"/>
      <c r="H6681" s="1032"/>
      <c r="I6681" s="959">
        <f>+I6667</f>
        <v>8670</v>
      </c>
    </row>
    <row r="6682" spans="3:9" ht="15.75">
      <c r="C6682" s="956" t="s">
        <v>927</v>
      </c>
      <c r="D6682" s="957"/>
      <c r="E6682" s="958"/>
      <c r="F6682" s="1069"/>
      <c r="G6682" s="957"/>
      <c r="H6682" s="1032"/>
      <c r="I6682" s="959">
        <f>+I6671</f>
        <v>0</v>
      </c>
    </row>
    <row r="6683" spans="3:9" ht="15.75">
      <c r="C6683" s="956" t="s">
        <v>928</v>
      </c>
      <c r="D6683" s="957"/>
      <c r="E6683" s="958"/>
      <c r="F6683" s="1069"/>
      <c r="G6683" s="957"/>
      <c r="H6683" s="1032"/>
      <c r="I6683" s="959">
        <f>+I6675</f>
        <v>0</v>
      </c>
    </row>
    <row r="6684" spans="3:9" ht="15.75">
      <c r="C6684" s="956" t="s">
        <v>929</v>
      </c>
      <c r="D6684" s="957"/>
      <c r="E6684" s="958"/>
      <c r="F6684" s="1069"/>
      <c r="G6684" s="957"/>
      <c r="H6684" s="1032"/>
      <c r="I6684" s="959">
        <f>+I6679</f>
        <v>0</v>
      </c>
    </row>
    <row r="6685" spans="3:9" ht="15.75">
      <c r="C6685" s="949"/>
      <c r="D6685" s="946"/>
      <c r="E6685" s="947"/>
      <c r="F6685" s="1054"/>
      <c r="G6685" s="946"/>
      <c r="H6685" s="1031"/>
      <c r="I6685" s="948"/>
    </row>
    <row r="6686" spans="3:9" ht="15.75">
      <c r="C6686" s="951" t="s">
        <v>930</v>
      </c>
      <c r="D6686" s="960"/>
      <c r="E6686" s="975" t="str">
        <f>+E6663</f>
        <v>und</v>
      </c>
      <c r="F6686" s="1070"/>
      <c r="G6686" s="960"/>
      <c r="H6686" s="1033"/>
      <c r="I6686" s="952">
        <f>SUM(I6681:I6684)</f>
        <v>8670</v>
      </c>
    </row>
    <row r="6687" spans="3:9" ht="15.75">
      <c r="C6687" s="951"/>
      <c r="D6687" s="960"/>
      <c r="E6687" s="943"/>
      <c r="F6687" s="1070"/>
      <c r="G6687" s="960"/>
      <c r="H6687" s="1033"/>
      <c r="I6687" s="952"/>
    </row>
    <row r="6688" spans="3:9" ht="15.75">
      <c r="C6688" s="951"/>
      <c r="D6688" s="960"/>
      <c r="E6688" s="943"/>
      <c r="F6688" s="1070"/>
      <c r="G6688" s="960"/>
      <c r="H6688" s="1033"/>
      <c r="I6688" s="952"/>
    </row>
    <row r="6689" spans="2:9" ht="15.75">
      <c r="B6689" s="1026">
        <v>7.4</v>
      </c>
      <c r="C6689" s="937" t="str">
        <f>+Presupuesto!B415</f>
        <v>Puerta Polimetal (0.80m x 2.10m)</v>
      </c>
      <c r="D6689" s="938"/>
      <c r="E6689" s="962" t="s">
        <v>1106</v>
      </c>
      <c r="F6689" s="1066"/>
      <c r="G6689" s="938"/>
      <c r="H6689" s="1029"/>
      <c r="I6689" s="940">
        <f>+I6712</f>
        <v>8670</v>
      </c>
    </row>
    <row r="6690" spans="2:9" ht="15.75">
      <c r="C6690" s="941" t="s">
        <v>908</v>
      </c>
      <c r="D6690" s="942" t="s">
        <v>9</v>
      </c>
      <c r="E6690" s="943" t="s">
        <v>10</v>
      </c>
      <c r="F6690" s="1067" t="s">
        <v>909</v>
      </c>
      <c r="G6690" s="942" t="s">
        <v>910</v>
      </c>
      <c r="H6690" s="1030" t="s">
        <v>911</v>
      </c>
      <c r="I6690" s="944" t="s">
        <v>912</v>
      </c>
    </row>
    <row r="6691" spans="2:9" ht="15.75">
      <c r="C6691" s="945" t="s">
        <v>913</v>
      </c>
      <c r="D6691" s="946"/>
      <c r="E6691" s="947"/>
      <c r="F6691" s="1054"/>
      <c r="G6691" s="946"/>
      <c r="H6691" s="1031"/>
      <c r="I6691" s="948"/>
    </row>
    <row r="6692" spans="2:9" ht="31.5">
      <c r="C6692" s="949" t="s">
        <v>1587</v>
      </c>
      <c r="D6692" s="946">
        <v>1.02</v>
      </c>
      <c r="E6692" s="947" t="str">
        <f>+VLOOKUP(C6692,'Basic (equilibrio) (2)'!B:D,2,FALSE)</f>
        <v>ud</v>
      </c>
      <c r="F6692" s="1068">
        <f>'Basic (equilibrio) (2)'!$D$338</f>
        <v>8500</v>
      </c>
      <c r="G6692" s="946">
        <f>F6692-(F6692/1.18)</f>
        <v>1296.6099999999999</v>
      </c>
      <c r="H6692" s="1031"/>
      <c r="I6692" s="948">
        <f>D6692*F6692</f>
        <v>8670</v>
      </c>
    </row>
    <row r="6693" spans="2:9" ht="15.75">
      <c r="C6693" s="951" t="s">
        <v>918</v>
      </c>
      <c r="D6693" s="946"/>
      <c r="E6693" s="947"/>
      <c r="F6693" s="1068"/>
      <c r="G6693" s="946"/>
      <c r="H6693" s="1031"/>
      <c r="I6693" s="952">
        <f>SUM(I6692:I6692)</f>
        <v>8670</v>
      </c>
    </row>
    <row r="6694" spans="2:9" ht="15.75">
      <c r="C6694" s="949"/>
      <c r="D6694" s="946"/>
      <c r="E6694" s="947"/>
      <c r="F6694" s="1068"/>
      <c r="G6694" s="946"/>
      <c r="H6694" s="1031"/>
      <c r="I6694" s="948"/>
    </row>
    <row r="6695" spans="2:9" ht="15.75">
      <c r="C6695" s="945" t="s">
        <v>919</v>
      </c>
      <c r="D6695" s="946"/>
      <c r="E6695" s="947"/>
      <c r="F6695" s="1068"/>
      <c r="G6695" s="946"/>
      <c r="H6695" s="1031"/>
      <c r="I6695" s="948"/>
    </row>
    <row r="6696" spans="2:9" ht="15.75">
      <c r="C6696" s="949" t="s">
        <v>924</v>
      </c>
      <c r="D6696" s="953">
        <v>8.33</v>
      </c>
      <c r="E6696" s="954" t="str">
        <f>+VLOOKUP(C6696,'Basic (equilibrio) (2)'!B:D,2,FALSE)</f>
        <v>n/a</v>
      </c>
      <c r="F6696" s="1068">
        <f>+VLOOKUP(C6696,'Basic (equilibrio) (2)'!B:D,3,FALSE)</f>
        <v>0</v>
      </c>
      <c r="G6696" s="946">
        <v>0</v>
      </c>
      <c r="H6696" s="1031"/>
      <c r="I6696" s="948">
        <f>(D6696*F6696)</f>
        <v>0</v>
      </c>
    </row>
    <row r="6697" spans="2:9" ht="15.75">
      <c r="C6697" s="951" t="s">
        <v>918</v>
      </c>
      <c r="D6697" s="946"/>
      <c r="E6697" s="947"/>
      <c r="F6697" s="1054"/>
      <c r="G6697" s="946"/>
      <c r="H6697" s="1031"/>
      <c r="I6697" s="952">
        <f>SUM(I6696:I6696)</f>
        <v>0</v>
      </c>
    </row>
    <row r="6698" spans="2:9" ht="15.75">
      <c r="C6698" s="949"/>
      <c r="D6698" s="946"/>
      <c r="E6698" s="947"/>
      <c r="F6698" s="1054"/>
      <c r="G6698" s="946"/>
      <c r="H6698" s="1031"/>
      <c r="I6698" s="948"/>
    </row>
    <row r="6699" spans="2:9" ht="15.75">
      <c r="C6699" s="945" t="s">
        <v>923</v>
      </c>
      <c r="D6699" s="946"/>
      <c r="E6699" s="947"/>
      <c r="F6699" s="1054"/>
      <c r="G6699" s="946"/>
      <c r="H6699" s="1031"/>
      <c r="I6699" s="948"/>
    </row>
    <row r="6700" spans="2:9" ht="15.75">
      <c r="C6700" s="949" t="s">
        <v>924</v>
      </c>
      <c r="D6700" s="946"/>
      <c r="E6700" s="947" t="str">
        <f>+VLOOKUP(C6700,'Basic (equilibrio) (2)'!B:D,2,FALSE)</f>
        <v>n/a</v>
      </c>
      <c r="F6700" s="1054">
        <f>+VLOOKUP(C6700,'Basic (equilibrio) (2)'!B:D,3,FALSE)</f>
        <v>0</v>
      </c>
      <c r="G6700" s="946">
        <f>F6700-(F6700/1.18)</f>
        <v>0</v>
      </c>
      <c r="H6700" s="1039"/>
      <c r="I6700" s="955">
        <f>D6700*F6700</f>
        <v>0</v>
      </c>
    </row>
    <row r="6701" spans="2:9" ht="15.75">
      <c r="C6701" s="951" t="s">
        <v>918</v>
      </c>
      <c r="D6701" s="946"/>
      <c r="E6701" s="947"/>
      <c r="F6701" s="1054"/>
      <c r="G6701" s="946"/>
      <c r="H6701" s="1031"/>
      <c r="I6701" s="952">
        <f>SUM(I6700:I6700)</f>
        <v>0</v>
      </c>
    </row>
    <row r="6702" spans="2:9" ht="15.75">
      <c r="C6702" s="949"/>
      <c r="D6702" s="946"/>
      <c r="E6702" s="947"/>
      <c r="F6702" s="1054"/>
      <c r="G6702" s="946"/>
      <c r="H6702" s="1031"/>
      <c r="I6702" s="948"/>
    </row>
    <row r="6703" spans="2:9" ht="15.75">
      <c r="C6703" s="945" t="s">
        <v>925</v>
      </c>
      <c r="D6703" s="946"/>
      <c r="E6703" s="947"/>
      <c r="F6703" s="1054"/>
      <c r="G6703" s="946"/>
      <c r="H6703" s="1031"/>
      <c r="I6703" s="948"/>
    </row>
    <row r="6704" spans="2:9" ht="15.75">
      <c r="C6704" s="949" t="s">
        <v>924</v>
      </c>
      <c r="D6704" s="946"/>
      <c r="E6704" s="947" t="str">
        <f>+VLOOKUP(C6704,'Basic (equilibrio) (2)'!B:D,2,FALSE)</f>
        <v>n/a</v>
      </c>
      <c r="F6704" s="1054">
        <f>+VLOOKUP(C6704,'Basic (equilibrio) (2)'!B:D,3,FALSE)</f>
        <v>0</v>
      </c>
      <c r="G6704" s="946"/>
      <c r="H6704" s="1031"/>
      <c r="I6704" s="948">
        <f>D6704*F6704</f>
        <v>0</v>
      </c>
    </row>
    <row r="6705" spans="2:9" ht="15.75">
      <c r="C6705" s="951" t="s">
        <v>918</v>
      </c>
      <c r="D6705" s="946"/>
      <c r="E6705" s="947"/>
      <c r="F6705" s="1054"/>
      <c r="G6705" s="946"/>
      <c r="H6705" s="1031"/>
      <c r="I6705" s="952">
        <f>SUM(I6704)</f>
        <v>0</v>
      </c>
    </row>
    <row r="6706" spans="2:9" ht="15.75">
      <c r="C6706" s="951"/>
      <c r="D6706" s="946"/>
      <c r="E6706" s="947"/>
      <c r="F6706" s="1054"/>
      <c r="G6706" s="946"/>
      <c r="H6706" s="1031"/>
      <c r="I6706" s="952"/>
    </row>
    <row r="6707" spans="2:9" ht="15.75">
      <c r="C6707" s="956" t="s">
        <v>926</v>
      </c>
      <c r="D6707" s="957"/>
      <c r="E6707" s="958"/>
      <c r="F6707" s="1069"/>
      <c r="G6707" s="957"/>
      <c r="H6707" s="1032"/>
      <c r="I6707" s="959">
        <f>+I6693</f>
        <v>8670</v>
      </c>
    </row>
    <row r="6708" spans="2:9" ht="15.75">
      <c r="C6708" s="956" t="s">
        <v>927</v>
      </c>
      <c r="D6708" s="957"/>
      <c r="E6708" s="958"/>
      <c r="F6708" s="1069"/>
      <c r="G6708" s="957"/>
      <c r="H6708" s="1032"/>
      <c r="I6708" s="959">
        <f>+I6697</f>
        <v>0</v>
      </c>
    </row>
    <row r="6709" spans="2:9" ht="15.75">
      <c r="C6709" s="956" t="s">
        <v>928</v>
      </c>
      <c r="D6709" s="957"/>
      <c r="E6709" s="958"/>
      <c r="F6709" s="1069"/>
      <c r="G6709" s="957"/>
      <c r="H6709" s="1032"/>
      <c r="I6709" s="959">
        <f>+I6701</f>
        <v>0</v>
      </c>
    </row>
    <row r="6710" spans="2:9" ht="15.75">
      <c r="C6710" s="956" t="s">
        <v>929</v>
      </c>
      <c r="D6710" s="957"/>
      <c r="E6710" s="958"/>
      <c r="F6710" s="1069"/>
      <c r="G6710" s="957"/>
      <c r="H6710" s="1032"/>
      <c r="I6710" s="959">
        <f>+I6705</f>
        <v>0</v>
      </c>
    </row>
    <row r="6711" spans="2:9" ht="15.75">
      <c r="C6711" s="949"/>
      <c r="D6711" s="946"/>
      <c r="E6711" s="947"/>
      <c r="F6711" s="1054"/>
      <c r="G6711" s="946"/>
      <c r="H6711" s="1031"/>
      <c r="I6711" s="948"/>
    </row>
    <row r="6712" spans="2:9" ht="15.75">
      <c r="C6712" s="951" t="s">
        <v>930</v>
      </c>
      <c r="D6712" s="960"/>
      <c r="E6712" s="975" t="str">
        <f>+E6689</f>
        <v>und</v>
      </c>
      <c r="F6712" s="1070"/>
      <c r="G6712" s="960"/>
      <c r="H6712" s="1033"/>
      <c r="I6712" s="952">
        <f>SUM(I6707:I6710)</f>
        <v>8670</v>
      </c>
    </row>
    <row r="6713" spans="2:9" ht="15.75">
      <c r="C6713" s="951"/>
      <c r="D6713" s="960"/>
      <c r="E6713" s="943"/>
      <c r="F6713" s="1070"/>
      <c r="G6713" s="960"/>
      <c r="H6713" s="1033"/>
      <c r="I6713" s="952"/>
    </row>
    <row r="6714" spans="2:9" ht="15.75">
      <c r="C6714" s="951"/>
      <c r="D6714" s="960"/>
      <c r="E6714" s="943"/>
      <c r="F6714" s="1070"/>
      <c r="G6714" s="960"/>
      <c r="H6714" s="1033"/>
      <c r="I6714" s="952"/>
    </row>
    <row r="6715" spans="2:9" ht="15.75">
      <c r="B6715" s="1026">
        <v>7.5</v>
      </c>
      <c r="C6715" s="937" t="str">
        <f>+Presupuesto!B416</f>
        <v>Puerta Polimetal ( 0.70m X 2.10m)</v>
      </c>
      <c r="D6715" s="938"/>
      <c r="E6715" s="962" t="s">
        <v>1106</v>
      </c>
      <c r="F6715" s="1066"/>
      <c r="G6715" s="938"/>
      <c r="H6715" s="1029"/>
      <c r="I6715" s="940">
        <f>+I6738</f>
        <v>8670</v>
      </c>
    </row>
    <row r="6716" spans="2:9" ht="15.75">
      <c r="C6716" s="941" t="s">
        <v>908</v>
      </c>
      <c r="D6716" s="942" t="s">
        <v>9</v>
      </c>
      <c r="E6716" s="943" t="s">
        <v>10</v>
      </c>
      <c r="F6716" s="1067" t="s">
        <v>909</v>
      </c>
      <c r="G6716" s="942" t="s">
        <v>910</v>
      </c>
      <c r="H6716" s="1030" t="s">
        <v>911</v>
      </c>
      <c r="I6716" s="944" t="s">
        <v>912</v>
      </c>
    </row>
    <row r="6717" spans="2:9" ht="15.75">
      <c r="C6717" s="945" t="s">
        <v>913</v>
      </c>
      <c r="D6717" s="946"/>
      <c r="E6717" s="947"/>
      <c r="F6717" s="1054"/>
      <c r="G6717" s="946"/>
      <c r="H6717" s="1031"/>
      <c r="I6717" s="948"/>
    </row>
    <row r="6718" spans="2:9" ht="15.75">
      <c r="C6718" s="949" t="s">
        <v>1588</v>
      </c>
      <c r="D6718" s="946">
        <v>1.02</v>
      </c>
      <c r="E6718" s="947" t="str">
        <f>+VLOOKUP(C6718,'Basic (equilibrio) (2)'!B:D,2,FALSE)</f>
        <v>ud</v>
      </c>
      <c r="F6718" s="1068">
        <f>'Basic (equilibrio) (2)'!$D$338</f>
        <v>8500</v>
      </c>
      <c r="G6718" s="946">
        <f>F6718-(F6718/1.18)</f>
        <v>1296.6099999999999</v>
      </c>
      <c r="H6718" s="1031"/>
      <c r="I6718" s="948">
        <f>D6718*F6718</f>
        <v>8670</v>
      </c>
    </row>
    <row r="6719" spans="2:9" ht="15.75">
      <c r="C6719" s="951" t="s">
        <v>918</v>
      </c>
      <c r="D6719" s="946"/>
      <c r="E6719" s="947"/>
      <c r="F6719" s="1068"/>
      <c r="G6719" s="946"/>
      <c r="H6719" s="1031"/>
      <c r="I6719" s="952">
        <f>SUM(I6718:I6718)</f>
        <v>8670</v>
      </c>
    </row>
    <row r="6720" spans="2:9" ht="15.75">
      <c r="C6720" s="949"/>
      <c r="D6720" s="946"/>
      <c r="E6720" s="947"/>
      <c r="F6720" s="1068"/>
      <c r="G6720" s="946"/>
      <c r="H6720" s="1031"/>
      <c r="I6720" s="948"/>
    </row>
    <row r="6721" spans="3:9" ht="15.75">
      <c r="C6721" s="945" t="s">
        <v>919</v>
      </c>
      <c r="D6721" s="946"/>
      <c r="E6721" s="947"/>
      <c r="F6721" s="1068"/>
      <c r="G6721" s="946"/>
      <c r="H6721" s="1031"/>
      <c r="I6721" s="948"/>
    </row>
    <row r="6722" spans="3:9" ht="15.75">
      <c r="C6722" s="949" t="s">
        <v>924</v>
      </c>
      <c r="D6722" s="953">
        <v>8.33</v>
      </c>
      <c r="E6722" s="954" t="str">
        <f>+VLOOKUP(C6722,'Basic (equilibrio) (2)'!B:D,2,FALSE)</f>
        <v>n/a</v>
      </c>
      <c r="F6722" s="1068">
        <f>+VLOOKUP(C6722,'Basic (equilibrio) (2)'!B:D,3,FALSE)</f>
        <v>0</v>
      </c>
      <c r="G6722" s="946">
        <v>0</v>
      </c>
      <c r="H6722" s="1031"/>
      <c r="I6722" s="948">
        <f>(D6722*F6722)</f>
        <v>0</v>
      </c>
    </row>
    <row r="6723" spans="3:9" ht="15.75">
      <c r="C6723" s="951" t="s">
        <v>918</v>
      </c>
      <c r="D6723" s="946"/>
      <c r="E6723" s="947"/>
      <c r="F6723" s="1054"/>
      <c r="G6723" s="946"/>
      <c r="H6723" s="1031"/>
      <c r="I6723" s="952">
        <f>SUM(I6722:I6722)</f>
        <v>0</v>
      </c>
    </row>
    <row r="6724" spans="3:9" ht="15.75">
      <c r="C6724" s="949"/>
      <c r="D6724" s="946"/>
      <c r="E6724" s="947"/>
      <c r="F6724" s="1054"/>
      <c r="G6724" s="946"/>
      <c r="H6724" s="1031"/>
      <c r="I6724" s="948"/>
    </row>
    <row r="6725" spans="3:9" ht="15.75">
      <c r="C6725" s="945" t="s">
        <v>923</v>
      </c>
      <c r="D6725" s="946"/>
      <c r="E6725" s="947"/>
      <c r="F6725" s="1054"/>
      <c r="G6725" s="946"/>
      <c r="H6725" s="1031"/>
      <c r="I6725" s="948"/>
    </row>
    <row r="6726" spans="3:9" ht="15.75">
      <c r="C6726" s="949" t="s">
        <v>924</v>
      </c>
      <c r="D6726" s="946"/>
      <c r="E6726" s="947" t="str">
        <f>+VLOOKUP(C6726,'Basic (equilibrio) (2)'!B:D,2,FALSE)</f>
        <v>n/a</v>
      </c>
      <c r="F6726" s="1054">
        <f>+VLOOKUP(C6726,'Basic (equilibrio) (2)'!B:D,3,FALSE)</f>
        <v>0</v>
      </c>
      <c r="G6726" s="946">
        <f>F6726-(F6726/1.18)</f>
        <v>0</v>
      </c>
      <c r="H6726" s="1039"/>
      <c r="I6726" s="955">
        <f>D6726*F6726</f>
        <v>0</v>
      </c>
    </row>
    <row r="6727" spans="3:9" ht="15.75">
      <c r="C6727" s="951" t="s">
        <v>918</v>
      </c>
      <c r="D6727" s="946"/>
      <c r="E6727" s="947"/>
      <c r="F6727" s="1054"/>
      <c r="G6727" s="946"/>
      <c r="H6727" s="1031"/>
      <c r="I6727" s="952">
        <f>SUM(I6726:I6726)</f>
        <v>0</v>
      </c>
    </row>
    <row r="6728" spans="3:9" ht="15.75">
      <c r="C6728" s="949"/>
      <c r="D6728" s="946"/>
      <c r="E6728" s="947"/>
      <c r="F6728" s="1054"/>
      <c r="G6728" s="946"/>
      <c r="H6728" s="1031"/>
      <c r="I6728" s="948"/>
    </row>
    <row r="6729" spans="3:9" ht="15.75">
      <c r="C6729" s="945" t="s">
        <v>925</v>
      </c>
      <c r="D6729" s="946"/>
      <c r="E6729" s="947"/>
      <c r="F6729" s="1054"/>
      <c r="G6729" s="946"/>
      <c r="H6729" s="1031"/>
      <c r="I6729" s="948"/>
    </row>
    <row r="6730" spans="3:9" ht="15.75">
      <c r="C6730" s="949" t="s">
        <v>924</v>
      </c>
      <c r="D6730" s="946"/>
      <c r="E6730" s="947" t="str">
        <f>+VLOOKUP(C6730,'Basic (equilibrio) (2)'!B:D,2,FALSE)</f>
        <v>n/a</v>
      </c>
      <c r="F6730" s="1054">
        <f>+VLOOKUP(C6730,'Basic (equilibrio) (2)'!B:D,3,FALSE)</f>
        <v>0</v>
      </c>
      <c r="G6730" s="946"/>
      <c r="H6730" s="1031"/>
      <c r="I6730" s="948">
        <f>D6730*F6730</f>
        <v>0</v>
      </c>
    </row>
    <row r="6731" spans="3:9" ht="15.75">
      <c r="C6731" s="951" t="s">
        <v>918</v>
      </c>
      <c r="D6731" s="946"/>
      <c r="E6731" s="947"/>
      <c r="F6731" s="1054"/>
      <c r="G6731" s="946"/>
      <c r="H6731" s="1031"/>
      <c r="I6731" s="952">
        <f>SUM(I6730)</f>
        <v>0</v>
      </c>
    </row>
    <row r="6732" spans="3:9" ht="15.75">
      <c r="C6732" s="951"/>
      <c r="D6732" s="946"/>
      <c r="E6732" s="947"/>
      <c r="F6732" s="1054"/>
      <c r="G6732" s="946"/>
      <c r="H6732" s="1031"/>
      <c r="I6732" s="952"/>
    </row>
    <row r="6733" spans="3:9" ht="15.75">
      <c r="C6733" s="956" t="s">
        <v>926</v>
      </c>
      <c r="D6733" s="957"/>
      <c r="E6733" s="958"/>
      <c r="F6733" s="1069"/>
      <c r="G6733" s="957"/>
      <c r="H6733" s="1032"/>
      <c r="I6733" s="959">
        <f>+I6719</f>
        <v>8670</v>
      </c>
    </row>
    <row r="6734" spans="3:9" ht="15.75">
      <c r="C6734" s="956" t="s">
        <v>927</v>
      </c>
      <c r="D6734" s="957"/>
      <c r="E6734" s="958"/>
      <c r="F6734" s="1069"/>
      <c r="G6734" s="957"/>
      <c r="H6734" s="1032"/>
      <c r="I6734" s="959">
        <f>+I6723</f>
        <v>0</v>
      </c>
    </row>
    <row r="6735" spans="3:9" ht="15.75">
      <c r="C6735" s="956" t="s">
        <v>928</v>
      </c>
      <c r="D6735" s="957"/>
      <c r="E6735" s="958"/>
      <c r="F6735" s="1069"/>
      <c r="G6735" s="957"/>
      <c r="H6735" s="1032"/>
      <c r="I6735" s="959">
        <f>+I6727</f>
        <v>0</v>
      </c>
    </row>
    <row r="6736" spans="3:9" ht="15.75">
      <c r="C6736" s="956" t="s">
        <v>929</v>
      </c>
      <c r="D6736" s="957"/>
      <c r="E6736" s="958"/>
      <c r="F6736" s="1069"/>
      <c r="G6736" s="957"/>
      <c r="H6736" s="1032"/>
      <c r="I6736" s="959">
        <f>+I6731</f>
        <v>0</v>
      </c>
    </row>
    <row r="6737" spans="2:9" ht="15.75">
      <c r="C6737" s="949"/>
      <c r="D6737" s="946"/>
      <c r="E6737" s="947"/>
      <c r="F6737" s="1054"/>
      <c r="G6737" s="946"/>
      <c r="H6737" s="1031"/>
      <c r="I6737" s="948"/>
    </row>
    <row r="6738" spans="2:9" ht="15.75">
      <c r="C6738" s="951" t="s">
        <v>930</v>
      </c>
      <c r="D6738" s="960"/>
      <c r="E6738" s="975" t="str">
        <f>+E6715</f>
        <v>und</v>
      </c>
      <c r="F6738" s="1070"/>
      <c r="G6738" s="960"/>
      <c r="H6738" s="1033"/>
      <c r="I6738" s="952">
        <f>SUM(I6733:I6736)</f>
        <v>8670</v>
      </c>
    </row>
    <row r="6739" spans="2:9" ht="15.75">
      <c r="C6739" s="951"/>
      <c r="D6739" s="960"/>
      <c r="E6739" s="943"/>
      <c r="F6739" s="1070"/>
      <c r="G6739" s="960"/>
      <c r="H6739" s="1033"/>
      <c r="I6739" s="952"/>
    </row>
    <row r="6740" spans="2:9" ht="15.75">
      <c r="C6740" s="951"/>
      <c r="D6740" s="960"/>
      <c r="E6740" s="943"/>
      <c r="F6740" s="1070"/>
      <c r="G6740" s="960"/>
      <c r="H6740" s="1033"/>
      <c r="I6740" s="952"/>
    </row>
    <row r="6741" spans="2:9" ht="15.75">
      <c r="B6741" s="1026">
        <v>7.6</v>
      </c>
      <c r="C6741" s="937" t="str">
        <f>+Presupuesto!B417</f>
        <v>Puerta everdoor (0.60m x 2.10m)</v>
      </c>
      <c r="D6741" s="938"/>
      <c r="E6741" s="962" t="s">
        <v>1106</v>
      </c>
      <c r="F6741" s="1066"/>
      <c r="G6741" s="938"/>
      <c r="H6741" s="1029"/>
      <c r="I6741" s="940">
        <f>+I6764</f>
        <v>8670</v>
      </c>
    </row>
    <row r="6742" spans="2:9" ht="15.75">
      <c r="C6742" s="941" t="s">
        <v>908</v>
      </c>
      <c r="D6742" s="942" t="s">
        <v>9</v>
      </c>
      <c r="E6742" s="943" t="s">
        <v>10</v>
      </c>
      <c r="F6742" s="1067" t="s">
        <v>909</v>
      </c>
      <c r="G6742" s="942" t="s">
        <v>910</v>
      </c>
      <c r="H6742" s="1030" t="s">
        <v>911</v>
      </c>
      <c r="I6742" s="944" t="s">
        <v>912</v>
      </c>
    </row>
    <row r="6743" spans="2:9" ht="15.75">
      <c r="C6743" s="945" t="s">
        <v>913</v>
      </c>
      <c r="D6743" s="946"/>
      <c r="E6743" s="947"/>
      <c r="F6743" s="1054"/>
      <c r="G6743" s="946"/>
      <c r="H6743" s="1031"/>
      <c r="I6743" s="948"/>
    </row>
    <row r="6744" spans="2:9" ht="15.75">
      <c r="C6744" s="949" t="s">
        <v>1588</v>
      </c>
      <c r="D6744" s="946">
        <v>1.02</v>
      </c>
      <c r="E6744" s="947" t="str">
        <f>+VLOOKUP(C6744,'Basic (equilibrio) (2)'!B:D,2,FALSE)</f>
        <v>ud</v>
      </c>
      <c r="F6744" s="1068">
        <f>'Basic (equilibrio) (2)'!$D$338</f>
        <v>8500</v>
      </c>
      <c r="G6744" s="946">
        <f>F6744-(F6744/1.18)</f>
        <v>1296.6099999999999</v>
      </c>
      <c r="H6744" s="1031"/>
      <c r="I6744" s="948">
        <f>D6744*F6744</f>
        <v>8670</v>
      </c>
    </row>
    <row r="6745" spans="2:9" ht="15.75">
      <c r="C6745" s="951" t="s">
        <v>918</v>
      </c>
      <c r="D6745" s="946"/>
      <c r="E6745" s="947"/>
      <c r="F6745" s="1068"/>
      <c r="G6745" s="946"/>
      <c r="H6745" s="1031"/>
      <c r="I6745" s="952">
        <f>SUM(I6744:I6744)</f>
        <v>8670</v>
      </c>
    </row>
    <row r="6746" spans="2:9" ht="15.75">
      <c r="C6746" s="949"/>
      <c r="D6746" s="946"/>
      <c r="E6746" s="947"/>
      <c r="F6746" s="1068"/>
      <c r="G6746" s="946"/>
      <c r="H6746" s="1031"/>
      <c r="I6746" s="948"/>
    </row>
    <row r="6747" spans="2:9" ht="15.75">
      <c r="C6747" s="945" t="s">
        <v>919</v>
      </c>
      <c r="D6747" s="946"/>
      <c r="E6747" s="947"/>
      <c r="F6747" s="1068"/>
      <c r="G6747" s="946"/>
      <c r="H6747" s="1031"/>
      <c r="I6747" s="948"/>
    </row>
    <row r="6748" spans="2:9" ht="15.75">
      <c r="C6748" s="949" t="s">
        <v>924</v>
      </c>
      <c r="D6748" s="953">
        <v>8.33</v>
      </c>
      <c r="E6748" s="954" t="str">
        <f>+VLOOKUP(C6748,'Basic (equilibrio) (2)'!B:D,2,FALSE)</f>
        <v>n/a</v>
      </c>
      <c r="F6748" s="1068">
        <f>+VLOOKUP(C6748,'Basic (equilibrio) (2)'!B:D,3,FALSE)</f>
        <v>0</v>
      </c>
      <c r="G6748" s="946">
        <v>0</v>
      </c>
      <c r="H6748" s="1031"/>
      <c r="I6748" s="948">
        <f>(D6748*F6748)</f>
        <v>0</v>
      </c>
    </row>
    <row r="6749" spans="2:9" ht="15.75">
      <c r="C6749" s="951" t="s">
        <v>918</v>
      </c>
      <c r="D6749" s="946"/>
      <c r="E6749" s="947"/>
      <c r="F6749" s="1054"/>
      <c r="G6749" s="946"/>
      <c r="H6749" s="1031"/>
      <c r="I6749" s="952">
        <f>SUM(I6748:I6748)</f>
        <v>0</v>
      </c>
    </row>
    <row r="6750" spans="2:9" ht="15.75">
      <c r="C6750" s="949"/>
      <c r="D6750" s="946"/>
      <c r="E6750" s="947"/>
      <c r="F6750" s="1054"/>
      <c r="G6750" s="946"/>
      <c r="H6750" s="1031"/>
      <c r="I6750" s="948"/>
    </row>
    <row r="6751" spans="2:9" ht="15.75">
      <c r="C6751" s="945" t="s">
        <v>923</v>
      </c>
      <c r="D6751" s="946"/>
      <c r="E6751" s="947"/>
      <c r="F6751" s="1054"/>
      <c r="G6751" s="946"/>
      <c r="H6751" s="1031"/>
      <c r="I6751" s="948"/>
    </row>
    <row r="6752" spans="2:9" ht="15.75">
      <c r="C6752" s="949" t="s">
        <v>924</v>
      </c>
      <c r="D6752" s="946"/>
      <c r="E6752" s="947" t="str">
        <f>+VLOOKUP(C6752,'Basic (equilibrio) (2)'!B:D,2,FALSE)</f>
        <v>n/a</v>
      </c>
      <c r="F6752" s="1054">
        <f>+VLOOKUP(C6752,'Basic (equilibrio) (2)'!B:D,3,FALSE)</f>
        <v>0</v>
      </c>
      <c r="G6752" s="946">
        <f>F6752-(F6752/1.18)</f>
        <v>0</v>
      </c>
      <c r="H6752" s="1039"/>
      <c r="I6752" s="955">
        <f>D6752*F6752</f>
        <v>0</v>
      </c>
    </row>
    <row r="6753" spans="2:9" ht="15.75">
      <c r="C6753" s="951" t="s">
        <v>918</v>
      </c>
      <c r="D6753" s="946"/>
      <c r="E6753" s="947"/>
      <c r="F6753" s="1054"/>
      <c r="G6753" s="946"/>
      <c r="H6753" s="1031"/>
      <c r="I6753" s="952">
        <f>SUM(I6752:I6752)</f>
        <v>0</v>
      </c>
    </row>
    <row r="6754" spans="2:9" ht="15.75">
      <c r="C6754" s="949"/>
      <c r="D6754" s="946"/>
      <c r="E6754" s="947"/>
      <c r="F6754" s="1054"/>
      <c r="G6754" s="946"/>
      <c r="H6754" s="1031"/>
      <c r="I6754" s="948"/>
    </row>
    <row r="6755" spans="2:9" ht="15.75">
      <c r="C6755" s="945" t="s">
        <v>925</v>
      </c>
      <c r="D6755" s="946"/>
      <c r="E6755" s="947"/>
      <c r="F6755" s="1054"/>
      <c r="G6755" s="946"/>
      <c r="H6755" s="1031"/>
      <c r="I6755" s="948"/>
    </row>
    <row r="6756" spans="2:9" ht="15.75">
      <c r="C6756" s="949" t="s">
        <v>924</v>
      </c>
      <c r="D6756" s="946"/>
      <c r="E6756" s="947" t="str">
        <f>+VLOOKUP(C6756,'Basic (equilibrio) (2)'!B:D,2,FALSE)</f>
        <v>n/a</v>
      </c>
      <c r="F6756" s="1054">
        <f>+VLOOKUP(C6756,'Basic (equilibrio) (2)'!B:D,3,FALSE)</f>
        <v>0</v>
      </c>
      <c r="G6756" s="946"/>
      <c r="H6756" s="1031"/>
      <c r="I6756" s="948">
        <f>D6756*F6756</f>
        <v>0</v>
      </c>
    </row>
    <row r="6757" spans="2:9" ht="15.75">
      <c r="C6757" s="951" t="s">
        <v>918</v>
      </c>
      <c r="D6757" s="946"/>
      <c r="E6757" s="947"/>
      <c r="F6757" s="1054"/>
      <c r="G6757" s="946"/>
      <c r="H6757" s="1031"/>
      <c r="I6757" s="952">
        <f>SUM(I6756)</f>
        <v>0</v>
      </c>
    </row>
    <row r="6758" spans="2:9" ht="15.75">
      <c r="C6758" s="951"/>
      <c r="D6758" s="946"/>
      <c r="E6758" s="947"/>
      <c r="F6758" s="1054"/>
      <c r="G6758" s="946"/>
      <c r="H6758" s="1031"/>
      <c r="I6758" s="952"/>
    </row>
    <row r="6759" spans="2:9" ht="15.75">
      <c r="C6759" s="956" t="s">
        <v>926</v>
      </c>
      <c r="D6759" s="957"/>
      <c r="E6759" s="958"/>
      <c r="F6759" s="1069"/>
      <c r="G6759" s="957"/>
      <c r="H6759" s="1032"/>
      <c r="I6759" s="959">
        <f>+I6745</f>
        <v>8670</v>
      </c>
    </row>
    <row r="6760" spans="2:9" ht="15.75">
      <c r="C6760" s="956" t="s">
        <v>927</v>
      </c>
      <c r="D6760" s="957"/>
      <c r="E6760" s="958"/>
      <c r="F6760" s="1069"/>
      <c r="G6760" s="957"/>
      <c r="H6760" s="1032"/>
      <c r="I6760" s="959">
        <f>+I6749</f>
        <v>0</v>
      </c>
    </row>
    <row r="6761" spans="2:9" ht="15.75">
      <c r="C6761" s="956" t="s">
        <v>928</v>
      </c>
      <c r="D6761" s="957"/>
      <c r="E6761" s="958"/>
      <c r="F6761" s="1069"/>
      <c r="G6761" s="957"/>
      <c r="H6761" s="1032"/>
      <c r="I6761" s="959">
        <f>+I6753</f>
        <v>0</v>
      </c>
    </row>
    <row r="6762" spans="2:9" ht="15.75">
      <c r="C6762" s="956" t="s">
        <v>929</v>
      </c>
      <c r="D6762" s="957"/>
      <c r="E6762" s="958"/>
      <c r="F6762" s="1069"/>
      <c r="G6762" s="957"/>
      <c r="H6762" s="1032"/>
      <c r="I6762" s="959">
        <f>+I6757</f>
        <v>0</v>
      </c>
    </row>
    <row r="6763" spans="2:9" ht="15.75">
      <c r="C6763" s="949"/>
      <c r="D6763" s="946"/>
      <c r="E6763" s="947"/>
      <c r="F6763" s="1054"/>
      <c r="G6763" s="946"/>
      <c r="H6763" s="1031"/>
      <c r="I6763" s="948"/>
    </row>
    <row r="6764" spans="2:9" ht="15.75">
      <c r="C6764" s="951" t="s">
        <v>930</v>
      </c>
      <c r="D6764" s="960"/>
      <c r="E6764" s="975" t="str">
        <f>+E6741</f>
        <v>und</v>
      </c>
      <c r="F6764" s="1070"/>
      <c r="G6764" s="960"/>
      <c r="H6764" s="1033"/>
      <c r="I6764" s="952">
        <f>SUM(I6759:I6762)</f>
        <v>8670</v>
      </c>
    </row>
    <row r="6765" spans="2:9" ht="15.75">
      <c r="C6765" s="951"/>
      <c r="D6765" s="960"/>
      <c r="E6765" s="943"/>
      <c r="F6765" s="1070"/>
      <c r="G6765" s="960"/>
      <c r="H6765" s="1033"/>
      <c r="I6765" s="952"/>
    </row>
    <row r="6766" spans="2:9" ht="15.75">
      <c r="C6766" s="951"/>
      <c r="D6766" s="960"/>
      <c r="E6766" s="943"/>
      <c r="F6766" s="1070"/>
      <c r="G6766" s="960"/>
      <c r="H6766" s="1033"/>
      <c r="I6766" s="952"/>
    </row>
    <row r="6767" spans="2:9" ht="15.75">
      <c r="B6767" s="1026">
        <v>7.7</v>
      </c>
      <c r="C6767" s="937" t="str">
        <f>+Presupuesto!B418</f>
        <v>Puertas en compartimiento de inodoros</v>
      </c>
      <c r="D6767" s="938"/>
      <c r="E6767" s="962" t="s">
        <v>1106</v>
      </c>
      <c r="F6767" s="1066"/>
      <c r="G6767" s="938"/>
      <c r="H6767" s="1029"/>
      <c r="I6767" s="940">
        <f>+I6790</f>
        <v>8160</v>
      </c>
    </row>
    <row r="6768" spans="2:9" ht="15.75">
      <c r="C6768" s="941" t="s">
        <v>908</v>
      </c>
      <c r="D6768" s="942" t="s">
        <v>9</v>
      </c>
      <c r="E6768" s="943" t="s">
        <v>10</v>
      </c>
      <c r="F6768" s="1067" t="s">
        <v>909</v>
      </c>
      <c r="G6768" s="942" t="s">
        <v>910</v>
      </c>
      <c r="H6768" s="1030" t="s">
        <v>911</v>
      </c>
      <c r="I6768" s="944" t="s">
        <v>912</v>
      </c>
    </row>
    <row r="6769" spans="3:9" ht="15.75">
      <c r="C6769" s="945" t="s">
        <v>913</v>
      </c>
      <c r="D6769" s="946"/>
      <c r="E6769" s="947"/>
      <c r="F6769" s="1054"/>
      <c r="G6769" s="946"/>
      <c r="H6769" s="1031"/>
      <c r="I6769" s="948"/>
    </row>
    <row r="6770" spans="3:9" ht="15.75">
      <c r="C6770" s="949" t="s">
        <v>1589</v>
      </c>
      <c r="D6770" s="946">
        <v>1.02</v>
      </c>
      <c r="E6770" s="947" t="str">
        <f>+VLOOKUP(C6770,'Basic (equilibrio) (2)'!B:D,2,FALSE)</f>
        <v>und</v>
      </c>
      <c r="F6770" s="1068">
        <f>'Basic (equilibrio) (2)'!$D$336</f>
        <v>8000</v>
      </c>
      <c r="G6770" s="946">
        <f>F6770-(F6770/1.18)</f>
        <v>1220.3399999999999</v>
      </c>
      <c r="H6770" s="1031"/>
      <c r="I6770" s="948">
        <f>D6770*F6770</f>
        <v>8160</v>
      </c>
    </row>
    <row r="6771" spans="3:9" ht="15.75">
      <c r="C6771" s="951" t="s">
        <v>918</v>
      </c>
      <c r="D6771" s="946"/>
      <c r="E6771" s="947"/>
      <c r="F6771" s="1068"/>
      <c r="G6771" s="946"/>
      <c r="H6771" s="1031"/>
      <c r="I6771" s="952">
        <f>SUM(I6770:I6770)</f>
        <v>8160</v>
      </c>
    </row>
    <row r="6772" spans="3:9" ht="15.75">
      <c r="C6772" s="949"/>
      <c r="D6772" s="946"/>
      <c r="E6772" s="947"/>
      <c r="F6772" s="1068"/>
      <c r="G6772" s="946"/>
      <c r="H6772" s="1031"/>
      <c r="I6772" s="948"/>
    </row>
    <row r="6773" spans="3:9" ht="15.75">
      <c r="C6773" s="945" t="s">
        <v>919</v>
      </c>
      <c r="D6773" s="946"/>
      <c r="E6773" s="947"/>
      <c r="F6773" s="1068"/>
      <c r="G6773" s="946"/>
      <c r="H6773" s="1031"/>
      <c r="I6773" s="948"/>
    </row>
    <row r="6774" spans="3:9" ht="15.75">
      <c r="C6774" s="949" t="s">
        <v>924</v>
      </c>
      <c r="D6774" s="953">
        <v>8.33</v>
      </c>
      <c r="E6774" s="954" t="str">
        <f>+VLOOKUP(C6774,'Basic (equilibrio) (2)'!B:D,2,FALSE)</f>
        <v>n/a</v>
      </c>
      <c r="F6774" s="1068">
        <f>+VLOOKUP(C6774,'Basic (equilibrio) (2)'!B:D,3,FALSE)</f>
        <v>0</v>
      </c>
      <c r="G6774" s="946">
        <v>0</v>
      </c>
      <c r="H6774" s="1031"/>
      <c r="I6774" s="948">
        <f>(D6774*F6774)</f>
        <v>0</v>
      </c>
    </row>
    <row r="6775" spans="3:9" ht="15.75">
      <c r="C6775" s="951" t="s">
        <v>918</v>
      </c>
      <c r="D6775" s="946"/>
      <c r="E6775" s="947"/>
      <c r="F6775" s="1054"/>
      <c r="G6775" s="946"/>
      <c r="H6775" s="1031"/>
      <c r="I6775" s="952">
        <f>SUM(I6774:I6774)</f>
        <v>0</v>
      </c>
    </row>
    <row r="6776" spans="3:9" ht="15.75">
      <c r="C6776" s="949"/>
      <c r="D6776" s="946"/>
      <c r="E6776" s="947"/>
      <c r="F6776" s="1054"/>
      <c r="G6776" s="946"/>
      <c r="H6776" s="1031"/>
      <c r="I6776" s="948"/>
    </row>
    <row r="6777" spans="3:9" ht="15.75">
      <c r="C6777" s="945" t="s">
        <v>923</v>
      </c>
      <c r="D6777" s="946"/>
      <c r="E6777" s="947"/>
      <c r="F6777" s="1054"/>
      <c r="G6777" s="946"/>
      <c r="H6777" s="1031"/>
      <c r="I6777" s="948"/>
    </row>
    <row r="6778" spans="3:9" ht="15.75">
      <c r="C6778" s="949" t="s">
        <v>924</v>
      </c>
      <c r="D6778" s="946"/>
      <c r="E6778" s="947" t="str">
        <f>+VLOOKUP(C6778,'Basic (equilibrio) (2)'!B:D,2,FALSE)</f>
        <v>n/a</v>
      </c>
      <c r="F6778" s="1054">
        <f>+VLOOKUP(C6778,'Basic (equilibrio) (2)'!B:D,3,FALSE)</f>
        <v>0</v>
      </c>
      <c r="G6778" s="946">
        <f>F6778-(F6778/1.18)</f>
        <v>0</v>
      </c>
      <c r="H6778" s="1039"/>
      <c r="I6778" s="955">
        <f>D6778*F6778</f>
        <v>0</v>
      </c>
    </row>
    <row r="6779" spans="3:9" ht="15.75">
      <c r="C6779" s="951" t="s">
        <v>918</v>
      </c>
      <c r="D6779" s="946"/>
      <c r="E6779" s="947"/>
      <c r="F6779" s="1054"/>
      <c r="G6779" s="946"/>
      <c r="H6779" s="1031"/>
      <c r="I6779" s="952">
        <f>SUM(I6778:I6778)</f>
        <v>0</v>
      </c>
    </row>
    <row r="6780" spans="3:9" ht="15.75">
      <c r="C6780" s="949"/>
      <c r="D6780" s="946"/>
      <c r="E6780" s="947"/>
      <c r="F6780" s="1054"/>
      <c r="G6780" s="946"/>
      <c r="H6780" s="1031"/>
      <c r="I6780" s="948"/>
    </row>
    <row r="6781" spans="3:9" ht="15.75">
      <c r="C6781" s="945" t="s">
        <v>925</v>
      </c>
      <c r="D6781" s="946"/>
      <c r="E6781" s="947"/>
      <c r="F6781" s="1054"/>
      <c r="G6781" s="946"/>
      <c r="H6781" s="1031"/>
      <c r="I6781" s="948"/>
    </row>
    <row r="6782" spans="3:9" ht="15.75">
      <c r="C6782" s="949" t="s">
        <v>924</v>
      </c>
      <c r="D6782" s="946"/>
      <c r="E6782" s="947" t="str">
        <f>+VLOOKUP(C6782,'Basic (equilibrio) (2)'!B:D,2,FALSE)</f>
        <v>n/a</v>
      </c>
      <c r="F6782" s="1054">
        <f>+VLOOKUP(C6782,'Basic (equilibrio) (2)'!B:D,3,FALSE)</f>
        <v>0</v>
      </c>
      <c r="G6782" s="946"/>
      <c r="H6782" s="1031"/>
      <c r="I6782" s="948">
        <f>D6782*F6782</f>
        <v>0</v>
      </c>
    </row>
    <row r="6783" spans="3:9" ht="15.75">
      <c r="C6783" s="951" t="s">
        <v>918</v>
      </c>
      <c r="D6783" s="946"/>
      <c r="E6783" s="947"/>
      <c r="F6783" s="1054"/>
      <c r="G6783" s="946"/>
      <c r="H6783" s="1031"/>
      <c r="I6783" s="952">
        <f>SUM(I6782)</f>
        <v>0</v>
      </c>
    </row>
    <row r="6784" spans="3:9" ht="15.75">
      <c r="C6784" s="951"/>
      <c r="D6784" s="946"/>
      <c r="E6784" s="947"/>
      <c r="F6784" s="1054"/>
      <c r="G6784" s="946"/>
      <c r="H6784" s="1031"/>
      <c r="I6784" s="952"/>
    </row>
    <row r="6785" spans="2:9" ht="15.75">
      <c r="C6785" s="956" t="s">
        <v>926</v>
      </c>
      <c r="D6785" s="957"/>
      <c r="E6785" s="958"/>
      <c r="F6785" s="1069"/>
      <c r="G6785" s="957"/>
      <c r="H6785" s="1032"/>
      <c r="I6785" s="959">
        <f>+I6771</f>
        <v>8160</v>
      </c>
    </row>
    <row r="6786" spans="2:9" ht="15.75">
      <c r="C6786" s="956" t="s">
        <v>927</v>
      </c>
      <c r="D6786" s="957"/>
      <c r="E6786" s="958"/>
      <c r="F6786" s="1069"/>
      <c r="G6786" s="957"/>
      <c r="H6786" s="1032"/>
      <c r="I6786" s="959">
        <f>+I6775</f>
        <v>0</v>
      </c>
    </row>
    <row r="6787" spans="2:9" ht="15.75">
      <c r="C6787" s="956" t="s">
        <v>928</v>
      </c>
      <c r="D6787" s="957"/>
      <c r="E6787" s="958"/>
      <c r="F6787" s="1069"/>
      <c r="G6787" s="957"/>
      <c r="H6787" s="1032"/>
      <c r="I6787" s="959">
        <f>+I6779</f>
        <v>0</v>
      </c>
    </row>
    <row r="6788" spans="2:9" ht="15.75">
      <c r="C6788" s="956" t="s">
        <v>929</v>
      </c>
      <c r="D6788" s="957"/>
      <c r="E6788" s="958"/>
      <c r="F6788" s="1069"/>
      <c r="G6788" s="957"/>
      <c r="H6788" s="1032"/>
      <c r="I6788" s="959">
        <f>+I6783</f>
        <v>0</v>
      </c>
    </row>
    <row r="6789" spans="2:9" ht="15.75">
      <c r="C6789" s="949"/>
      <c r="D6789" s="946"/>
      <c r="E6789" s="947"/>
      <c r="F6789" s="1054"/>
      <c r="G6789" s="946"/>
      <c r="H6789" s="1031"/>
      <c r="I6789" s="948"/>
    </row>
    <row r="6790" spans="2:9" ht="15.75">
      <c r="C6790" s="951" t="s">
        <v>930</v>
      </c>
      <c r="D6790" s="960"/>
      <c r="E6790" s="975" t="str">
        <f>+E6767</f>
        <v>und</v>
      </c>
      <c r="F6790" s="1070"/>
      <c r="G6790" s="960"/>
      <c r="H6790" s="1033"/>
      <c r="I6790" s="952">
        <f>SUM(I6785:I6788)</f>
        <v>8160</v>
      </c>
    </row>
    <row r="6791" spans="2:9" ht="15.75">
      <c r="C6791" s="951"/>
      <c r="D6791" s="960"/>
      <c r="E6791" s="943"/>
      <c r="F6791" s="1070"/>
      <c r="G6791" s="960"/>
      <c r="H6791" s="1033"/>
      <c r="I6791" s="952"/>
    </row>
    <row r="6792" spans="2:9" ht="15.75">
      <c r="C6792" s="951"/>
      <c r="D6792" s="960"/>
      <c r="E6792" s="943"/>
      <c r="F6792" s="1070"/>
      <c r="G6792" s="960"/>
      <c r="H6792" s="1033"/>
      <c r="I6792" s="952"/>
    </row>
    <row r="6793" spans="2:9" ht="15.75">
      <c r="B6793" s="1026">
        <v>8.1</v>
      </c>
      <c r="C6793" s="937" t="str">
        <f>+Presupuesto!B421</f>
        <v>Piso en cerámica porcelanato chino</v>
      </c>
      <c r="D6793" s="938"/>
      <c r="E6793" s="962" t="s">
        <v>1000</v>
      </c>
      <c r="F6793" s="1066"/>
      <c r="G6793" s="938"/>
      <c r="H6793" s="1029"/>
      <c r="I6793" s="940">
        <f>+I6816</f>
        <v>1887</v>
      </c>
    </row>
    <row r="6794" spans="2:9" ht="15.75">
      <c r="C6794" s="941" t="s">
        <v>908</v>
      </c>
      <c r="D6794" s="942" t="s">
        <v>9</v>
      </c>
      <c r="E6794" s="943" t="s">
        <v>10</v>
      </c>
      <c r="F6794" s="1067" t="s">
        <v>909</v>
      </c>
      <c r="G6794" s="942" t="s">
        <v>910</v>
      </c>
      <c r="H6794" s="1030" t="s">
        <v>911</v>
      </c>
      <c r="I6794" s="944" t="s">
        <v>912</v>
      </c>
    </row>
    <row r="6795" spans="2:9" ht="15.75">
      <c r="C6795" s="945" t="s">
        <v>913</v>
      </c>
      <c r="D6795" s="946"/>
      <c r="E6795" s="947"/>
      <c r="F6795" s="1054"/>
      <c r="G6795" s="946"/>
      <c r="H6795" s="1031"/>
      <c r="I6795" s="948"/>
    </row>
    <row r="6796" spans="2:9" ht="15.75">
      <c r="C6796" s="949" t="s">
        <v>1590</v>
      </c>
      <c r="D6796" s="946">
        <v>1.02</v>
      </c>
      <c r="E6796" s="947" t="str">
        <f>+VLOOKUP(C6796,'Basic (equilibrio) (2)'!B:D,2,FALSE)</f>
        <v>m2</v>
      </c>
      <c r="F6796" s="1068">
        <f>'Basic (equilibrio) (2)'!$D$201</f>
        <v>1850</v>
      </c>
      <c r="G6796" s="946">
        <f>F6796-(F6796/1.18)</f>
        <v>282.2</v>
      </c>
      <c r="H6796" s="1031"/>
      <c r="I6796" s="948">
        <f>D6796*F6796</f>
        <v>1887</v>
      </c>
    </row>
    <row r="6797" spans="2:9" ht="15.75">
      <c r="C6797" s="951" t="s">
        <v>918</v>
      </c>
      <c r="D6797" s="946"/>
      <c r="E6797" s="947"/>
      <c r="F6797" s="1068"/>
      <c r="G6797" s="946"/>
      <c r="H6797" s="1031"/>
      <c r="I6797" s="952">
        <f>SUM(I6796:I6796)</f>
        <v>1887</v>
      </c>
    </row>
    <row r="6798" spans="2:9" ht="15.75">
      <c r="C6798" s="949"/>
      <c r="D6798" s="946"/>
      <c r="E6798" s="947"/>
      <c r="F6798" s="1068"/>
      <c r="G6798" s="946"/>
      <c r="H6798" s="1031"/>
      <c r="I6798" s="948"/>
    </row>
    <row r="6799" spans="2:9" ht="15.75">
      <c r="C6799" s="945" t="s">
        <v>919</v>
      </c>
      <c r="D6799" s="946"/>
      <c r="E6799" s="947"/>
      <c r="F6799" s="1068"/>
      <c r="G6799" s="946"/>
      <c r="H6799" s="1031"/>
      <c r="I6799" s="948"/>
    </row>
    <row r="6800" spans="2:9" ht="15.75">
      <c r="C6800" s="949" t="s">
        <v>924</v>
      </c>
      <c r="D6800" s="953">
        <v>8.33</v>
      </c>
      <c r="E6800" s="954" t="str">
        <f>+VLOOKUP(C6800,'Basic (equilibrio) (2)'!B:D,2,FALSE)</f>
        <v>n/a</v>
      </c>
      <c r="F6800" s="1068">
        <f>+VLOOKUP(C6800,'Basic (equilibrio) (2)'!B:D,3,FALSE)</f>
        <v>0</v>
      </c>
      <c r="G6800" s="946">
        <v>0</v>
      </c>
      <c r="H6800" s="1031"/>
      <c r="I6800" s="948">
        <f>(D6800*F6800)</f>
        <v>0</v>
      </c>
    </row>
    <row r="6801" spans="3:9" ht="15.75">
      <c r="C6801" s="951" t="s">
        <v>918</v>
      </c>
      <c r="D6801" s="946"/>
      <c r="E6801" s="947"/>
      <c r="F6801" s="1054"/>
      <c r="G6801" s="946"/>
      <c r="H6801" s="1031"/>
      <c r="I6801" s="952">
        <f>SUM(I6800:I6800)</f>
        <v>0</v>
      </c>
    </row>
    <row r="6802" spans="3:9" ht="15.75">
      <c r="C6802" s="949"/>
      <c r="D6802" s="946"/>
      <c r="E6802" s="947"/>
      <c r="F6802" s="1054"/>
      <c r="G6802" s="946"/>
      <c r="H6802" s="1031"/>
      <c r="I6802" s="948"/>
    </row>
    <row r="6803" spans="3:9" ht="15.75">
      <c r="C6803" s="945" t="s">
        <v>923</v>
      </c>
      <c r="D6803" s="946"/>
      <c r="E6803" s="947"/>
      <c r="F6803" s="1054"/>
      <c r="G6803" s="946"/>
      <c r="H6803" s="1031"/>
      <c r="I6803" s="948"/>
    </row>
    <row r="6804" spans="3:9" ht="15.75">
      <c r="C6804" s="949" t="s">
        <v>924</v>
      </c>
      <c r="D6804" s="946"/>
      <c r="E6804" s="947" t="str">
        <f>+VLOOKUP(C6804,'Basic (equilibrio) (2)'!B:D,2,FALSE)</f>
        <v>n/a</v>
      </c>
      <c r="F6804" s="1054">
        <f>+VLOOKUP(C6804,'Basic (equilibrio) (2)'!B:D,3,FALSE)</f>
        <v>0</v>
      </c>
      <c r="G6804" s="946">
        <f>F6804-(F6804/1.18)</f>
        <v>0</v>
      </c>
      <c r="H6804" s="1039"/>
      <c r="I6804" s="955">
        <f>D6804*F6804</f>
        <v>0</v>
      </c>
    </row>
    <row r="6805" spans="3:9" ht="15.75">
      <c r="C6805" s="951" t="s">
        <v>918</v>
      </c>
      <c r="D6805" s="946"/>
      <c r="E6805" s="947"/>
      <c r="F6805" s="1054"/>
      <c r="G6805" s="946"/>
      <c r="H6805" s="1031"/>
      <c r="I6805" s="952">
        <f>SUM(I6804:I6804)</f>
        <v>0</v>
      </c>
    </row>
    <row r="6806" spans="3:9" ht="15.75">
      <c r="C6806" s="949"/>
      <c r="D6806" s="946"/>
      <c r="E6806" s="947"/>
      <c r="F6806" s="1054"/>
      <c r="G6806" s="946"/>
      <c r="H6806" s="1031"/>
      <c r="I6806" s="948"/>
    </row>
    <row r="6807" spans="3:9" ht="15.75">
      <c r="C6807" s="945" t="s">
        <v>925</v>
      </c>
      <c r="D6807" s="946"/>
      <c r="E6807" s="947"/>
      <c r="F6807" s="1054"/>
      <c r="G6807" s="946"/>
      <c r="H6807" s="1031"/>
      <c r="I6807" s="948"/>
    </row>
    <row r="6808" spans="3:9" ht="15.75">
      <c r="C6808" s="949" t="s">
        <v>924</v>
      </c>
      <c r="D6808" s="946"/>
      <c r="E6808" s="947" t="str">
        <f>+VLOOKUP(C6808,'Basic (equilibrio) (2)'!B:D,2,FALSE)</f>
        <v>n/a</v>
      </c>
      <c r="F6808" s="1054">
        <f>+VLOOKUP(C6808,'Basic (equilibrio) (2)'!B:D,3,FALSE)</f>
        <v>0</v>
      </c>
      <c r="G6808" s="946"/>
      <c r="H6808" s="1031"/>
      <c r="I6808" s="948">
        <f>D6808*F6808</f>
        <v>0</v>
      </c>
    </row>
    <row r="6809" spans="3:9" ht="15.75">
      <c r="C6809" s="951" t="s">
        <v>918</v>
      </c>
      <c r="D6809" s="946"/>
      <c r="E6809" s="947"/>
      <c r="F6809" s="1054"/>
      <c r="G6809" s="946"/>
      <c r="H6809" s="1031"/>
      <c r="I6809" s="952">
        <f>SUM(I6808)</f>
        <v>0</v>
      </c>
    </row>
    <row r="6810" spans="3:9" ht="15.75">
      <c r="C6810" s="951"/>
      <c r="D6810" s="946"/>
      <c r="E6810" s="947"/>
      <c r="F6810" s="1054"/>
      <c r="G6810" s="946"/>
      <c r="H6810" s="1031"/>
      <c r="I6810" s="952"/>
    </row>
    <row r="6811" spans="3:9" ht="15.75">
      <c r="C6811" s="956" t="s">
        <v>926</v>
      </c>
      <c r="D6811" s="957"/>
      <c r="E6811" s="958"/>
      <c r="F6811" s="1069"/>
      <c r="G6811" s="957"/>
      <c r="H6811" s="1032"/>
      <c r="I6811" s="959">
        <f>+I6797</f>
        <v>1887</v>
      </c>
    </row>
    <row r="6812" spans="3:9" ht="15.75">
      <c r="C6812" s="956" t="s">
        <v>927</v>
      </c>
      <c r="D6812" s="957"/>
      <c r="E6812" s="958"/>
      <c r="F6812" s="1069"/>
      <c r="G6812" s="957"/>
      <c r="H6812" s="1032"/>
      <c r="I6812" s="959">
        <f>+I6801</f>
        <v>0</v>
      </c>
    </row>
    <row r="6813" spans="3:9" ht="15.75">
      <c r="C6813" s="956" t="s">
        <v>928</v>
      </c>
      <c r="D6813" s="957"/>
      <c r="E6813" s="958"/>
      <c r="F6813" s="1069"/>
      <c r="G6813" s="957"/>
      <c r="H6813" s="1032"/>
      <c r="I6813" s="959">
        <f>+I6805</f>
        <v>0</v>
      </c>
    </row>
    <row r="6814" spans="3:9" ht="15.75">
      <c r="C6814" s="956" t="s">
        <v>929</v>
      </c>
      <c r="D6814" s="957"/>
      <c r="E6814" s="958"/>
      <c r="F6814" s="1069"/>
      <c r="G6814" s="957"/>
      <c r="H6814" s="1032"/>
      <c r="I6814" s="959">
        <f>+I6809</f>
        <v>0</v>
      </c>
    </row>
    <row r="6815" spans="3:9" ht="15.75">
      <c r="C6815" s="949"/>
      <c r="D6815" s="946"/>
      <c r="E6815" s="947"/>
      <c r="F6815" s="1054"/>
      <c r="G6815" s="946"/>
      <c r="H6815" s="1031"/>
      <c r="I6815" s="948"/>
    </row>
    <row r="6816" spans="3:9" ht="15.75">
      <c r="C6816" s="951" t="s">
        <v>930</v>
      </c>
      <c r="D6816" s="960"/>
      <c r="E6816" s="975" t="str">
        <f>+E6793</f>
        <v>m2</v>
      </c>
      <c r="F6816" s="1070"/>
      <c r="G6816" s="960"/>
      <c r="H6816" s="1033"/>
      <c r="I6816" s="952">
        <f>SUM(I6811:I6814)</f>
        <v>1887</v>
      </c>
    </row>
    <row r="6817" spans="2:9" ht="15.75">
      <c r="C6817" s="951"/>
      <c r="D6817" s="960"/>
      <c r="E6817" s="943"/>
      <c r="F6817" s="1070"/>
      <c r="G6817" s="960"/>
      <c r="H6817" s="1033"/>
      <c r="I6817" s="952"/>
    </row>
    <row r="6818" spans="2:9" ht="15.75">
      <c r="B6818" s="1026">
        <v>8.1999999999999993</v>
      </c>
      <c r="C6818" s="937" t="str">
        <f>+Presupuesto!B422</f>
        <v>Piso de cerámica económica en baños</v>
      </c>
      <c r="D6818" s="938"/>
      <c r="E6818" s="962" t="s">
        <v>1000</v>
      </c>
      <c r="F6818" s="1066"/>
      <c r="G6818" s="938"/>
      <c r="H6818" s="1029"/>
      <c r="I6818" s="940">
        <f>+I6841</f>
        <v>1887</v>
      </c>
    </row>
    <row r="6819" spans="2:9" ht="15.75">
      <c r="C6819" s="941" t="s">
        <v>908</v>
      </c>
      <c r="D6819" s="942" t="s">
        <v>9</v>
      </c>
      <c r="E6819" s="943" t="s">
        <v>10</v>
      </c>
      <c r="F6819" s="1067" t="s">
        <v>909</v>
      </c>
      <c r="G6819" s="942" t="s">
        <v>910</v>
      </c>
      <c r="H6819" s="1030" t="s">
        <v>911</v>
      </c>
      <c r="I6819" s="944" t="s">
        <v>912</v>
      </c>
    </row>
    <row r="6820" spans="2:9" ht="15.75">
      <c r="C6820" s="945" t="s">
        <v>913</v>
      </c>
      <c r="D6820" s="946"/>
      <c r="E6820" s="947"/>
      <c r="F6820" s="1054"/>
      <c r="G6820" s="946"/>
      <c r="H6820" s="1031"/>
      <c r="I6820" s="948"/>
    </row>
    <row r="6821" spans="2:9" ht="15.75">
      <c r="C6821" s="949" t="s">
        <v>1595</v>
      </c>
      <c r="D6821" s="946">
        <v>1.02</v>
      </c>
      <c r="E6821" s="947" t="str">
        <f>+VLOOKUP(C6821,'Basic (equilibrio) (2)'!B:D,2,FALSE)</f>
        <v>m2</v>
      </c>
      <c r="F6821" s="1068">
        <f>'Basic (equilibrio) (2)'!$D$202</f>
        <v>1850</v>
      </c>
      <c r="G6821" s="946">
        <f>F6821-(F6821/1.18)</f>
        <v>282.2</v>
      </c>
      <c r="H6821" s="1031"/>
      <c r="I6821" s="948">
        <f>D6821*F6821</f>
        <v>1887</v>
      </c>
    </row>
    <row r="6822" spans="2:9" ht="15.75">
      <c r="C6822" s="951" t="s">
        <v>918</v>
      </c>
      <c r="D6822" s="946"/>
      <c r="E6822" s="947"/>
      <c r="F6822" s="1068"/>
      <c r="G6822" s="946"/>
      <c r="H6822" s="1031"/>
      <c r="I6822" s="952">
        <f>SUM(I6821:I6821)</f>
        <v>1887</v>
      </c>
    </row>
    <row r="6823" spans="2:9" ht="15.75">
      <c r="C6823" s="949"/>
      <c r="D6823" s="946"/>
      <c r="E6823" s="947"/>
      <c r="F6823" s="1068"/>
      <c r="G6823" s="946"/>
      <c r="H6823" s="1031"/>
      <c r="I6823" s="948"/>
    </row>
    <row r="6824" spans="2:9" ht="15.75">
      <c r="C6824" s="945" t="s">
        <v>919</v>
      </c>
      <c r="D6824" s="946"/>
      <c r="E6824" s="947"/>
      <c r="F6824" s="1068"/>
      <c r="G6824" s="946"/>
      <c r="H6824" s="1031"/>
      <c r="I6824" s="948"/>
    </row>
    <row r="6825" spans="2:9" ht="15.75">
      <c r="C6825" s="949" t="s">
        <v>924</v>
      </c>
      <c r="D6825" s="953"/>
      <c r="E6825" s="954" t="str">
        <f>+VLOOKUP(C6825,'Basic (equilibrio) (2)'!B:D,2,FALSE)</f>
        <v>n/a</v>
      </c>
      <c r="F6825" s="1068">
        <f>+VLOOKUP(C6825,'Basic (equilibrio) (2)'!B:D,3,FALSE)</f>
        <v>0</v>
      </c>
      <c r="G6825" s="946">
        <v>0</v>
      </c>
      <c r="H6825" s="1031"/>
      <c r="I6825" s="948">
        <f>(D6825*F6825)</f>
        <v>0</v>
      </c>
    </row>
    <row r="6826" spans="2:9" ht="15.75">
      <c r="C6826" s="951" t="s">
        <v>918</v>
      </c>
      <c r="D6826" s="946"/>
      <c r="E6826" s="947"/>
      <c r="F6826" s="1054"/>
      <c r="G6826" s="946"/>
      <c r="H6826" s="1031"/>
      <c r="I6826" s="952">
        <f>SUM(I6825:I6825)</f>
        <v>0</v>
      </c>
    </row>
    <row r="6827" spans="2:9" ht="15.75">
      <c r="C6827" s="949"/>
      <c r="D6827" s="946"/>
      <c r="E6827" s="947"/>
      <c r="F6827" s="1054"/>
      <c r="G6827" s="946"/>
      <c r="H6827" s="1031"/>
      <c r="I6827" s="948"/>
    </row>
    <row r="6828" spans="2:9" ht="15.75">
      <c r="C6828" s="945" t="s">
        <v>923</v>
      </c>
      <c r="D6828" s="946"/>
      <c r="E6828" s="947"/>
      <c r="F6828" s="1054"/>
      <c r="G6828" s="946"/>
      <c r="H6828" s="1031"/>
      <c r="I6828" s="948"/>
    </row>
    <row r="6829" spans="2:9" ht="15.75">
      <c r="C6829" s="949" t="s">
        <v>924</v>
      </c>
      <c r="D6829" s="946"/>
      <c r="E6829" s="947" t="str">
        <f>+VLOOKUP(C6829,'Basic (equilibrio) (2)'!B:D,2,FALSE)</f>
        <v>n/a</v>
      </c>
      <c r="F6829" s="1054">
        <f>+VLOOKUP(C6829,'Basic (equilibrio) (2)'!B:D,3,FALSE)</f>
        <v>0</v>
      </c>
      <c r="G6829" s="946">
        <f>F6829-(F6829/1.18)</f>
        <v>0</v>
      </c>
      <c r="H6829" s="1039"/>
      <c r="I6829" s="955">
        <f>D6829*F6829</f>
        <v>0</v>
      </c>
    </row>
    <row r="6830" spans="2:9" ht="15.75">
      <c r="C6830" s="951" t="s">
        <v>918</v>
      </c>
      <c r="D6830" s="946"/>
      <c r="E6830" s="947"/>
      <c r="F6830" s="1054"/>
      <c r="G6830" s="946"/>
      <c r="H6830" s="1031"/>
      <c r="I6830" s="952">
        <f>SUM(I6829:I6829)</f>
        <v>0</v>
      </c>
    </row>
    <row r="6831" spans="2:9" ht="15.75">
      <c r="C6831" s="949"/>
      <c r="D6831" s="946"/>
      <c r="E6831" s="947"/>
      <c r="F6831" s="1054"/>
      <c r="G6831" s="946"/>
      <c r="H6831" s="1031"/>
      <c r="I6831" s="948"/>
    </row>
    <row r="6832" spans="2:9" ht="15.75">
      <c r="C6832" s="945" t="s">
        <v>925</v>
      </c>
      <c r="D6832" s="946"/>
      <c r="E6832" s="947"/>
      <c r="F6832" s="1054"/>
      <c r="G6832" s="946"/>
      <c r="H6832" s="1031"/>
      <c r="I6832" s="948"/>
    </row>
    <row r="6833" spans="2:9" ht="15.75">
      <c r="C6833" s="949" t="s">
        <v>924</v>
      </c>
      <c r="D6833" s="946"/>
      <c r="E6833" s="947" t="str">
        <f>+VLOOKUP(C6833,'Basic (equilibrio) (2)'!B:D,2,FALSE)</f>
        <v>n/a</v>
      </c>
      <c r="F6833" s="1054">
        <f>+VLOOKUP(C6833,'Basic (equilibrio) (2)'!B:D,3,FALSE)</f>
        <v>0</v>
      </c>
      <c r="G6833" s="946"/>
      <c r="H6833" s="1031"/>
      <c r="I6833" s="948">
        <f>D6833*F6833</f>
        <v>0</v>
      </c>
    </row>
    <row r="6834" spans="2:9" ht="15.75">
      <c r="C6834" s="951" t="s">
        <v>918</v>
      </c>
      <c r="D6834" s="946"/>
      <c r="E6834" s="947"/>
      <c r="F6834" s="1054"/>
      <c r="G6834" s="946"/>
      <c r="H6834" s="1031"/>
      <c r="I6834" s="952">
        <f>SUM(I6833)</f>
        <v>0</v>
      </c>
    </row>
    <row r="6835" spans="2:9" ht="15.75">
      <c r="C6835" s="951"/>
      <c r="D6835" s="946"/>
      <c r="E6835" s="947"/>
      <c r="F6835" s="1054"/>
      <c r="G6835" s="946"/>
      <c r="H6835" s="1031"/>
      <c r="I6835" s="952"/>
    </row>
    <row r="6836" spans="2:9" ht="15.75">
      <c r="C6836" s="956" t="s">
        <v>926</v>
      </c>
      <c r="D6836" s="957"/>
      <c r="E6836" s="958"/>
      <c r="F6836" s="1069"/>
      <c r="G6836" s="957"/>
      <c r="H6836" s="1032"/>
      <c r="I6836" s="959">
        <f>+I6822</f>
        <v>1887</v>
      </c>
    </row>
    <row r="6837" spans="2:9" ht="15.75">
      <c r="C6837" s="956" t="s">
        <v>927</v>
      </c>
      <c r="D6837" s="957"/>
      <c r="E6837" s="958"/>
      <c r="F6837" s="1069"/>
      <c r="G6837" s="957"/>
      <c r="H6837" s="1032"/>
      <c r="I6837" s="959">
        <f>+I6826</f>
        <v>0</v>
      </c>
    </row>
    <row r="6838" spans="2:9" ht="15.75">
      <c r="C6838" s="956" t="s">
        <v>928</v>
      </c>
      <c r="D6838" s="957"/>
      <c r="E6838" s="958"/>
      <c r="F6838" s="1069"/>
      <c r="G6838" s="957"/>
      <c r="H6838" s="1032"/>
      <c r="I6838" s="959">
        <f>+I6830</f>
        <v>0</v>
      </c>
    </row>
    <row r="6839" spans="2:9" ht="15.75">
      <c r="C6839" s="956" t="s">
        <v>929</v>
      </c>
      <c r="D6839" s="957"/>
      <c r="E6839" s="958"/>
      <c r="F6839" s="1069"/>
      <c r="G6839" s="957"/>
      <c r="H6839" s="1032"/>
      <c r="I6839" s="959">
        <f>+I6834</f>
        <v>0</v>
      </c>
    </row>
    <row r="6840" spans="2:9" ht="15.75">
      <c r="C6840" s="949"/>
      <c r="D6840" s="946"/>
      <c r="E6840" s="947"/>
      <c r="F6840" s="1054"/>
      <c r="G6840" s="946"/>
      <c r="H6840" s="1031"/>
      <c r="I6840" s="948"/>
    </row>
    <row r="6841" spans="2:9" ht="15.75">
      <c r="C6841" s="951" t="s">
        <v>930</v>
      </c>
      <c r="D6841" s="960"/>
      <c r="E6841" s="975" t="str">
        <f>+E6818</f>
        <v>m2</v>
      </c>
      <c r="F6841" s="1070"/>
      <c r="G6841" s="960"/>
      <c r="H6841" s="1033"/>
      <c r="I6841" s="952">
        <f>SUM(I6836:I6839)</f>
        <v>1887</v>
      </c>
    </row>
    <row r="6842" spans="2:9" ht="15.75">
      <c r="C6842" s="951"/>
      <c r="D6842" s="960"/>
      <c r="E6842" s="943"/>
      <c r="F6842" s="1070"/>
      <c r="G6842" s="960"/>
      <c r="H6842" s="1033"/>
      <c r="I6842" s="952"/>
    </row>
    <row r="6843" spans="2:9" ht="15.75">
      <c r="B6843" s="1026">
        <v>8.3000000000000007</v>
      </c>
      <c r="C6843" s="937" t="str">
        <f>+Presupuesto!B423</f>
        <v>Zócalos de piso</v>
      </c>
      <c r="D6843" s="938"/>
      <c r="E6843" s="962" t="s">
        <v>1088</v>
      </c>
      <c r="F6843" s="1066"/>
      <c r="G6843" s="938"/>
      <c r="H6843" s="1029"/>
      <c r="I6843" s="940">
        <f>+I6866</f>
        <v>765</v>
      </c>
    </row>
    <row r="6844" spans="2:9" ht="15.75">
      <c r="C6844" s="941" t="s">
        <v>908</v>
      </c>
      <c r="D6844" s="942" t="s">
        <v>9</v>
      </c>
      <c r="E6844" s="943" t="s">
        <v>10</v>
      </c>
      <c r="F6844" s="1067" t="s">
        <v>909</v>
      </c>
      <c r="G6844" s="942" t="s">
        <v>910</v>
      </c>
      <c r="H6844" s="1030" t="s">
        <v>911</v>
      </c>
      <c r="I6844" s="944" t="s">
        <v>912</v>
      </c>
    </row>
    <row r="6845" spans="2:9" ht="15.75">
      <c r="C6845" s="945" t="s">
        <v>913</v>
      </c>
      <c r="D6845" s="946"/>
      <c r="E6845" s="947"/>
      <c r="F6845" s="1054"/>
      <c r="G6845" s="946"/>
      <c r="H6845" s="1031"/>
      <c r="I6845" s="948"/>
    </row>
    <row r="6846" spans="2:9" ht="15.75">
      <c r="C6846" s="949" t="s">
        <v>1591</v>
      </c>
      <c r="D6846" s="946">
        <v>1.02</v>
      </c>
      <c r="E6846" s="947" t="str">
        <f>+VLOOKUP(C6846,'Basic (equilibrio) (2)'!B:D,2,FALSE)</f>
        <v>m</v>
      </c>
      <c r="F6846" s="1068">
        <f>'Basic (equilibrio) (2)'!$D$203</f>
        <v>750</v>
      </c>
      <c r="G6846" s="946">
        <f>F6846-(F6846/1.18)</f>
        <v>114.41</v>
      </c>
      <c r="H6846" s="1031"/>
      <c r="I6846" s="948">
        <f>D6846*F6846</f>
        <v>765</v>
      </c>
    </row>
    <row r="6847" spans="2:9" ht="15.75">
      <c r="C6847" s="951" t="s">
        <v>918</v>
      </c>
      <c r="D6847" s="946"/>
      <c r="E6847" s="947"/>
      <c r="F6847" s="1068"/>
      <c r="G6847" s="946"/>
      <c r="H6847" s="1031"/>
      <c r="I6847" s="952">
        <f>SUM(I6846:I6846)</f>
        <v>765</v>
      </c>
    </row>
    <row r="6848" spans="2:9" ht="15.75">
      <c r="C6848" s="949"/>
      <c r="D6848" s="946"/>
      <c r="E6848" s="947"/>
      <c r="F6848" s="1068"/>
      <c r="G6848" s="946"/>
      <c r="H6848" s="1031"/>
      <c r="I6848" s="948"/>
    </row>
    <row r="6849" spans="3:9" ht="15.75">
      <c r="C6849" s="945" t="s">
        <v>919</v>
      </c>
      <c r="D6849" s="946"/>
      <c r="E6849" s="947"/>
      <c r="F6849" s="1068"/>
      <c r="G6849" s="946"/>
      <c r="H6849" s="1031"/>
      <c r="I6849" s="948"/>
    </row>
    <row r="6850" spans="3:9" ht="15.75">
      <c r="C6850" s="949" t="s">
        <v>924</v>
      </c>
      <c r="D6850" s="953"/>
      <c r="E6850" s="954" t="str">
        <f>+VLOOKUP(C6850,'Basic (equilibrio) (2)'!B:D,2,FALSE)</f>
        <v>n/a</v>
      </c>
      <c r="F6850" s="1068">
        <f>+VLOOKUP(C6850,'Basic (equilibrio) (2)'!B:D,3,FALSE)</f>
        <v>0</v>
      </c>
      <c r="G6850" s="946">
        <v>0</v>
      </c>
      <c r="H6850" s="1031"/>
      <c r="I6850" s="948">
        <f>(D6850*F6850)</f>
        <v>0</v>
      </c>
    </row>
    <row r="6851" spans="3:9" ht="15.75">
      <c r="C6851" s="951" t="s">
        <v>918</v>
      </c>
      <c r="D6851" s="946"/>
      <c r="E6851" s="947"/>
      <c r="F6851" s="1054"/>
      <c r="G6851" s="946"/>
      <c r="H6851" s="1031"/>
      <c r="I6851" s="952">
        <f>SUM(I6850:I6850)</f>
        <v>0</v>
      </c>
    </row>
    <row r="6852" spans="3:9" ht="15.75">
      <c r="C6852" s="949"/>
      <c r="D6852" s="946"/>
      <c r="E6852" s="947"/>
      <c r="F6852" s="1054"/>
      <c r="G6852" s="946"/>
      <c r="H6852" s="1031"/>
      <c r="I6852" s="948"/>
    </row>
    <row r="6853" spans="3:9" ht="15.75">
      <c r="C6853" s="945" t="s">
        <v>923</v>
      </c>
      <c r="D6853" s="946"/>
      <c r="E6853" s="947"/>
      <c r="F6853" s="1054"/>
      <c r="G6853" s="946"/>
      <c r="H6853" s="1031"/>
      <c r="I6853" s="948"/>
    </row>
    <row r="6854" spans="3:9" ht="15.75">
      <c r="C6854" s="949" t="s">
        <v>924</v>
      </c>
      <c r="D6854" s="946"/>
      <c r="E6854" s="947" t="str">
        <f>+VLOOKUP(C6854,'Basic (equilibrio) (2)'!B:D,2,FALSE)</f>
        <v>n/a</v>
      </c>
      <c r="F6854" s="1054">
        <f>+VLOOKUP(C6854,'Basic (equilibrio) (2)'!B:D,3,FALSE)</f>
        <v>0</v>
      </c>
      <c r="G6854" s="946">
        <f>F6854-(F6854/1.18)</f>
        <v>0</v>
      </c>
      <c r="H6854" s="1039"/>
      <c r="I6854" s="955">
        <f>D6854*F6854</f>
        <v>0</v>
      </c>
    </row>
    <row r="6855" spans="3:9" ht="15.75">
      <c r="C6855" s="951" t="s">
        <v>918</v>
      </c>
      <c r="D6855" s="946"/>
      <c r="E6855" s="947"/>
      <c r="F6855" s="1054"/>
      <c r="G6855" s="946"/>
      <c r="H6855" s="1031"/>
      <c r="I6855" s="952">
        <f>SUM(I6854:I6854)</f>
        <v>0</v>
      </c>
    </row>
    <row r="6856" spans="3:9" ht="15.75">
      <c r="C6856" s="949"/>
      <c r="D6856" s="946"/>
      <c r="E6856" s="947"/>
      <c r="F6856" s="1054"/>
      <c r="G6856" s="946"/>
      <c r="H6856" s="1031"/>
      <c r="I6856" s="948"/>
    </row>
    <row r="6857" spans="3:9" ht="15.75">
      <c r="C6857" s="945" t="s">
        <v>925</v>
      </c>
      <c r="D6857" s="946"/>
      <c r="E6857" s="947"/>
      <c r="F6857" s="1054"/>
      <c r="G6857" s="946"/>
      <c r="H6857" s="1031"/>
      <c r="I6857" s="948"/>
    </row>
    <row r="6858" spans="3:9" ht="15.75">
      <c r="C6858" s="949" t="s">
        <v>924</v>
      </c>
      <c r="D6858" s="946"/>
      <c r="E6858" s="947" t="str">
        <f>+VLOOKUP(C6858,'Basic (equilibrio) (2)'!B:D,2,FALSE)</f>
        <v>n/a</v>
      </c>
      <c r="F6858" s="1054">
        <f>+VLOOKUP(C6858,'Basic (equilibrio) (2)'!B:D,3,FALSE)</f>
        <v>0</v>
      </c>
      <c r="G6858" s="946"/>
      <c r="H6858" s="1031"/>
      <c r="I6858" s="948">
        <f>D6858*F6858</f>
        <v>0</v>
      </c>
    </row>
    <row r="6859" spans="3:9" ht="15.75">
      <c r="C6859" s="951" t="s">
        <v>918</v>
      </c>
      <c r="D6859" s="946"/>
      <c r="E6859" s="947"/>
      <c r="F6859" s="1054"/>
      <c r="G6859" s="946"/>
      <c r="H6859" s="1031"/>
      <c r="I6859" s="952">
        <f>SUM(I6858)</f>
        <v>0</v>
      </c>
    </row>
    <row r="6860" spans="3:9" ht="15.75">
      <c r="C6860" s="951"/>
      <c r="D6860" s="946"/>
      <c r="E6860" s="947"/>
      <c r="F6860" s="1054"/>
      <c r="G6860" s="946"/>
      <c r="H6860" s="1031"/>
      <c r="I6860" s="952"/>
    </row>
    <row r="6861" spans="3:9" ht="15.75">
      <c r="C6861" s="956" t="s">
        <v>926</v>
      </c>
      <c r="D6861" s="957"/>
      <c r="E6861" s="958"/>
      <c r="F6861" s="1069"/>
      <c r="G6861" s="957"/>
      <c r="H6861" s="1032"/>
      <c r="I6861" s="959">
        <f>+I6847</f>
        <v>765</v>
      </c>
    </row>
    <row r="6862" spans="3:9" ht="15.75">
      <c r="C6862" s="956" t="s">
        <v>927</v>
      </c>
      <c r="D6862" s="957"/>
      <c r="E6862" s="958"/>
      <c r="F6862" s="1069"/>
      <c r="G6862" s="957"/>
      <c r="H6862" s="1032"/>
      <c r="I6862" s="959">
        <f>+I6851</f>
        <v>0</v>
      </c>
    </row>
    <row r="6863" spans="3:9" ht="15.75">
      <c r="C6863" s="956" t="s">
        <v>928</v>
      </c>
      <c r="D6863" s="957"/>
      <c r="E6863" s="958"/>
      <c r="F6863" s="1069"/>
      <c r="G6863" s="957"/>
      <c r="H6863" s="1032"/>
      <c r="I6863" s="959">
        <f>+I6855</f>
        <v>0</v>
      </c>
    </row>
    <row r="6864" spans="3:9" ht="15.75">
      <c r="C6864" s="956" t="s">
        <v>929</v>
      </c>
      <c r="D6864" s="957"/>
      <c r="E6864" s="958"/>
      <c r="F6864" s="1069"/>
      <c r="G6864" s="957"/>
      <c r="H6864" s="1032"/>
      <c r="I6864" s="959">
        <f>+I6859</f>
        <v>0</v>
      </c>
    </row>
    <row r="6865" spans="2:9" ht="15.75">
      <c r="C6865" s="949"/>
      <c r="D6865" s="946"/>
      <c r="E6865" s="947"/>
      <c r="F6865" s="1054"/>
      <c r="G6865" s="946"/>
      <c r="H6865" s="1031"/>
      <c r="I6865" s="948"/>
    </row>
    <row r="6866" spans="2:9" ht="15.75">
      <c r="C6866" s="951" t="s">
        <v>930</v>
      </c>
      <c r="D6866" s="960"/>
      <c r="E6866" s="975" t="str">
        <f>+E6843</f>
        <v>m</v>
      </c>
      <c r="F6866" s="1070"/>
      <c r="G6866" s="960"/>
      <c r="H6866" s="1033"/>
      <c r="I6866" s="952">
        <f>SUM(I6861:I6864)</f>
        <v>765</v>
      </c>
    </row>
    <row r="6867" spans="2:9" ht="15.75">
      <c r="C6867" s="951"/>
      <c r="D6867" s="960"/>
      <c r="E6867" s="943"/>
      <c r="F6867" s="1070"/>
      <c r="G6867" s="960"/>
      <c r="H6867" s="1033"/>
      <c r="I6867" s="952"/>
    </row>
    <row r="6868" spans="2:9" ht="15.75">
      <c r="C6868" s="951"/>
      <c r="D6868" s="960"/>
      <c r="E6868" s="943"/>
      <c r="F6868" s="1070"/>
      <c r="G6868" s="960"/>
      <c r="H6868" s="1033"/>
      <c r="I6868" s="952"/>
    </row>
    <row r="6869" spans="2:9" ht="15.75">
      <c r="B6869" s="1026">
        <v>8.4</v>
      </c>
      <c r="C6869" s="937" t="str">
        <f>+Presupuesto!B424</f>
        <v>Quicios en puertas</v>
      </c>
      <c r="D6869" s="938"/>
      <c r="E6869" s="962" t="s">
        <v>1088</v>
      </c>
      <c r="F6869" s="1066"/>
      <c r="G6869" s="938"/>
      <c r="H6869" s="1029"/>
      <c r="I6869" s="940">
        <f>+I6891</f>
        <v>765</v>
      </c>
    </row>
    <row r="6870" spans="2:9" ht="15.75">
      <c r="C6870" s="941" t="s">
        <v>908</v>
      </c>
      <c r="D6870" s="942" t="s">
        <v>9</v>
      </c>
      <c r="E6870" s="943" t="s">
        <v>10</v>
      </c>
      <c r="F6870" s="1067" t="s">
        <v>909</v>
      </c>
      <c r="G6870" s="942" t="s">
        <v>910</v>
      </c>
      <c r="H6870" s="1030" t="s">
        <v>911</v>
      </c>
      <c r="I6870" s="944" t="s">
        <v>912</v>
      </c>
    </row>
    <row r="6871" spans="2:9" ht="15.75">
      <c r="C6871" s="945" t="s">
        <v>913</v>
      </c>
      <c r="D6871" s="946"/>
      <c r="E6871" s="947"/>
      <c r="F6871" s="1054"/>
      <c r="G6871" s="946"/>
      <c r="H6871" s="1031"/>
      <c r="I6871" s="948"/>
    </row>
    <row r="6872" spans="2:9" ht="15.75">
      <c r="C6872" s="949" t="s">
        <v>1592</v>
      </c>
      <c r="D6872" s="946">
        <v>1.02</v>
      </c>
      <c r="E6872" s="947" t="str">
        <f>+VLOOKUP(C6872,'Basic (equilibrio) (2)'!B:D,2,FALSE)</f>
        <v>m</v>
      </c>
      <c r="F6872" s="1068">
        <f>'Basic (equilibrio) (2)'!$D$204</f>
        <v>750</v>
      </c>
      <c r="G6872" s="946">
        <f>F6872-(F6872/1.18)</f>
        <v>114.41</v>
      </c>
      <c r="H6872" s="1031"/>
      <c r="I6872" s="948">
        <f>D6872*F6872</f>
        <v>765</v>
      </c>
    </row>
    <row r="6873" spans="2:9" ht="15.75">
      <c r="C6873" s="951" t="s">
        <v>918</v>
      </c>
      <c r="D6873" s="946"/>
      <c r="E6873" s="947"/>
      <c r="F6873" s="1068"/>
      <c r="G6873" s="946"/>
      <c r="H6873" s="1031"/>
      <c r="I6873" s="952">
        <f>SUM(I6872:I6872)</f>
        <v>765</v>
      </c>
    </row>
    <row r="6874" spans="2:9" ht="15.75">
      <c r="C6874" s="949"/>
      <c r="D6874" s="946"/>
      <c r="E6874" s="947"/>
      <c r="F6874" s="1068"/>
      <c r="G6874" s="946"/>
      <c r="H6874" s="1031"/>
      <c r="I6874" s="948"/>
    </row>
    <row r="6875" spans="2:9" ht="15.75">
      <c r="C6875" s="945" t="s">
        <v>919</v>
      </c>
      <c r="D6875" s="946"/>
      <c r="E6875" s="947"/>
      <c r="F6875" s="1068"/>
      <c r="G6875" s="946"/>
      <c r="H6875" s="1031"/>
      <c r="I6875" s="948"/>
    </row>
    <row r="6876" spans="2:9" ht="15.75">
      <c r="C6876" s="949" t="s">
        <v>924</v>
      </c>
      <c r="D6876" s="953"/>
      <c r="E6876" s="954" t="str">
        <f>+VLOOKUP(C6876,'Basic (equilibrio) (2)'!B:D,2,FALSE)</f>
        <v>n/a</v>
      </c>
      <c r="F6876" s="1068">
        <f>+VLOOKUP(C6876,'Basic (equilibrio) (2)'!B:D,3,FALSE)</f>
        <v>0</v>
      </c>
      <c r="G6876" s="946">
        <v>0</v>
      </c>
      <c r="H6876" s="1031"/>
      <c r="I6876" s="948">
        <f>(D6876*F6876)</f>
        <v>0</v>
      </c>
    </row>
    <row r="6877" spans="2:9" ht="15.75">
      <c r="C6877" s="951" t="s">
        <v>918</v>
      </c>
      <c r="D6877" s="946"/>
      <c r="E6877" s="947"/>
      <c r="F6877" s="1054"/>
      <c r="G6877" s="946"/>
      <c r="H6877" s="1031"/>
      <c r="I6877" s="952">
        <f>SUM(I6876:I6876)</f>
        <v>0</v>
      </c>
    </row>
    <row r="6878" spans="2:9" ht="15.75">
      <c r="C6878" s="949"/>
      <c r="D6878" s="946"/>
      <c r="E6878" s="947"/>
      <c r="F6878" s="1054"/>
      <c r="G6878" s="946"/>
      <c r="H6878" s="1031"/>
      <c r="I6878" s="948"/>
    </row>
    <row r="6879" spans="2:9" ht="15.75">
      <c r="C6879" s="945" t="s">
        <v>923</v>
      </c>
      <c r="D6879" s="946"/>
      <c r="E6879" s="947"/>
      <c r="F6879" s="1054"/>
      <c r="G6879" s="946"/>
      <c r="H6879" s="1031"/>
      <c r="I6879" s="948"/>
    </row>
    <row r="6880" spans="2:9" ht="15.75">
      <c r="C6880" s="949" t="s">
        <v>924</v>
      </c>
      <c r="D6880" s="946"/>
      <c r="E6880" s="947" t="str">
        <f>+VLOOKUP(C6880,'Basic (equilibrio) (2)'!B:D,2,FALSE)</f>
        <v>n/a</v>
      </c>
      <c r="F6880" s="1054">
        <f>+VLOOKUP(C6880,'Basic (equilibrio) (2)'!B:D,3,FALSE)</f>
        <v>0</v>
      </c>
      <c r="G6880" s="946">
        <f>F6880-(F6880/1.18)</f>
        <v>0</v>
      </c>
      <c r="H6880" s="1039"/>
      <c r="I6880" s="955">
        <f>D6880*F6880</f>
        <v>0</v>
      </c>
    </row>
    <row r="6881" spans="2:9" ht="15.75">
      <c r="C6881" s="951" t="s">
        <v>918</v>
      </c>
      <c r="D6881" s="946"/>
      <c r="E6881" s="947"/>
      <c r="F6881" s="1054"/>
      <c r="G6881" s="946"/>
      <c r="H6881" s="1031"/>
      <c r="I6881" s="952">
        <f>SUM(I6880:I6880)</f>
        <v>0</v>
      </c>
    </row>
    <row r="6882" spans="2:9" ht="15.75">
      <c r="C6882" s="949"/>
      <c r="D6882" s="946"/>
      <c r="E6882" s="947"/>
      <c r="F6882" s="1054"/>
      <c r="G6882" s="946"/>
      <c r="H6882" s="1031"/>
      <c r="I6882" s="948"/>
    </row>
    <row r="6883" spans="2:9" ht="15.75">
      <c r="C6883" s="945" t="s">
        <v>925</v>
      </c>
      <c r="D6883" s="946"/>
      <c r="E6883" s="947"/>
      <c r="F6883" s="1054"/>
      <c r="G6883" s="946"/>
      <c r="H6883" s="1031"/>
      <c r="I6883" s="948"/>
    </row>
    <row r="6884" spans="2:9" ht="15.75">
      <c r="C6884" s="949" t="s">
        <v>924</v>
      </c>
      <c r="D6884" s="946"/>
      <c r="E6884" s="947" t="str">
        <f>+VLOOKUP(C6884,'Basic (equilibrio) (2)'!B:D,2,FALSE)</f>
        <v>n/a</v>
      </c>
      <c r="F6884" s="1054">
        <f>+VLOOKUP(C6884,'Basic (equilibrio) (2)'!B:D,3,FALSE)</f>
        <v>0</v>
      </c>
      <c r="G6884" s="946"/>
      <c r="H6884" s="1031"/>
      <c r="I6884" s="948">
        <f>D6884*F6884</f>
        <v>0</v>
      </c>
    </row>
    <row r="6885" spans="2:9" ht="15.75">
      <c r="C6885" s="951" t="s">
        <v>918</v>
      </c>
      <c r="D6885" s="946"/>
      <c r="E6885" s="947"/>
      <c r="F6885" s="1054"/>
      <c r="G6885" s="946"/>
      <c r="H6885" s="1031"/>
      <c r="I6885" s="952">
        <f>SUM(I6884)</f>
        <v>0</v>
      </c>
    </row>
    <row r="6886" spans="2:9" ht="15.75">
      <c r="C6886" s="951"/>
      <c r="D6886" s="946"/>
      <c r="E6886" s="947"/>
      <c r="F6886" s="1054"/>
      <c r="G6886" s="946"/>
      <c r="H6886" s="1031"/>
      <c r="I6886" s="952"/>
    </row>
    <row r="6887" spans="2:9" ht="15.75">
      <c r="C6887" s="956" t="s">
        <v>926</v>
      </c>
      <c r="D6887" s="957"/>
      <c r="E6887" s="958"/>
      <c r="F6887" s="1069"/>
      <c r="G6887" s="957"/>
      <c r="H6887" s="1032"/>
      <c r="I6887" s="959">
        <f>+I6873</f>
        <v>765</v>
      </c>
    </row>
    <row r="6888" spans="2:9" ht="15.75">
      <c r="C6888" s="956" t="s">
        <v>927</v>
      </c>
      <c r="D6888" s="957"/>
      <c r="E6888" s="958"/>
      <c r="F6888" s="1069"/>
      <c r="G6888" s="957"/>
      <c r="H6888" s="1032"/>
      <c r="I6888" s="959">
        <f>+I6877</f>
        <v>0</v>
      </c>
    </row>
    <row r="6889" spans="2:9" ht="15.75">
      <c r="C6889" s="956" t="s">
        <v>928</v>
      </c>
      <c r="D6889" s="957"/>
      <c r="E6889" s="958"/>
      <c r="F6889" s="1069"/>
      <c r="G6889" s="957"/>
      <c r="H6889" s="1032"/>
      <c r="I6889" s="959">
        <f>+I6881</f>
        <v>0</v>
      </c>
    </row>
    <row r="6890" spans="2:9" ht="15.75">
      <c r="C6890" s="949"/>
      <c r="D6890" s="946"/>
      <c r="E6890" s="947"/>
      <c r="F6890" s="1054"/>
      <c r="G6890" s="946"/>
      <c r="H6890" s="1031"/>
      <c r="I6890" s="948"/>
    </row>
    <row r="6891" spans="2:9" ht="15.75">
      <c r="C6891" s="951" t="s">
        <v>930</v>
      </c>
      <c r="D6891" s="960"/>
      <c r="E6891" s="975">
        <f>+E6868</f>
        <v>0</v>
      </c>
      <c r="F6891" s="1070"/>
      <c r="G6891" s="960"/>
      <c r="H6891" s="1033"/>
      <c r="I6891" s="952">
        <f>SUM(I6886:I6889)</f>
        <v>765</v>
      </c>
    </row>
    <row r="6892" spans="2:9" ht="15.75">
      <c r="C6892" s="951"/>
      <c r="D6892" s="960"/>
      <c r="E6892" s="975"/>
      <c r="F6892" s="1070"/>
      <c r="G6892" s="960"/>
      <c r="H6892" s="1033"/>
      <c r="I6892" s="952"/>
    </row>
    <row r="6893" spans="2:9" ht="15.75">
      <c r="B6893" s="1026">
        <v>8.5</v>
      </c>
      <c r="C6893" s="937" t="str">
        <f>+Presupuesto!B425</f>
        <v>Acera violinada en perimetro edificio</v>
      </c>
      <c r="D6893" s="938"/>
      <c r="E6893" s="962" t="s">
        <v>1000</v>
      </c>
      <c r="F6893" s="1066"/>
      <c r="G6893" s="938"/>
      <c r="H6893" s="1029"/>
      <c r="I6893" s="940">
        <f>+I6921</f>
        <v>1589.22</v>
      </c>
    </row>
    <row r="6894" spans="2:9" ht="15.75">
      <c r="C6894" s="941" t="s">
        <v>908</v>
      </c>
      <c r="D6894" s="942" t="s">
        <v>9</v>
      </c>
      <c r="E6894" s="943" t="s">
        <v>10</v>
      </c>
      <c r="F6894" s="1067" t="s">
        <v>909</v>
      </c>
      <c r="G6894" s="942" t="s">
        <v>910</v>
      </c>
      <c r="H6894" s="1030" t="s">
        <v>911</v>
      </c>
      <c r="I6894" s="944" t="s">
        <v>912</v>
      </c>
    </row>
    <row r="6895" spans="2:9" ht="15.75">
      <c r="C6895" s="945" t="s">
        <v>913</v>
      </c>
      <c r="D6895" s="946"/>
      <c r="E6895" s="947"/>
      <c r="F6895" s="1054"/>
      <c r="G6895" s="946"/>
      <c r="H6895" s="1031"/>
      <c r="I6895" s="948"/>
    </row>
    <row r="6896" spans="2:9" ht="15.75">
      <c r="C6896" s="949" t="s">
        <v>956</v>
      </c>
      <c r="D6896" s="946">
        <v>1</v>
      </c>
      <c r="E6896" s="947" t="str">
        <f>+VLOOKUP(C6896,'Basic (equilibrio) (2)'!B:D,2,FALSE)</f>
        <v>rollo</v>
      </c>
      <c r="F6896" s="1068">
        <f>'Basic (equilibrio) (2)'!$D$330</f>
        <v>22294</v>
      </c>
      <c r="G6896" s="946">
        <f>F6896-(F6896/1.18)</f>
        <v>3400.78</v>
      </c>
      <c r="H6896" s="1031">
        <v>96</v>
      </c>
      <c r="I6896" s="948">
        <f>D6896*F6896/H6896</f>
        <v>232.23</v>
      </c>
    </row>
    <row r="6897" spans="3:9" ht="15.75">
      <c r="C6897" s="949" t="s">
        <v>957</v>
      </c>
      <c r="D6897" s="946">
        <v>0.11</v>
      </c>
      <c r="E6897" s="947" t="str">
        <f>+VLOOKUP(C6897,'Basic (equilibrio) (2)'!B:D,2,FALSE)</f>
        <v>m3</v>
      </c>
      <c r="F6897" s="1068">
        <f>'Basic (equilibrio) (2)'!$D$178</f>
        <v>7900</v>
      </c>
      <c r="G6897" s="946">
        <f>F6897-(F6897/1.18)</f>
        <v>1205.08</v>
      </c>
      <c r="H6897" s="1031"/>
      <c r="I6897" s="948">
        <f>D6897*F6897</f>
        <v>869</v>
      </c>
    </row>
    <row r="6898" spans="3:9" ht="15.75">
      <c r="C6898" s="949" t="s">
        <v>958</v>
      </c>
      <c r="D6898" s="946">
        <v>0.02</v>
      </c>
      <c r="E6898" s="947" t="str">
        <f>+VLOOKUP(C6898,'Basic (equilibrio) (2)'!B:D,2,FALSE)</f>
        <v>m3</v>
      </c>
      <c r="F6898" s="1068">
        <f>'Basic (equilibrio) (2)'!$D$309</f>
        <v>6820</v>
      </c>
      <c r="G6898" s="946">
        <f>F6898-(F6898/1.18)</f>
        <v>1040.3399999999999</v>
      </c>
      <c r="H6898" s="1031"/>
      <c r="I6898" s="948">
        <f>D6898*F6898</f>
        <v>136.4</v>
      </c>
    </row>
    <row r="6899" spans="3:9" ht="15.75">
      <c r="C6899" s="949" t="s">
        <v>916</v>
      </c>
      <c r="D6899" s="946">
        <v>0.18</v>
      </c>
      <c r="E6899" s="947" t="str">
        <f>+VLOOKUP(C6899,'Basic (equilibrio) (2)'!B:D,2,FALSE)</f>
        <v>pt</v>
      </c>
      <c r="F6899" s="1068">
        <f>'Basic (equilibrio) (2)'!$D$194</f>
        <v>107.7</v>
      </c>
      <c r="G6899" s="946">
        <f>F6899-(F6899/1.18)</f>
        <v>16.43</v>
      </c>
      <c r="H6899" s="1031"/>
      <c r="I6899" s="948">
        <f>D6899*F6899</f>
        <v>19.39</v>
      </c>
    </row>
    <row r="6900" spans="3:9" ht="15.75">
      <c r="C6900" s="951" t="s">
        <v>918</v>
      </c>
      <c r="D6900" s="946"/>
      <c r="E6900" s="947"/>
      <c r="F6900" s="1068"/>
      <c r="G6900" s="946"/>
      <c r="H6900" s="1031"/>
      <c r="I6900" s="952">
        <f>SUM(I6896:I6899)</f>
        <v>1257.02</v>
      </c>
    </row>
    <row r="6901" spans="3:9" ht="15.75">
      <c r="C6901" s="949"/>
      <c r="D6901" s="946"/>
      <c r="E6901" s="947"/>
      <c r="F6901" s="1068"/>
      <c r="G6901" s="946"/>
      <c r="H6901" s="1031"/>
      <c r="I6901" s="948"/>
    </row>
    <row r="6902" spans="3:9" ht="15.75">
      <c r="C6902" s="945" t="s">
        <v>919</v>
      </c>
      <c r="D6902" s="946"/>
      <c r="E6902" s="947"/>
      <c r="F6902" s="1068"/>
      <c r="G6902" s="946"/>
      <c r="H6902" s="1031"/>
      <c r="I6902" s="948"/>
    </row>
    <row r="6903" spans="3:9" ht="15.75">
      <c r="C6903" s="949" t="s">
        <v>959</v>
      </c>
      <c r="D6903" s="953">
        <v>1</v>
      </c>
      <c r="E6903" s="954" t="str">
        <f>+VLOOKUP(C6903,'Basic (equilibrio) (2)'!B:D,2,FALSE)</f>
        <v>m2</v>
      </c>
      <c r="F6903" s="1068">
        <f>'Basic (equilibrio) (2)'!$D$17</f>
        <v>50</v>
      </c>
      <c r="G6903" s="946">
        <v>0</v>
      </c>
      <c r="H6903" s="1031"/>
      <c r="I6903" s="948">
        <f>(D6903*F6903)</f>
        <v>50</v>
      </c>
    </row>
    <row r="6904" spans="3:9" ht="31.5">
      <c r="C6904" s="949" t="s">
        <v>960</v>
      </c>
      <c r="D6904" s="946">
        <v>1</v>
      </c>
      <c r="E6904" s="947" t="str">
        <f>+VLOOKUP(C6904,'Basic (equilibrio) (2)'!B:D,2,FALSE)</f>
        <v>m2</v>
      </c>
      <c r="F6904" s="1068">
        <f>'Basic (equilibrio) (2)'!$D$24</f>
        <v>196</v>
      </c>
      <c r="G6904" s="946">
        <f>F6904-(F6904/1.18)</f>
        <v>29.9</v>
      </c>
      <c r="H6904" s="1031"/>
      <c r="I6904" s="948">
        <f>D6904*F6904</f>
        <v>196</v>
      </c>
    </row>
    <row r="6905" spans="3:9" ht="15.75">
      <c r="C6905" s="949" t="s">
        <v>961</v>
      </c>
      <c r="D6905" s="946">
        <v>1</v>
      </c>
      <c r="E6905" s="947" t="str">
        <f>+VLOOKUP(C6905,'Basic (equilibrio) (2)'!B:D,2,FALSE)</f>
        <v>m2</v>
      </c>
      <c r="F6905" s="1068">
        <f>+'Basic (equilibrio) (2)'!$D$47</f>
        <v>86.2</v>
      </c>
      <c r="G6905" s="946">
        <f>F6905-(F6905/1.18)</f>
        <v>13.15</v>
      </c>
      <c r="H6905" s="1031"/>
      <c r="I6905" s="948">
        <f>D6905*F6905</f>
        <v>86.2</v>
      </c>
    </row>
    <row r="6906" spans="3:9" ht="15.75">
      <c r="C6906" s="951" t="s">
        <v>918</v>
      </c>
      <c r="D6906" s="946"/>
      <c r="E6906" s="947"/>
      <c r="F6906" s="1054"/>
      <c r="G6906" s="946"/>
      <c r="H6906" s="1031"/>
      <c r="I6906" s="952">
        <f>SUM(I6903:I6905)</f>
        <v>332.2</v>
      </c>
    </row>
    <row r="6907" spans="3:9" ht="15.75">
      <c r="C6907" s="949"/>
      <c r="D6907" s="946"/>
      <c r="E6907" s="947"/>
      <c r="F6907" s="1054"/>
      <c r="G6907" s="946"/>
      <c r="H6907" s="1031"/>
      <c r="I6907" s="948"/>
    </row>
    <row r="6908" spans="3:9" ht="15.75">
      <c r="C6908" s="945" t="s">
        <v>923</v>
      </c>
      <c r="D6908" s="946"/>
      <c r="E6908" s="947"/>
      <c r="F6908" s="1054"/>
      <c r="G6908" s="946"/>
      <c r="H6908" s="1031"/>
      <c r="I6908" s="948"/>
    </row>
    <row r="6909" spans="3:9" ht="15.75">
      <c r="C6909" s="949" t="s">
        <v>924</v>
      </c>
      <c r="D6909" s="946"/>
      <c r="E6909" s="947" t="str">
        <f>+VLOOKUP(C6909,'Basic (equilibrio) (2)'!B:D,2,FALSE)</f>
        <v>n/a</v>
      </c>
      <c r="F6909" s="1054">
        <f>+VLOOKUP(C6909,'Basic (equilibrio) (2)'!B:D,3,FALSE)</f>
        <v>0</v>
      </c>
      <c r="G6909" s="946">
        <f>F6909-(F6909/1.18)</f>
        <v>0</v>
      </c>
      <c r="H6909" s="1039"/>
      <c r="I6909" s="955">
        <f>D6909*F6909</f>
        <v>0</v>
      </c>
    </row>
    <row r="6910" spans="3:9" ht="15.75">
      <c r="C6910" s="951" t="s">
        <v>918</v>
      </c>
      <c r="D6910" s="946"/>
      <c r="E6910" s="947"/>
      <c r="F6910" s="1054"/>
      <c r="G6910" s="946"/>
      <c r="H6910" s="1031"/>
      <c r="I6910" s="952">
        <f>SUM(I6909:I6909)</f>
        <v>0</v>
      </c>
    </row>
    <row r="6911" spans="3:9" ht="15.75">
      <c r="C6911" s="949"/>
      <c r="D6911" s="946"/>
      <c r="E6911" s="947"/>
      <c r="F6911" s="1054"/>
      <c r="G6911" s="946"/>
      <c r="H6911" s="1031"/>
      <c r="I6911" s="948"/>
    </row>
    <row r="6912" spans="3:9" ht="15.75">
      <c r="C6912" s="945" t="s">
        <v>925</v>
      </c>
      <c r="D6912" s="946"/>
      <c r="E6912" s="947"/>
      <c r="F6912" s="1054"/>
      <c r="G6912" s="946"/>
      <c r="H6912" s="1031"/>
      <c r="I6912" s="948"/>
    </row>
    <row r="6913" spans="2:9" ht="15.75">
      <c r="C6913" s="949" t="s">
        <v>925</v>
      </c>
      <c r="D6913" s="946">
        <f>+I6906</f>
        <v>332.2</v>
      </c>
      <c r="E6913" s="947" t="str">
        <f>+VLOOKUP(C6913,'Basic (equilibrio) (2)'!B:D,2,FALSE)</f>
        <v>Pa</v>
      </c>
      <c r="F6913" s="1054">
        <f>+VLOOKUP(C6913,'Basic (equilibrio) (2)'!B:D,3,FALSE)</f>
        <v>0</v>
      </c>
      <c r="G6913" s="946"/>
      <c r="H6913" s="1031"/>
      <c r="I6913" s="948">
        <f>D6913*F6913</f>
        <v>0</v>
      </c>
    </row>
    <row r="6914" spans="2:9" ht="15.75">
      <c r="C6914" s="951" t="s">
        <v>918</v>
      </c>
      <c r="D6914" s="946"/>
      <c r="E6914" s="947"/>
      <c r="F6914" s="1054"/>
      <c r="G6914" s="946"/>
      <c r="H6914" s="1031"/>
      <c r="I6914" s="952">
        <f>SUM(I6913)</f>
        <v>0</v>
      </c>
    </row>
    <row r="6915" spans="2:9" ht="15.75">
      <c r="C6915" s="951"/>
      <c r="D6915" s="946"/>
      <c r="E6915" s="947"/>
      <c r="F6915" s="1054"/>
      <c r="G6915" s="946"/>
      <c r="H6915" s="1031"/>
      <c r="I6915" s="952"/>
    </row>
    <row r="6916" spans="2:9" ht="15.75">
      <c r="C6916" s="956" t="s">
        <v>926</v>
      </c>
      <c r="D6916" s="957"/>
      <c r="E6916" s="958"/>
      <c r="F6916" s="1069"/>
      <c r="G6916" s="957"/>
      <c r="H6916" s="1032"/>
      <c r="I6916" s="959">
        <f>+I6900</f>
        <v>1257.02</v>
      </c>
    </row>
    <row r="6917" spans="2:9" ht="15.75">
      <c r="C6917" s="956" t="s">
        <v>927</v>
      </c>
      <c r="D6917" s="957"/>
      <c r="E6917" s="958"/>
      <c r="F6917" s="1069"/>
      <c r="G6917" s="957"/>
      <c r="H6917" s="1032"/>
      <c r="I6917" s="959">
        <f>+I6906</f>
        <v>332.2</v>
      </c>
    </row>
    <row r="6918" spans="2:9" ht="15.75">
      <c r="C6918" s="956" t="s">
        <v>928</v>
      </c>
      <c r="D6918" s="957"/>
      <c r="E6918" s="958"/>
      <c r="F6918" s="1069"/>
      <c r="G6918" s="957"/>
      <c r="H6918" s="1032"/>
      <c r="I6918" s="959">
        <f>+I6910</f>
        <v>0</v>
      </c>
    </row>
    <row r="6919" spans="2:9" ht="15.75">
      <c r="C6919" s="956" t="s">
        <v>929</v>
      </c>
      <c r="D6919" s="957"/>
      <c r="E6919" s="958"/>
      <c r="F6919" s="1069"/>
      <c r="G6919" s="957"/>
      <c r="H6919" s="1032"/>
      <c r="I6919" s="959">
        <f>+I6914</f>
        <v>0</v>
      </c>
    </row>
    <row r="6920" spans="2:9" ht="15.75">
      <c r="C6920" s="949"/>
      <c r="D6920" s="946"/>
      <c r="E6920" s="947"/>
      <c r="F6920" s="1054"/>
      <c r="G6920" s="946"/>
      <c r="H6920" s="1031"/>
      <c r="I6920" s="948"/>
    </row>
    <row r="6921" spans="2:9" ht="15.75">
      <c r="C6921" s="951" t="s">
        <v>930</v>
      </c>
      <c r="D6921" s="960"/>
      <c r="E6921" s="975" t="str">
        <f>+E6893</f>
        <v>m2</v>
      </c>
      <c r="F6921" s="1070"/>
      <c r="G6921" s="960"/>
      <c r="H6921" s="1033"/>
      <c r="I6921" s="952">
        <f>SUM(I6916:I6919)</f>
        <v>1589.22</v>
      </c>
    </row>
    <row r="6922" spans="2:9" ht="15.75">
      <c r="C6922" s="951"/>
      <c r="D6922" s="960"/>
      <c r="E6922" s="943"/>
      <c r="F6922" s="1070"/>
      <c r="G6922" s="960"/>
      <c r="H6922" s="1033"/>
      <c r="I6922" s="952"/>
    </row>
    <row r="6923" spans="2:9" ht="15.75">
      <c r="B6923" s="1026">
        <v>8.6</v>
      </c>
      <c r="C6923" s="937" t="str">
        <f>+Presupuesto!B426</f>
        <v>Torta de H.A. e=0.10m con acero de Ø1/4"</v>
      </c>
      <c r="D6923" s="938"/>
      <c r="E6923" s="962" t="s">
        <v>1000</v>
      </c>
      <c r="F6923" s="1066"/>
      <c r="G6923" s="938"/>
      <c r="H6923" s="1029"/>
      <c r="I6923" s="940">
        <f>+I6950</f>
        <v>2326.77</v>
      </c>
    </row>
    <row r="6924" spans="2:9" ht="15.75">
      <c r="C6924" s="941" t="s">
        <v>908</v>
      </c>
      <c r="D6924" s="942" t="s">
        <v>9</v>
      </c>
      <c r="E6924" s="943" t="s">
        <v>10</v>
      </c>
      <c r="F6924" s="1067" t="s">
        <v>909</v>
      </c>
      <c r="G6924" s="942" t="s">
        <v>910</v>
      </c>
      <c r="H6924" s="1030" t="s">
        <v>911</v>
      </c>
      <c r="I6924" s="944" t="s">
        <v>912</v>
      </c>
    </row>
    <row r="6925" spans="2:9" ht="15.75">
      <c r="C6925" s="945" t="s">
        <v>913</v>
      </c>
      <c r="D6925" s="946"/>
      <c r="E6925" s="947"/>
      <c r="F6925" s="1054"/>
      <c r="G6925" s="946"/>
      <c r="H6925" s="1031"/>
      <c r="I6925" s="948"/>
    </row>
    <row r="6926" spans="2:9" ht="15.75">
      <c r="C6926" s="949" t="s">
        <v>994</v>
      </c>
      <c r="D6926" s="946">
        <v>1.02</v>
      </c>
      <c r="E6926" s="947" t="str">
        <f>+VLOOKUP(C6926,'Basic (equilibrio) (2)'!B:D,2,FALSE)</f>
        <v>m3</v>
      </c>
      <c r="F6926" s="1068">
        <f>'Basic (equilibrio) (2)'!$D$179</f>
        <v>7600</v>
      </c>
      <c r="G6926" s="946">
        <f>F6926-(F6926/1.18)</f>
        <v>1159.32</v>
      </c>
      <c r="H6926" s="1031"/>
      <c r="I6926" s="948">
        <f>D6926*F6926</f>
        <v>7752</v>
      </c>
    </row>
    <row r="6927" spans="2:9" ht="15.75">
      <c r="C6927" s="949" t="s">
        <v>1188</v>
      </c>
      <c r="D6927" s="946">
        <v>1.91</v>
      </c>
      <c r="E6927" s="947" t="str">
        <f>+VLOOKUP(C6927,'Basic (equilibrio) (2)'!B:D,2,FALSE)</f>
        <v>qq</v>
      </c>
      <c r="F6927" s="1068">
        <f>'Basic (equilibrio) (2)'!$D$183</f>
        <v>3600</v>
      </c>
      <c r="G6927" s="946">
        <f>F6927-(F6927/1.18)</f>
        <v>549.15</v>
      </c>
      <c r="H6927" s="1031"/>
      <c r="I6927" s="948">
        <f>D6927*F6927</f>
        <v>6876</v>
      </c>
    </row>
    <row r="6928" spans="2:9" ht="15.75">
      <c r="C6928" s="949" t="s">
        <v>1328</v>
      </c>
      <c r="D6928" s="946">
        <v>3.82</v>
      </c>
      <c r="E6928" s="947" t="str">
        <f>+VLOOKUP(C6928,'Basic (equilibrio) (2)'!B:D,2,FALSE)</f>
        <v>lb</v>
      </c>
      <c r="F6928" s="1068">
        <f>'Basic (equilibrio) (2)'!$D$334</f>
        <v>31.1</v>
      </c>
      <c r="G6928" s="946">
        <f>F6928-(F6928/1.18)</f>
        <v>4.74</v>
      </c>
      <c r="H6928" s="1031"/>
      <c r="I6928" s="948">
        <f>D6928*F6928</f>
        <v>118.8</v>
      </c>
    </row>
    <row r="6929" spans="3:9" ht="15.75">
      <c r="C6929" s="949" t="s">
        <v>1160</v>
      </c>
      <c r="D6929" s="946">
        <v>1</v>
      </c>
      <c r="E6929" s="947" t="str">
        <f>+VLOOKUP(C6929,'Basic (equilibrio) (2)'!B:D,2,FALSE)</f>
        <v>m3</v>
      </c>
      <c r="F6929" s="1068">
        <f>'Basic (equilibrio) (2)'!$D$51</f>
        <v>3833</v>
      </c>
      <c r="G6929" s="946">
        <f>F6929-(F6929/1.18)</f>
        <v>584.69000000000005</v>
      </c>
      <c r="H6929" s="1031"/>
      <c r="I6929" s="948">
        <f>D6929*F6929</f>
        <v>3833</v>
      </c>
    </row>
    <row r="6930" spans="3:9" ht="15.75">
      <c r="C6930" s="951" t="s">
        <v>918</v>
      </c>
      <c r="D6930" s="946"/>
      <c r="E6930" s="947"/>
      <c r="F6930" s="1068"/>
      <c r="G6930" s="946"/>
      <c r="H6930" s="1031"/>
      <c r="I6930" s="952">
        <f>SUM(I6926:I6929)</f>
        <v>18579.8</v>
      </c>
    </row>
    <row r="6931" spans="3:9" ht="15.75">
      <c r="C6931" s="949"/>
      <c r="D6931" s="946"/>
      <c r="E6931" s="947"/>
      <c r="F6931" s="1068"/>
      <c r="G6931" s="946"/>
      <c r="H6931" s="1031"/>
      <c r="I6931" s="948"/>
    </row>
    <row r="6932" spans="3:9" ht="15.75">
      <c r="C6932" s="945" t="s">
        <v>919</v>
      </c>
      <c r="D6932" s="946"/>
      <c r="E6932" s="947"/>
      <c r="F6932" s="1068"/>
      <c r="G6932" s="946"/>
      <c r="H6932" s="1031"/>
      <c r="I6932" s="948"/>
    </row>
    <row r="6933" spans="3:9" ht="15.75">
      <c r="C6933" s="949" t="s">
        <v>1121</v>
      </c>
      <c r="D6933" s="953">
        <v>1.91</v>
      </c>
      <c r="E6933" s="954" t="str">
        <f>+VLOOKUP(C6933,'Basic (equilibrio) (2)'!B:D,2,FALSE)</f>
        <v>qq</v>
      </c>
      <c r="F6933" s="1068">
        <f>'Basic (equilibrio) (2)'!$D$45</f>
        <v>420</v>
      </c>
      <c r="G6933" s="946">
        <v>0</v>
      </c>
      <c r="H6933" s="1031"/>
      <c r="I6933" s="948">
        <f>(D6933*F6933)</f>
        <v>802.2</v>
      </c>
    </row>
    <row r="6934" spans="3:9" ht="15.75">
      <c r="C6934" s="951" t="s">
        <v>918</v>
      </c>
      <c r="D6934" s="946"/>
      <c r="E6934" s="947"/>
      <c r="F6934" s="1054"/>
      <c r="G6934" s="946"/>
      <c r="H6934" s="1031"/>
      <c r="I6934" s="952">
        <f>SUM(I6933:I6933)</f>
        <v>802.2</v>
      </c>
    </row>
    <row r="6935" spans="3:9" ht="15.75">
      <c r="C6935" s="949"/>
      <c r="D6935" s="946"/>
      <c r="E6935" s="947"/>
      <c r="F6935" s="1054"/>
      <c r="G6935" s="946"/>
      <c r="H6935" s="1031"/>
      <c r="I6935" s="948"/>
    </row>
    <row r="6936" spans="3:9" ht="15.75">
      <c r="C6936" s="945" t="s">
        <v>923</v>
      </c>
      <c r="D6936" s="946"/>
      <c r="E6936" s="947"/>
      <c r="F6936" s="1054"/>
      <c r="G6936" s="946"/>
      <c r="H6936" s="1031"/>
      <c r="I6936" s="948"/>
    </row>
    <row r="6937" spans="3:9" ht="15.75">
      <c r="C6937" s="949" t="s">
        <v>924</v>
      </c>
      <c r="D6937" s="946"/>
      <c r="E6937" s="947" t="str">
        <f>+VLOOKUP(C6937,'Basic (equilibrio) (2)'!B:D,2,FALSE)</f>
        <v>n/a</v>
      </c>
      <c r="F6937" s="1054">
        <f>+VLOOKUP(C6937,'Basic (equilibrio) (2)'!B:D,3,FALSE)</f>
        <v>0</v>
      </c>
      <c r="G6937" s="946">
        <f>F6937-(F6937/1.18)</f>
        <v>0</v>
      </c>
      <c r="H6937" s="1039"/>
      <c r="I6937" s="955">
        <f>D6937*F6937</f>
        <v>0</v>
      </c>
    </row>
    <row r="6938" spans="3:9" ht="15.75">
      <c r="C6938" s="951" t="s">
        <v>918</v>
      </c>
      <c r="D6938" s="946"/>
      <c r="E6938" s="947"/>
      <c r="F6938" s="1054"/>
      <c r="G6938" s="946"/>
      <c r="H6938" s="1031"/>
      <c r="I6938" s="952">
        <f>SUM(I6937:I6937)</f>
        <v>0</v>
      </c>
    </row>
    <row r="6939" spans="3:9" ht="15.75">
      <c r="C6939" s="949"/>
      <c r="D6939" s="946"/>
      <c r="E6939" s="947"/>
      <c r="F6939" s="1054"/>
      <c r="G6939" s="946"/>
      <c r="H6939" s="1031"/>
      <c r="I6939" s="948"/>
    </row>
    <row r="6940" spans="3:9" ht="15.75">
      <c r="C6940" s="945" t="s">
        <v>925</v>
      </c>
      <c r="D6940" s="946"/>
      <c r="E6940" s="947"/>
      <c r="F6940" s="1054"/>
      <c r="G6940" s="946"/>
      <c r="H6940" s="1031"/>
      <c r="I6940" s="948"/>
    </row>
    <row r="6941" spans="3:9" ht="15.75">
      <c r="C6941" s="949" t="s">
        <v>925</v>
      </c>
      <c r="D6941" s="946">
        <f>+I6934</f>
        <v>802.2</v>
      </c>
      <c r="E6941" s="947" t="str">
        <f>+VLOOKUP(C6941,'Basic (equilibrio) (2)'!B:D,2,FALSE)</f>
        <v>Pa</v>
      </c>
      <c r="F6941" s="1054">
        <f>+VLOOKUP(C6941,'Basic (equilibrio) (2)'!B:D,3,FALSE)</f>
        <v>0</v>
      </c>
      <c r="G6941" s="946"/>
      <c r="H6941" s="1031"/>
      <c r="I6941" s="948">
        <f>D6941*F6941</f>
        <v>0</v>
      </c>
    </row>
    <row r="6942" spans="3:9" ht="15.75">
      <c r="C6942" s="951" t="s">
        <v>918</v>
      </c>
      <c r="D6942" s="946"/>
      <c r="E6942" s="947"/>
      <c r="F6942" s="1054"/>
      <c r="G6942" s="946"/>
      <c r="H6942" s="1031"/>
      <c r="I6942" s="952">
        <f>SUM(I6941)</f>
        <v>0</v>
      </c>
    </row>
    <row r="6943" spans="3:9" ht="15.75">
      <c r="C6943" s="951"/>
      <c r="D6943" s="946"/>
      <c r="E6943" s="947"/>
      <c r="F6943" s="1054"/>
      <c r="G6943" s="946"/>
      <c r="H6943" s="1031"/>
      <c r="I6943" s="952"/>
    </row>
    <row r="6944" spans="3:9" ht="15.75">
      <c r="C6944" s="956" t="s">
        <v>926</v>
      </c>
      <c r="D6944" s="957"/>
      <c r="E6944" s="958"/>
      <c r="F6944" s="1069"/>
      <c r="G6944" s="957"/>
      <c r="H6944" s="1032"/>
      <c r="I6944" s="959">
        <f>+I6930</f>
        <v>18579.8</v>
      </c>
    </row>
    <row r="6945" spans="2:9" ht="15.75">
      <c r="C6945" s="956" t="s">
        <v>927</v>
      </c>
      <c r="D6945" s="957"/>
      <c r="E6945" s="958"/>
      <c r="F6945" s="1069"/>
      <c r="G6945" s="957"/>
      <c r="H6945" s="1032"/>
      <c r="I6945" s="959">
        <f>+I6934</f>
        <v>802.2</v>
      </c>
    </row>
    <row r="6946" spans="2:9" ht="15.75">
      <c r="C6946" s="956" t="s">
        <v>928</v>
      </c>
      <c r="D6946" s="957"/>
      <c r="E6946" s="958"/>
      <c r="F6946" s="1069"/>
      <c r="G6946" s="957"/>
      <c r="H6946" s="1032"/>
      <c r="I6946" s="959">
        <f>+I6938</f>
        <v>0</v>
      </c>
    </row>
    <row r="6947" spans="2:9" ht="15.75">
      <c r="C6947" s="956" t="s">
        <v>929</v>
      </c>
      <c r="D6947" s="957"/>
      <c r="E6947" s="958"/>
      <c r="F6947" s="1069"/>
      <c r="G6947" s="957"/>
      <c r="H6947" s="1032"/>
      <c r="I6947" s="959">
        <f>+I6942</f>
        <v>0</v>
      </c>
    </row>
    <row r="6948" spans="2:9" ht="15.75">
      <c r="C6948" s="949"/>
      <c r="D6948" s="946"/>
      <c r="E6948" s="947"/>
      <c r="F6948" s="1054"/>
      <c r="G6948" s="946"/>
      <c r="H6948" s="1031"/>
      <c r="I6948" s="948"/>
    </row>
    <row r="6949" spans="2:9" ht="15.75">
      <c r="C6949" s="951" t="s">
        <v>930</v>
      </c>
      <c r="D6949" s="960">
        <f>1/0.12</f>
        <v>8.33</v>
      </c>
      <c r="E6949" s="975" t="str">
        <f>+E6923</f>
        <v>m2</v>
      </c>
      <c r="F6949" s="1070"/>
      <c r="G6949" s="960"/>
      <c r="H6949" s="1033"/>
      <c r="I6949" s="952">
        <f>SUM(I6944:I6947)</f>
        <v>19382</v>
      </c>
    </row>
    <row r="6950" spans="2:9" ht="15.75">
      <c r="C6950" s="951"/>
      <c r="D6950" s="960"/>
      <c r="E6950" s="943" t="s">
        <v>1000</v>
      </c>
      <c r="F6950" s="1070"/>
      <c r="G6950" s="960"/>
      <c r="H6950" s="1033"/>
      <c r="I6950" s="952">
        <f>+I6949/D6949</f>
        <v>2326.77</v>
      </c>
    </row>
    <row r="6951" spans="2:9" ht="15.75">
      <c r="C6951" s="951"/>
      <c r="D6951" s="960"/>
      <c r="E6951" s="943"/>
      <c r="F6951" s="1070"/>
      <c r="G6951" s="960"/>
      <c r="H6951" s="1033"/>
      <c r="I6951" s="952"/>
    </row>
    <row r="6952" spans="2:9" ht="15.75">
      <c r="B6952" s="1026">
        <v>8.6999999999999993</v>
      </c>
      <c r="C6952" s="937" t="str">
        <f>+Presupuesto!B427</f>
        <v>Piso de H.A. e=0.10m  en parqueo con acero de Ø1/4"</v>
      </c>
      <c r="D6952" s="938"/>
      <c r="E6952" s="962" t="s">
        <v>1000</v>
      </c>
      <c r="F6952" s="1066"/>
      <c r="G6952" s="938"/>
      <c r="H6952" s="1029"/>
      <c r="I6952" s="940">
        <f>+I6980</f>
        <v>1448.13</v>
      </c>
    </row>
    <row r="6953" spans="2:9" ht="15.75">
      <c r="C6953" s="941" t="s">
        <v>908</v>
      </c>
      <c r="D6953" s="942" t="s">
        <v>9</v>
      </c>
      <c r="E6953" s="943" t="s">
        <v>10</v>
      </c>
      <c r="F6953" s="1067" t="s">
        <v>909</v>
      </c>
      <c r="G6953" s="942" t="s">
        <v>910</v>
      </c>
      <c r="H6953" s="1030" t="s">
        <v>911</v>
      </c>
      <c r="I6953" s="944" t="s">
        <v>912</v>
      </c>
    </row>
    <row r="6954" spans="2:9" ht="15.75">
      <c r="C6954" s="945" t="s">
        <v>913</v>
      </c>
      <c r="D6954" s="946"/>
      <c r="E6954" s="947"/>
      <c r="F6954" s="1054"/>
      <c r="G6954" s="946"/>
      <c r="H6954" s="1031"/>
      <c r="I6954" s="948"/>
    </row>
    <row r="6955" spans="2:9" ht="15.75">
      <c r="C6955" s="949" t="s">
        <v>994</v>
      </c>
      <c r="D6955" s="946">
        <v>1.02</v>
      </c>
      <c r="E6955" s="947" t="str">
        <f>+VLOOKUP(C6955,'Basic (equilibrio) (2)'!B:D,2,FALSE)</f>
        <v>m3</v>
      </c>
      <c r="F6955" s="1068">
        <f>'Basic (equilibrio) (2)'!$D$179</f>
        <v>7600</v>
      </c>
      <c r="G6955" s="946">
        <f>F6955-(F6955/1.18)</f>
        <v>1159.32</v>
      </c>
      <c r="H6955" s="1031"/>
      <c r="I6955" s="948">
        <f>D6955*F6955</f>
        <v>7752</v>
      </c>
    </row>
    <row r="6956" spans="2:9" ht="15.75">
      <c r="C6956" s="949" t="s">
        <v>956</v>
      </c>
      <c r="D6956" s="946">
        <v>0.01</v>
      </c>
      <c r="E6956" s="947" t="str">
        <f>+VLOOKUP(C6956,'Basic (equilibrio) (2)'!B:D,2,FALSE)</f>
        <v>rollo</v>
      </c>
      <c r="F6956" s="1068">
        <f>'Basic (equilibrio) (2)'!$D$330</f>
        <v>22294</v>
      </c>
      <c r="G6956" s="946">
        <f>F6956-(F6956/1.18)</f>
        <v>3400.78</v>
      </c>
      <c r="H6956" s="1031"/>
      <c r="I6956" s="948">
        <f>D6956*F6956</f>
        <v>222.94</v>
      </c>
    </row>
    <row r="6957" spans="2:9" ht="15.75">
      <c r="C6957" s="949" t="s">
        <v>1328</v>
      </c>
      <c r="D6957" s="946">
        <v>3.82</v>
      </c>
      <c r="E6957" s="947" t="str">
        <f>+VLOOKUP(C6957,'Basic (equilibrio) (2)'!B:D,2,FALSE)</f>
        <v>lb</v>
      </c>
      <c r="F6957" s="1068">
        <f>'Basic (equilibrio) (2)'!$D$334</f>
        <v>31.1</v>
      </c>
      <c r="G6957" s="946">
        <f>F6957-(F6957/1.18)</f>
        <v>4.74</v>
      </c>
      <c r="H6957" s="1031"/>
      <c r="I6957" s="948">
        <f>D6957*F6957</f>
        <v>118.8</v>
      </c>
    </row>
    <row r="6958" spans="2:9" ht="15.75">
      <c r="C6958" s="949" t="s">
        <v>1160</v>
      </c>
      <c r="D6958" s="946">
        <v>1</v>
      </c>
      <c r="E6958" s="947" t="str">
        <f>+VLOOKUP(C6958,'Basic (equilibrio) (2)'!B:D,2,FALSE)</f>
        <v>m3</v>
      </c>
      <c r="F6958" s="1068">
        <f>'Basic (equilibrio) (2)'!$D$51</f>
        <v>3833</v>
      </c>
      <c r="G6958" s="946">
        <f>F6958-(F6958/1.18)</f>
        <v>584.69000000000005</v>
      </c>
      <c r="H6958" s="1031"/>
      <c r="I6958" s="948">
        <f>D6958*F6958</f>
        <v>3833</v>
      </c>
    </row>
    <row r="6959" spans="2:9" ht="15.75">
      <c r="C6959" s="951" t="s">
        <v>918</v>
      </c>
      <c r="D6959" s="946"/>
      <c r="E6959" s="947"/>
      <c r="F6959" s="1068"/>
      <c r="G6959" s="946"/>
      <c r="H6959" s="1031"/>
      <c r="I6959" s="952">
        <f>SUM(I6955:I6958)</f>
        <v>11926.74</v>
      </c>
    </row>
    <row r="6960" spans="2:9" ht="15.75">
      <c r="C6960" s="949"/>
      <c r="D6960" s="946"/>
      <c r="E6960" s="947"/>
      <c r="F6960" s="1068"/>
      <c r="G6960" s="946"/>
      <c r="H6960" s="1031"/>
      <c r="I6960" s="948"/>
    </row>
    <row r="6961" spans="3:9" ht="15.75">
      <c r="C6961" s="945" t="s">
        <v>919</v>
      </c>
      <c r="D6961" s="946"/>
      <c r="E6961" s="947"/>
      <c r="F6961" s="1068"/>
      <c r="G6961" s="946"/>
      <c r="H6961" s="1031"/>
      <c r="I6961" s="948"/>
    </row>
    <row r="6962" spans="3:9" ht="15.75">
      <c r="C6962" s="949" t="s">
        <v>959</v>
      </c>
      <c r="D6962" s="953">
        <v>1</v>
      </c>
      <c r="E6962" s="954" t="str">
        <f>+VLOOKUP(C6962,'Basic (equilibrio) (2)'!B:D,2,FALSE)</f>
        <v>m2</v>
      </c>
      <c r="F6962" s="1068">
        <f>'Basic (equilibrio) (2)'!$D$23</f>
        <v>50</v>
      </c>
      <c r="G6962" s="946">
        <v>0</v>
      </c>
      <c r="H6962" s="1031"/>
      <c r="I6962" s="948">
        <f>(D6962*F6962)</f>
        <v>50</v>
      </c>
    </row>
    <row r="6963" spans="3:9" ht="15.75">
      <c r="C6963" s="949" t="s">
        <v>961</v>
      </c>
      <c r="D6963" s="953">
        <v>1</v>
      </c>
      <c r="E6963" s="954" t="str">
        <f>+VLOOKUP(C6963,'Basic (equilibrio) (2)'!B:D,2,FALSE)</f>
        <v>m2</v>
      </c>
      <c r="F6963" s="1068">
        <f>'Basic (equilibrio) (2)'!$D$47</f>
        <v>86.2</v>
      </c>
      <c r="G6963" s="946">
        <v>0</v>
      </c>
      <c r="H6963" s="1031"/>
      <c r="I6963" s="948">
        <f>(D6963*F6963)</f>
        <v>86.2</v>
      </c>
    </row>
    <row r="6964" spans="3:9" ht="15.75">
      <c r="C6964" s="951" t="s">
        <v>918</v>
      </c>
      <c r="D6964" s="946"/>
      <c r="E6964" s="947"/>
      <c r="F6964" s="1054"/>
      <c r="G6964" s="946"/>
      <c r="H6964" s="1031"/>
      <c r="I6964" s="952">
        <f>SUM(I6962:I6963)</f>
        <v>136.19999999999999</v>
      </c>
    </row>
    <row r="6965" spans="3:9" ht="15.75">
      <c r="C6965" s="949"/>
      <c r="D6965" s="946"/>
      <c r="E6965" s="947"/>
      <c r="F6965" s="1054"/>
      <c r="G6965" s="946"/>
      <c r="H6965" s="1031"/>
      <c r="I6965" s="948"/>
    </row>
    <row r="6966" spans="3:9" ht="15.75">
      <c r="C6966" s="945" t="s">
        <v>923</v>
      </c>
      <c r="D6966" s="946"/>
      <c r="E6966" s="947"/>
      <c r="F6966" s="1054"/>
      <c r="G6966" s="946"/>
      <c r="H6966" s="1031"/>
      <c r="I6966" s="948"/>
    </row>
    <row r="6967" spans="3:9" ht="15.75">
      <c r="C6967" s="949" t="s">
        <v>924</v>
      </c>
      <c r="D6967" s="946"/>
      <c r="E6967" s="947" t="str">
        <f>+VLOOKUP(C6967,'Basic (equilibrio) (2)'!B:D,2,FALSE)</f>
        <v>n/a</v>
      </c>
      <c r="F6967" s="1054">
        <f>+VLOOKUP(C6967,'Basic (equilibrio) (2)'!B:D,3,FALSE)</f>
        <v>0</v>
      </c>
      <c r="G6967" s="946">
        <f>F6967-(F6967/1.18)</f>
        <v>0</v>
      </c>
      <c r="H6967" s="1039"/>
      <c r="I6967" s="955">
        <f>D6967*F6967</f>
        <v>0</v>
      </c>
    </row>
    <row r="6968" spans="3:9" ht="15.75">
      <c r="C6968" s="951" t="s">
        <v>918</v>
      </c>
      <c r="D6968" s="946"/>
      <c r="E6968" s="947"/>
      <c r="F6968" s="1054"/>
      <c r="G6968" s="946"/>
      <c r="H6968" s="1031"/>
      <c r="I6968" s="952">
        <f>SUM(I6967:I6967)</f>
        <v>0</v>
      </c>
    </row>
    <row r="6969" spans="3:9" ht="15.75">
      <c r="C6969" s="949"/>
      <c r="D6969" s="946"/>
      <c r="E6969" s="947"/>
      <c r="F6969" s="1054"/>
      <c r="G6969" s="946"/>
      <c r="H6969" s="1031"/>
      <c r="I6969" s="948"/>
    </row>
    <row r="6970" spans="3:9" ht="15.75">
      <c r="C6970" s="945" t="s">
        <v>925</v>
      </c>
      <c r="D6970" s="946"/>
      <c r="E6970" s="947"/>
      <c r="F6970" s="1054"/>
      <c r="G6970" s="946"/>
      <c r="H6970" s="1031"/>
      <c r="I6970" s="948"/>
    </row>
    <row r="6971" spans="3:9" ht="15.75">
      <c r="C6971" s="949" t="s">
        <v>925</v>
      </c>
      <c r="D6971" s="946">
        <f>+I6964</f>
        <v>136.19999999999999</v>
      </c>
      <c r="E6971" s="947" t="str">
        <f>+VLOOKUP(C6971,'Basic (equilibrio) (2)'!B:D,2,FALSE)</f>
        <v>Pa</v>
      </c>
      <c r="F6971" s="1054">
        <f>+VLOOKUP(C6971,'Basic (equilibrio) (2)'!B:D,3,FALSE)</f>
        <v>0</v>
      </c>
      <c r="G6971" s="946"/>
      <c r="H6971" s="1031"/>
      <c r="I6971" s="948">
        <f>D6971*F6971</f>
        <v>0</v>
      </c>
    </row>
    <row r="6972" spans="3:9" ht="15.75">
      <c r="C6972" s="951" t="s">
        <v>918</v>
      </c>
      <c r="D6972" s="946"/>
      <c r="E6972" s="947"/>
      <c r="F6972" s="1054"/>
      <c r="G6972" s="946"/>
      <c r="H6972" s="1031"/>
      <c r="I6972" s="952">
        <f>SUM(I6971)</f>
        <v>0</v>
      </c>
    </row>
    <row r="6973" spans="3:9" ht="15.75">
      <c r="C6973" s="951"/>
      <c r="D6973" s="946"/>
      <c r="E6973" s="947"/>
      <c r="F6973" s="1054"/>
      <c r="G6973" s="946"/>
      <c r="H6973" s="1031"/>
      <c r="I6973" s="952"/>
    </row>
    <row r="6974" spans="3:9" ht="15.75">
      <c r="C6974" s="956" t="s">
        <v>926</v>
      </c>
      <c r="D6974" s="957"/>
      <c r="E6974" s="958"/>
      <c r="F6974" s="1069"/>
      <c r="G6974" s="957"/>
      <c r="H6974" s="1032"/>
      <c r="I6974" s="959">
        <f>+I6959</f>
        <v>11926.74</v>
      </c>
    </row>
    <row r="6975" spans="3:9" ht="15.75">
      <c r="C6975" s="956" t="s">
        <v>927</v>
      </c>
      <c r="D6975" s="957"/>
      <c r="E6975" s="958"/>
      <c r="F6975" s="1069"/>
      <c r="G6975" s="957"/>
      <c r="H6975" s="1032"/>
      <c r="I6975" s="959">
        <f>+I6964</f>
        <v>136.19999999999999</v>
      </c>
    </row>
    <row r="6976" spans="3:9" ht="15.75">
      <c r="C6976" s="956" t="s">
        <v>928</v>
      </c>
      <c r="D6976" s="957"/>
      <c r="E6976" s="958"/>
      <c r="F6976" s="1069"/>
      <c r="G6976" s="957"/>
      <c r="H6976" s="1032"/>
      <c r="I6976" s="959">
        <f>+I6968</f>
        <v>0</v>
      </c>
    </row>
    <row r="6977" spans="2:9" ht="15.75">
      <c r="C6977" s="956" t="s">
        <v>929</v>
      </c>
      <c r="D6977" s="957"/>
      <c r="E6977" s="958"/>
      <c r="F6977" s="1069"/>
      <c r="G6977" s="957"/>
      <c r="H6977" s="1032"/>
      <c r="I6977" s="959">
        <f>+I6972</f>
        <v>0</v>
      </c>
    </row>
    <row r="6978" spans="2:9" ht="15.75">
      <c r="C6978" s="949"/>
      <c r="D6978" s="946"/>
      <c r="E6978" s="947"/>
      <c r="F6978" s="1054"/>
      <c r="G6978" s="946"/>
      <c r="H6978" s="1031"/>
      <c r="I6978" s="948"/>
    </row>
    <row r="6979" spans="2:9" ht="15.75">
      <c r="C6979" s="951" t="s">
        <v>930</v>
      </c>
      <c r="D6979" s="960">
        <f>1/0.12</f>
        <v>8.33</v>
      </c>
      <c r="E6979" s="975" t="str">
        <f>+E6952</f>
        <v>m2</v>
      </c>
      <c r="F6979" s="1070"/>
      <c r="G6979" s="960"/>
      <c r="H6979" s="1033"/>
      <c r="I6979" s="952">
        <f>SUM(I6974:I6977)</f>
        <v>12062.94</v>
      </c>
    </row>
    <row r="6980" spans="2:9" ht="15.75">
      <c r="C6980" s="951"/>
      <c r="D6980" s="960"/>
      <c r="E6980" s="943" t="s">
        <v>1000</v>
      </c>
      <c r="F6980" s="1070"/>
      <c r="G6980" s="960"/>
      <c r="H6980" s="1033"/>
      <c r="I6980" s="952">
        <f>+I6979/D6979</f>
        <v>1448.13</v>
      </c>
    </row>
    <row r="6981" spans="2:9" ht="12.75" customHeight="1">
      <c r="C6981" s="951"/>
      <c r="D6981" s="960"/>
      <c r="E6981" s="943"/>
      <c r="F6981" s="1070"/>
      <c r="G6981" s="960"/>
      <c r="H6981" s="1033"/>
      <c r="I6981" s="952"/>
    </row>
    <row r="6982" spans="2:9" ht="15.75">
      <c r="C6982" s="951"/>
      <c r="D6982" s="960"/>
      <c r="E6982" s="943"/>
      <c r="F6982" s="1070"/>
      <c r="G6982" s="960"/>
      <c r="H6982" s="1033"/>
      <c r="I6982" s="952"/>
    </row>
    <row r="6983" spans="2:9" ht="15.75">
      <c r="B6983" s="1026">
        <v>9.1</v>
      </c>
      <c r="C6983" s="937" t="str">
        <f>+Presupuesto!B430</f>
        <v>Cerámica en pared de baños</v>
      </c>
      <c r="D6983" s="938"/>
      <c r="E6983" s="962" t="s">
        <v>1000</v>
      </c>
      <c r="F6983" s="1066"/>
      <c r="G6983" s="938"/>
      <c r="H6983" s="1029"/>
      <c r="I6983" s="940">
        <f>+I7006</f>
        <v>1581</v>
      </c>
    </row>
    <row r="6984" spans="2:9" ht="15.75">
      <c r="C6984" s="941" t="s">
        <v>908</v>
      </c>
      <c r="D6984" s="942" t="s">
        <v>9</v>
      </c>
      <c r="E6984" s="943" t="s">
        <v>10</v>
      </c>
      <c r="F6984" s="1067" t="s">
        <v>909</v>
      </c>
      <c r="G6984" s="942" t="s">
        <v>910</v>
      </c>
      <c r="H6984" s="1030" t="s">
        <v>911</v>
      </c>
      <c r="I6984" s="944" t="s">
        <v>912</v>
      </c>
    </row>
    <row r="6985" spans="2:9" ht="15.75">
      <c r="C6985" s="945" t="s">
        <v>913</v>
      </c>
      <c r="D6985" s="946"/>
      <c r="E6985" s="947"/>
      <c r="F6985" s="1054"/>
      <c r="G6985" s="946"/>
      <c r="H6985" s="1031"/>
      <c r="I6985" s="948"/>
    </row>
    <row r="6986" spans="2:9" ht="15.75">
      <c r="C6986" s="949" t="s">
        <v>1593</v>
      </c>
      <c r="D6986" s="946">
        <v>1.02</v>
      </c>
      <c r="E6986" s="947" t="str">
        <f>+VLOOKUP(C6986,'Basic (equilibrio) (2)'!B:D,2,FALSE)</f>
        <v>m2</v>
      </c>
      <c r="F6986" s="1068">
        <f>'Basic (equilibrio) (2)'!$D$205</f>
        <v>1550</v>
      </c>
      <c r="G6986" s="946">
        <f>F6986-(F6986/1.18)</f>
        <v>236.44</v>
      </c>
      <c r="H6986" s="1031"/>
      <c r="I6986" s="948">
        <f>D6986*F6986</f>
        <v>1581</v>
      </c>
    </row>
    <row r="6987" spans="2:9" ht="15.75">
      <c r="C6987" s="951" t="s">
        <v>918</v>
      </c>
      <c r="D6987" s="946"/>
      <c r="E6987" s="947"/>
      <c r="F6987" s="1068"/>
      <c r="G6987" s="946"/>
      <c r="H6987" s="1031"/>
      <c r="I6987" s="952">
        <f>SUM(I6986:I6986)</f>
        <v>1581</v>
      </c>
    </row>
    <row r="6988" spans="2:9" ht="15.75">
      <c r="C6988" s="949"/>
      <c r="D6988" s="946"/>
      <c r="E6988" s="947"/>
      <c r="F6988" s="1068"/>
      <c r="G6988" s="946"/>
      <c r="H6988" s="1031"/>
      <c r="I6988" s="948"/>
    </row>
    <row r="6989" spans="2:9" ht="15.75">
      <c r="C6989" s="945" t="s">
        <v>919</v>
      </c>
      <c r="D6989" s="946"/>
      <c r="E6989" s="947"/>
      <c r="F6989" s="1068"/>
      <c r="G6989" s="946"/>
      <c r="H6989" s="1031"/>
      <c r="I6989" s="948"/>
    </row>
    <row r="6990" spans="2:9" ht="15.75">
      <c r="C6990" s="949" t="s">
        <v>924</v>
      </c>
      <c r="D6990" s="953"/>
      <c r="E6990" s="954" t="str">
        <f>+VLOOKUP(C6990,'Basic (equilibrio) (2)'!B:D,2,FALSE)</f>
        <v>n/a</v>
      </c>
      <c r="F6990" s="1068">
        <f>+VLOOKUP(C6990,'Basic (equilibrio) (2)'!B:D,3,FALSE)</f>
        <v>0</v>
      </c>
      <c r="G6990" s="946">
        <v>0</v>
      </c>
      <c r="H6990" s="1031"/>
      <c r="I6990" s="948">
        <f>(D6990*F6990)</f>
        <v>0</v>
      </c>
    </row>
    <row r="6991" spans="2:9" ht="15.75">
      <c r="C6991" s="951" t="s">
        <v>918</v>
      </c>
      <c r="D6991" s="946"/>
      <c r="E6991" s="947"/>
      <c r="F6991" s="1054"/>
      <c r="G6991" s="946"/>
      <c r="H6991" s="1031"/>
      <c r="I6991" s="952">
        <f>SUM(I6990:I6990)</f>
        <v>0</v>
      </c>
    </row>
    <row r="6992" spans="2:9" ht="15.75">
      <c r="C6992" s="949"/>
      <c r="D6992" s="946"/>
      <c r="E6992" s="947"/>
      <c r="F6992" s="1054"/>
      <c r="G6992" s="946"/>
      <c r="H6992" s="1031"/>
      <c r="I6992" s="948"/>
    </row>
    <row r="6993" spans="2:9" ht="15.75">
      <c r="C6993" s="945" t="s">
        <v>923</v>
      </c>
      <c r="D6993" s="946"/>
      <c r="E6993" s="947"/>
      <c r="F6993" s="1054"/>
      <c r="G6993" s="946"/>
      <c r="H6993" s="1031"/>
      <c r="I6993" s="948"/>
    </row>
    <row r="6994" spans="2:9" ht="15.75">
      <c r="C6994" s="949" t="s">
        <v>924</v>
      </c>
      <c r="D6994" s="946"/>
      <c r="E6994" s="947" t="str">
        <f>+VLOOKUP(C6994,'Basic (equilibrio) (2)'!B:D,2,FALSE)</f>
        <v>n/a</v>
      </c>
      <c r="F6994" s="1054">
        <f>+VLOOKUP(C6994,'Basic (equilibrio) (2)'!B:D,3,FALSE)</f>
        <v>0</v>
      </c>
      <c r="G6994" s="946">
        <f>F6994-(F6994/1.18)</f>
        <v>0</v>
      </c>
      <c r="H6994" s="1039"/>
      <c r="I6994" s="955">
        <f>D6994*F6994</f>
        <v>0</v>
      </c>
    </row>
    <row r="6995" spans="2:9" ht="15.75">
      <c r="C6995" s="951" t="s">
        <v>918</v>
      </c>
      <c r="D6995" s="946"/>
      <c r="E6995" s="947"/>
      <c r="F6995" s="1054"/>
      <c r="G6995" s="946"/>
      <c r="H6995" s="1031"/>
      <c r="I6995" s="952">
        <f>SUM(I6994:I6994)</f>
        <v>0</v>
      </c>
    </row>
    <row r="6996" spans="2:9" ht="15.75">
      <c r="C6996" s="949"/>
      <c r="D6996" s="946"/>
      <c r="E6996" s="947"/>
      <c r="F6996" s="1054"/>
      <c r="G6996" s="946"/>
      <c r="H6996" s="1031"/>
      <c r="I6996" s="948"/>
    </row>
    <row r="6997" spans="2:9" ht="15.75">
      <c r="C6997" s="945" t="s">
        <v>925</v>
      </c>
      <c r="D6997" s="946"/>
      <c r="E6997" s="947"/>
      <c r="F6997" s="1054"/>
      <c r="G6997" s="946"/>
      <c r="H6997" s="1031"/>
      <c r="I6997" s="948"/>
    </row>
    <row r="6998" spans="2:9" ht="15.75">
      <c r="C6998" s="949" t="s">
        <v>924</v>
      </c>
      <c r="D6998" s="946"/>
      <c r="E6998" s="947" t="str">
        <f>+VLOOKUP(C6998,'Basic (equilibrio) (2)'!B:D,2,FALSE)</f>
        <v>n/a</v>
      </c>
      <c r="F6998" s="1054">
        <f>+VLOOKUP(C6998,'Basic (equilibrio) (2)'!B:D,3,FALSE)</f>
        <v>0</v>
      </c>
      <c r="G6998" s="946"/>
      <c r="H6998" s="1031"/>
      <c r="I6998" s="948">
        <f>D6998*F6998</f>
        <v>0</v>
      </c>
    </row>
    <row r="6999" spans="2:9" ht="15.75">
      <c r="C6999" s="951" t="s">
        <v>918</v>
      </c>
      <c r="D6999" s="946"/>
      <c r="E6999" s="947"/>
      <c r="F6999" s="1054"/>
      <c r="G6999" s="946"/>
      <c r="H6999" s="1031"/>
      <c r="I6999" s="952">
        <f>SUM(I6998)</f>
        <v>0</v>
      </c>
    </row>
    <row r="7000" spans="2:9" ht="15.75">
      <c r="C7000" s="951"/>
      <c r="D7000" s="946"/>
      <c r="E7000" s="947"/>
      <c r="F7000" s="1054"/>
      <c r="G7000" s="946"/>
      <c r="H7000" s="1031"/>
      <c r="I7000" s="952"/>
    </row>
    <row r="7001" spans="2:9" ht="15.75">
      <c r="C7001" s="956" t="s">
        <v>926</v>
      </c>
      <c r="D7001" s="957"/>
      <c r="E7001" s="958"/>
      <c r="F7001" s="1069"/>
      <c r="G7001" s="957"/>
      <c r="H7001" s="1032"/>
      <c r="I7001" s="959">
        <f>+I6987</f>
        <v>1581</v>
      </c>
    </row>
    <row r="7002" spans="2:9" ht="15.75">
      <c r="C7002" s="956" t="s">
        <v>927</v>
      </c>
      <c r="D7002" s="957"/>
      <c r="E7002" s="958"/>
      <c r="F7002" s="1069"/>
      <c r="G7002" s="957"/>
      <c r="H7002" s="1032"/>
      <c r="I7002" s="959">
        <f>+I6991</f>
        <v>0</v>
      </c>
    </row>
    <row r="7003" spans="2:9" ht="15.75">
      <c r="C7003" s="956" t="s">
        <v>928</v>
      </c>
      <c r="D7003" s="957"/>
      <c r="E7003" s="958"/>
      <c r="F7003" s="1069"/>
      <c r="G7003" s="957"/>
      <c r="H7003" s="1032"/>
      <c r="I7003" s="959">
        <f>+I6995</f>
        <v>0</v>
      </c>
    </row>
    <row r="7004" spans="2:9" ht="15.75">
      <c r="C7004" s="956" t="s">
        <v>929</v>
      </c>
      <c r="D7004" s="957"/>
      <c r="E7004" s="958"/>
      <c r="F7004" s="1069"/>
      <c r="G7004" s="957"/>
      <c r="H7004" s="1032"/>
      <c r="I7004" s="959">
        <f>+I6999</f>
        <v>0</v>
      </c>
    </row>
    <row r="7005" spans="2:9" ht="15.75">
      <c r="C7005" s="949"/>
      <c r="D7005" s="946"/>
      <c r="E7005" s="947"/>
      <c r="F7005" s="1054"/>
      <c r="G7005" s="946"/>
      <c r="H7005" s="1031"/>
      <c r="I7005" s="948"/>
    </row>
    <row r="7006" spans="2:9" ht="15.75">
      <c r="C7006" s="951" t="s">
        <v>930</v>
      </c>
      <c r="D7006" s="960"/>
      <c r="E7006" s="975" t="str">
        <f>+E6983</f>
        <v>m2</v>
      </c>
      <c r="F7006" s="1070"/>
      <c r="G7006" s="960"/>
      <c r="H7006" s="1033"/>
      <c r="I7006" s="952">
        <f>SUM(I7001:I7004)</f>
        <v>1581</v>
      </c>
    </row>
    <row r="7007" spans="2:9" ht="15.75">
      <c r="C7007" s="951"/>
      <c r="D7007" s="960"/>
      <c r="E7007" s="943"/>
      <c r="F7007" s="1070"/>
      <c r="G7007" s="960"/>
      <c r="H7007" s="1033"/>
      <c r="I7007" s="952"/>
    </row>
    <row r="7008" spans="2:9" ht="15.75">
      <c r="B7008" s="1026">
        <v>9.1999999999999993</v>
      </c>
      <c r="C7008" s="937" t="str">
        <f>+Presupuesto!B431</f>
        <v>Cerámica en cocina</v>
      </c>
      <c r="D7008" s="938"/>
      <c r="E7008" s="962" t="s">
        <v>1000</v>
      </c>
      <c r="F7008" s="1066"/>
      <c r="G7008" s="938"/>
      <c r="H7008" s="1029"/>
      <c r="I7008" s="940">
        <f>+I7031</f>
        <v>1428</v>
      </c>
    </row>
    <row r="7009" spans="3:9" ht="15.75">
      <c r="C7009" s="941" t="s">
        <v>908</v>
      </c>
      <c r="D7009" s="942" t="s">
        <v>9</v>
      </c>
      <c r="E7009" s="943" t="s">
        <v>10</v>
      </c>
      <c r="F7009" s="1067" t="s">
        <v>909</v>
      </c>
      <c r="G7009" s="942" t="s">
        <v>910</v>
      </c>
      <c r="H7009" s="1030" t="s">
        <v>911</v>
      </c>
      <c r="I7009" s="944" t="s">
        <v>912</v>
      </c>
    </row>
    <row r="7010" spans="3:9" ht="15.75">
      <c r="C7010" s="945" t="s">
        <v>913</v>
      </c>
      <c r="D7010" s="946"/>
      <c r="E7010" s="947"/>
      <c r="F7010" s="1054"/>
      <c r="G7010" s="946"/>
      <c r="H7010" s="1031"/>
      <c r="I7010" s="948"/>
    </row>
    <row r="7011" spans="3:9" ht="15.75">
      <c r="C7011" s="949" t="s">
        <v>1594</v>
      </c>
      <c r="D7011" s="946">
        <v>1.02</v>
      </c>
      <c r="E7011" s="947" t="str">
        <f>+VLOOKUP(C7011,'Basic (equilibrio) (2)'!B:D,2,FALSE)</f>
        <v>m2</v>
      </c>
      <c r="F7011" s="1068">
        <f>'Basic (equilibrio) (2)'!$D$206</f>
        <v>1400</v>
      </c>
      <c r="G7011" s="946">
        <f>F7011-(F7011/1.18)</f>
        <v>213.56</v>
      </c>
      <c r="H7011" s="1031"/>
      <c r="I7011" s="948">
        <f>D7011*F7011</f>
        <v>1428</v>
      </c>
    </row>
    <row r="7012" spans="3:9" ht="15.75">
      <c r="C7012" s="951" t="s">
        <v>918</v>
      </c>
      <c r="D7012" s="946"/>
      <c r="E7012" s="947"/>
      <c r="F7012" s="1068"/>
      <c r="G7012" s="946"/>
      <c r="H7012" s="1031"/>
      <c r="I7012" s="952">
        <f>SUM(I7011:I7011)</f>
        <v>1428</v>
      </c>
    </row>
    <row r="7013" spans="3:9" ht="15.75">
      <c r="C7013" s="949"/>
      <c r="D7013" s="946"/>
      <c r="E7013" s="947"/>
      <c r="F7013" s="1068"/>
      <c r="G7013" s="946"/>
      <c r="H7013" s="1031"/>
      <c r="I7013" s="948"/>
    </row>
    <row r="7014" spans="3:9" ht="15.75">
      <c r="C7014" s="945" t="s">
        <v>919</v>
      </c>
      <c r="D7014" s="946"/>
      <c r="E7014" s="947"/>
      <c r="F7014" s="1068"/>
      <c r="G7014" s="946"/>
      <c r="H7014" s="1031"/>
      <c r="I7014" s="948"/>
    </row>
    <row r="7015" spans="3:9" ht="15.75">
      <c r="C7015" s="949" t="s">
        <v>924</v>
      </c>
      <c r="D7015" s="953"/>
      <c r="E7015" s="954" t="str">
        <f>+VLOOKUP(C7015,'Basic (equilibrio) (2)'!B:D,2,FALSE)</f>
        <v>n/a</v>
      </c>
      <c r="F7015" s="1068">
        <f>+VLOOKUP(C7015,'Basic (equilibrio) (2)'!B:D,3,FALSE)</f>
        <v>0</v>
      </c>
      <c r="G7015" s="946">
        <v>0</v>
      </c>
      <c r="H7015" s="1031"/>
      <c r="I7015" s="948">
        <f>(D7015*F7015)</f>
        <v>0</v>
      </c>
    </row>
    <row r="7016" spans="3:9" ht="15.75">
      <c r="C7016" s="951" t="s">
        <v>918</v>
      </c>
      <c r="D7016" s="946"/>
      <c r="E7016" s="947"/>
      <c r="F7016" s="1054"/>
      <c r="G7016" s="946"/>
      <c r="H7016" s="1031"/>
      <c r="I7016" s="952">
        <f>SUM(I7015:I7015)</f>
        <v>0</v>
      </c>
    </row>
    <row r="7017" spans="3:9" ht="15.75">
      <c r="C7017" s="949"/>
      <c r="D7017" s="946"/>
      <c r="E7017" s="947"/>
      <c r="F7017" s="1054"/>
      <c r="G7017" s="946"/>
      <c r="H7017" s="1031"/>
      <c r="I7017" s="948"/>
    </row>
    <row r="7018" spans="3:9" ht="15.75">
      <c r="C7018" s="945" t="s">
        <v>923</v>
      </c>
      <c r="D7018" s="946"/>
      <c r="E7018" s="947"/>
      <c r="F7018" s="1054"/>
      <c r="G7018" s="946"/>
      <c r="H7018" s="1031"/>
      <c r="I7018" s="948"/>
    </row>
    <row r="7019" spans="3:9" ht="15.75">
      <c r="C7019" s="949" t="s">
        <v>924</v>
      </c>
      <c r="D7019" s="946"/>
      <c r="E7019" s="947" t="str">
        <f>+VLOOKUP(C7019,'Basic (equilibrio) (2)'!B:D,2,FALSE)</f>
        <v>n/a</v>
      </c>
      <c r="F7019" s="1054">
        <f>+VLOOKUP(C7019,'Basic (equilibrio) (2)'!B:D,3,FALSE)</f>
        <v>0</v>
      </c>
      <c r="G7019" s="946">
        <f>F7019-(F7019/1.18)</f>
        <v>0</v>
      </c>
      <c r="H7019" s="1039"/>
      <c r="I7019" s="955">
        <f>D7019*F7019</f>
        <v>0</v>
      </c>
    </row>
    <row r="7020" spans="3:9" ht="15.75">
      <c r="C7020" s="951" t="s">
        <v>918</v>
      </c>
      <c r="D7020" s="946"/>
      <c r="E7020" s="947"/>
      <c r="F7020" s="1054"/>
      <c r="G7020" s="946"/>
      <c r="H7020" s="1031"/>
      <c r="I7020" s="952">
        <f>SUM(I7019:I7019)</f>
        <v>0</v>
      </c>
    </row>
    <row r="7021" spans="3:9" ht="15.75">
      <c r="C7021" s="949"/>
      <c r="D7021" s="946"/>
      <c r="E7021" s="947"/>
      <c r="F7021" s="1054"/>
      <c r="G7021" s="946"/>
      <c r="H7021" s="1031"/>
      <c r="I7021" s="948"/>
    </row>
    <row r="7022" spans="3:9" ht="15.75">
      <c r="C7022" s="945" t="s">
        <v>925</v>
      </c>
      <c r="D7022" s="946"/>
      <c r="E7022" s="947"/>
      <c r="F7022" s="1054"/>
      <c r="G7022" s="946"/>
      <c r="H7022" s="1031"/>
      <c r="I7022" s="948"/>
    </row>
    <row r="7023" spans="3:9" ht="15.75">
      <c r="C7023" s="949" t="s">
        <v>924</v>
      </c>
      <c r="D7023" s="946"/>
      <c r="E7023" s="947" t="str">
        <f>+VLOOKUP(C7023,'Basic (equilibrio) (2)'!B:D,2,FALSE)</f>
        <v>n/a</v>
      </c>
      <c r="F7023" s="1054">
        <f>+VLOOKUP(C7023,'Basic (equilibrio) (2)'!B:D,3,FALSE)</f>
        <v>0</v>
      </c>
      <c r="G7023" s="946"/>
      <c r="H7023" s="1031"/>
      <c r="I7023" s="948">
        <f>D7023*F7023</f>
        <v>0</v>
      </c>
    </row>
    <row r="7024" spans="3:9" ht="15.75">
      <c r="C7024" s="951" t="s">
        <v>918</v>
      </c>
      <c r="D7024" s="946"/>
      <c r="E7024" s="947"/>
      <c r="F7024" s="1054"/>
      <c r="G7024" s="946"/>
      <c r="H7024" s="1031"/>
      <c r="I7024" s="952">
        <f>SUM(I7023)</f>
        <v>0</v>
      </c>
    </row>
    <row r="7025" spans="2:9" ht="15.75">
      <c r="C7025" s="951"/>
      <c r="D7025" s="946"/>
      <c r="E7025" s="947"/>
      <c r="F7025" s="1054"/>
      <c r="G7025" s="946"/>
      <c r="H7025" s="1031"/>
      <c r="I7025" s="952"/>
    </row>
    <row r="7026" spans="2:9" ht="15.75">
      <c r="C7026" s="956" t="s">
        <v>926</v>
      </c>
      <c r="D7026" s="957"/>
      <c r="E7026" s="958"/>
      <c r="F7026" s="1069"/>
      <c r="G7026" s="957"/>
      <c r="H7026" s="1032"/>
      <c r="I7026" s="959">
        <f>+I7012</f>
        <v>1428</v>
      </c>
    </row>
    <row r="7027" spans="2:9" ht="15.75">
      <c r="C7027" s="956" t="s">
        <v>927</v>
      </c>
      <c r="D7027" s="957"/>
      <c r="E7027" s="958"/>
      <c r="F7027" s="1069"/>
      <c r="G7027" s="957"/>
      <c r="H7027" s="1032"/>
      <c r="I7027" s="959">
        <f>+I7016</f>
        <v>0</v>
      </c>
    </row>
    <row r="7028" spans="2:9" ht="15.75">
      <c r="C7028" s="956" t="s">
        <v>928</v>
      </c>
      <c r="D7028" s="957"/>
      <c r="E7028" s="958"/>
      <c r="F7028" s="1069"/>
      <c r="G7028" s="957"/>
      <c r="H7028" s="1032"/>
      <c r="I7028" s="959">
        <f>+I7020</f>
        <v>0</v>
      </c>
    </row>
    <row r="7029" spans="2:9" ht="15.75">
      <c r="C7029" s="956" t="s">
        <v>929</v>
      </c>
      <c r="D7029" s="957"/>
      <c r="E7029" s="958"/>
      <c r="F7029" s="1069"/>
      <c r="G7029" s="957"/>
      <c r="H7029" s="1032"/>
      <c r="I7029" s="959">
        <f>+I7024</f>
        <v>0</v>
      </c>
    </row>
    <row r="7030" spans="2:9" ht="15.75">
      <c r="C7030" s="949"/>
      <c r="D7030" s="946"/>
      <c r="E7030" s="947"/>
      <c r="F7030" s="1054"/>
      <c r="G7030" s="946"/>
      <c r="H7030" s="1031"/>
      <c r="I7030" s="948"/>
    </row>
    <row r="7031" spans="2:9" ht="15.75">
      <c r="C7031" s="951" t="s">
        <v>930</v>
      </c>
      <c r="D7031" s="960"/>
      <c r="E7031" s="975" t="str">
        <f>+E7008</f>
        <v>m2</v>
      </c>
      <c r="F7031" s="1070"/>
      <c r="G7031" s="960"/>
      <c r="H7031" s="1033"/>
      <c r="I7031" s="952">
        <f>SUM(I7026:I7029)</f>
        <v>1428</v>
      </c>
    </row>
    <row r="7032" spans="2:9" ht="15.75">
      <c r="C7032" s="951"/>
      <c r="D7032" s="960"/>
      <c r="E7032" s="943"/>
      <c r="F7032" s="1070"/>
      <c r="G7032" s="960"/>
      <c r="H7032" s="1033"/>
      <c r="I7032" s="952"/>
    </row>
    <row r="7033" spans="2:9" ht="15.75">
      <c r="C7033" s="951"/>
      <c r="D7033" s="960"/>
      <c r="E7033" s="943"/>
      <c r="F7033" s="1070"/>
      <c r="G7033" s="960"/>
      <c r="H7033" s="1033"/>
      <c r="I7033" s="952"/>
    </row>
    <row r="7034" spans="2:9" ht="15.75">
      <c r="B7034" s="1026">
        <v>10.1</v>
      </c>
      <c r="C7034" s="937" t="str">
        <f>+Presupuesto!B434</f>
        <v>Inodoro blanco</v>
      </c>
      <c r="D7034" s="938"/>
      <c r="E7034" s="962" t="s">
        <v>10</v>
      </c>
      <c r="F7034" s="1066"/>
      <c r="G7034" s="938"/>
      <c r="H7034" s="1029"/>
      <c r="I7034" s="940">
        <f>+I7057</f>
        <v>13056</v>
      </c>
    </row>
    <row r="7035" spans="2:9" ht="15.75">
      <c r="C7035" s="941" t="s">
        <v>908</v>
      </c>
      <c r="D7035" s="942" t="s">
        <v>9</v>
      </c>
      <c r="E7035" s="943" t="s">
        <v>10</v>
      </c>
      <c r="F7035" s="1067" t="s">
        <v>909</v>
      </c>
      <c r="G7035" s="942" t="s">
        <v>910</v>
      </c>
      <c r="H7035" s="1030" t="s">
        <v>911</v>
      </c>
      <c r="I7035" s="944" t="s">
        <v>912</v>
      </c>
    </row>
    <row r="7036" spans="2:9" ht="15.75">
      <c r="C7036" s="945" t="s">
        <v>913</v>
      </c>
      <c r="D7036" s="946"/>
      <c r="E7036" s="947"/>
      <c r="F7036" s="1054"/>
      <c r="G7036" s="946"/>
      <c r="H7036" s="1031"/>
      <c r="I7036" s="948"/>
    </row>
    <row r="7037" spans="2:9" ht="15.75">
      <c r="C7037" s="949" t="s">
        <v>1596</v>
      </c>
      <c r="D7037" s="946">
        <v>1.02</v>
      </c>
      <c r="E7037" s="947" t="str">
        <f>+VLOOKUP(C7037,'Basic (equilibrio) (2)'!B:D,2,FALSE)</f>
        <v>ud</v>
      </c>
      <c r="F7037" s="1068">
        <f>'Basic (equilibrio) (2)'!$D$208</f>
        <v>12800</v>
      </c>
      <c r="G7037" s="946">
        <f>F7037-(F7037/1.18)</f>
        <v>1952.54</v>
      </c>
      <c r="H7037" s="1031"/>
      <c r="I7037" s="948">
        <f>D7037*F7037</f>
        <v>13056</v>
      </c>
    </row>
    <row r="7038" spans="2:9" ht="15.75">
      <c r="C7038" s="951" t="s">
        <v>918</v>
      </c>
      <c r="D7038" s="946"/>
      <c r="E7038" s="947"/>
      <c r="F7038" s="1068"/>
      <c r="G7038" s="946"/>
      <c r="H7038" s="1031"/>
      <c r="I7038" s="952">
        <f>SUM(I7037:I7037)</f>
        <v>13056</v>
      </c>
    </row>
    <row r="7039" spans="2:9" ht="15.75">
      <c r="C7039" s="949"/>
      <c r="D7039" s="946"/>
      <c r="E7039" s="947"/>
      <c r="F7039" s="1068"/>
      <c r="G7039" s="946"/>
      <c r="H7039" s="1031"/>
      <c r="I7039" s="948"/>
    </row>
    <row r="7040" spans="2:9" ht="15.75">
      <c r="C7040" s="945" t="s">
        <v>919</v>
      </c>
      <c r="D7040" s="946"/>
      <c r="E7040" s="947"/>
      <c r="F7040" s="1068"/>
      <c r="G7040" s="946"/>
      <c r="H7040" s="1031"/>
      <c r="I7040" s="948"/>
    </row>
    <row r="7041" spans="3:9" ht="15.75">
      <c r="C7041" s="949" t="s">
        <v>924</v>
      </c>
      <c r="D7041" s="953"/>
      <c r="E7041" s="954" t="str">
        <f>+VLOOKUP(C7041,'Basic (equilibrio) (2)'!B:D,2,FALSE)</f>
        <v>n/a</v>
      </c>
      <c r="F7041" s="1068">
        <f>+VLOOKUP(C7041,'Basic (equilibrio) (2)'!B:D,3,FALSE)</f>
        <v>0</v>
      </c>
      <c r="G7041" s="946">
        <v>0</v>
      </c>
      <c r="H7041" s="1031"/>
      <c r="I7041" s="948">
        <f>(D7041*F7041)</f>
        <v>0</v>
      </c>
    </row>
    <row r="7042" spans="3:9" ht="15.75">
      <c r="C7042" s="951" t="s">
        <v>918</v>
      </c>
      <c r="D7042" s="946"/>
      <c r="E7042" s="947"/>
      <c r="F7042" s="1054"/>
      <c r="G7042" s="946"/>
      <c r="H7042" s="1031"/>
      <c r="I7042" s="952">
        <f>SUM(I7041:I7041)</f>
        <v>0</v>
      </c>
    </row>
    <row r="7043" spans="3:9" ht="15.75">
      <c r="C7043" s="949"/>
      <c r="D7043" s="946"/>
      <c r="E7043" s="947"/>
      <c r="F7043" s="1054"/>
      <c r="G7043" s="946"/>
      <c r="H7043" s="1031"/>
      <c r="I7043" s="948"/>
    </row>
    <row r="7044" spans="3:9" ht="15.75">
      <c r="C7044" s="945" t="s">
        <v>923</v>
      </c>
      <c r="D7044" s="946"/>
      <c r="E7044" s="947"/>
      <c r="F7044" s="1054"/>
      <c r="G7044" s="946"/>
      <c r="H7044" s="1031"/>
      <c r="I7044" s="948"/>
    </row>
    <row r="7045" spans="3:9" ht="15.75">
      <c r="C7045" s="949" t="s">
        <v>924</v>
      </c>
      <c r="D7045" s="946"/>
      <c r="E7045" s="947" t="str">
        <f>+VLOOKUP(C7045,'Basic (equilibrio) (2)'!B:D,2,FALSE)</f>
        <v>n/a</v>
      </c>
      <c r="F7045" s="1054">
        <f>+VLOOKUP(C7045,'Basic (equilibrio) (2)'!B:D,3,FALSE)</f>
        <v>0</v>
      </c>
      <c r="G7045" s="946">
        <f>F7045-(F7045/1.18)</f>
        <v>0</v>
      </c>
      <c r="H7045" s="1039"/>
      <c r="I7045" s="955">
        <f>D7045*F7045</f>
        <v>0</v>
      </c>
    </row>
    <row r="7046" spans="3:9" ht="15.75">
      <c r="C7046" s="951" t="s">
        <v>918</v>
      </c>
      <c r="D7046" s="946"/>
      <c r="E7046" s="947"/>
      <c r="F7046" s="1054"/>
      <c r="G7046" s="946"/>
      <c r="H7046" s="1031"/>
      <c r="I7046" s="952">
        <f>SUM(I7045:I7045)</f>
        <v>0</v>
      </c>
    </row>
    <row r="7047" spans="3:9" ht="15.75">
      <c r="C7047" s="949"/>
      <c r="D7047" s="946"/>
      <c r="E7047" s="947"/>
      <c r="F7047" s="1054"/>
      <c r="G7047" s="946"/>
      <c r="H7047" s="1031"/>
      <c r="I7047" s="948"/>
    </row>
    <row r="7048" spans="3:9" ht="15.75">
      <c r="C7048" s="945" t="s">
        <v>925</v>
      </c>
      <c r="D7048" s="946"/>
      <c r="E7048" s="947"/>
      <c r="F7048" s="1054"/>
      <c r="G7048" s="946"/>
      <c r="H7048" s="1031"/>
      <c r="I7048" s="948"/>
    </row>
    <row r="7049" spans="3:9" ht="15.75">
      <c r="C7049" s="949" t="s">
        <v>924</v>
      </c>
      <c r="D7049" s="946"/>
      <c r="E7049" s="947" t="str">
        <f>+VLOOKUP(C7049,'Basic (equilibrio) (2)'!B:D,2,FALSE)</f>
        <v>n/a</v>
      </c>
      <c r="F7049" s="1054">
        <f>+VLOOKUP(C7049,'Basic (equilibrio) (2)'!B:D,3,FALSE)</f>
        <v>0</v>
      </c>
      <c r="G7049" s="946"/>
      <c r="H7049" s="1031"/>
      <c r="I7049" s="948">
        <f>D7049*F7049</f>
        <v>0</v>
      </c>
    </row>
    <row r="7050" spans="3:9" ht="15.75">
      <c r="C7050" s="951" t="s">
        <v>918</v>
      </c>
      <c r="D7050" s="946"/>
      <c r="E7050" s="947"/>
      <c r="F7050" s="1054"/>
      <c r="G7050" s="946"/>
      <c r="H7050" s="1031"/>
      <c r="I7050" s="952">
        <f>SUM(I7049)</f>
        <v>0</v>
      </c>
    </row>
    <row r="7051" spans="3:9" ht="15.75">
      <c r="C7051" s="951"/>
      <c r="D7051" s="946"/>
      <c r="E7051" s="947"/>
      <c r="F7051" s="1054"/>
      <c r="G7051" s="946"/>
      <c r="H7051" s="1031"/>
      <c r="I7051" s="952"/>
    </row>
    <row r="7052" spans="3:9" ht="15.75">
      <c r="C7052" s="956" t="s">
        <v>926</v>
      </c>
      <c r="D7052" s="957"/>
      <c r="E7052" s="958"/>
      <c r="F7052" s="1069"/>
      <c r="G7052" s="957"/>
      <c r="H7052" s="1032"/>
      <c r="I7052" s="959">
        <f>+I7038</f>
        <v>13056</v>
      </c>
    </row>
    <row r="7053" spans="3:9" ht="15.75">
      <c r="C7053" s="956" t="s">
        <v>927</v>
      </c>
      <c r="D7053" s="957"/>
      <c r="E7053" s="958"/>
      <c r="F7053" s="1069"/>
      <c r="G7053" s="957"/>
      <c r="H7053" s="1032"/>
      <c r="I7053" s="959">
        <f>+I7042</f>
        <v>0</v>
      </c>
    </row>
    <row r="7054" spans="3:9" ht="15.75">
      <c r="C7054" s="956" t="s">
        <v>928</v>
      </c>
      <c r="D7054" s="957"/>
      <c r="E7054" s="958"/>
      <c r="F7054" s="1069"/>
      <c r="G7054" s="957"/>
      <c r="H7054" s="1032"/>
      <c r="I7054" s="959">
        <f>+I7046</f>
        <v>0</v>
      </c>
    </row>
    <row r="7055" spans="3:9" ht="15.75">
      <c r="C7055" s="956" t="s">
        <v>929</v>
      </c>
      <c r="D7055" s="957"/>
      <c r="E7055" s="958"/>
      <c r="F7055" s="1069"/>
      <c r="G7055" s="957"/>
      <c r="H7055" s="1032"/>
      <c r="I7055" s="959">
        <f>+I7050</f>
        <v>0</v>
      </c>
    </row>
    <row r="7056" spans="3:9" ht="15.75">
      <c r="C7056" s="949"/>
      <c r="D7056" s="946"/>
      <c r="E7056" s="947"/>
      <c r="F7056" s="1054"/>
      <c r="G7056" s="946"/>
      <c r="H7056" s="1031"/>
      <c r="I7056" s="948"/>
    </row>
    <row r="7057" spans="2:9" ht="15.75">
      <c r="C7057" s="951" t="s">
        <v>930</v>
      </c>
      <c r="D7057" s="960"/>
      <c r="E7057" s="975" t="str">
        <f>+E7034</f>
        <v>Ud</v>
      </c>
      <c r="F7057" s="1070"/>
      <c r="G7057" s="960"/>
      <c r="H7057" s="1033"/>
      <c r="I7057" s="952">
        <f>SUM(I7052:I7055)</f>
        <v>13056</v>
      </c>
    </row>
    <row r="7058" spans="2:9" ht="15.75">
      <c r="C7058" s="951"/>
      <c r="D7058" s="960"/>
      <c r="E7058" s="943"/>
      <c r="F7058" s="1070"/>
      <c r="G7058" s="960"/>
      <c r="H7058" s="1033"/>
      <c r="I7058" s="952"/>
    </row>
    <row r="7059" spans="2:9" ht="15.75">
      <c r="B7059" s="1026">
        <v>10.199999999999999</v>
      </c>
      <c r="C7059" s="937" t="str">
        <f>+Presupuesto!B435</f>
        <v>Lavamanos blanco</v>
      </c>
      <c r="D7059" s="938"/>
      <c r="E7059" s="962" t="s">
        <v>10</v>
      </c>
      <c r="F7059" s="1066"/>
      <c r="G7059" s="938"/>
      <c r="H7059" s="1029"/>
      <c r="I7059" s="940">
        <f>+I7082</f>
        <v>11034.77</v>
      </c>
    </row>
    <row r="7060" spans="2:9" ht="15.75">
      <c r="C7060" s="941" t="s">
        <v>908</v>
      </c>
      <c r="D7060" s="942" t="s">
        <v>9</v>
      </c>
      <c r="E7060" s="943" t="s">
        <v>10</v>
      </c>
      <c r="F7060" s="1067" t="s">
        <v>909</v>
      </c>
      <c r="G7060" s="942" t="s">
        <v>910</v>
      </c>
      <c r="H7060" s="1030" t="s">
        <v>911</v>
      </c>
      <c r="I7060" s="944" t="s">
        <v>912</v>
      </c>
    </row>
    <row r="7061" spans="2:9" ht="15.75">
      <c r="C7061" s="945" t="s">
        <v>913</v>
      </c>
      <c r="D7061" s="946"/>
      <c r="E7061" s="947"/>
      <c r="F7061" s="1054"/>
      <c r="G7061" s="946"/>
      <c r="H7061" s="1031"/>
      <c r="I7061" s="948"/>
    </row>
    <row r="7062" spans="2:9" ht="15.75">
      <c r="C7062" s="949" t="s">
        <v>1597</v>
      </c>
      <c r="D7062" s="946">
        <v>1.02</v>
      </c>
      <c r="E7062" s="947" t="str">
        <f>+VLOOKUP(C7062,'Basic (equilibrio) (2)'!B:D,2,FALSE)</f>
        <v>ud</v>
      </c>
      <c r="F7062" s="1068">
        <f>'Basic (equilibrio) (2)'!$D$209</f>
        <v>10818.4</v>
      </c>
      <c r="G7062" s="946">
        <f>F7062-(F7062/1.18)</f>
        <v>1650.26</v>
      </c>
      <c r="H7062" s="1031"/>
      <c r="I7062" s="948">
        <f>D7062*F7062</f>
        <v>11034.77</v>
      </c>
    </row>
    <row r="7063" spans="2:9" ht="15.75">
      <c r="C7063" s="951" t="s">
        <v>918</v>
      </c>
      <c r="D7063" s="946"/>
      <c r="E7063" s="947"/>
      <c r="F7063" s="1068"/>
      <c r="G7063" s="946"/>
      <c r="H7063" s="1031"/>
      <c r="I7063" s="952">
        <f>SUM(I7062:I7062)</f>
        <v>11034.77</v>
      </c>
    </row>
    <row r="7064" spans="2:9" ht="15.75">
      <c r="C7064" s="949"/>
      <c r="D7064" s="946"/>
      <c r="E7064" s="947"/>
      <c r="F7064" s="1068"/>
      <c r="G7064" s="946"/>
      <c r="H7064" s="1031"/>
      <c r="I7064" s="948"/>
    </row>
    <row r="7065" spans="2:9" ht="15.75">
      <c r="C7065" s="945" t="s">
        <v>919</v>
      </c>
      <c r="D7065" s="946"/>
      <c r="E7065" s="947"/>
      <c r="F7065" s="1068"/>
      <c r="G7065" s="946"/>
      <c r="H7065" s="1031"/>
      <c r="I7065" s="948"/>
    </row>
    <row r="7066" spans="2:9" ht="15.75">
      <c r="C7066" s="949" t="s">
        <v>924</v>
      </c>
      <c r="D7066" s="953"/>
      <c r="E7066" s="954" t="str">
        <f>+VLOOKUP(C7066,'Basic (equilibrio) (2)'!B:D,2,FALSE)</f>
        <v>n/a</v>
      </c>
      <c r="F7066" s="1068">
        <f>+VLOOKUP(C7066,'Basic (equilibrio) (2)'!B:D,3,FALSE)</f>
        <v>0</v>
      </c>
      <c r="G7066" s="946">
        <v>0</v>
      </c>
      <c r="H7066" s="1031"/>
      <c r="I7066" s="948">
        <f>(D7066*F7066)</f>
        <v>0</v>
      </c>
    </row>
    <row r="7067" spans="2:9" ht="15.75">
      <c r="C7067" s="951" t="s">
        <v>918</v>
      </c>
      <c r="D7067" s="946"/>
      <c r="E7067" s="947"/>
      <c r="F7067" s="1054"/>
      <c r="G7067" s="946"/>
      <c r="H7067" s="1031"/>
      <c r="I7067" s="952">
        <f>SUM(I7066:I7066)</f>
        <v>0</v>
      </c>
    </row>
    <row r="7068" spans="2:9" ht="15.75">
      <c r="C7068" s="949"/>
      <c r="D7068" s="946"/>
      <c r="E7068" s="947"/>
      <c r="F7068" s="1054"/>
      <c r="G7068" s="946"/>
      <c r="H7068" s="1031"/>
      <c r="I7068" s="948"/>
    </row>
    <row r="7069" spans="2:9" ht="15.75">
      <c r="C7069" s="945" t="s">
        <v>923</v>
      </c>
      <c r="D7069" s="946"/>
      <c r="E7069" s="947"/>
      <c r="F7069" s="1054"/>
      <c r="G7069" s="946"/>
      <c r="H7069" s="1031"/>
      <c r="I7069" s="948"/>
    </row>
    <row r="7070" spans="2:9" ht="15.75">
      <c r="C7070" s="949" t="s">
        <v>924</v>
      </c>
      <c r="D7070" s="946"/>
      <c r="E7070" s="947" t="str">
        <f>+VLOOKUP(C7070,'Basic (equilibrio) (2)'!B:D,2,FALSE)</f>
        <v>n/a</v>
      </c>
      <c r="F7070" s="1054">
        <f>+VLOOKUP(C7070,'Basic (equilibrio) (2)'!B:D,3,FALSE)</f>
        <v>0</v>
      </c>
      <c r="G7070" s="946">
        <f>F7070-(F7070/1.18)</f>
        <v>0</v>
      </c>
      <c r="H7070" s="1039"/>
      <c r="I7070" s="955">
        <f>D7070*F7070</f>
        <v>0</v>
      </c>
    </row>
    <row r="7071" spans="2:9" ht="15.75">
      <c r="C7071" s="951" t="s">
        <v>918</v>
      </c>
      <c r="D7071" s="946"/>
      <c r="E7071" s="947"/>
      <c r="F7071" s="1054"/>
      <c r="G7071" s="946"/>
      <c r="H7071" s="1031"/>
      <c r="I7071" s="952">
        <f>SUM(I7070:I7070)</f>
        <v>0</v>
      </c>
    </row>
    <row r="7072" spans="2:9" ht="15.75">
      <c r="C7072" s="949"/>
      <c r="D7072" s="946"/>
      <c r="E7072" s="947"/>
      <c r="F7072" s="1054"/>
      <c r="G7072" s="946"/>
      <c r="H7072" s="1031"/>
      <c r="I7072" s="948"/>
    </row>
    <row r="7073" spans="2:9" ht="15.75">
      <c r="C7073" s="945" t="s">
        <v>925</v>
      </c>
      <c r="D7073" s="946"/>
      <c r="E7073" s="947"/>
      <c r="F7073" s="1054"/>
      <c r="G7073" s="946"/>
      <c r="H7073" s="1031"/>
      <c r="I7073" s="948"/>
    </row>
    <row r="7074" spans="2:9" ht="15.75">
      <c r="C7074" s="949" t="s">
        <v>924</v>
      </c>
      <c r="D7074" s="946"/>
      <c r="E7074" s="947" t="str">
        <f>+VLOOKUP(C7074,'Basic (equilibrio) (2)'!B:D,2,FALSE)</f>
        <v>n/a</v>
      </c>
      <c r="F7074" s="1054">
        <f>+VLOOKUP(C7074,'Basic (equilibrio) (2)'!B:D,3,FALSE)</f>
        <v>0</v>
      </c>
      <c r="G7074" s="946"/>
      <c r="H7074" s="1031"/>
      <c r="I7074" s="948">
        <f>D7074*F7074</f>
        <v>0</v>
      </c>
    </row>
    <row r="7075" spans="2:9" ht="15.75">
      <c r="C7075" s="951" t="s">
        <v>918</v>
      </c>
      <c r="D7075" s="946"/>
      <c r="E7075" s="947"/>
      <c r="F7075" s="1054"/>
      <c r="G7075" s="946"/>
      <c r="H7075" s="1031"/>
      <c r="I7075" s="952">
        <f>SUM(I7074)</f>
        <v>0</v>
      </c>
    </row>
    <row r="7076" spans="2:9" ht="15.75">
      <c r="C7076" s="951"/>
      <c r="D7076" s="946"/>
      <c r="E7076" s="947"/>
      <c r="F7076" s="1054"/>
      <c r="G7076" s="946"/>
      <c r="H7076" s="1031"/>
      <c r="I7076" s="952"/>
    </row>
    <row r="7077" spans="2:9" ht="15.75">
      <c r="C7077" s="956" t="s">
        <v>926</v>
      </c>
      <c r="D7077" s="957"/>
      <c r="E7077" s="958"/>
      <c r="F7077" s="1069"/>
      <c r="G7077" s="957"/>
      <c r="H7077" s="1032"/>
      <c r="I7077" s="959">
        <f>+I7063</f>
        <v>11034.77</v>
      </c>
    </row>
    <row r="7078" spans="2:9" ht="15.75">
      <c r="C7078" s="956" t="s">
        <v>927</v>
      </c>
      <c r="D7078" s="957"/>
      <c r="E7078" s="958"/>
      <c r="F7078" s="1069"/>
      <c r="G7078" s="957"/>
      <c r="H7078" s="1032"/>
      <c r="I7078" s="959">
        <f>+I7067</f>
        <v>0</v>
      </c>
    </row>
    <row r="7079" spans="2:9" ht="15.75">
      <c r="C7079" s="956" t="s">
        <v>928</v>
      </c>
      <c r="D7079" s="957"/>
      <c r="E7079" s="958"/>
      <c r="F7079" s="1069"/>
      <c r="G7079" s="957"/>
      <c r="H7079" s="1032"/>
      <c r="I7079" s="959">
        <f>+I7071</f>
        <v>0</v>
      </c>
    </row>
    <row r="7080" spans="2:9" ht="15.75">
      <c r="C7080" s="956" t="s">
        <v>929</v>
      </c>
      <c r="D7080" s="957"/>
      <c r="E7080" s="958"/>
      <c r="F7080" s="1069"/>
      <c r="G7080" s="957"/>
      <c r="H7080" s="1032"/>
      <c r="I7080" s="959">
        <f>+I7075</f>
        <v>0</v>
      </c>
    </row>
    <row r="7081" spans="2:9" ht="15.75">
      <c r="C7081" s="949"/>
      <c r="D7081" s="946"/>
      <c r="E7081" s="947"/>
      <c r="F7081" s="1054"/>
      <c r="G7081" s="946"/>
      <c r="H7081" s="1031"/>
      <c r="I7081" s="948"/>
    </row>
    <row r="7082" spans="2:9" ht="15.75">
      <c r="C7082" s="951" t="s">
        <v>930</v>
      </c>
      <c r="D7082" s="960"/>
      <c r="E7082" s="975" t="str">
        <f>+E7059</f>
        <v>Ud</v>
      </c>
      <c r="F7082" s="1070"/>
      <c r="G7082" s="960"/>
      <c r="H7082" s="1033"/>
      <c r="I7082" s="952">
        <f>SUM(I7077:I7080)</f>
        <v>11034.77</v>
      </c>
    </row>
    <row r="7083" spans="2:9" ht="15.75">
      <c r="C7083" s="951"/>
      <c r="D7083" s="960"/>
      <c r="E7083" s="943"/>
      <c r="F7083" s="1070"/>
      <c r="G7083" s="960"/>
      <c r="H7083" s="1033"/>
      <c r="I7083" s="952"/>
    </row>
    <row r="7084" spans="2:9" ht="15.75">
      <c r="B7084" s="1026">
        <v>10.3</v>
      </c>
      <c r="C7084" s="937" t="str">
        <f>+Presupuesto!B436</f>
        <v>Fregadero de acero inoxidable (sencillo)</v>
      </c>
      <c r="D7084" s="938"/>
      <c r="E7084" s="962" t="s">
        <v>10</v>
      </c>
      <c r="F7084" s="1066"/>
      <c r="G7084" s="938"/>
      <c r="H7084" s="1029"/>
      <c r="I7084" s="940">
        <f>+I7107</f>
        <v>12750.41</v>
      </c>
    </row>
    <row r="7085" spans="2:9" ht="15.75">
      <c r="C7085" s="941" t="s">
        <v>908</v>
      </c>
      <c r="D7085" s="942" t="s">
        <v>9</v>
      </c>
      <c r="E7085" s="943" t="s">
        <v>10</v>
      </c>
      <c r="F7085" s="1067" t="s">
        <v>909</v>
      </c>
      <c r="G7085" s="942" t="s">
        <v>910</v>
      </c>
      <c r="H7085" s="1030" t="s">
        <v>911</v>
      </c>
      <c r="I7085" s="944" t="s">
        <v>912</v>
      </c>
    </row>
    <row r="7086" spans="2:9" ht="15.75">
      <c r="C7086" s="945" t="s">
        <v>913</v>
      </c>
      <c r="D7086" s="946"/>
      <c r="E7086" s="947"/>
      <c r="F7086" s="1054"/>
      <c r="G7086" s="946"/>
      <c r="H7086" s="1031"/>
      <c r="I7086" s="948"/>
    </row>
    <row r="7087" spans="2:9" ht="15.75">
      <c r="C7087" s="949" t="s">
        <v>1598</v>
      </c>
      <c r="D7087" s="946">
        <v>1.02</v>
      </c>
      <c r="E7087" s="947" t="str">
        <f>+VLOOKUP(C7087,'Basic (equilibrio) (2)'!B:D,2,FALSE)</f>
        <v>ud</v>
      </c>
      <c r="F7087" s="1068">
        <f>'Basic (equilibrio) (2)'!$D$212</f>
        <v>12500.4</v>
      </c>
      <c r="G7087" s="946">
        <f>F7087-(F7087/1.18)</f>
        <v>1906.84</v>
      </c>
      <c r="H7087" s="1031"/>
      <c r="I7087" s="948">
        <f>D7087*F7087</f>
        <v>12750.41</v>
      </c>
    </row>
    <row r="7088" spans="2:9" ht="15.75">
      <c r="C7088" s="951" t="s">
        <v>918</v>
      </c>
      <c r="D7088" s="946"/>
      <c r="E7088" s="947"/>
      <c r="F7088" s="1068"/>
      <c r="G7088" s="946"/>
      <c r="H7088" s="1031"/>
      <c r="I7088" s="952">
        <f>SUM(I7087:I7087)</f>
        <v>12750.41</v>
      </c>
    </row>
    <row r="7089" spans="3:9" ht="15.75">
      <c r="C7089" s="949"/>
      <c r="D7089" s="946"/>
      <c r="E7089" s="947"/>
      <c r="F7089" s="1068"/>
      <c r="G7089" s="946"/>
      <c r="H7089" s="1031"/>
      <c r="I7089" s="948"/>
    </row>
    <row r="7090" spans="3:9" ht="15.75">
      <c r="C7090" s="945" t="s">
        <v>919</v>
      </c>
      <c r="D7090" s="946"/>
      <c r="E7090" s="947"/>
      <c r="F7090" s="1068"/>
      <c r="G7090" s="946"/>
      <c r="H7090" s="1031"/>
      <c r="I7090" s="948"/>
    </row>
    <row r="7091" spans="3:9" ht="15.75">
      <c r="C7091" s="949" t="s">
        <v>924</v>
      </c>
      <c r="D7091" s="953"/>
      <c r="E7091" s="954" t="str">
        <f>+VLOOKUP(C7091,'Basic (equilibrio) (2)'!B:D,2,FALSE)</f>
        <v>n/a</v>
      </c>
      <c r="F7091" s="1068">
        <f>+VLOOKUP(C7091,'Basic (equilibrio) (2)'!B:D,3,FALSE)</f>
        <v>0</v>
      </c>
      <c r="G7091" s="946">
        <v>0</v>
      </c>
      <c r="H7091" s="1031"/>
      <c r="I7091" s="948">
        <f>(D7091*F7091)</f>
        <v>0</v>
      </c>
    </row>
    <row r="7092" spans="3:9" ht="15.75">
      <c r="C7092" s="951" t="s">
        <v>918</v>
      </c>
      <c r="D7092" s="946"/>
      <c r="E7092" s="947"/>
      <c r="F7092" s="1054"/>
      <c r="G7092" s="946"/>
      <c r="H7092" s="1031"/>
      <c r="I7092" s="952">
        <f>SUM(I7091:I7091)</f>
        <v>0</v>
      </c>
    </row>
    <row r="7093" spans="3:9" ht="15.75">
      <c r="C7093" s="949"/>
      <c r="D7093" s="946"/>
      <c r="E7093" s="947"/>
      <c r="F7093" s="1054"/>
      <c r="G7093" s="946"/>
      <c r="H7093" s="1031"/>
      <c r="I7093" s="948"/>
    </row>
    <row r="7094" spans="3:9" ht="15.75">
      <c r="C7094" s="945" t="s">
        <v>923</v>
      </c>
      <c r="D7094" s="946"/>
      <c r="E7094" s="947"/>
      <c r="F7094" s="1054"/>
      <c r="G7094" s="946"/>
      <c r="H7094" s="1031"/>
      <c r="I7094" s="948"/>
    </row>
    <row r="7095" spans="3:9" ht="15.75">
      <c r="C7095" s="949" t="s">
        <v>924</v>
      </c>
      <c r="D7095" s="946"/>
      <c r="E7095" s="947" t="str">
        <f>+VLOOKUP(C7095,'Basic (equilibrio) (2)'!B:D,2,FALSE)</f>
        <v>n/a</v>
      </c>
      <c r="F7095" s="1054">
        <f>+VLOOKUP(C7095,'Basic (equilibrio) (2)'!B:D,3,FALSE)</f>
        <v>0</v>
      </c>
      <c r="G7095" s="946">
        <f>F7095-(F7095/1.18)</f>
        <v>0</v>
      </c>
      <c r="H7095" s="1039"/>
      <c r="I7095" s="955">
        <f>D7095*F7095</f>
        <v>0</v>
      </c>
    </row>
    <row r="7096" spans="3:9" ht="15.75">
      <c r="C7096" s="951" t="s">
        <v>918</v>
      </c>
      <c r="D7096" s="946"/>
      <c r="E7096" s="947"/>
      <c r="F7096" s="1054"/>
      <c r="G7096" s="946"/>
      <c r="H7096" s="1031"/>
      <c r="I7096" s="952">
        <f>SUM(I7095:I7095)</f>
        <v>0</v>
      </c>
    </row>
    <row r="7097" spans="3:9" ht="15.75">
      <c r="C7097" s="949"/>
      <c r="D7097" s="946"/>
      <c r="E7097" s="947"/>
      <c r="F7097" s="1054"/>
      <c r="G7097" s="946"/>
      <c r="H7097" s="1031"/>
      <c r="I7097" s="948"/>
    </row>
    <row r="7098" spans="3:9" ht="15.75">
      <c r="C7098" s="945" t="s">
        <v>925</v>
      </c>
      <c r="D7098" s="946"/>
      <c r="E7098" s="947"/>
      <c r="F7098" s="1054"/>
      <c r="G7098" s="946"/>
      <c r="H7098" s="1031"/>
      <c r="I7098" s="948"/>
    </row>
    <row r="7099" spans="3:9" ht="15.75">
      <c r="C7099" s="949" t="s">
        <v>924</v>
      </c>
      <c r="D7099" s="946"/>
      <c r="E7099" s="947" t="str">
        <f>+VLOOKUP(C7099,'Basic (equilibrio) (2)'!B:D,2,FALSE)</f>
        <v>n/a</v>
      </c>
      <c r="F7099" s="1054">
        <f>+VLOOKUP(C7099,'Basic (equilibrio) (2)'!B:D,3,FALSE)</f>
        <v>0</v>
      </c>
      <c r="G7099" s="946"/>
      <c r="H7099" s="1031"/>
      <c r="I7099" s="948">
        <f>D7099*F7099</f>
        <v>0</v>
      </c>
    </row>
    <row r="7100" spans="3:9" ht="15.75">
      <c r="C7100" s="951" t="s">
        <v>918</v>
      </c>
      <c r="D7100" s="946"/>
      <c r="E7100" s="947"/>
      <c r="F7100" s="1054"/>
      <c r="G7100" s="946"/>
      <c r="H7100" s="1031"/>
      <c r="I7100" s="952">
        <f>SUM(I7099)</f>
        <v>0</v>
      </c>
    </row>
    <row r="7101" spans="3:9" ht="15.75">
      <c r="C7101" s="951"/>
      <c r="D7101" s="946"/>
      <c r="E7101" s="947"/>
      <c r="F7101" s="1054"/>
      <c r="G7101" s="946"/>
      <c r="H7101" s="1031"/>
      <c r="I7101" s="952"/>
    </row>
    <row r="7102" spans="3:9" ht="15.75">
      <c r="C7102" s="956" t="s">
        <v>926</v>
      </c>
      <c r="D7102" s="957"/>
      <c r="E7102" s="958"/>
      <c r="F7102" s="1069"/>
      <c r="G7102" s="957"/>
      <c r="H7102" s="1032"/>
      <c r="I7102" s="959">
        <f>+I7088</f>
        <v>12750.41</v>
      </c>
    </row>
    <row r="7103" spans="3:9" ht="15.75">
      <c r="C7103" s="956" t="s">
        <v>927</v>
      </c>
      <c r="D7103" s="957"/>
      <c r="E7103" s="958"/>
      <c r="F7103" s="1069"/>
      <c r="G7103" s="957"/>
      <c r="H7103" s="1032"/>
      <c r="I7103" s="959">
        <f>+I7092</f>
        <v>0</v>
      </c>
    </row>
    <row r="7104" spans="3:9" ht="15.75">
      <c r="C7104" s="956" t="s">
        <v>928</v>
      </c>
      <c r="D7104" s="957"/>
      <c r="E7104" s="958"/>
      <c r="F7104" s="1069"/>
      <c r="G7104" s="957"/>
      <c r="H7104" s="1032"/>
      <c r="I7104" s="959">
        <f>+I7096</f>
        <v>0</v>
      </c>
    </row>
    <row r="7105" spans="2:9" ht="15.75">
      <c r="C7105" s="956" t="s">
        <v>929</v>
      </c>
      <c r="D7105" s="957"/>
      <c r="E7105" s="958"/>
      <c r="F7105" s="1069"/>
      <c r="G7105" s="957"/>
      <c r="H7105" s="1032"/>
      <c r="I7105" s="959">
        <f>+I7100</f>
        <v>0</v>
      </c>
    </row>
    <row r="7106" spans="2:9" ht="15.75">
      <c r="C7106" s="949"/>
      <c r="D7106" s="946"/>
      <c r="E7106" s="947"/>
      <c r="F7106" s="1054"/>
      <c r="G7106" s="946"/>
      <c r="H7106" s="1031"/>
      <c r="I7106" s="948"/>
    </row>
    <row r="7107" spans="2:9" ht="15.75">
      <c r="C7107" s="951" t="s">
        <v>930</v>
      </c>
      <c r="D7107" s="960"/>
      <c r="E7107" s="975" t="str">
        <f>+E7084</f>
        <v>Ud</v>
      </c>
      <c r="F7107" s="1070"/>
      <c r="G7107" s="960"/>
      <c r="H7107" s="1033"/>
      <c r="I7107" s="952">
        <f>SUM(I7102:I7105)</f>
        <v>12750.41</v>
      </c>
    </row>
    <row r="7108" spans="2:9" ht="15.75">
      <c r="C7108" s="951"/>
      <c r="D7108" s="960"/>
      <c r="E7108" s="943"/>
      <c r="F7108" s="1070"/>
      <c r="G7108" s="960"/>
      <c r="H7108" s="1033"/>
      <c r="I7108" s="952"/>
    </row>
    <row r="7109" spans="2:9" ht="15.75">
      <c r="B7109" s="1026">
        <v>10.4</v>
      </c>
      <c r="C7109" s="937" t="str">
        <f>+Presupuesto!B437</f>
        <v>Ducha</v>
      </c>
      <c r="D7109" s="938"/>
      <c r="E7109" s="962" t="s">
        <v>10</v>
      </c>
      <c r="F7109" s="1066"/>
      <c r="G7109" s="938"/>
      <c r="H7109" s="1029"/>
      <c r="I7109" s="940">
        <f>+I7132</f>
        <v>7333.8</v>
      </c>
    </row>
    <row r="7110" spans="2:9" ht="15.75">
      <c r="C7110" s="941" t="s">
        <v>908</v>
      </c>
      <c r="D7110" s="942" t="s">
        <v>9</v>
      </c>
      <c r="E7110" s="943" t="s">
        <v>10</v>
      </c>
      <c r="F7110" s="1067" t="s">
        <v>909</v>
      </c>
      <c r="G7110" s="942" t="s">
        <v>910</v>
      </c>
      <c r="H7110" s="1030" t="s">
        <v>911</v>
      </c>
      <c r="I7110" s="944" t="s">
        <v>912</v>
      </c>
    </row>
    <row r="7111" spans="2:9" ht="15.75">
      <c r="C7111" s="945" t="s">
        <v>913</v>
      </c>
      <c r="D7111" s="946"/>
      <c r="E7111" s="947"/>
      <c r="F7111" s="1054"/>
      <c r="G7111" s="946"/>
      <c r="H7111" s="1031"/>
      <c r="I7111" s="948"/>
    </row>
    <row r="7112" spans="2:9" ht="15.75">
      <c r="C7112" s="949" t="s">
        <v>1599</v>
      </c>
      <c r="D7112" s="946">
        <v>1.02</v>
      </c>
      <c r="E7112" s="947" t="str">
        <f>+VLOOKUP(C7112,'Basic (equilibrio) (2)'!B:D,2,FALSE)</f>
        <v>ud</v>
      </c>
      <c r="F7112" s="1068">
        <f>'Basic (equilibrio) (2)'!$D$213</f>
        <v>7190</v>
      </c>
      <c r="G7112" s="946">
        <f>F7112-(F7112/1.18)</f>
        <v>1096.78</v>
      </c>
      <c r="H7112" s="1031"/>
      <c r="I7112" s="948">
        <f>D7112*F7112</f>
        <v>7333.8</v>
      </c>
    </row>
    <row r="7113" spans="2:9" ht="15.75">
      <c r="C7113" s="951" t="s">
        <v>918</v>
      </c>
      <c r="D7113" s="946"/>
      <c r="E7113" s="947"/>
      <c r="F7113" s="1068"/>
      <c r="G7113" s="946"/>
      <c r="H7113" s="1031"/>
      <c r="I7113" s="952">
        <f>SUM(I7112:I7112)</f>
        <v>7333.8</v>
      </c>
    </row>
    <row r="7114" spans="2:9" ht="15.75">
      <c r="C7114" s="949"/>
      <c r="D7114" s="946"/>
      <c r="E7114" s="947"/>
      <c r="F7114" s="1068"/>
      <c r="G7114" s="946"/>
      <c r="H7114" s="1031"/>
      <c r="I7114" s="948"/>
    </row>
    <row r="7115" spans="2:9" ht="15.75">
      <c r="C7115" s="945" t="s">
        <v>919</v>
      </c>
      <c r="D7115" s="946"/>
      <c r="E7115" s="947"/>
      <c r="F7115" s="1068"/>
      <c r="G7115" s="946"/>
      <c r="H7115" s="1031"/>
      <c r="I7115" s="948"/>
    </row>
    <row r="7116" spans="2:9" ht="15.75">
      <c r="C7116" s="949" t="s">
        <v>924</v>
      </c>
      <c r="D7116" s="953"/>
      <c r="E7116" s="954" t="str">
        <f>+VLOOKUP(C7116,'Basic (equilibrio) (2)'!B:D,2,FALSE)</f>
        <v>n/a</v>
      </c>
      <c r="F7116" s="1068">
        <f>+VLOOKUP(C7116,'Basic (equilibrio) (2)'!B:D,3,FALSE)</f>
        <v>0</v>
      </c>
      <c r="G7116" s="946">
        <v>0</v>
      </c>
      <c r="H7116" s="1031"/>
      <c r="I7116" s="948">
        <f>(D7116*F7116)</f>
        <v>0</v>
      </c>
    </row>
    <row r="7117" spans="2:9" ht="15.75">
      <c r="C7117" s="951" t="s">
        <v>918</v>
      </c>
      <c r="D7117" s="946"/>
      <c r="E7117" s="947"/>
      <c r="F7117" s="1054"/>
      <c r="G7117" s="946"/>
      <c r="H7117" s="1031"/>
      <c r="I7117" s="952">
        <f>SUM(I7116:I7116)</f>
        <v>0</v>
      </c>
    </row>
    <row r="7118" spans="2:9" ht="15.75">
      <c r="C7118" s="949"/>
      <c r="D7118" s="946"/>
      <c r="E7118" s="947"/>
      <c r="F7118" s="1054"/>
      <c r="G7118" s="946"/>
      <c r="H7118" s="1031"/>
      <c r="I7118" s="948"/>
    </row>
    <row r="7119" spans="2:9" ht="15.75">
      <c r="C7119" s="945" t="s">
        <v>923</v>
      </c>
      <c r="D7119" s="946"/>
      <c r="E7119" s="947"/>
      <c r="F7119" s="1054"/>
      <c r="G7119" s="946"/>
      <c r="H7119" s="1031"/>
      <c r="I7119" s="948"/>
    </row>
    <row r="7120" spans="2:9" ht="15.75">
      <c r="C7120" s="949" t="s">
        <v>924</v>
      </c>
      <c r="D7120" s="946"/>
      <c r="E7120" s="947" t="str">
        <f>+VLOOKUP(C7120,'Basic (equilibrio) (2)'!B:D,2,FALSE)</f>
        <v>n/a</v>
      </c>
      <c r="F7120" s="1054">
        <f>+VLOOKUP(C7120,'Basic (equilibrio) (2)'!B:D,3,FALSE)</f>
        <v>0</v>
      </c>
      <c r="G7120" s="946">
        <f>F7120-(F7120/1.18)</f>
        <v>0</v>
      </c>
      <c r="H7120" s="1039"/>
      <c r="I7120" s="955">
        <f>D7120*F7120</f>
        <v>0</v>
      </c>
    </row>
    <row r="7121" spans="2:9" ht="15.75">
      <c r="C7121" s="951" t="s">
        <v>918</v>
      </c>
      <c r="D7121" s="946"/>
      <c r="E7121" s="947"/>
      <c r="F7121" s="1054"/>
      <c r="G7121" s="946"/>
      <c r="H7121" s="1031"/>
      <c r="I7121" s="952">
        <f>SUM(I7120:I7120)</f>
        <v>0</v>
      </c>
    </row>
    <row r="7122" spans="2:9" ht="15.75">
      <c r="C7122" s="949"/>
      <c r="D7122" s="946"/>
      <c r="E7122" s="947"/>
      <c r="F7122" s="1054"/>
      <c r="G7122" s="946"/>
      <c r="H7122" s="1031"/>
      <c r="I7122" s="948"/>
    </row>
    <row r="7123" spans="2:9" ht="15.75">
      <c r="C7123" s="945" t="s">
        <v>925</v>
      </c>
      <c r="D7123" s="946"/>
      <c r="E7123" s="947"/>
      <c r="F7123" s="1054"/>
      <c r="G7123" s="946"/>
      <c r="H7123" s="1031"/>
      <c r="I7123" s="948"/>
    </row>
    <row r="7124" spans="2:9" ht="15.75">
      <c r="C7124" s="949" t="s">
        <v>924</v>
      </c>
      <c r="D7124" s="946"/>
      <c r="E7124" s="947" t="str">
        <f>+VLOOKUP(C7124,'Basic (equilibrio) (2)'!B:D,2,FALSE)</f>
        <v>n/a</v>
      </c>
      <c r="F7124" s="1054">
        <f>+VLOOKUP(C7124,'Basic (equilibrio) (2)'!B:D,3,FALSE)</f>
        <v>0</v>
      </c>
      <c r="G7124" s="946"/>
      <c r="H7124" s="1031"/>
      <c r="I7124" s="948">
        <f>D7124*F7124</f>
        <v>0</v>
      </c>
    </row>
    <row r="7125" spans="2:9" ht="15.75">
      <c r="C7125" s="951" t="s">
        <v>918</v>
      </c>
      <c r="D7125" s="946"/>
      <c r="E7125" s="947"/>
      <c r="F7125" s="1054"/>
      <c r="G7125" s="946"/>
      <c r="H7125" s="1031"/>
      <c r="I7125" s="952">
        <f>SUM(I7124)</f>
        <v>0</v>
      </c>
    </row>
    <row r="7126" spans="2:9" ht="15.75">
      <c r="C7126" s="951"/>
      <c r="D7126" s="946"/>
      <c r="E7126" s="947"/>
      <c r="F7126" s="1054"/>
      <c r="G7126" s="946"/>
      <c r="H7126" s="1031"/>
      <c r="I7126" s="952"/>
    </row>
    <row r="7127" spans="2:9" ht="15.75">
      <c r="C7127" s="956" t="s">
        <v>926</v>
      </c>
      <c r="D7127" s="957"/>
      <c r="E7127" s="958"/>
      <c r="F7127" s="1069"/>
      <c r="G7127" s="957"/>
      <c r="H7127" s="1032"/>
      <c r="I7127" s="959">
        <f>+I7113</f>
        <v>7333.8</v>
      </c>
    </row>
    <row r="7128" spans="2:9" ht="15.75">
      <c r="C7128" s="956" t="s">
        <v>927</v>
      </c>
      <c r="D7128" s="957"/>
      <c r="E7128" s="958"/>
      <c r="F7128" s="1069"/>
      <c r="G7128" s="957"/>
      <c r="H7128" s="1032"/>
      <c r="I7128" s="959">
        <f>+I7117</f>
        <v>0</v>
      </c>
    </row>
    <row r="7129" spans="2:9" ht="15.75">
      <c r="C7129" s="956" t="s">
        <v>928</v>
      </c>
      <c r="D7129" s="957"/>
      <c r="E7129" s="958"/>
      <c r="F7129" s="1069"/>
      <c r="G7129" s="957"/>
      <c r="H7129" s="1032"/>
      <c r="I7129" s="959">
        <f>+I7121</f>
        <v>0</v>
      </c>
    </row>
    <row r="7130" spans="2:9" ht="15.75">
      <c r="C7130" s="956" t="s">
        <v>929</v>
      </c>
      <c r="D7130" s="957"/>
      <c r="E7130" s="958"/>
      <c r="F7130" s="1069"/>
      <c r="G7130" s="957"/>
      <c r="H7130" s="1032"/>
      <c r="I7130" s="959">
        <f>+I7125</f>
        <v>0</v>
      </c>
    </row>
    <row r="7131" spans="2:9" ht="15.75">
      <c r="C7131" s="949"/>
      <c r="D7131" s="946"/>
      <c r="E7131" s="947"/>
      <c r="F7131" s="1054"/>
      <c r="G7131" s="946"/>
      <c r="H7131" s="1031"/>
      <c r="I7131" s="948"/>
    </row>
    <row r="7132" spans="2:9" ht="15.75">
      <c r="C7132" s="951" t="s">
        <v>930</v>
      </c>
      <c r="D7132" s="960"/>
      <c r="E7132" s="975" t="str">
        <f>+E7109</f>
        <v>Ud</v>
      </c>
      <c r="F7132" s="1070"/>
      <c r="G7132" s="960"/>
      <c r="H7132" s="1033"/>
      <c r="I7132" s="952">
        <f>SUM(I7127:I7130)</f>
        <v>7333.8</v>
      </c>
    </row>
    <row r="7133" spans="2:9" ht="15.75">
      <c r="C7133" s="951"/>
      <c r="D7133" s="960"/>
      <c r="E7133" s="943"/>
      <c r="F7133" s="1070"/>
      <c r="G7133" s="960"/>
      <c r="H7133" s="1033"/>
      <c r="I7133" s="952"/>
    </row>
    <row r="7134" spans="2:9" ht="15.75">
      <c r="B7134" s="1026">
        <v>10.5</v>
      </c>
      <c r="C7134" s="937" t="str">
        <f>+Presupuesto!B438</f>
        <v>Accesorios para Baños</v>
      </c>
      <c r="D7134" s="938"/>
      <c r="E7134" s="962" t="s">
        <v>10</v>
      </c>
      <c r="F7134" s="1066"/>
      <c r="G7134" s="938"/>
      <c r="H7134" s="1029"/>
      <c r="I7134" s="940">
        <f>+I7157</f>
        <v>5467.2</v>
      </c>
    </row>
    <row r="7135" spans="2:9" ht="15.75">
      <c r="C7135" s="941" t="s">
        <v>908</v>
      </c>
      <c r="D7135" s="942" t="s">
        <v>9</v>
      </c>
      <c r="E7135" s="943" t="s">
        <v>10</v>
      </c>
      <c r="F7135" s="1067" t="s">
        <v>909</v>
      </c>
      <c r="G7135" s="942" t="s">
        <v>910</v>
      </c>
      <c r="H7135" s="1030" t="s">
        <v>911</v>
      </c>
      <c r="I7135" s="944" t="s">
        <v>912</v>
      </c>
    </row>
    <row r="7136" spans="2:9" ht="15.75">
      <c r="C7136" s="945" t="s">
        <v>913</v>
      </c>
      <c r="D7136" s="946"/>
      <c r="E7136" s="947"/>
      <c r="F7136" s="1054"/>
      <c r="G7136" s="946"/>
      <c r="H7136" s="1031"/>
      <c r="I7136" s="948"/>
    </row>
    <row r="7137" spans="3:9" ht="15.75">
      <c r="C7137" s="949" t="s">
        <v>1600</v>
      </c>
      <c r="D7137" s="946">
        <v>1.02</v>
      </c>
      <c r="E7137" s="947" t="str">
        <f>+VLOOKUP(C7137,'Basic (equilibrio) (2)'!B:D,2,FALSE)</f>
        <v>ud</v>
      </c>
      <c r="F7137" s="1068">
        <f>'Basic (equilibrio) (2)'!$D$214</f>
        <v>5360</v>
      </c>
      <c r="G7137" s="946">
        <f>F7137-(F7137/1.18)</f>
        <v>817.63</v>
      </c>
      <c r="H7137" s="1031"/>
      <c r="I7137" s="948">
        <f>D7137*F7137</f>
        <v>5467.2</v>
      </c>
    </row>
    <row r="7138" spans="3:9" ht="15.75">
      <c r="C7138" s="951" t="s">
        <v>918</v>
      </c>
      <c r="D7138" s="946"/>
      <c r="E7138" s="947"/>
      <c r="F7138" s="1068"/>
      <c r="G7138" s="946"/>
      <c r="H7138" s="1031"/>
      <c r="I7138" s="952">
        <f>SUM(I7137:I7137)</f>
        <v>5467.2</v>
      </c>
    </row>
    <row r="7139" spans="3:9" ht="15.75">
      <c r="C7139" s="949"/>
      <c r="D7139" s="946"/>
      <c r="E7139" s="947"/>
      <c r="F7139" s="1068"/>
      <c r="G7139" s="946"/>
      <c r="H7139" s="1031"/>
      <c r="I7139" s="948"/>
    </row>
    <row r="7140" spans="3:9" ht="15.75">
      <c r="C7140" s="945" t="s">
        <v>919</v>
      </c>
      <c r="D7140" s="946"/>
      <c r="E7140" s="947"/>
      <c r="F7140" s="1068"/>
      <c r="G7140" s="946"/>
      <c r="H7140" s="1031"/>
      <c r="I7140" s="948"/>
    </row>
    <row r="7141" spans="3:9" ht="15.75">
      <c r="C7141" s="949" t="s">
        <v>924</v>
      </c>
      <c r="D7141" s="953"/>
      <c r="E7141" s="954" t="str">
        <f>+VLOOKUP(C7141,'Basic (equilibrio) (2)'!B:D,2,FALSE)</f>
        <v>n/a</v>
      </c>
      <c r="F7141" s="1068">
        <f>+VLOOKUP(C7141,'Basic (equilibrio) (2)'!B:D,3,FALSE)</f>
        <v>0</v>
      </c>
      <c r="G7141" s="946">
        <v>0</v>
      </c>
      <c r="H7141" s="1031"/>
      <c r="I7141" s="948">
        <f>(D7141*F7141)</f>
        <v>0</v>
      </c>
    </row>
    <row r="7142" spans="3:9" ht="15.75">
      <c r="C7142" s="951" t="s">
        <v>918</v>
      </c>
      <c r="D7142" s="946"/>
      <c r="E7142" s="947"/>
      <c r="F7142" s="1054"/>
      <c r="G7142" s="946"/>
      <c r="H7142" s="1031"/>
      <c r="I7142" s="952">
        <f>SUM(I7141:I7141)</f>
        <v>0</v>
      </c>
    </row>
    <row r="7143" spans="3:9" ht="15.75">
      <c r="C7143" s="949"/>
      <c r="D7143" s="946"/>
      <c r="E7143" s="947"/>
      <c r="F7143" s="1054"/>
      <c r="G7143" s="946"/>
      <c r="H7143" s="1031"/>
      <c r="I7143" s="948"/>
    </row>
    <row r="7144" spans="3:9" ht="15.75">
      <c r="C7144" s="945" t="s">
        <v>923</v>
      </c>
      <c r="D7144" s="946"/>
      <c r="E7144" s="947"/>
      <c r="F7144" s="1054"/>
      <c r="G7144" s="946"/>
      <c r="H7144" s="1031"/>
      <c r="I7144" s="948"/>
    </row>
    <row r="7145" spans="3:9" ht="15.75">
      <c r="C7145" s="949" t="s">
        <v>924</v>
      </c>
      <c r="D7145" s="946"/>
      <c r="E7145" s="947" t="str">
        <f>+VLOOKUP(C7145,'Basic (equilibrio) (2)'!B:D,2,FALSE)</f>
        <v>n/a</v>
      </c>
      <c r="F7145" s="1054">
        <f>+VLOOKUP(C7145,'Basic (equilibrio) (2)'!B:D,3,FALSE)</f>
        <v>0</v>
      </c>
      <c r="G7145" s="946">
        <f>F7145-(F7145/1.18)</f>
        <v>0</v>
      </c>
      <c r="H7145" s="1039"/>
      <c r="I7145" s="955">
        <f>D7145*F7145</f>
        <v>0</v>
      </c>
    </row>
    <row r="7146" spans="3:9" ht="15.75">
      <c r="C7146" s="951" t="s">
        <v>918</v>
      </c>
      <c r="D7146" s="946"/>
      <c r="E7146" s="947"/>
      <c r="F7146" s="1054"/>
      <c r="G7146" s="946"/>
      <c r="H7146" s="1031"/>
      <c r="I7146" s="952">
        <f>SUM(I7145:I7145)</f>
        <v>0</v>
      </c>
    </row>
    <row r="7147" spans="3:9" ht="15.75">
      <c r="C7147" s="949"/>
      <c r="D7147" s="946"/>
      <c r="E7147" s="947"/>
      <c r="F7147" s="1054"/>
      <c r="G7147" s="946"/>
      <c r="H7147" s="1031"/>
      <c r="I7147" s="948"/>
    </row>
    <row r="7148" spans="3:9" ht="15.75">
      <c r="C7148" s="945" t="s">
        <v>925</v>
      </c>
      <c r="D7148" s="946"/>
      <c r="E7148" s="947"/>
      <c r="F7148" s="1054"/>
      <c r="G7148" s="946"/>
      <c r="H7148" s="1031"/>
      <c r="I7148" s="948"/>
    </row>
    <row r="7149" spans="3:9" ht="15.75">
      <c r="C7149" s="949" t="s">
        <v>924</v>
      </c>
      <c r="D7149" s="946"/>
      <c r="E7149" s="947" t="str">
        <f>+VLOOKUP(C7149,'Basic (equilibrio) (2)'!B:D,2,FALSE)</f>
        <v>n/a</v>
      </c>
      <c r="F7149" s="1054">
        <f>+VLOOKUP(C7149,'Basic (equilibrio) (2)'!B:D,3,FALSE)</f>
        <v>0</v>
      </c>
      <c r="G7149" s="946"/>
      <c r="H7149" s="1031"/>
      <c r="I7149" s="948">
        <f>D7149*F7149</f>
        <v>0</v>
      </c>
    </row>
    <row r="7150" spans="3:9" ht="15.75">
      <c r="C7150" s="951" t="s">
        <v>918</v>
      </c>
      <c r="D7150" s="946"/>
      <c r="E7150" s="947"/>
      <c r="F7150" s="1054"/>
      <c r="G7150" s="946"/>
      <c r="H7150" s="1031"/>
      <c r="I7150" s="952">
        <f>SUM(I7149)</f>
        <v>0</v>
      </c>
    </row>
    <row r="7151" spans="3:9" ht="15.75">
      <c r="C7151" s="951"/>
      <c r="D7151" s="946"/>
      <c r="E7151" s="947"/>
      <c r="F7151" s="1054"/>
      <c r="G7151" s="946"/>
      <c r="H7151" s="1031"/>
      <c r="I7151" s="952"/>
    </row>
    <row r="7152" spans="3:9" ht="15.75">
      <c r="C7152" s="956" t="s">
        <v>926</v>
      </c>
      <c r="D7152" s="957"/>
      <c r="E7152" s="958"/>
      <c r="F7152" s="1069"/>
      <c r="G7152" s="957"/>
      <c r="H7152" s="1032"/>
      <c r="I7152" s="959">
        <f>+I7138</f>
        <v>5467.2</v>
      </c>
    </row>
    <row r="7153" spans="2:9" ht="15.75">
      <c r="C7153" s="956" t="s">
        <v>927</v>
      </c>
      <c r="D7153" s="957"/>
      <c r="E7153" s="958"/>
      <c r="F7153" s="1069"/>
      <c r="G7153" s="957"/>
      <c r="H7153" s="1032"/>
      <c r="I7153" s="959">
        <f>+I7142</f>
        <v>0</v>
      </c>
    </row>
    <row r="7154" spans="2:9" ht="15.75">
      <c r="C7154" s="956" t="s">
        <v>928</v>
      </c>
      <c r="D7154" s="957"/>
      <c r="E7154" s="958"/>
      <c r="F7154" s="1069"/>
      <c r="G7154" s="957"/>
      <c r="H7154" s="1032"/>
      <c r="I7154" s="959">
        <f>+I7146</f>
        <v>0</v>
      </c>
    </row>
    <row r="7155" spans="2:9" ht="15.75">
      <c r="C7155" s="956" t="s">
        <v>929</v>
      </c>
      <c r="D7155" s="957"/>
      <c r="E7155" s="958"/>
      <c r="F7155" s="1069"/>
      <c r="G7155" s="957"/>
      <c r="H7155" s="1032"/>
      <c r="I7155" s="959">
        <f>+I7150</f>
        <v>0</v>
      </c>
    </row>
    <row r="7156" spans="2:9" ht="15.75">
      <c r="C7156" s="949"/>
      <c r="D7156" s="946"/>
      <c r="E7156" s="947"/>
      <c r="F7156" s="1054"/>
      <c r="G7156" s="946"/>
      <c r="H7156" s="1031"/>
      <c r="I7156" s="948"/>
    </row>
    <row r="7157" spans="2:9" ht="15.75">
      <c r="C7157" s="951" t="s">
        <v>930</v>
      </c>
      <c r="D7157" s="960"/>
      <c r="E7157" s="975" t="str">
        <f>+E7134</f>
        <v>Ud</v>
      </c>
      <c r="F7157" s="1070"/>
      <c r="G7157" s="960"/>
      <c r="H7157" s="1033"/>
      <c r="I7157" s="952">
        <f>SUM(I7152:I7155)</f>
        <v>5467.2</v>
      </c>
    </row>
    <row r="7158" spans="2:9" ht="15.75">
      <c r="C7158" s="951"/>
      <c r="D7158" s="960"/>
      <c r="E7158" s="943"/>
      <c r="F7158" s="1070"/>
      <c r="G7158" s="960"/>
      <c r="H7158" s="1033"/>
      <c r="I7158" s="952"/>
    </row>
    <row r="7159" spans="2:9" ht="15.75">
      <c r="C7159" s="951"/>
      <c r="D7159" s="960"/>
      <c r="E7159" s="943"/>
      <c r="F7159" s="1070"/>
      <c r="G7159" s="960"/>
      <c r="H7159" s="1033"/>
      <c r="I7159" s="952"/>
    </row>
    <row r="7160" spans="2:9" ht="15.75">
      <c r="B7160" s="1026">
        <v>10.6</v>
      </c>
      <c r="C7160" s="937" t="str">
        <f>+Presupuesto!B439</f>
        <v>Desagüe de piso en 2" PVC</v>
      </c>
      <c r="D7160" s="938"/>
      <c r="E7160" s="962" t="s">
        <v>10</v>
      </c>
      <c r="F7160" s="1066"/>
      <c r="G7160" s="938"/>
      <c r="H7160" s="1029"/>
      <c r="I7160" s="940">
        <f>+I7183</f>
        <v>1382.51</v>
      </c>
    </row>
    <row r="7161" spans="2:9" ht="15.75">
      <c r="C7161" s="941" t="s">
        <v>908</v>
      </c>
      <c r="D7161" s="942" t="s">
        <v>9</v>
      </c>
      <c r="E7161" s="943" t="s">
        <v>10</v>
      </c>
      <c r="F7161" s="1067" t="s">
        <v>909</v>
      </c>
      <c r="G7161" s="942" t="s">
        <v>910</v>
      </c>
      <c r="H7161" s="1030" t="s">
        <v>911</v>
      </c>
      <c r="I7161" s="944" t="s">
        <v>912</v>
      </c>
    </row>
    <row r="7162" spans="2:9" ht="15.75">
      <c r="C7162" s="945" t="s">
        <v>913</v>
      </c>
      <c r="D7162" s="946"/>
      <c r="E7162" s="947"/>
      <c r="F7162" s="1054"/>
      <c r="G7162" s="946"/>
      <c r="H7162" s="1031"/>
      <c r="I7162" s="948"/>
    </row>
    <row r="7163" spans="2:9" ht="15.75">
      <c r="C7163" s="949" t="s">
        <v>1601</v>
      </c>
      <c r="D7163" s="946">
        <v>1.02</v>
      </c>
      <c r="E7163" s="947" t="str">
        <f>+VLOOKUP(C7163,'Basic (equilibrio) (2)'!B:D,2,FALSE)</f>
        <v>ud</v>
      </c>
      <c r="F7163" s="1068">
        <f>'Basic (equilibrio) (2)'!$D$215</f>
        <v>1355.4</v>
      </c>
      <c r="G7163" s="946">
        <f>F7163-(F7163/1.18)</f>
        <v>206.76</v>
      </c>
      <c r="H7163" s="1031"/>
      <c r="I7163" s="948">
        <f>D7163*F7163</f>
        <v>1382.51</v>
      </c>
    </row>
    <row r="7164" spans="2:9" ht="15.75">
      <c r="C7164" s="951" t="s">
        <v>918</v>
      </c>
      <c r="D7164" s="946"/>
      <c r="E7164" s="947"/>
      <c r="F7164" s="1068"/>
      <c r="G7164" s="946"/>
      <c r="H7164" s="1031"/>
      <c r="I7164" s="952">
        <f>SUM(I7163:I7163)</f>
        <v>1382.51</v>
      </c>
    </row>
    <row r="7165" spans="2:9" ht="15.75">
      <c r="C7165" s="949"/>
      <c r="D7165" s="946"/>
      <c r="E7165" s="947"/>
      <c r="F7165" s="1068"/>
      <c r="G7165" s="946"/>
      <c r="H7165" s="1031"/>
      <c r="I7165" s="948"/>
    </row>
    <row r="7166" spans="2:9" ht="15.75">
      <c r="C7166" s="945" t="s">
        <v>919</v>
      </c>
      <c r="D7166" s="946"/>
      <c r="E7166" s="947"/>
      <c r="F7166" s="1068"/>
      <c r="G7166" s="946"/>
      <c r="H7166" s="1031"/>
      <c r="I7166" s="948"/>
    </row>
    <row r="7167" spans="2:9" ht="15.75">
      <c r="C7167" s="949" t="s">
        <v>924</v>
      </c>
      <c r="D7167" s="953"/>
      <c r="E7167" s="954" t="str">
        <f>+VLOOKUP(C7167,'Basic (equilibrio) (2)'!B:D,2,FALSE)</f>
        <v>n/a</v>
      </c>
      <c r="F7167" s="1068">
        <f>+VLOOKUP(C7167,'Basic (equilibrio) (2)'!B:D,3,FALSE)</f>
        <v>0</v>
      </c>
      <c r="G7167" s="946">
        <v>0</v>
      </c>
      <c r="H7167" s="1031"/>
      <c r="I7167" s="948">
        <f>(D7167*F7167)</f>
        <v>0</v>
      </c>
    </row>
    <row r="7168" spans="2:9" ht="15.75">
      <c r="C7168" s="951" t="s">
        <v>918</v>
      </c>
      <c r="D7168" s="946"/>
      <c r="E7168" s="947"/>
      <c r="F7168" s="1054"/>
      <c r="G7168" s="946"/>
      <c r="H7168" s="1031"/>
      <c r="I7168" s="952">
        <f>SUM(I7167:I7167)</f>
        <v>0</v>
      </c>
    </row>
    <row r="7169" spans="3:9" ht="15.75">
      <c r="C7169" s="949"/>
      <c r="D7169" s="946"/>
      <c r="E7169" s="947"/>
      <c r="F7169" s="1054"/>
      <c r="G7169" s="946"/>
      <c r="H7169" s="1031"/>
      <c r="I7169" s="948"/>
    </row>
    <row r="7170" spans="3:9" ht="15.75">
      <c r="C7170" s="945" t="s">
        <v>923</v>
      </c>
      <c r="D7170" s="946"/>
      <c r="E7170" s="947"/>
      <c r="F7170" s="1054"/>
      <c r="G7170" s="946"/>
      <c r="H7170" s="1031"/>
      <c r="I7170" s="948"/>
    </row>
    <row r="7171" spans="3:9" ht="15.75">
      <c r="C7171" s="949" t="s">
        <v>924</v>
      </c>
      <c r="D7171" s="946"/>
      <c r="E7171" s="947" t="str">
        <f>+VLOOKUP(C7171,'Basic (equilibrio) (2)'!B:D,2,FALSE)</f>
        <v>n/a</v>
      </c>
      <c r="F7171" s="1054">
        <f>+VLOOKUP(C7171,'Basic (equilibrio) (2)'!B:D,3,FALSE)</f>
        <v>0</v>
      </c>
      <c r="G7171" s="946">
        <f>F7171-(F7171/1.18)</f>
        <v>0</v>
      </c>
      <c r="H7171" s="1039"/>
      <c r="I7171" s="955">
        <f>D7171*F7171</f>
        <v>0</v>
      </c>
    </row>
    <row r="7172" spans="3:9" ht="15.75">
      <c r="C7172" s="951" t="s">
        <v>918</v>
      </c>
      <c r="D7172" s="946"/>
      <c r="E7172" s="947"/>
      <c r="F7172" s="1054"/>
      <c r="G7172" s="946"/>
      <c r="H7172" s="1031"/>
      <c r="I7172" s="952">
        <f>SUM(I7171:I7171)</f>
        <v>0</v>
      </c>
    </row>
    <row r="7173" spans="3:9" ht="15.75">
      <c r="C7173" s="949"/>
      <c r="D7173" s="946"/>
      <c r="E7173" s="947"/>
      <c r="F7173" s="1054"/>
      <c r="G7173" s="946"/>
      <c r="H7173" s="1031"/>
      <c r="I7173" s="948"/>
    </row>
    <row r="7174" spans="3:9" ht="15.75">
      <c r="C7174" s="945" t="s">
        <v>925</v>
      </c>
      <c r="D7174" s="946"/>
      <c r="E7174" s="947"/>
      <c r="F7174" s="1054"/>
      <c r="G7174" s="946"/>
      <c r="H7174" s="1031"/>
      <c r="I7174" s="948"/>
    </row>
    <row r="7175" spans="3:9" ht="15.75">
      <c r="C7175" s="949" t="s">
        <v>924</v>
      </c>
      <c r="D7175" s="946"/>
      <c r="E7175" s="947" t="str">
        <f>+VLOOKUP(C7175,'Basic (equilibrio) (2)'!B:D,2,FALSE)</f>
        <v>n/a</v>
      </c>
      <c r="F7175" s="1054">
        <f>+VLOOKUP(C7175,'Basic (equilibrio) (2)'!B:D,3,FALSE)</f>
        <v>0</v>
      </c>
      <c r="G7175" s="946"/>
      <c r="H7175" s="1031"/>
      <c r="I7175" s="948">
        <f>D7175*F7175</f>
        <v>0</v>
      </c>
    </row>
    <row r="7176" spans="3:9" ht="15.75">
      <c r="C7176" s="951" t="s">
        <v>918</v>
      </c>
      <c r="D7176" s="946"/>
      <c r="E7176" s="947"/>
      <c r="F7176" s="1054"/>
      <c r="G7176" s="946"/>
      <c r="H7176" s="1031"/>
      <c r="I7176" s="952">
        <f>SUM(I7175)</f>
        <v>0</v>
      </c>
    </row>
    <row r="7177" spans="3:9" ht="15.75">
      <c r="C7177" s="951"/>
      <c r="D7177" s="946"/>
      <c r="E7177" s="947"/>
      <c r="F7177" s="1054"/>
      <c r="G7177" s="946"/>
      <c r="H7177" s="1031"/>
      <c r="I7177" s="952"/>
    </row>
    <row r="7178" spans="3:9" ht="15.75">
      <c r="C7178" s="956" t="s">
        <v>926</v>
      </c>
      <c r="D7178" s="957"/>
      <c r="E7178" s="958"/>
      <c r="F7178" s="1069"/>
      <c r="G7178" s="957"/>
      <c r="H7178" s="1032"/>
      <c r="I7178" s="959">
        <f>+I7164</f>
        <v>1382.51</v>
      </c>
    </row>
    <row r="7179" spans="3:9" ht="15.75">
      <c r="C7179" s="956" t="s">
        <v>927</v>
      </c>
      <c r="D7179" s="957"/>
      <c r="E7179" s="958"/>
      <c r="F7179" s="1069"/>
      <c r="G7179" s="957"/>
      <c r="H7179" s="1032"/>
      <c r="I7179" s="959">
        <f>+I7168</f>
        <v>0</v>
      </c>
    </row>
    <row r="7180" spans="3:9" ht="15.75">
      <c r="C7180" s="956" t="s">
        <v>928</v>
      </c>
      <c r="D7180" s="957"/>
      <c r="E7180" s="958"/>
      <c r="F7180" s="1069"/>
      <c r="G7180" s="957"/>
      <c r="H7180" s="1032"/>
      <c r="I7180" s="959">
        <f>+I7172</f>
        <v>0</v>
      </c>
    </row>
    <row r="7181" spans="3:9" ht="15.75">
      <c r="C7181" s="956" t="s">
        <v>929</v>
      </c>
      <c r="D7181" s="957"/>
      <c r="E7181" s="958"/>
      <c r="F7181" s="1069"/>
      <c r="G7181" s="957"/>
      <c r="H7181" s="1032"/>
      <c r="I7181" s="959">
        <f>+I7176</f>
        <v>0</v>
      </c>
    </row>
    <row r="7182" spans="3:9" ht="15.75">
      <c r="C7182" s="949"/>
      <c r="D7182" s="946"/>
      <c r="E7182" s="947"/>
      <c r="F7182" s="1054"/>
      <c r="G7182" s="946"/>
      <c r="H7182" s="1031"/>
      <c r="I7182" s="948"/>
    </row>
    <row r="7183" spans="3:9" ht="15.75">
      <c r="C7183" s="951" t="s">
        <v>930</v>
      </c>
      <c r="D7183" s="960"/>
      <c r="E7183" s="975" t="str">
        <f>+E7160</f>
        <v>Ud</v>
      </c>
      <c r="F7183" s="1070"/>
      <c r="G7183" s="960"/>
      <c r="H7183" s="1033"/>
      <c r="I7183" s="952">
        <f>SUM(I7178:I7181)</f>
        <v>1382.51</v>
      </c>
    </row>
    <row r="7184" spans="3:9" ht="15.75">
      <c r="C7184" s="951"/>
      <c r="D7184" s="960"/>
      <c r="E7184" s="943"/>
      <c r="F7184" s="1070"/>
      <c r="G7184" s="960"/>
      <c r="H7184" s="1033"/>
      <c r="I7184" s="952"/>
    </row>
    <row r="7185" spans="2:9" ht="15.75">
      <c r="B7185" s="1026">
        <v>10.7</v>
      </c>
      <c r="C7185" s="937" t="str">
        <f>+Presupuesto!B440</f>
        <v>Ventilacion de 3" PVC</v>
      </c>
      <c r="D7185" s="938"/>
      <c r="E7185" s="962" t="s">
        <v>10</v>
      </c>
      <c r="F7185" s="1066"/>
      <c r="G7185" s="938"/>
      <c r="H7185" s="1029"/>
      <c r="I7185" s="940">
        <f>+I7208</f>
        <v>2580.6</v>
      </c>
    </row>
    <row r="7186" spans="2:9" ht="15.75">
      <c r="C7186" s="941" t="s">
        <v>908</v>
      </c>
      <c r="D7186" s="942" t="s">
        <v>9</v>
      </c>
      <c r="E7186" s="943" t="s">
        <v>10</v>
      </c>
      <c r="F7186" s="1067" t="s">
        <v>909</v>
      </c>
      <c r="G7186" s="942" t="s">
        <v>910</v>
      </c>
      <c r="H7186" s="1030" t="s">
        <v>911</v>
      </c>
      <c r="I7186" s="944" t="s">
        <v>912</v>
      </c>
    </row>
    <row r="7187" spans="2:9" ht="15.75">
      <c r="C7187" s="945" t="s">
        <v>913</v>
      </c>
      <c r="D7187" s="946"/>
      <c r="E7187" s="947"/>
      <c r="F7187" s="1054"/>
      <c r="G7187" s="946"/>
      <c r="H7187" s="1031"/>
      <c r="I7187" s="948"/>
    </row>
    <row r="7188" spans="2:9" ht="15.75">
      <c r="C7188" s="949" t="s">
        <v>1602</v>
      </c>
      <c r="D7188" s="946">
        <v>1.02</v>
      </c>
      <c r="E7188" s="947" t="str">
        <f>+VLOOKUP(C7188,'Basic (equilibrio) (2)'!B:D,2,FALSE)</f>
        <v>ud</v>
      </c>
      <c r="F7188" s="1068">
        <f>'Basic (equilibrio) (2)'!$D$216</f>
        <v>2530</v>
      </c>
      <c r="G7188" s="946">
        <f>F7188-(F7188/1.18)</f>
        <v>385.93</v>
      </c>
      <c r="H7188" s="1031"/>
      <c r="I7188" s="948">
        <f>D7188*F7188</f>
        <v>2580.6</v>
      </c>
    </row>
    <row r="7189" spans="2:9" ht="15.75">
      <c r="C7189" s="951" t="s">
        <v>918</v>
      </c>
      <c r="D7189" s="946"/>
      <c r="E7189" s="947"/>
      <c r="F7189" s="1068"/>
      <c r="G7189" s="946"/>
      <c r="H7189" s="1031"/>
      <c r="I7189" s="952">
        <f>SUM(I7188:I7188)</f>
        <v>2580.6</v>
      </c>
    </row>
    <row r="7190" spans="2:9" ht="15.75">
      <c r="C7190" s="949"/>
      <c r="D7190" s="946"/>
      <c r="E7190" s="947"/>
      <c r="F7190" s="1068"/>
      <c r="G7190" s="946"/>
      <c r="H7190" s="1031"/>
      <c r="I7190" s="948"/>
    </row>
    <row r="7191" spans="2:9" ht="15.75">
      <c r="C7191" s="945" t="s">
        <v>919</v>
      </c>
      <c r="D7191" s="946"/>
      <c r="E7191" s="947"/>
      <c r="F7191" s="1068"/>
      <c r="G7191" s="946"/>
      <c r="H7191" s="1031"/>
      <c r="I7191" s="948"/>
    </row>
    <row r="7192" spans="2:9" ht="15.75">
      <c r="C7192" s="949" t="s">
        <v>924</v>
      </c>
      <c r="D7192" s="953"/>
      <c r="E7192" s="954" t="str">
        <f>+VLOOKUP(C7192,'Basic (equilibrio) (2)'!B:D,2,FALSE)</f>
        <v>n/a</v>
      </c>
      <c r="F7192" s="1068">
        <f>+VLOOKUP(C7192,'Basic (equilibrio) (2)'!B:D,3,FALSE)</f>
        <v>0</v>
      </c>
      <c r="G7192" s="946">
        <v>0</v>
      </c>
      <c r="H7192" s="1031"/>
      <c r="I7192" s="948">
        <f>(D7192*F7192)</f>
        <v>0</v>
      </c>
    </row>
    <row r="7193" spans="2:9" ht="15.75">
      <c r="C7193" s="951" t="s">
        <v>918</v>
      </c>
      <c r="D7193" s="946"/>
      <c r="E7193" s="947"/>
      <c r="F7193" s="1054"/>
      <c r="G7193" s="946"/>
      <c r="H7193" s="1031"/>
      <c r="I7193" s="952">
        <f>SUM(I7192:I7192)</f>
        <v>0</v>
      </c>
    </row>
    <row r="7194" spans="2:9" ht="15.75">
      <c r="C7194" s="949"/>
      <c r="D7194" s="946"/>
      <c r="E7194" s="947"/>
      <c r="F7194" s="1054"/>
      <c r="G7194" s="946"/>
      <c r="H7194" s="1031"/>
      <c r="I7194" s="948"/>
    </row>
    <row r="7195" spans="2:9" ht="15.75">
      <c r="C7195" s="945" t="s">
        <v>923</v>
      </c>
      <c r="D7195" s="946"/>
      <c r="E7195" s="947"/>
      <c r="F7195" s="1054"/>
      <c r="G7195" s="946"/>
      <c r="H7195" s="1031"/>
      <c r="I7195" s="948"/>
    </row>
    <row r="7196" spans="2:9" ht="15.75">
      <c r="C7196" s="949" t="s">
        <v>924</v>
      </c>
      <c r="D7196" s="946"/>
      <c r="E7196" s="947" t="str">
        <f>+VLOOKUP(C7196,'Basic (equilibrio) (2)'!B:D,2,FALSE)</f>
        <v>n/a</v>
      </c>
      <c r="F7196" s="1054">
        <f>+VLOOKUP(C7196,'Basic (equilibrio) (2)'!B:D,3,FALSE)</f>
        <v>0</v>
      </c>
      <c r="G7196" s="946">
        <f>F7196-(F7196/1.18)</f>
        <v>0</v>
      </c>
      <c r="H7196" s="1039"/>
      <c r="I7196" s="955">
        <f>D7196*F7196</f>
        <v>0</v>
      </c>
    </row>
    <row r="7197" spans="2:9" ht="15.75">
      <c r="C7197" s="951" t="s">
        <v>918</v>
      </c>
      <c r="D7197" s="946"/>
      <c r="E7197" s="947"/>
      <c r="F7197" s="1054"/>
      <c r="G7197" s="946"/>
      <c r="H7197" s="1031"/>
      <c r="I7197" s="952">
        <f>SUM(I7196:I7196)</f>
        <v>0</v>
      </c>
    </row>
    <row r="7198" spans="2:9" ht="15.75">
      <c r="C7198" s="949"/>
      <c r="D7198" s="946"/>
      <c r="E7198" s="947"/>
      <c r="F7198" s="1054"/>
      <c r="G7198" s="946"/>
      <c r="H7198" s="1031"/>
      <c r="I7198" s="948"/>
    </row>
    <row r="7199" spans="2:9" ht="15.75">
      <c r="C7199" s="945" t="s">
        <v>925</v>
      </c>
      <c r="D7199" s="946"/>
      <c r="E7199" s="947"/>
      <c r="F7199" s="1054"/>
      <c r="G7199" s="946"/>
      <c r="H7199" s="1031"/>
      <c r="I7199" s="948"/>
    </row>
    <row r="7200" spans="2:9" ht="15.75">
      <c r="C7200" s="949" t="s">
        <v>924</v>
      </c>
      <c r="D7200" s="946"/>
      <c r="E7200" s="947" t="str">
        <f>+VLOOKUP(C7200,'Basic (equilibrio) (2)'!B:D,2,FALSE)</f>
        <v>n/a</v>
      </c>
      <c r="F7200" s="1054">
        <f>+VLOOKUP(C7200,'Basic (equilibrio) (2)'!B:D,3,FALSE)</f>
        <v>0</v>
      </c>
      <c r="G7200" s="946"/>
      <c r="H7200" s="1031"/>
      <c r="I7200" s="948">
        <f>D7200*F7200</f>
        <v>0</v>
      </c>
    </row>
    <row r="7201" spans="2:9" ht="15.75">
      <c r="C7201" s="951" t="s">
        <v>918</v>
      </c>
      <c r="D7201" s="946"/>
      <c r="E7201" s="947"/>
      <c r="F7201" s="1054"/>
      <c r="G7201" s="946"/>
      <c r="H7201" s="1031"/>
      <c r="I7201" s="952">
        <f>SUM(I7200)</f>
        <v>0</v>
      </c>
    </row>
    <row r="7202" spans="2:9" ht="15.75">
      <c r="C7202" s="951"/>
      <c r="D7202" s="946"/>
      <c r="E7202" s="947"/>
      <c r="F7202" s="1054"/>
      <c r="G7202" s="946"/>
      <c r="H7202" s="1031"/>
      <c r="I7202" s="952"/>
    </row>
    <row r="7203" spans="2:9" ht="15.75">
      <c r="C7203" s="956" t="s">
        <v>926</v>
      </c>
      <c r="D7203" s="957"/>
      <c r="E7203" s="958"/>
      <c r="F7203" s="1069"/>
      <c r="G7203" s="957"/>
      <c r="H7203" s="1032"/>
      <c r="I7203" s="959">
        <f>+I7189</f>
        <v>2580.6</v>
      </c>
    </row>
    <row r="7204" spans="2:9" ht="15.75">
      <c r="C7204" s="956" t="s">
        <v>927</v>
      </c>
      <c r="D7204" s="957"/>
      <c r="E7204" s="958"/>
      <c r="F7204" s="1069"/>
      <c r="G7204" s="957"/>
      <c r="H7204" s="1032"/>
      <c r="I7204" s="959">
        <f>+I7193</f>
        <v>0</v>
      </c>
    </row>
    <row r="7205" spans="2:9" ht="15.75">
      <c r="C7205" s="956" t="s">
        <v>928</v>
      </c>
      <c r="D7205" s="957"/>
      <c r="E7205" s="958"/>
      <c r="F7205" s="1069"/>
      <c r="G7205" s="957"/>
      <c r="H7205" s="1032"/>
      <c r="I7205" s="959">
        <f>+I7197</f>
        <v>0</v>
      </c>
    </row>
    <row r="7206" spans="2:9" ht="15.75">
      <c r="C7206" s="956" t="s">
        <v>929</v>
      </c>
      <c r="D7206" s="957"/>
      <c r="E7206" s="958"/>
      <c r="F7206" s="1069"/>
      <c r="G7206" s="957"/>
      <c r="H7206" s="1032"/>
      <c r="I7206" s="959">
        <f>+I7201</f>
        <v>0</v>
      </c>
    </row>
    <row r="7207" spans="2:9" ht="15.75">
      <c r="C7207" s="949"/>
      <c r="D7207" s="946"/>
      <c r="E7207" s="947"/>
      <c r="F7207" s="1054"/>
      <c r="G7207" s="946"/>
      <c r="H7207" s="1031"/>
      <c r="I7207" s="948"/>
    </row>
    <row r="7208" spans="2:9" ht="15.75">
      <c r="C7208" s="951" t="s">
        <v>930</v>
      </c>
      <c r="D7208" s="960"/>
      <c r="E7208" s="975" t="str">
        <f>+E7185</f>
        <v>Ud</v>
      </c>
      <c r="F7208" s="1070"/>
      <c r="G7208" s="960"/>
      <c r="H7208" s="1033"/>
      <c r="I7208" s="952">
        <f>SUM(I7203:I7206)</f>
        <v>2580.6</v>
      </c>
    </row>
    <row r="7209" spans="2:9" ht="15.75">
      <c r="C7209" s="951"/>
      <c r="D7209" s="960"/>
      <c r="E7209" s="943"/>
      <c r="F7209" s="1070"/>
      <c r="G7209" s="960"/>
      <c r="H7209" s="1033"/>
      <c r="I7209" s="952"/>
    </row>
    <row r="7210" spans="2:9" ht="15.75">
      <c r="B7210" s="1026">
        <v>10.8</v>
      </c>
      <c r="C7210" s="937" t="str">
        <f>+Presupuesto!B441</f>
        <v>Salidas de Desagüe tuberia PVC 2"</v>
      </c>
      <c r="D7210" s="938"/>
      <c r="E7210" s="962" t="s">
        <v>10</v>
      </c>
      <c r="F7210" s="1066"/>
      <c r="G7210" s="938"/>
      <c r="H7210" s="1029"/>
      <c r="I7210" s="940">
        <f>+I7233</f>
        <v>1382.51</v>
      </c>
    </row>
    <row r="7211" spans="2:9" ht="15.75">
      <c r="C7211" s="941" t="s">
        <v>908</v>
      </c>
      <c r="D7211" s="942" t="s">
        <v>9</v>
      </c>
      <c r="E7211" s="943" t="s">
        <v>10</v>
      </c>
      <c r="F7211" s="1067" t="s">
        <v>909</v>
      </c>
      <c r="G7211" s="942" t="s">
        <v>910</v>
      </c>
      <c r="H7211" s="1030" t="s">
        <v>911</v>
      </c>
      <c r="I7211" s="944" t="s">
        <v>912</v>
      </c>
    </row>
    <row r="7212" spans="2:9" ht="15.75">
      <c r="C7212" s="945" t="s">
        <v>913</v>
      </c>
      <c r="D7212" s="946"/>
      <c r="E7212" s="947"/>
      <c r="F7212" s="1054"/>
      <c r="G7212" s="946"/>
      <c r="H7212" s="1031"/>
      <c r="I7212" s="948"/>
    </row>
    <row r="7213" spans="2:9" ht="15.75">
      <c r="C7213" s="949" t="s">
        <v>1603</v>
      </c>
      <c r="D7213" s="946">
        <v>1.02</v>
      </c>
      <c r="E7213" s="947" t="str">
        <f>+VLOOKUP(C7213,'Basic (equilibrio) (2)'!B:D,2,FALSE)</f>
        <v>ud</v>
      </c>
      <c r="F7213" s="1068">
        <f>'Basic (equilibrio) (2)'!$D$217</f>
        <v>1355.4</v>
      </c>
      <c r="G7213" s="946">
        <f>F7213-(F7213/1.18)</f>
        <v>206.76</v>
      </c>
      <c r="H7213" s="1031"/>
      <c r="I7213" s="948">
        <f>D7213*F7213</f>
        <v>1382.51</v>
      </c>
    </row>
    <row r="7214" spans="2:9" ht="15.75">
      <c r="C7214" s="951" t="s">
        <v>918</v>
      </c>
      <c r="D7214" s="946"/>
      <c r="E7214" s="947"/>
      <c r="F7214" s="1068"/>
      <c r="G7214" s="946"/>
      <c r="H7214" s="1031"/>
      <c r="I7214" s="952">
        <f>SUM(I7213:I7213)</f>
        <v>1382.51</v>
      </c>
    </row>
    <row r="7215" spans="2:9" ht="15.75">
      <c r="C7215" s="949"/>
      <c r="D7215" s="946"/>
      <c r="E7215" s="947"/>
      <c r="F7215" s="1068"/>
      <c r="G7215" s="946"/>
      <c r="H7215" s="1031"/>
      <c r="I7215" s="948"/>
    </row>
    <row r="7216" spans="2:9" ht="15.75">
      <c r="C7216" s="945" t="s">
        <v>919</v>
      </c>
      <c r="D7216" s="946"/>
      <c r="E7216" s="947"/>
      <c r="F7216" s="1068"/>
      <c r="G7216" s="946"/>
      <c r="H7216" s="1031"/>
      <c r="I7216" s="948"/>
    </row>
    <row r="7217" spans="3:9" ht="15.75">
      <c r="C7217" s="949" t="s">
        <v>924</v>
      </c>
      <c r="D7217" s="953"/>
      <c r="E7217" s="954" t="str">
        <f>+VLOOKUP(C7217,'Basic (equilibrio) (2)'!B:D,2,FALSE)</f>
        <v>n/a</v>
      </c>
      <c r="F7217" s="1068">
        <f>+VLOOKUP(C7217,'Basic (equilibrio) (2)'!B:D,3,FALSE)</f>
        <v>0</v>
      </c>
      <c r="G7217" s="946">
        <v>0</v>
      </c>
      <c r="H7217" s="1031"/>
      <c r="I7217" s="948">
        <f>(D7217*F7217)</f>
        <v>0</v>
      </c>
    </row>
    <row r="7218" spans="3:9" ht="15.75">
      <c r="C7218" s="951" t="s">
        <v>918</v>
      </c>
      <c r="D7218" s="946"/>
      <c r="E7218" s="947"/>
      <c r="F7218" s="1054"/>
      <c r="G7218" s="946"/>
      <c r="H7218" s="1031"/>
      <c r="I7218" s="952">
        <f>SUM(I7217:I7217)</f>
        <v>0</v>
      </c>
    </row>
    <row r="7219" spans="3:9" ht="15.75">
      <c r="C7219" s="949"/>
      <c r="D7219" s="946"/>
      <c r="E7219" s="947"/>
      <c r="F7219" s="1054"/>
      <c r="G7219" s="946"/>
      <c r="H7219" s="1031"/>
      <c r="I7219" s="948"/>
    </row>
    <row r="7220" spans="3:9" ht="15.75">
      <c r="C7220" s="945" t="s">
        <v>923</v>
      </c>
      <c r="D7220" s="946"/>
      <c r="E7220" s="947"/>
      <c r="F7220" s="1054"/>
      <c r="G7220" s="946"/>
      <c r="H7220" s="1031"/>
      <c r="I7220" s="948"/>
    </row>
    <row r="7221" spans="3:9" ht="15.75">
      <c r="C7221" s="949" t="s">
        <v>924</v>
      </c>
      <c r="D7221" s="946"/>
      <c r="E7221" s="947" t="str">
        <f>+VLOOKUP(C7221,'Basic (equilibrio) (2)'!B:D,2,FALSE)</f>
        <v>n/a</v>
      </c>
      <c r="F7221" s="1054">
        <f>+VLOOKUP(C7221,'Basic (equilibrio) (2)'!B:D,3,FALSE)</f>
        <v>0</v>
      </c>
      <c r="G7221" s="946">
        <f>F7221-(F7221/1.18)</f>
        <v>0</v>
      </c>
      <c r="H7221" s="1039"/>
      <c r="I7221" s="955">
        <f>D7221*F7221</f>
        <v>0</v>
      </c>
    </row>
    <row r="7222" spans="3:9" ht="15.75">
      <c r="C7222" s="951" t="s">
        <v>918</v>
      </c>
      <c r="D7222" s="946"/>
      <c r="E7222" s="947"/>
      <c r="F7222" s="1054"/>
      <c r="G7222" s="946"/>
      <c r="H7222" s="1031"/>
      <c r="I7222" s="952">
        <f>SUM(I7221:I7221)</f>
        <v>0</v>
      </c>
    </row>
    <row r="7223" spans="3:9" ht="15.75">
      <c r="C7223" s="949"/>
      <c r="D7223" s="946"/>
      <c r="E7223" s="947"/>
      <c r="F7223" s="1054"/>
      <c r="G7223" s="946"/>
      <c r="H7223" s="1031"/>
      <c r="I7223" s="948"/>
    </row>
    <row r="7224" spans="3:9" ht="15.75">
      <c r="C7224" s="945" t="s">
        <v>925</v>
      </c>
      <c r="D7224" s="946"/>
      <c r="E7224" s="947"/>
      <c r="F7224" s="1054"/>
      <c r="G7224" s="946"/>
      <c r="H7224" s="1031"/>
      <c r="I7224" s="948"/>
    </row>
    <row r="7225" spans="3:9" ht="15.75">
      <c r="C7225" s="949" t="s">
        <v>924</v>
      </c>
      <c r="D7225" s="946"/>
      <c r="E7225" s="947" t="str">
        <f>+VLOOKUP(C7225,'Basic (equilibrio) (2)'!B:D,2,FALSE)</f>
        <v>n/a</v>
      </c>
      <c r="F7225" s="1054">
        <f>+VLOOKUP(C7225,'Basic (equilibrio) (2)'!B:D,3,FALSE)</f>
        <v>0</v>
      </c>
      <c r="G7225" s="946"/>
      <c r="H7225" s="1031"/>
      <c r="I7225" s="948">
        <f>D7225*F7225</f>
        <v>0</v>
      </c>
    </row>
    <row r="7226" spans="3:9" ht="15.75">
      <c r="C7226" s="951" t="s">
        <v>918</v>
      </c>
      <c r="D7226" s="946"/>
      <c r="E7226" s="947"/>
      <c r="F7226" s="1054"/>
      <c r="G7226" s="946"/>
      <c r="H7226" s="1031"/>
      <c r="I7226" s="952">
        <f>SUM(I7225)</f>
        <v>0</v>
      </c>
    </row>
    <row r="7227" spans="3:9" ht="15.75">
      <c r="C7227" s="951"/>
      <c r="D7227" s="946"/>
      <c r="E7227" s="947"/>
      <c r="F7227" s="1054"/>
      <c r="G7227" s="946"/>
      <c r="H7227" s="1031"/>
      <c r="I7227" s="952"/>
    </row>
    <row r="7228" spans="3:9" ht="15.75">
      <c r="C7228" s="956" t="s">
        <v>926</v>
      </c>
      <c r="D7228" s="957"/>
      <c r="E7228" s="958"/>
      <c r="F7228" s="1069"/>
      <c r="G7228" s="957"/>
      <c r="H7228" s="1032"/>
      <c r="I7228" s="959">
        <f>+I7214</f>
        <v>1382.51</v>
      </c>
    </row>
    <row r="7229" spans="3:9" ht="15.75">
      <c r="C7229" s="956" t="s">
        <v>927</v>
      </c>
      <c r="D7229" s="957"/>
      <c r="E7229" s="958"/>
      <c r="F7229" s="1069"/>
      <c r="G7229" s="957"/>
      <c r="H7229" s="1032"/>
      <c r="I7229" s="959">
        <f>+I7218</f>
        <v>0</v>
      </c>
    </row>
    <row r="7230" spans="3:9" ht="15.75">
      <c r="C7230" s="956" t="s">
        <v>928</v>
      </c>
      <c r="D7230" s="957"/>
      <c r="E7230" s="958"/>
      <c r="F7230" s="1069"/>
      <c r="G7230" s="957"/>
      <c r="H7230" s="1032"/>
      <c r="I7230" s="959">
        <f>+I7222</f>
        <v>0</v>
      </c>
    </row>
    <row r="7231" spans="3:9" ht="15.75">
      <c r="C7231" s="956" t="s">
        <v>929</v>
      </c>
      <c r="D7231" s="957"/>
      <c r="E7231" s="958"/>
      <c r="F7231" s="1069"/>
      <c r="G7231" s="957"/>
      <c r="H7231" s="1032"/>
      <c r="I7231" s="959">
        <f>+I7226</f>
        <v>0</v>
      </c>
    </row>
    <row r="7232" spans="3:9" ht="15.75">
      <c r="C7232" s="949"/>
      <c r="D7232" s="946"/>
      <c r="E7232" s="947"/>
      <c r="F7232" s="1054"/>
      <c r="G7232" s="946"/>
      <c r="H7232" s="1031"/>
      <c r="I7232" s="948"/>
    </row>
    <row r="7233" spans="2:9" ht="15.75">
      <c r="C7233" s="951" t="s">
        <v>930</v>
      </c>
      <c r="D7233" s="960"/>
      <c r="E7233" s="975" t="str">
        <f>+E7210</f>
        <v>Ud</v>
      </c>
      <c r="F7233" s="1070"/>
      <c r="G7233" s="960"/>
      <c r="H7233" s="1033"/>
      <c r="I7233" s="952">
        <f>SUM(I7228:I7231)</f>
        <v>1382.51</v>
      </c>
    </row>
    <row r="7234" spans="2:9" ht="15.75">
      <c r="C7234" s="951"/>
      <c r="D7234" s="960"/>
      <c r="E7234" s="943"/>
      <c r="F7234" s="1070"/>
      <c r="G7234" s="960"/>
      <c r="H7234" s="1033"/>
      <c r="I7234" s="952"/>
    </row>
    <row r="7235" spans="2:9" ht="15.75">
      <c r="B7235" s="1026">
        <v>10.9</v>
      </c>
      <c r="C7235" s="937" t="str">
        <f>+Presupuesto!B442</f>
        <v>Desagüe de techo Ø 4" PVC</v>
      </c>
      <c r="D7235" s="938"/>
      <c r="E7235" s="962" t="s">
        <v>10</v>
      </c>
      <c r="F7235" s="1066"/>
      <c r="G7235" s="938"/>
      <c r="H7235" s="1029"/>
      <c r="I7235" s="940">
        <f>+I7258</f>
        <v>2073.66</v>
      </c>
    </row>
    <row r="7236" spans="2:9" ht="15.75">
      <c r="C7236" s="941" t="s">
        <v>908</v>
      </c>
      <c r="D7236" s="942" t="s">
        <v>9</v>
      </c>
      <c r="E7236" s="943" t="s">
        <v>10</v>
      </c>
      <c r="F7236" s="1067" t="s">
        <v>909</v>
      </c>
      <c r="G7236" s="942" t="s">
        <v>910</v>
      </c>
      <c r="H7236" s="1030" t="s">
        <v>911</v>
      </c>
      <c r="I7236" s="944" t="s">
        <v>912</v>
      </c>
    </row>
    <row r="7237" spans="2:9" ht="15.75">
      <c r="C7237" s="945" t="s">
        <v>913</v>
      </c>
      <c r="D7237" s="946"/>
      <c r="E7237" s="947"/>
      <c r="F7237" s="1054"/>
      <c r="G7237" s="946"/>
      <c r="H7237" s="1031"/>
      <c r="I7237" s="948"/>
    </row>
    <row r="7238" spans="2:9" ht="15.75">
      <c r="C7238" s="949" t="s">
        <v>1604</v>
      </c>
      <c r="D7238" s="946">
        <v>1.02</v>
      </c>
      <c r="E7238" s="947" t="str">
        <f>+VLOOKUP(C7238,'Basic (equilibrio) (2)'!B:D,2,FALSE)</f>
        <v>ud</v>
      </c>
      <c r="F7238" s="1068">
        <f>'Basic (equilibrio) (2)'!$D$219</f>
        <v>2033</v>
      </c>
      <c r="G7238" s="946">
        <f>F7238-(F7238/1.18)</f>
        <v>310.12</v>
      </c>
      <c r="H7238" s="1031"/>
      <c r="I7238" s="948">
        <f>D7238*F7238</f>
        <v>2073.66</v>
      </c>
    </row>
    <row r="7239" spans="2:9" ht="15.75">
      <c r="C7239" s="951" t="s">
        <v>918</v>
      </c>
      <c r="D7239" s="946"/>
      <c r="E7239" s="947"/>
      <c r="F7239" s="1068"/>
      <c r="G7239" s="946"/>
      <c r="H7239" s="1031"/>
      <c r="I7239" s="952">
        <f>SUM(I7238:I7238)</f>
        <v>2073.66</v>
      </c>
    </row>
    <row r="7240" spans="2:9" ht="15.75">
      <c r="C7240" s="949"/>
      <c r="D7240" s="946"/>
      <c r="E7240" s="947"/>
      <c r="F7240" s="1068"/>
      <c r="G7240" s="946"/>
      <c r="H7240" s="1031"/>
      <c r="I7240" s="948"/>
    </row>
    <row r="7241" spans="2:9" ht="15.75">
      <c r="C7241" s="945" t="s">
        <v>919</v>
      </c>
      <c r="D7241" s="946"/>
      <c r="E7241" s="947"/>
      <c r="F7241" s="1068"/>
      <c r="G7241" s="946"/>
      <c r="H7241" s="1031"/>
      <c r="I7241" s="948"/>
    </row>
    <row r="7242" spans="2:9" ht="15.75">
      <c r="C7242" s="949" t="s">
        <v>924</v>
      </c>
      <c r="D7242" s="953"/>
      <c r="E7242" s="954" t="str">
        <f>+VLOOKUP(C7242,'Basic (equilibrio) (2)'!B:D,2,FALSE)</f>
        <v>n/a</v>
      </c>
      <c r="F7242" s="1068">
        <f>+VLOOKUP(C7242,'Basic (equilibrio) (2)'!B:D,3,FALSE)</f>
        <v>0</v>
      </c>
      <c r="G7242" s="946">
        <v>0</v>
      </c>
      <c r="H7242" s="1031"/>
      <c r="I7242" s="948">
        <f>(D7242*F7242)</f>
        <v>0</v>
      </c>
    </row>
    <row r="7243" spans="2:9" ht="15.75">
      <c r="C7243" s="951" t="s">
        <v>918</v>
      </c>
      <c r="D7243" s="946"/>
      <c r="E7243" s="947"/>
      <c r="F7243" s="1054"/>
      <c r="G7243" s="946"/>
      <c r="H7243" s="1031"/>
      <c r="I7243" s="952">
        <f>SUM(I7242:I7242)</f>
        <v>0</v>
      </c>
    </row>
    <row r="7244" spans="2:9" ht="15.75">
      <c r="C7244" s="949"/>
      <c r="D7244" s="946"/>
      <c r="E7244" s="947"/>
      <c r="F7244" s="1054"/>
      <c r="G7244" s="946"/>
      <c r="H7244" s="1031"/>
      <c r="I7244" s="948"/>
    </row>
    <row r="7245" spans="2:9" ht="15.75">
      <c r="C7245" s="945" t="s">
        <v>923</v>
      </c>
      <c r="D7245" s="946"/>
      <c r="E7245" s="947"/>
      <c r="F7245" s="1054"/>
      <c r="G7245" s="946"/>
      <c r="H7245" s="1031"/>
      <c r="I7245" s="948"/>
    </row>
    <row r="7246" spans="2:9" ht="15.75">
      <c r="C7246" s="949" t="s">
        <v>924</v>
      </c>
      <c r="D7246" s="946"/>
      <c r="E7246" s="947" t="str">
        <f>+VLOOKUP(C7246,'Basic (equilibrio) (2)'!B:D,2,FALSE)</f>
        <v>n/a</v>
      </c>
      <c r="F7246" s="1054">
        <f>+VLOOKUP(C7246,'Basic (equilibrio) (2)'!B:D,3,FALSE)</f>
        <v>0</v>
      </c>
      <c r="G7246" s="946">
        <f>F7246-(F7246/1.18)</f>
        <v>0</v>
      </c>
      <c r="H7246" s="1039"/>
      <c r="I7246" s="955">
        <f>D7246*F7246</f>
        <v>0</v>
      </c>
    </row>
    <row r="7247" spans="2:9" ht="15.75">
      <c r="C7247" s="951" t="s">
        <v>918</v>
      </c>
      <c r="D7247" s="946"/>
      <c r="E7247" s="947"/>
      <c r="F7247" s="1054"/>
      <c r="G7247" s="946"/>
      <c r="H7247" s="1031"/>
      <c r="I7247" s="952">
        <f>SUM(I7246:I7246)</f>
        <v>0</v>
      </c>
    </row>
    <row r="7248" spans="2:9" ht="15.75">
      <c r="C7248" s="949"/>
      <c r="D7248" s="946"/>
      <c r="E7248" s="947"/>
      <c r="F7248" s="1054"/>
      <c r="G7248" s="946"/>
      <c r="H7248" s="1031"/>
      <c r="I7248" s="948"/>
    </row>
    <row r="7249" spans="2:9" ht="15.75">
      <c r="C7249" s="945" t="s">
        <v>925</v>
      </c>
      <c r="D7249" s="946"/>
      <c r="E7249" s="947"/>
      <c r="F7249" s="1054"/>
      <c r="G7249" s="946"/>
      <c r="H7249" s="1031"/>
      <c r="I7249" s="948"/>
    </row>
    <row r="7250" spans="2:9" ht="15.75">
      <c r="C7250" s="949" t="s">
        <v>924</v>
      </c>
      <c r="D7250" s="946"/>
      <c r="E7250" s="947" t="str">
        <f>+VLOOKUP(C7250,'Basic (equilibrio) (2)'!B:D,2,FALSE)</f>
        <v>n/a</v>
      </c>
      <c r="F7250" s="1054">
        <f>+VLOOKUP(C7250,'Basic (equilibrio) (2)'!B:D,3,FALSE)</f>
        <v>0</v>
      </c>
      <c r="G7250" s="946"/>
      <c r="H7250" s="1031"/>
      <c r="I7250" s="948">
        <f>D7250*F7250</f>
        <v>0</v>
      </c>
    </row>
    <row r="7251" spans="2:9" ht="15.75">
      <c r="C7251" s="951" t="s">
        <v>918</v>
      </c>
      <c r="D7251" s="946"/>
      <c r="E7251" s="947"/>
      <c r="F7251" s="1054"/>
      <c r="G7251" s="946"/>
      <c r="H7251" s="1031"/>
      <c r="I7251" s="952">
        <f>SUM(I7250)</f>
        <v>0</v>
      </c>
    </row>
    <row r="7252" spans="2:9" ht="15.75">
      <c r="C7252" s="951"/>
      <c r="D7252" s="946"/>
      <c r="E7252" s="947"/>
      <c r="F7252" s="1054"/>
      <c r="G7252" s="946"/>
      <c r="H7252" s="1031"/>
      <c r="I7252" s="952"/>
    </row>
    <row r="7253" spans="2:9" ht="15.75">
      <c r="C7253" s="956" t="s">
        <v>926</v>
      </c>
      <c r="D7253" s="957"/>
      <c r="E7253" s="958"/>
      <c r="F7253" s="1069"/>
      <c r="G7253" s="957"/>
      <c r="H7253" s="1032"/>
      <c r="I7253" s="959">
        <f>+I7239</f>
        <v>2073.66</v>
      </c>
    </row>
    <row r="7254" spans="2:9" ht="15.75">
      <c r="C7254" s="956" t="s">
        <v>927</v>
      </c>
      <c r="D7254" s="957"/>
      <c r="E7254" s="958"/>
      <c r="F7254" s="1069"/>
      <c r="G7254" s="957"/>
      <c r="H7254" s="1032"/>
      <c r="I7254" s="959">
        <f>+I7243</f>
        <v>0</v>
      </c>
    </row>
    <row r="7255" spans="2:9" ht="15.75">
      <c r="C7255" s="956" t="s">
        <v>928</v>
      </c>
      <c r="D7255" s="957"/>
      <c r="E7255" s="958"/>
      <c r="F7255" s="1069"/>
      <c r="G7255" s="957"/>
      <c r="H7255" s="1032"/>
      <c r="I7255" s="959">
        <f>+I7247</f>
        <v>0</v>
      </c>
    </row>
    <row r="7256" spans="2:9" ht="15.75">
      <c r="C7256" s="956" t="s">
        <v>929</v>
      </c>
      <c r="D7256" s="957"/>
      <c r="E7256" s="958"/>
      <c r="F7256" s="1069"/>
      <c r="G7256" s="957"/>
      <c r="H7256" s="1032"/>
      <c r="I7256" s="959">
        <f>+I7251</f>
        <v>0</v>
      </c>
    </row>
    <row r="7257" spans="2:9" ht="15.75">
      <c r="C7257" s="949"/>
      <c r="D7257" s="946"/>
      <c r="E7257" s="947"/>
      <c r="F7257" s="1054"/>
      <c r="G7257" s="946"/>
      <c r="H7257" s="1031"/>
      <c r="I7257" s="948"/>
    </row>
    <row r="7258" spans="2:9" ht="15.75">
      <c r="C7258" s="951" t="s">
        <v>930</v>
      </c>
      <c r="D7258" s="960"/>
      <c r="E7258" s="975" t="str">
        <f>+E7235</f>
        <v>Ud</v>
      </c>
      <c r="F7258" s="1070"/>
      <c r="G7258" s="960"/>
      <c r="H7258" s="1033"/>
      <c r="I7258" s="952">
        <f>SUM(I7253:I7256)</f>
        <v>2073.66</v>
      </c>
    </row>
    <row r="7259" spans="2:9" ht="15.75">
      <c r="C7259" s="951"/>
      <c r="D7259" s="960"/>
      <c r="E7259" s="943"/>
      <c r="F7259" s="1070"/>
      <c r="G7259" s="960"/>
      <c r="H7259" s="1033"/>
      <c r="I7259" s="952"/>
    </row>
    <row r="7260" spans="2:9" ht="15.75">
      <c r="B7260" s="1062">
        <v>10.1</v>
      </c>
      <c r="C7260" s="937" t="str">
        <f>+Presupuesto!B443</f>
        <v>Trampa de Grasa (1.00m x 1.00m x 1.00m)</v>
      </c>
      <c r="D7260" s="938"/>
      <c r="E7260" s="962" t="s">
        <v>10</v>
      </c>
      <c r="F7260" s="1066"/>
      <c r="G7260" s="938"/>
      <c r="H7260" s="1029"/>
      <c r="I7260" s="940">
        <f>+I7283</f>
        <v>9874.82</v>
      </c>
    </row>
    <row r="7261" spans="2:9" ht="15.75">
      <c r="C7261" s="941" t="s">
        <v>908</v>
      </c>
      <c r="D7261" s="942" t="s">
        <v>9</v>
      </c>
      <c r="E7261" s="943" t="s">
        <v>10</v>
      </c>
      <c r="F7261" s="1067" t="s">
        <v>909</v>
      </c>
      <c r="G7261" s="942" t="s">
        <v>910</v>
      </c>
      <c r="H7261" s="1030" t="s">
        <v>911</v>
      </c>
      <c r="I7261" s="944" t="s">
        <v>912</v>
      </c>
    </row>
    <row r="7262" spans="2:9" ht="15.75">
      <c r="C7262" s="945" t="s">
        <v>913</v>
      </c>
      <c r="D7262" s="946"/>
      <c r="E7262" s="947"/>
      <c r="F7262" s="1054"/>
      <c r="G7262" s="946"/>
      <c r="H7262" s="1031"/>
      <c r="I7262" s="948"/>
    </row>
    <row r="7263" spans="2:9" ht="15.75">
      <c r="C7263" s="949" t="s">
        <v>1605</v>
      </c>
      <c r="D7263" s="946">
        <v>1.02</v>
      </c>
      <c r="E7263" s="947" t="str">
        <f>+VLOOKUP(C7263,'Basic (equilibrio) (2)'!B:D,2,FALSE)</f>
        <v>ud</v>
      </c>
      <c r="F7263" s="1068">
        <f>'Basic (equilibrio) (2)'!$D$220</f>
        <v>9681.2000000000007</v>
      </c>
      <c r="G7263" s="946">
        <f>F7263-(F7263/1.18)</f>
        <v>1476.79</v>
      </c>
      <c r="H7263" s="1031"/>
      <c r="I7263" s="948">
        <f>D7263*F7263</f>
        <v>9874.82</v>
      </c>
    </row>
    <row r="7264" spans="2:9" ht="15.75">
      <c r="C7264" s="951" t="s">
        <v>918</v>
      </c>
      <c r="D7264" s="946"/>
      <c r="E7264" s="947"/>
      <c r="F7264" s="1068"/>
      <c r="G7264" s="946"/>
      <c r="H7264" s="1031"/>
      <c r="I7264" s="952">
        <f>SUM(I7263:I7263)</f>
        <v>9874.82</v>
      </c>
    </row>
    <row r="7265" spans="3:9" ht="15.75">
      <c r="C7265" s="949"/>
      <c r="D7265" s="946"/>
      <c r="E7265" s="947"/>
      <c r="F7265" s="1068"/>
      <c r="G7265" s="946"/>
      <c r="H7265" s="1031"/>
      <c r="I7265" s="948"/>
    </row>
    <row r="7266" spans="3:9" ht="15.75">
      <c r="C7266" s="945" t="s">
        <v>919</v>
      </c>
      <c r="D7266" s="946"/>
      <c r="E7266" s="947"/>
      <c r="F7266" s="1068"/>
      <c r="G7266" s="946"/>
      <c r="H7266" s="1031"/>
      <c r="I7266" s="948"/>
    </row>
    <row r="7267" spans="3:9" ht="15.75">
      <c r="C7267" s="949" t="s">
        <v>924</v>
      </c>
      <c r="D7267" s="953"/>
      <c r="E7267" s="954" t="str">
        <f>+VLOOKUP(C7267,'Basic (equilibrio) (2)'!B:D,2,FALSE)</f>
        <v>n/a</v>
      </c>
      <c r="F7267" s="1068">
        <f>+VLOOKUP(C7267,'Basic (equilibrio) (2)'!B:D,3,FALSE)</f>
        <v>0</v>
      </c>
      <c r="G7267" s="946">
        <v>0</v>
      </c>
      <c r="H7267" s="1031"/>
      <c r="I7267" s="948">
        <f>(D7267*F7267)</f>
        <v>0</v>
      </c>
    </row>
    <row r="7268" spans="3:9" ht="15.75">
      <c r="C7268" s="951" t="s">
        <v>918</v>
      </c>
      <c r="D7268" s="946"/>
      <c r="E7268" s="947"/>
      <c r="F7268" s="1054"/>
      <c r="G7268" s="946"/>
      <c r="H7268" s="1031"/>
      <c r="I7268" s="952">
        <f>SUM(I7267:I7267)</f>
        <v>0</v>
      </c>
    </row>
    <row r="7269" spans="3:9" ht="15.75">
      <c r="C7269" s="949"/>
      <c r="D7269" s="946"/>
      <c r="E7269" s="947"/>
      <c r="F7269" s="1054"/>
      <c r="G7269" s="946"/>
      <c r="H7269" s="1031"/>
      <c r="I7269" s="948"/>
    </row>
    <row r="7270" spans="3:9" ht="15.75">
      <c r="C7270" s="945" t="s">
        <v>923</v>
      </c>
      <c r="D7270" s="946"/>
      <c r="E7270" s="947"/>
      <c r="F7270" s="1054"/>
      <c r="G7270" s="946"/>
      <c r="H7270" s="1031"/>
      <c r="I7270" s="948"/>
    </row>
    <row r="7271" spans="3:9" ht="15.75">
      <c r="C7271" s="949" t="s">
        <v>924</v>
      </c>
      <c r="D7271" s="946"/>
      <c r="E7271" s="947" t="str">
        <f>+VLOOKUP(C7271,'Basic (equilibrio) (2)'!B:D,2,FALSE)</f>
        <v>n/a</v>
      </c>
      <c r="F7271" s="1054">
        <f>+VLOOKUP(C7271,'Basic (equilibrio) (2)'!B:D,3,FALSE)</f>
        <v>0</v>
      </c>
      <c r="G7271" s="946">
        <f>F7271-(F7271/1.18)</f>
        <v>0</v>
      </c>
      <c r="H7271" s="1039"/>
      <c r="I7271" s="955">
        <f>D7271*F7271</f>
        <v>0</v>
      </c>
    </row>
    <row r="7272" spans="3:9" ht="15.75">
      <c r="C7272" s="951" t="s">
        <v>918</v>
      </c>
      <c r="D7272" s="946"/>
      <c r="E7272" s="947"/>
      <c r="F7272" s="1054"/>
      <c r="G7272" s="946"/>
      <c r="H7272" s="1031"/>
      <c r="I7272" s="952">
        <f>SUM(I7271:I7271)</f>
        <v>0</v>
      </c>
    </row>
    <row r="7273" spans="3:9" ht="15.75">
      <c r="C7273" s="949"/>
      <c r="D7273" s="946"/>
      <c r="E7273" s="947"/>
      <c r="F7273" s="1054"/>
      <c r="G7273" s="946"/>
      <c r="H7273" s="1031"/>
      <c r="I7273" s="948"/>
    </row>
    <row r="7274" spans="3:9" ht="15.75">
      <c r="C7274" s="945" t="s">
        <v>925</v>
      </c>
      <c r="D7274" s="946"/>
      <c r="E7274" s="947"/>
      <c r="F7274" s="1054"/>
      <c r="G7274" s="946"/>
      <c r="H7274" s="1031"/>
      <c r="I7274" s="948"/>
    </row>
    <row r="7275" spans="3:9" ht="15.75">
      <c r="C7275" s="949" t="s">
        <v>924</v>
      </c>
      <c r="D7275" s="946"/>
      <c r="E7275" s="947" t="str">
        <f>+VLOOKUP(C7275,'Basic (equilibrio) (2)'!B:D,2,FALSE)</f>
        <v>n/a</v>
      </c>
      <c r="F7275" s="1054">
        <f>+VLOOKUP(C7275,'Basic (equilibrio) (2)'!B:D,3,FALSE)</f>
        <v>0</v>
      </c>
      <c r="G7275" s="946"/>
      <c r="H7275" s="1031"/>
      <c r="I7275" s="948">
        <f>D7275*F7275</f>
        <v>0</v>
      </c>
    </row>
    <row r="7276" spans="3:9" ht="15.75">
      <c r="C7276" s="951" t="s">
        <v>918</v>
      </c>
      <c r="D7276" s="946"/>
      <c r="E7276" s="947"/>
      <c r="F7276" s="1054"/>
      <c r="G7276" s="946"/>
      <c r="H7276" s="1031"/>
      <c r="I7276" s="952">
        <f>SUM(I7275)</f>
        <v>0</v>
      </c>
    </row>
    <row r="7277" spans="3:9" ht="15.75">
      <c r="C7277" s="951"/>
      <c r="D7277" s="946"/>
      <c r="E7277" s="947"/>
      <c r="F7277" s="1054"/>
      <c r="G7277" s="946"/>
      <c r="H7277" s="1031"/>
      <c r="I7277" s="952"/>
    </row>
    <row r="7278" spans="3:9" ht="15.75">
      <c r="C7278" s="956" t="s">
        <v>926</v>
      </c>
      <c r="D7278" s="957"/>
      <c r="E7278" s="958"/>
      <c r="F7278" s="1069"/>
      <c r="G7278" s="957"/>
      <c r="H7278" s="1032"/>
      <c r="I7278" s="959">
        <f>+I7264</f>
        <v>9874.82</v>
      </c>
    </row>
    <row r="7279" spans="3:9" ht="15.75">
      <c r="C7279" s="956" t="s">
        <v>927</v>
      </c>
      <c r="D7279" s="957"/>
      <c r="E7279" s="958"/>
      <c r="F7279" s="1069"/>
      <c r="G7279" s="957"/>
      <c r="H7279" s="1032"/>
      <c r="I7279" s="959">
        <f>+I7268</f>
        <v>0</v>
      </c>
    </row>
    <row r="7280" spans="3:9" ht="15.75">
      <c r="C7280" s="956" t="s">
        <v>928</v>
      </c>
      <c r="D7280" s="957"/>
      <c r="E7280" s="958"/>
      <c r="F7280" s="1069"/>
      <c r="G7280" s="957"/>
      <c r="H7280" s="1032"/>
      <c r="I7280" s="959">
        <f>+I7272</f>
        <v>0</v>
      </c>
    </row>
    <row r="7281" spans="2:9" ht="15.75">
      <c r="C7281" s="956" t="s">
        <v>929</v>
      </c>
      <c r="D7281" s="957"/>
      <c r="E7281" s="958"/>
      <c r="F7281" s="1069"/>
      <c r="G7281" s="957"/>
      <c r="H7281" s="1032"/>
      <c r="I7281" s="959">
        <f>+I7276</f>
        <v>0</v>
      </c>
    </row>
    <row r="7282" spans="2:9" ht="15.75">
      <c r="C7282" s="949"/>
      <c r="D7282" s="946"/>
      <c r="E7282" s="947"/>
      <c r="F7282" s="1054"/>
      <c r="G7282" s="946"/>
      <c r="H7282" s="1031"/>
      <c r="I7282" s="948"/>
    </row>
    <row r="7283" spans="2:9" ht="15.75">
      <c r="C7283" s="951" t="s">
        <v>930</v>
      </c>
      <c r="D7283" s="960"/>
      <c r="E7283" s="975" t="str">
        <f>+E7260</f>
        <v>Ud</v>
      </c>
      <c r="F7283" s="1070"/>
      <c r="G7283" s="960"/>
      <c r="H7283" s="1033"/>
      <c r="I7283" s="952">
        <f>SUM(I7278:I7281)</f>
        <v>9874.82</v>
      </c>
    </row>
    <row r="7284" spans="2:9" ht="15.75">
      <c r="C7284" s="951"/>
      <c r="D7284" s="960"/>
      <c r="E7284" s="943"/>
      <c r="F7284" s="1070"/>
      <c r="G7284" s="960"/>
      <c r="H7284" s="1033"/>
      <c r="I7284" s="952"/>
    </row>
    <row r="7285" spans="2:9" ht="15.75">
      <c r="B7285" s="1062">
        <v>10.11</v>
      </c>
      <c r="C7285" s="937" t="str">
        <f>+Presupuesto!B444</f>
        <v xml:space="preserve">Registro Sanitario (0.60m x 0.60m x 0.70m)  </v>
      </c>
      <c r="D7285" s="938"/>
      <c r="E7285" s="962" t="s">
        <v>10</v>
      </c>
      <c r="F7285" s="1066"/>
      <c r="G7285" s="938"/>
      <c r="H7285" s="1029"/>
      <c r="I7285" s="940">
        <f>+I7308</f>
        <v>5158.1400000000003</v>
      </c>
    </row>
    <row r="7286" spans="2:9" ht="15.75">
      <c r="C7286" s="941" t="s">
        <v>908</v>
      </c>
      <c r="D7286" s="942" t="s">
        <v>9</v>
      </c>
      <c r="E7286" s="943" t="s">
        <v>10</v>
      </c>
      <c r="F7286" s="1067" t="s">
        <v>909</v>
      </c>
      <c r="G7286" s="942" t="s">
        <v>910</v>
      </c>
      <c r="H7286" s="1030" t="s">
        <v>911</v>
      </c>
      <c r="I7286" s="944" t="s">
        <v>912</v>
      </c>
    </row>
    <row r="7287" spans="2:9" ht="15.75">
      <c r="C7287" s="945" t="s">
        <v>913</v>
      </c>
      <c r="D7287" s="946"/>
      <c r="E7287" s="947"/>
      <c r="F7287" s="1054"/>
      <c r="G7287" s="946"/>
      <c r="H7287" s="1031"/>
      <c r="I7287" s="948"/>
    </row>
    <row r="7288" spans="2:9" ht="15.75">
      <c r="C7288" s="949" t="s">
        <v>1606</v>
      </c>
      <c r="D7288" s="946">
        <v>1.02</v>
      </c>
      <c r="E7288" s="947" t="str">
        <f>+VLOOKUP(C7288,'Basic (equilibrio) (2)'!B:D,2,FALSE)</f>
        <v>ud</v>
      </c>
      <c r="F7288" s="1068">
        <f>'Basic (equilibrio) (2)'!$D$221</f>
        <v>5057</v>
      </c>
      <c r="G7288" s="946">
        <f>F7288-(F7288/1.18)</f>
        <v>771.41</v>
      </c>
      <c r="H7288" s="1031"/>
      <c r="I7288" s="948">
        <f>D7288*F7288</f>
        <v>5158.1400000000003</v>
      </c>
    </row>
    <row r="7289" spans="2:9" ht="15.75">
      <c r="C7289" s="951" t="s">
        <v>918</v>
      </c>
      <c r="D7289" s="946"/>
      <c r="E7289" s="947"/>
      <c r="F7289" s="1068"/>
      <c r="G7289" s="946"/>
      <c r="H7289" s="1031"/>
      <c r="I7289" s="952">
        <f>SUM(I7288:I7288)</f>
        <v>5158.1400000000003</v>
      </c>
    </row>
    <row r="7290" spans="2:9" ht="15.75">
      <c r="C7290" s="949"/>
      <c r="D7290" s="946"/>
      <c r="E7290" s="947"/>
      <c r="F7290" s="1068"/>
      <c r="G7290" s="946"/>
      <c r="H7290" s="1031"/>
      <c r="I7290" s="948"/>
    </row>
    <row r="7291" spans="2:9" ht="15.75">
      <c r="C7291" s="945" t="s">
        <v>919</v>
      </c>
      <c r="D7291" s="946"/>
      <c r="E7291" s="947"/>
      <c r="F7291" s="1068"/>
      <c r="G7291" s="946"/>
      <c r="H7291" s="1031"/>
      <c r="I7291" s="948"/>
    </row>
    <row r="7292" spans="2:9" ht="15.75">
      <c r="C7292" s="949" t="s">
        <v>924</v>
      </c>
      <c r="D7292" s="953"/>
      <c r="E7292" s="954" t="str">
        <f>+VLOOKUP(C7292,'Basic (equilibrio) (2)'!B:D,2,FALSE)</f>
        <v>n/a</v>
      </c>
      <c r="F7292" s="1068">
        <f>+VLOOKUP(C7292,'Basic (equilibrio) (2)'!B:D,3,FALSE)</f>
        <v>0</v>
      </c>
      <c r="G7292" s="946">
        <v>0</v>
      </c>
      <c r="H7292" s="1031"/>
      <c r="I7292" s="948">
        <f>(D7292*F7292)</f>
        <v>0</v>
      </c>
    </row>
    <row r="7293" spans="2:9" ht="15.75">
      <c r="C7293" s="951" t="s">
        <v>918</v>
      </c>
      <c r="D7293" s="946"/>
      <c r="E7293" s="947"/>
      <c r="F7293" s="1054"/>
      <c r="G7293" s="946"/>
      <c r="H7293" s="1031"/>
      <c r="I7293" s="952">
        <f>SUM(I7292:I7292)</f>
        <v>0</v>
      </c>
    </row>
    <row r="7294" spans="2:9" ht="15.75">
      <c r="C7294" s="949"/>
      <c r="D7294" s="946"/>
      <c r="E7294" s="947"/>
      <c r="F7294" s="1054"/>
      <c r="G7294" s="946"/>
      <c r="H7294" s="1031"/>
      <c r="I7294" s="948"/>
    </row>
    <row r="7295" spans="2:9" ht="15.75">
      <c r="C7295" s="945" t="s">
        <v>923</v>
      </c>
      <c r="D7295" s="946"/>
      <c r="E7295" s="947"/>
      <c r="F7295" s="1054"/>
      <c r="G7295" s="946"/>
      <c r="H7295" s="1031"/>
      <c r="I7295" s="948"/>
    </row>
    <row r="7296" spans="2:9" ht="15.75">
      <c r="C7296" s="949" t="s">
        <v>924</v>
      </c>
      <c r="D7296" s="946"/>
      <c r="E7296" s="947" t="str">
        <f>+VLOOKUP(C7296,'Basic (equilibrio) (2)'!B:D,2,FALSE)</f>
        <v>n/a</v>
      </c>
      <c r="F7296" s="1054">
        <f>+VLOOKUP(C7296,'Basic (equilibrio) (2)'!B:D,3,FALSE)</f>
        <v>0</v>
      </c>
      <c r="G7296" s="946">
        <f>F7296-(F7296/1.18)</f>
        <v>0</v>
      </c>
      <c r="H7296" s="1039"/>
      <c r="I7296" s="955">
        <f>D7296*F7296</f>
        <v>0</v>
      </c>
    </row>
    <row r="7297" spans="2:9" ht="15.75">
      <c r="C7297" s="951" t="s">
        <v>918</v>
      </c>
      <c r="D7297" s="946"/>
      <c r="E7297" s="947"/>
      <c r="F7297" s="1054"/>
      <c r="G7297" s="946"/>
      <c r="H7297" s="1031"/>
      <c r="I7297" s="952">
        <f>SUM(I7296:I7296)</f>
        <v>0</v>
      </c>
    </row>
    <row r="7298" spans="2:9" ht="15.75">
      <c r="C7298" s="949"/>
      <c r="D7298" s="946"/>
      <c r="E7298" s="947"/>
      <c r="F7298" s="1054"/>
      <c r="G7298" s="946"/>
      <c r="H7298" s="1031"/>
      <c r="I7298" s="948"/>
    </row>
    <row r="7299" spans="2:9" ht="15.75">
      <c r="C7299" s="945" t="s">
        <v>925</v>
      </c>
      <c r="D7299" s="946"/>
      <c r="E7299" s="947"/>
      <c r="F7299" s="1054"/>
      <c r="G7299" s="946"/>
      <c r="H7299" s="1031"/>
      <c r="I7299" s="948"/>
    </row>
    <row r="7300" spans="2:9" ht="15.75">
      <c r="C7300" s="949" t="s">
        <v>924</v>
      </c>
      <c r="D7300" s="946"/>
      <c r="E7300" s="947" t="str">
        <f>+VLOOKUP(C7300,'Basic (equilibrio) (2)'!B:D,2,FALSE)</f>
        <v>n/a</v>
      </c>
      <c r="F7300" s="1054">
        <f>+VLOOKUP(C7300,'Basic (equilibrio) (2)'!B:D,3,FALSE)</f>
        <v>0</v>
      </c>
      <c r="G7300" s="946"/>
      <c r="H7300" s="1031"/>
      <c r="I7300" s="948">
        <f>D7300*F7300</f>
        <v>0</v>
      </c>
    </row>
    <row r="7301" spans="2:9" ht="15.75">
      <c r="C7301" s="951" t="s">
        <v>918</v>
      </c>
      <c r="D7301" s="946"/>
      <c r="E7301" s="947"/>
      <c r="F7301" s="1054"/>
      <c r="G7301" s="946"/>
      <c r="H7301" s="1031"/>
      <c r="I7301" s="952">
        <f>SUM(I7300)</f>
        <v>0</v>
      </c>
    </row>
    <row r="7302" spans="2:9" ht="15.75">
      <c r="C7302" s="951"/>
      <c r="D7302" s="946"/>
      <c r="E7302" s="947"/>
      <c r="F7302" s="1054"/>
      <c r="G7302" s="946"/>
      <c r="H7302" s="1031"/>
      <c r="I7302" s="952"/>
    </row>
    <row r="7303" spans="2:9" ht="15.75">
      <c r="C7303" s="956" t="s">
        <v>926</v>
      </c>
      <c r="D7303" s="957"/>
      <c r="E7303" s="958"/>
      <c r="F7303" s="1069"/>
      <c r="G7303" s="957"/>
      <c r="H7303" s="1032"/>
      <c r="I7303" s="959">
        <f>+I7289</f>
        <v>5158.1400000000003</v>
      </c>
    </row>
    <row r="7304" spans="2:9" ht="15.75">
      <c r="C7304" s="956" t="s">
        <v>927</v>
      </c>
      <c r="D7304" s="957"/>
      <c r="E7304" s="958"/>
      <c r="F7304" s="1069"/>
      <c r="G7304" s="957"/>
      <c r="H7304" s="1032"/>
      <c r="I7304" s="959">
        <f>+I7293</f>
        <v>0</v>
      </c>
    </row>
    <row r="7305" spans="2:9" ht="15.75">
      <c r="C7305" s="956" t="s">
        <v>928</v>
      </c>
      <c r="D7305" s="957"/>
      <c r="E7305" s="958"/>
      <c r="F7305" s="1069"/>
      <c r="G7305" s="957"/>
      <c r="H7305" s="1032"/>
      <c r="I7305" s="959">
        <f>+I7297</f>
        <v>0</v>
      </c>
    </row>
    <row r="7306" spans="2:9" ht="15.75">
      <c r="C7306" s="956" t="s">
        <v>929</v>
      </c>
      <c r="D7306" s="957"/>
      <c r="E7306" s="958"/>
      <c r="F7306" s="1069"/>
      <c r="G7306" s="957"/>
      <c r="H7306" s="1032"/>
      <c r="I7306" s="959">
        <f>+I7301</f>
        <v>0</v>
      </c>
    </row>
    <row r="7307" spans="2:9" ht="15.75">
      <c r="C7307" s="949"/>
      <c r="D7307" s="946"/>
      <c r="E7307" s="947"/>
      <c r="F7307" s="1054"/>
      <c r="G7307" s="946"/>
      <c r="H7307" s="1031"/>
      <c r="I7307" s="948"/>
    </row>
    <row r="7308" spans="2:9" ht="15.75">
      <c r="C7308" s="951" t="s">
        <v>930</v>
      </c>
      <c r="D7308" s="960"/>
      <c r="E7308" s="975" t="str">
        <f>+E7285</f>
        <v>Ud</v>
      </c>
      <c r="F7308" s="1070"/>
      <c r="G7308" s="960"/>
      <c r="H7308" s="1033"/>
      <c r="I7308" s="952">
        <f>SUM(I7303:I7306)</f>
        <v>5158.1400000000003</v>
      </c>
    </row>
    <row r="7309" spans="2:9" ht="15.75">
      <c r="C7309" s="951"/>
      <c r="D7309" s="960"/>
      <c r="E7309" s="943"/>
      <c r="F7309" s="1070"/>
      <c r="G7309" s="960"/>
      <c r="H7309" s="1033"/>
      <c r="I7309" s="952"/>
    </row>
    <row r="7310" spans="2:9" ht="15.75">
      <c r="B7310" s="1062">
        <v>10.119999999999999</v>
      </c>
      <c r="C7310" s="937" t="str">
        <f>+Presupuesto!B445</f>
        <v>Cisterna para 4000 gl (3.6m x 3.00m x 2.00m)</v>
      </c>
      <c r="D7310" s="938"/>
      <c r="E7310" s="962" t="s">
        <v>10</v>
      </c>
      <c r="F7310" s="1066"/>
      <c r="G7310" s="938"/>
      <c r="H7310" s="1029"/>
      <c r="I7310" s="940">
        <f>+I7333</f>
        <v>137305.76999999999</v>
      </c>
    </row>
    <row r="7311" spans="2:9" ht="15.75">
      <c r="C7311" s="941" t="s">
        <v>908</v>
      </c>
      <c r="D7311" s="942" t="s">
        <v>9</v>
      </c>
      <c r="E7311" s="943" t="s">
        <v>10</v>
      </c>
      <c r="F7311" s="1067" t="s">
        <v>909</v>
      </c>
      <c r="G7311" s="942" t="s">
        <v>910</v>
      </c>
      <c r="H7311" s="1030" t="s">
        <v>911</v>
      </c>
      <c r="I7311" s="944" t="s">
        <v>912</v>
      </c>
    </row>
    <row r="7312" spans="2:9" ht="15.75">
      <c r="C7312" s="945" t="s">
        <v>913</v>
      </c>
      <c r="D7312" s="946"/>
      <c r="E7312" s="947"/>
      <c r="F7312" s="1054"/>
      <c r="G7312" s="946"/>
      <c r="H7312" s="1031"/>
      <c r="I7312" s="948"/>
    </row>
    <row r="7313" spans="3:9" ht="15.75">
      <c r="C7313" s="949" t="s">
        <v>1607</v>
      </c>
      <c r="D7313" s="946">
        <v>1.02</v>
      </c>
      <c r="E7313" s="947" t="str">
        <f>+VLOOKUP(C7313,'Basic (equilibrio) (2)'!B:D,2,FALSE)</f>
        <v>ud</v>
      </c>
      <c r="F7313" s="1068">
        <f>'Basic (equilibrio) (2)'!$D$222</f>
        <v>134613.5</v>
      </c>
      <c r="G7313" s="946">
        <f>F7313-(F7313/1.18)</f>
        <v>20534.259999999998</v>
      </c>
      <c r="H7313" s="1031"/>
      <c r="I7313" s="948">
        <f>D7313*F7313</f>
        <v>137305.76999999999</v>
      </c>
    </row>
    <row r="7314" spans="3:9" ht="15.75">
      <c r="C7314" s="951" t="s">
        <v>918</v>
      </c>
      <c r="D7314" s="946"/>
      <c r="E7314" s="947"/>
      <c r="F7314" s="1068"/>
      <c r="G7314" s="946"/>
      <c r="H7314" s="1031"/>
      <c r="I7314" s="952">
        <f>SUM(I7313:I7313)</f>
        <v>137305.76999999999</v>
      </c>
    </row>
    <row r="7315" spans="3:9" ht="15.75">
      <c r="C7315" s="949"/>
      <c r="D7315" s="946"/>
      <c r="E7315" s="947"/>
      <c r="F7315" s="1068"/>
      <c r="G7315" s="946"/>
      <c r="H7315" s="1031"/>
      <c r="I7315" s="948"/>
    </row>
    <row r="7316" spans="3:9" ht="15.75">
      <c r="C7316" s="945" t="s">
        <v>919</v>
      </c>
      <c r="D7316" s="946"/>
      <c r="E7316" s="947"/>
      <c r="F7316" s="1068"/>
      <c r="G7316" s="946"/>
      <c r="H7316" s="1031"/>
      <c r="I7316" s="948"/>
    </row>
    <row r="7317" spans="3:9" ht="15.75">
      <c r="C7317" s="949" t="s">
        <v>924</v>
      </c>
      <c r="D7317" s="953"/>
      <c r="E7317" s="954" t="str">
        <f>+VLOOKUP(C7317,'Basic (equilibrio) (2)'!B:D,2,FALSE)</f>
        <v>n/a</v>
      </c>
      <c r="F7317" s="1068">
        <f>+VLOOKUP(C7317,'Basic (equilibrio) (2)'!B:D,3,FALSE)</f>
        <v>0</v>
      </c>
      <c r="G7317" s="946">
        <v>0</v>
      </c>
      <c r="H7317" s="1031"/>
      <c r="I7317" s="948">
        <f>(D7317*F7317)</f>
        <v>0</v>
      </c>
    </row>
    <row r="7318" spans="3:9" ht="15.75">
      <c r="C7318" s="951" t="s">
        <v>918</v>
      </c>
      <c r="D7318" s="946"/>
      <c r="E7318" s="947"/>
      <c r="F7318" s="1054"/>
      <c r="G7318" s="946"/>
      <c r="H7318" s="1031"/>
      <c r="I7318" s="952">
        <f>SUM(I7317:I7317)</f>
        <v>0</v>
      </c>
    </row>
    <row r="7319" spans="3:9" ht="15.75">
      <c r="C7319" s="949"/>
      <c r="D7319" s="946"/>
      <c r="E7319" s="947"/>
      <c r="F7319" s="1054"/>
      <c r="G7319" s="946"/>
      <c r="H7319" s="1031"/>
      <c r="I7319" s="948"/>
    </row>
    <row r="7320" spans="3:9" ht="15.75">
      <c r="C7320" s="945" t="s">
        <v>923</v>
      </c>
      <c r="D7320" s="946"/>
      <c r="E7320" s="947"/>
      <c r="F7320" s="1054"/>
      <c r="G7320" s="946"/>
      <c r="H7320" s="1031"/>
      <c r="I7320" s="948"/>
    </row>
    <row r="7321" spans="3:9" ht="15.75">
      <c r="C7321" s="949" t="s">
        <v>924</v>
      </c>
      <c r="D7321" s="946"/>
      <c r="E7321" s="947" t="str">
        <f>+VLOOKUP(C7321,'Basic (equilibrio) (2)'!B:D,2,FALSE)</f>
        <v>n/a</v>
      </c>
      <c r="F7321" s="1054">
        <f>+VLOOKUP(C7321,'Basic (equilibrio) (2)'!B:D,3,FALSE)</f>
        <v>0</v>
      </c>
      <c r="G7321" s="946">
        <f>F7321-(F7321/1.18)</f>
        <v>0</v>
      </c>
      <c r="H7321" s="1039"/>
      <c r="I7321" s="955">
        <f>D7321*F7321</f>
        <v>0</v>
      </c>
    </row>
    <row r="7322" spans="3:9" ht="15.75">
      <c r="C7322" s="951" t="s">
        <v>918</v>
      </c>
      <c r="D7322" s="946"/>
      <c r="E7322" s="947"/>
      <c r="F7322" s="1054"/>
      <c r="G7322" s="946"/>
      <c r="H7322" s="1031"/>
      <c r="I7322" s="952">
        <f>SUM(I7321:I7321)</f>
        <v>0</v>
      </c>
    </row>
    <row r="7323" spans="3:9" ht="15.75">
      <c r="C7323" s="949"/>
      <c r="D7323" s="946"/>
      <c r="E7323" s="947"/>
      <c r="F7323" s="1054"/>
      <c r="G7323" s="946"/>
      <c r="H7323" s="1031"/>
      <c r="I7323" s="948"/>
    </row>
    <row r="7324" spans="3:9" ht="15.75">
      <c r="C7324" s="945" t="s">
        <v>925</v>
      </c>
      <c r="D7324" s="946"/>
      <c r="E7324" s="947"/>
      <c r="F7324" s="1054"/>
      <c r="G7324" s="946"/>
      <c r="H7324" s="1031"/>
      <c r="I7324" s="948"/>
    </row>
    <row r="7325" spans="3:9" ht="15.75">
      <c r="C7325" s="949" t="s">
        <v>924</v>
      </c>
      <c r="D7325" s="946"/>
      <c r="E7325" s="947" t="str">
        <f>+VLOOKUP(C7325,'Basic (equilibrio) (2)'!B:D,2,FALSE)</f>
        <v>n/a</v>
      </c>
      <c r="F7325" s="1054">
        <f>+VLOOKUP(C7325,'Basic (equilibrio) (2)'!B:D,3,FALSE)</f>
        <v>0</v>
      </c>
      <c r="G7325" s="946"/>
      <c r="H7325" s="1031"/>
      <c r="I7325" s="948">
        <f>D7325*F7325</f>
        <v>0</v>
      </c>
    </row>
    <row r="7326" spans="3:9" ht="15.75">
      <c r="C7326" s="951" t="s">
        <v>918</v>
      </c>
      <c r="D7326" s="946"/>
      <c r="E7326" s="947"/>
      <c r="F7326" s="1054"/>
      <c r="G7326" s="946"/>
      <c r="H7326" s="1031"/>
      <c r="I7326" s="952">
        <f>SUM(I7325)</f>
        <v>0</v>
      </c>
    </row>
    <row r="7327" spans="3:9" ht="15.75">
      <c r="C7327" s="951"/>
      <c r="D7327" s="946"/>
      <c r="E7327" s="947"/>
      <c r="F7327" s="1054"/>
      <c r="G7327" s="946"/>
      <c r="H7327" s="1031"/>
      <c r="I7327" s="952"/>
    </row>
    <row r="7328" spans="3:9" ht="15.75">
      <c r="C7328" s="956" t="s">
        <v>926</v>
      </c>
      <c r="D7328" s="957"/>
      <c r="E7328" s="958"/>
      <c r="F7328" s="1069"/>
      <c r="G7328" s="957"/>
      <c r="H7328" s="1032"/>
      <c r="I7328" s="959">
        <f>+I7314</f>
        <v>137305.76999999999</v>
      </c>
    </row>
    <row r="7329" spans="2:9" ht="15.75">
      <c r="C7329" s="956" t="s">
        <v>927</v>
      </c>
      <c r="D7329" s="957"/>
      <c r="E7329" s="958"/>
      <c r="F7329" s="1069"/>
      <c r="G7329" s="957"/>
      <c r="H7329" s="1032"/>
      <c r="I7329" s="959">
        <f>+I7318</f>
        <v>0</v>
      </c>
    </row>
    <row r="7330" spans="2:9" ht="15.75">
      <c r="C7330" s="956" t="s">
        <v>928</v>
      </c>
      <c r="D7330" s="957"/>
      <c r="E7330" s="958"/>
      <c r="F7330" s="1069"/>
      <c r="G7330" s="957"/>
      <c r="H7330" s="1032"/>
      <c r="I7330" s="959">
        <f>+I7322</f>
        <v>0</v>
      </c>
    </row>
    <row r="7331" spans="2:9" ht="15.75">
      <c r="C7331" s="956" t="s">
        <v>929</v>
      </c>
      <c r="D7331" s="957"/>
      <c r="E7331" s="958"/>
      <c r="F7331" s="1069"/>
      <c r="G7331" s="957"/>
      <c r="H7331" s="1032"/>
      <c r="I7331" s="959">
        <f>+I7326</f>
        <v>0</v>
      </c>
    </row>
    <row r="7332" spans="2:9" ht="15.75">
      <c r="C7332" s="949"/>
      <c r="D7332" s="946"/>
      <c r="E7332" s="947"/>
      <c r="F7332" s="1054"/>
      <c r="G7332" s="946"/>
      <c r="H7332" s="1031"/>
      <c r="I7332" s="948"/>
    </row>
    <row r="7333" spans="2:9" ht="15.75">
      <c r="C7333" s="951" t="s">
        <v>930</v>
      </c>
      <c r="D7333" s="960"/>
      <c r="E7333" s="975" t="str">
        <f>+E7310</f>
        <v>Ud</v>
      </c>
      <c r="F7333" s="1070"/>
      <c r="G7333" s="960"/>
      <c r="H7333" s="1033"/>
      <c r="I7333" s="952">
        <f>SUM(I7328:I7331)</f>
        <v>137305.76999999999</v>
      </c>
    </row>
    <row r="7334" spans="2:9" ht="15.75">
      <c r="C7334" s="951"/>
      <c r="D7334" s="960"/>
      <c r="E7334" s="943"/>
      <c r="F7334" s="1070"/>
      <c r="G7334" s="960"/>
      <c r="H7334" s="1033"/>
      <c r="I7334" s="952"/>
    </row>
    <row r="7335" spans="2:9" ht="15.75">
      <c r="B7335" s="1062">
        <v>10.130000000000001</v>
      </c>
      <c r="C7335" s="937" t="str">
        <f>+Presupuesto!B446</f>
        <v>Cámara Septica (1.70m x 3.40m x 1.60m)</v>
      </c>
      <c r="D7335" s="938"/>
      <c r="E7335" s="962" t="s">
        <v>10</v>
      </c>
      <c r="F7335" s="1066"/>
      <c r="G7335" s="938"/>
      <c r="H7335" s="1029"/>
      <c r="I7335" s="940">
        <f>+I7358</f>
        <v>66139.960000000006</v>
      </c>
    </row>
    <row r="7336" spans="2:9" ht="15.75">
      <c r="C7336" s="941" t="s">
        <v>908</v>
      </c>
      <c r="D7336" s="942" t="s">
        <v>9</v>
      </c>
      <c r="E7336" s="943" t="s">
        <v>10</v>
      </c>
      <c r="F7336" s="1067" t="s">
        <v>909</v>
      </c>
      <c r="G7336" s="942" t="s">
        <v>910</v>
      </c>
      <c r="H7336" s="1030" t="s">
        <v>911</v>
      </c>
      <c r="I7336" s="944" t="s">
        <v>912</v>
      </c>
    </row>
    <row r="7337" spans="2:9" ht="15.75">
      <c r="C7337" s="945" t="s">
        <v>913</v>
      </c>
      <c r="D7337" s="946"/>
      <c r="E7337" s="947"/>
      <c r="F7337" s="1054"/>
      <c r="G7337" s="946"/>
      <c r="H7337" s="1031"/>
      <c r="I7337" s="948"/>
    </row>
    <row r="7338" spans="2:9" ht="15.75">
      <c r="C7338" s="949" t="s">
        <v>1608</v>
      </c>
      <c r="D7338" s="946">
        <v>1.02</v>
      </c>
      <c r="E7338" s="947" t="str">
        <f>+VLOOKUP(C7338,'Basic (equilibrio) (2)'!B:D,2,FALSE)</f>
        <v>ud</v>
      </c>
      <c r="F7338" s="1068">
        <f>'Basic (equilibrio) (2)'!$D$223</f>
        <v>64843.1</v>
      </c>
      <c r="G7338" s="946">
        <f>F7338-(F7338/1.18)</f>
        <v>9891.32</v>
      </c>
      <c r="H7338" s="1031"/>
      <c r="I7338" s="948">
        <f>D7338*F7338</f>
        <v>66139.960000000006</v>
      </c>
    </row>
    <row r="7339" spans="2:9" ht="15.75">
      <c r="C7339" s="951" t="s">
        <v>918</v>
      </c>
      <c r="D7339" s="946"/>
      <c r="E7339" s="947"/>
      <c r="F7339" s="1068"/>
      <c r="G7339" s="946"/>
      <c r="H7339" s="1031"/>
      <c r="I7339" s="952">
        <f>SUM(I7338:I7338)</f>
        <v>66139.960000000006</v>
      </c>
    </row>
    <row r="7340" spans="2:9" ht="15.75">
      <c r="C7340" s="949"/>
      <c r="D7340" s="946"/>
      <c r="E7340" s="947"/>
      <c r="F7340" s="1068"/>
      <c r="G7340" s="946"/>
      <c r="H7340" s="1031"/>
      <c r="I7340" s="948"/>
    </row>
    <row r="7341" spans="2:9" ht="15.75">
      <c r="C7341" s="945" t="s">
        <v>919</v>
      </c>
      <c r="D7341" s="946"/>
      <c r="E7341" s="947"/>
      <c r="F7341" s="1068"/>
      <c r="G7341" s="946"/>
      <c r="H7341" s="1031"/>
      <c r="I7341" s="948"/>
    </row>
    <row r="7342" spans="2:9" ht="15.75">
      <c r="C7342" s="949" t="s">
        <v>924</v>
      </c>
      <c r="D7342" s="953"/>
      <c r="E7342" s="954" t="str">
        <f>+VLOOKUP(C7342,'Basic (equilibrio) (2)'!B:D,2,FALSE)</f>
        <v>n/a</v>
      </c>
      <c r="F7342" s="1068">
        <f>+VLOOKUP(C7342,'Basic (equilibrio) (2)'!B:D,3,FALSE)</f>
        <v>0</v>
      </c>
      <c r="G7342" s="946">
        <v>0</v>
      </c>
      <c r="H7342" s="1031"/>
      <c r="I7342" s="948">
        <f>(D7342*F7342)</f>
        <v>0</v>
      </c>
    </row>
    <row r="7343" spans="2:9" ht="15.75">
      <c r="C7343" s="951" t="s">
        <v>918</v>
      </c>
      <c r="D7343" s="946"/>
      <c r="E7343" s="947"/>
      <c r="F7343" s="1054"/>
      <c r="G7343" s="946"/>
      <c r="H7343" s="1031"/>
      <c r="I7343" s="952">
        <f>SUM(I7342:I7342)</f>
        <v>0</v>
      </c>
    </row>
    <row r="7344" spans="2:9" ht="15.75">
      <c r="C7344" s="949"/>
      <c r="D7344" s="946"/>
      <c r="E7344" s="947"/>
      <c r="F7344" s="1054"/>
      <c r="G7344" s="946"/>
      <c r="H7344" s="1031"/>
      <c r="I7344" s="948"/>
    </row>
    <row r="7345" spans="2:9" ht="15.75">
      <c r="C7345" s="945" t="s">
        <v>923</v>
      </c>
      <c r="D7345" s="946"/>
      <c r="E7345" s="947"/>
      <c r="F7345" s="1054"/>
      <c r="G7345" s="946"/>
      <c r="H7345" s="1031"/>
      <c r="I7345" s="948"/>
    </row>
    <row r="7346" spans="2:9" ht="15.75">
      <c r="C7346" s="949" t="s">
        <v>924</v>
      </c>
      <c r="D7346" s="946"/>
      <c r="E7346" s="947" t="str">
        <f>+VLOOKUP(C7346,'Basic (equilibrio) (2)'!B:D,2,FALSE)</f>
        <v>n/a</v>
      </c>
      <c r="F7346" s="1054">
        <f>+VLOOKUP(C7346,'Basic (equilibrio) (2)'!B:D,3,FALSE)</f>
        <v>0</v>
      </c>
      <c r="G7346" s="946">
        <f>F7346-(F7346/1.18)</f>
        <v>0</v>
      </c>
      <c r="H7346" s="1039"/>
      <c r="I7346" s="955">
        <f>D7346*F7346</f>
        <v>0</v>
      </c>
    </row>
    <row r="7347" spans="2:9" ht="15.75">
      <c r="C7347" s="951" t="s">
        <v>918</v>
      </c>
      <c r="D7347" s="946"/>
      <c r="E7347" s="947"/>
      <c r="F7347" s="1054"/>
      <c r="G7347" s="946"/>
      <c r="H7347" s="1031"/>
      <c r="I7347" s="952">
        <f>SUM(I7346:I7346)</f>
        <v>0</v>
      </c>
    </row>
    <row r="7348" spans="2:9" ht="15.75">
      <c r="C7348" s="949"/>
      <c r="D7348" s="946"/>
      <c r="E7348" s="947"/>
      <c r="F7348" s="1054"/>
      <c r="G7348" s="946"/>
      <c r="H7348" s="1031"/>
      <c r="I7348" s="948"/>
    </row>
    <row r="7349" spans="2:9" ht="15.75">
      <c r="C7349" s="945" t="s">
        <v>925</v>
      </c>
      <c r="D7349" s="946"/>
      <c r="E7349" s="947"/>
      <c r="F7349" s="1054"/>
      <c r="G7349" s="946"/>
      <c r="H7349" s="1031"/>
      <c r="I7349" s="948"/>
    </row>
    <row r="7350" spans="2:9" ht="15.75">
      <c r="C7350" s="949" t="s">
        <v>924</v>
      </c>
      <c r="D7350" s="946"/>
      <c r="E7350" s="947" t="str">
        <f>+VLOOKUP(C7350,'Basic (equilibrio) (2)'!B:D,2,FALSE)</f>
        <v>n/a</v>
      </c>
      <c r="F7350" s="1054">
        <f>+VLOOKUP(C7350,'Basic (equilibrio) (2)'!B:D,3,FALSE)</f>
        <v>0</v>
      </c>
      <c r="G7350" s="946"/>
      <c r="H7350" s="1031"/>
      <c r="I7350" s="948">
        <f>D7350*F7350</f>
        <v>0</v>
      </c>
    </row>
    <row r="7351" spans="2:9" ht="15.75">
      <c r="C7351" s="951" t="s">
        <v>918</v>
      </c>
      <c r="D7351" s="946"/>
      <c r="E7351" s="947"/>
      <c r="F7351" s="1054"/>
      <c r="G7351" s="946"/>
      <c r="H7351" s="1031"/>
      <c r="I7351" s="952">
        <f>SUM(I7350)</f>
        <v>0</v>
      </c>
    </row>
    <row r="7352" spans="2:9" ht="15.75">
      <c r="C7352" s="951"/>
      <c r="D7352" s="946"/>
      <c r="E7352" s="947"/>
      <c r="F7352" s="1054"/>
      <c r="G7352" s="946"/>
      <c r="H7352" s="1031"/>
      <c r="I7352" s="952"/>
    </row>
    <row r="7353" spans="2:9" ht="15.75">
      <c r="C7353" s="956" t="s">
        <v>926</v>
      </c>
      <c r="D7353" s="957"/>
      <c r="E7353" s="958"/>
      <c r="F7353" s="1069"/>
      <c r="G7353" s="957"/>
      <c r="H7353" s="1032"/>
      <c r="I7353" s="959">
        <f>+I7339</f>
        <v>66139.960000000006</v>
      </c>
    </row>
    <row r="7354" spans="2:9" ht="15.75">
      <c r="C7354" s="956" t="s">
        <v>927</v>
      </c>
      <c r="D7354" s="957"/>
      <c r="E7354" s="958"/>
      <c r="F7354" s="1069"/>
      <c r="G7354" s="957"/>
      <c r="H7354" s="1032"/>
      <c r="I7354" s="959">
        <f>+I7343</f>
        <v>0</v>
      </c>
    </row>
    <row r="7355" spans="2:9" ht="15.75">
      <c r="C7355" s="956" t="s">
        <v>928</v>
      </c>
      <c r="D7355" s="957"/>
      <c r="E7355" s="958"/>
      <c r="F7355" s="1069"/>
      <c r="G7355" s="957"/>
      <c r="H7355" s="1032"/>
      <c r="I7355" s="959">
        <f>+I7347</f>
        <v>0</v>
      </c>
    </row>
    <row r="7356" spans="2:9" ht="15.75">
      <c r="C7356" s="956" t="s">
        <v>929</v>
      </c>
      <c r="D7356" s="957"/>
      <c r="E7356" s="958"/>
      <c r="F7356" s="1069"/>
      <c r="G7356" s="957"/>
      <c r="H7356" s="1032"/>
      <c r="I7356" s="959">
        <f>+I7351</f>
        <v>0</v>
      </c>
    </row>
    <row r="7357" spans="2:9" ht="15.75">
      <c r="C7357" s="949"/>
      <c r="D7357" s="946"/>
      <c r="E7357" s="947"/>
      <c r="F7357" s="1054"/>
      <c r="G7357" s="946"/>
      <c r="H7357" s="1031"/>
      <c r="I7357" s="948"/>
    </row>
    <row r="7358" spans="2:9" ht="15.75">
      <c r="C7358" s="951" t="s">
        <v>930</v>
      </c>
      <c r="D7358" s="960"/>
      <c r="E7358" s="975" t="str">
        <f>+E7335</f>
        <v>Ud</v>
      </c>
      <c r="F7358" s="1070"/>
      <c r="G7358" s="960"/>
      <c r="H7358" s="1033"/>
      <c r="I7358" s="952">
        <f>SUM(I7353:I7356)</f>
        <v>66139.960000000006</v>
      </c>
    </row>
    <row r="7359" spans="2:9" ht="15.75">
      <c r="C7359" s="951"/>
      <c r="D7359" s="960"/>
      <c r="E7359" s="943"/>
      <c r="F7359" s="1070"/>
      <c r="G7359" s="960"/>
      <c r="H7359" s="1033"/>
      <c r="I7359" s="952"/>
    </row>
    <row r="7360" spans="2:9" ht="15.75">
      <c r="B7360" s="1062">
        <v>10.14</v>
      </c>
      <c r="C7360" s="937" t="str">
        <f>+Presupuesto!B447</f>
        <v>Llave de chorro</v>
      </c>
      <c r="D7360" s="938"/>
      <c r="E7360" s="962" t="s">
        <v>10</v>
      </c>
      <c r="F7360" s="1066"/>
      <c r="G7360" s="938"/>
      <c r="H7360" s="1029"/>
      <c r="I7360" s="940">
        <f>+I7383</f>
        <v>2407.1999999999998</v>
      </c>
    </row>
    <row r="7361" spans="3:9" ht="15.75">
      <c r="C7361" s="941" t="s">
        <v>908</v>
      </c>
      <c r="D7361" s="942" t="s">
        <v>9</v>
      </c>
      <c r="E7361" s="943" t="s">
        <v>10</v>
      </c>
      <c r="F7361" s="1067" t="s">
        <v>909</v>
      </c>
      <c r="G7361" s="942" t="s">
        <v>910</v>
      </c>
      <c r="H7361" s="1030" t="s">
        <v>911</v>
      </c>
      <c r="I7361" s="944" t="s">
        <v>912</v>
      </c>
    </row>
    <row r="7362" spans="3:9" ht="15.75">
      <c r="C7362" s="945" t="s">
        <v>913</v>
      </c>
      <c r="D7362" s="946"/>
      <c r="E7362" s="947"/>
      <c r="F7362" s="1054"/>
      <c r="G7362" s="946"/>
      <c r="H7362" s="1031"/>
      <c r="I7362" s="948"/>
    </row>
    <row r="7363" spans="3:9" ht="15.75">
      <c r="C7363" s="949" t="s">
        <v>1609</v>
      </c>
      <c r="D7363" s="946">
        <v>1.02</v>
      </c>
      <c r="E7363" s="947" t="str">
        <f>+VLOOKUP(C7363,'Basic (equilibrio) (2)'!B:D,2,FALSE)</f>
        <v>ud</v>
      </c>
      <c r="F7363" s="1068">
        <f>'Basic (equilibrio) (2)'!$D$224</f>
        <v>2360</v>
      </c>
      <c r="G7363" s="946">
        <f>F7363-(F7363/1.18)</f>
        <v>360</v>
      </c>
      <c r="H7363" s="1031"/>
      <c r="I7363" s="948">
        <f>D7363*F7363</f>
        <v>2407.1999999999998</v>
      </c>
    </row>
    <row r="7364" spans="3:9" ht="15.75">
      <c r="C7364" s="951" t="s">
        <v>918</v>
      </c>
      <c r="D7364" s="946"/>
      <c r="E7364" s="947"/>
      <c r="F7364" s="1068"/>
      <c r="G7364" s="946"/>
      <c r="H7364" s="1031"/>
      <c r="I7364" s="952">
        <f>SUM(I7363:I7363)</f>
        <v>2407.1999999999998</v>
      </c>
    </row>
    <row r="7365" spans="3:9" ht="15.75">
      <c r="C7365" s="949"/>
      <c r="D7365" s="946"/>
      <c r="E7365" s="947"/>
      <c r="F7365" s="1068"/>
      <c r="G7365" s="946"/>
      <c r="H7365" s="1031"/>
      <c r="I7365" s="948"/>
    </row>
    <row r="7366" spans="3:9" ht="15.75">
      <c r="C7366" s="945" t="s">
        <v>919</v>
      </c>
      <c r="D7366" s="946"/>
      <c r="E7366" s="947"/>
      <c r="F7366" s="1068"/>
      <c r="G7366" s="946"/>
      <c r="H7366" s="1031"/>
      <c r="I7366" s="948"/>
    </row>
    <row r="7367" spans="3:9" ht="15.75">
      <c r="C7367" s="949" t="s">
        <v>924</v>
      </c>
      <c r="D7367" s="953"/>
      <c r="E7367" s="954" t="str">
        <f>+VLOOKUP(C7367,'Basic (equilibrio) (2)'!B:D,2,FALSE)</f>
        <v>n/a</v>
      </c>
      <c r="F7367" s="1068">
        <f>+VLOOKUP(C7367,'Basic (equilibrio) (2)'!B:D,3,FALSE)</f>
        <v>0</v>
      </c>
      <c r="G7367" s="946">
        <v>0</v>
      </c>
      <c r="H7367" s="1031"/>
      <c r="I7367" s="948">
        <f>(D7367*F7367)</f>
        <v>0</v>
      </c>
    </row>
    <row r="7368" spans="3:9" ht="15.75">
      <c r="C7368" s="951" t="s">
        <v>918</v>
      </c>
      <c r="D7368" s="946"/>
      <c r="E7368" s="947"/>
      <c r="F7368" s="1054"/>
      <c r="G7368" s="946"/>
      <c r="H7368" s="1031"/>
      <c r="I7368" s="952">
        <f>SUM(I7367:I7367)</f>
        <v>0</v>
      </c>
    </row>
    <row r="7369" spans="3:9" ht="15.75">
      <c r="C7369" s="949"/>
      <c r="D7369" s="946"/>
      <c r="E7369" s="947"/>
      <c r="F7369" s="1054"/>
      <c r="G7369" s="946"/>
      <c r="H7369" s="1031"/>
      <c r="I7369" s="948"/>
    </row>
    <row r="7370" spans="3:9" ht="15.75">
      <c r="C7370" s="945" t="s">
        <v>923</v>
      </c>
      <c r="D7370" s="946"/>
      <c r="E7370" s="947"/>
      <c r="F7370" s="1054"/>
      <c r="G7370" s="946"/>
      <c r="H7370" s="1031"/>
      <c r="I7370" s="948"/>
    </row>
    <row r="7371" spans="3:9" ht="15.75">
      <c r="C7371" s="949" t="s">
        <v>924</v>
      </c>
      <c r="D7371" s="946"/>
      <c r="E7371" s="947" t="str">
        <f>+VLOOKUP(C7371,'Basic (equilibrio) (2)'!B:D,2,FALSE)</f>
        <v>n/a</v>
      </c>
      <c r="F7371" s="1054">
        <f>+VLOOKUP(C7371,'Basic (equilibrio) (2)'!B:D,3,FALSE)</f>
        <v>0</v>
      </c>
      <c r="G7371" s="946">
        <f>F7371-(F7371/1.18)</f>
        <v>0</v>
      </c>
      <c r="H7371" s="1039"/>
      <c r="I7371" s="955">
        <f>D7371*F7371</f>
        <v>0</v>
      </c>
    </row>
    <row r="7372" spans="3:9" ht="15.75">
      <c r="C7372" s="951" t="s">
        <v>918</v>
      </c>
      <c r="D7372" s="946"/>
      <c r="E7372" s="947"/>
      <c r="F7372" s="1054"/>
      <c r="G7372" s="946"/>
      <c r="H7372" s="1031"/>
      <c r="I7372" s="952">
        <f>SUM(I7371:I7371)</f>
        <v>0</v>
      </c>
    </row>
    <row r="7373" spans="3:9" ht="15.75">
      <c r="C7373" s="949"/>
      <c r="D7373" s="946"/>
      <c r="E7373" s="947"/>
      <c r="F7373" s="1054"/>
      <c r="G7373" s="946"/>
      <c r="H7373" s="1031"/>
      <c r="I7373" s="948"/>
    </row>
    <row r="7374" spans="3:9" ht="15.75">
      <c r="C7374" s="945" t="s">
        <v>925</v>
      </c>
      <c r="D7374" s="946"/>
      <c r="E7374" s="947"/>
      <c r="F7374" s="1054"/>
      <c r="G7374" s="946"/>
      <c r="H7374" s="1031"/>
      <c r="I7374" s="948"/>
    </row>
    <row r="7375" spans="3:9" ht="15.75">
      <c r="C7375" s="949" t="s">
        <v>924</v>
      </c>
      <c r="D7375" s="946"/>
      <c r="E7375" s="947" t="str">
        <f>+VLOOKUP(C7375,'Basic (equilibrio) (2)'!B:D,2,FALSE)</f>
        <v>n/a</v>
      </c>
      <c r="F7375" s="1054">
        <f>+VLOOKUP(C7375,'Basic (equilibrio) (2)'!B:D,3,FALSE)</f>
        <v>0</v>
      </c>
      <c r="G7375" s="946"/>
      <c r="H7375" s="1031"/>
      <c r="I7375" s="948">
        <f>D7375*F7375</f>
        <v>0</v>
      </c>
    </row>
    <row r="7376" spans="3:9" ht="15.75">
      <c r="C7376" s="951" t="s">
        <v>918</v>
      </c>
      <c r="D7376" s="946"/>
      <c r="E7376" s="947"/>
      <c r="F7376" s="1054"/>
      <c r="G7376" s="946"/>
      <c r="H7376" s="1031"/>
      <c r="I7376" s="952">
        <f>SUM(I7375)</f>
        <v>0</v>
      </c>
    </row>
    <row r="7377" spans="2:9" ht="15.75">
      <c r="C7377" s="951"/>
      <c r="D7377" s="946"/>
      <c r="E7377" s="947"/>
      <c r="F7377" s="1054"/>
      <c r="G7377" s="946"/>
      <c r="H7377" s="1031"/>
      <c r="I7377" s="952"/>
    </row>
    <row r="7378" spans="2:9" ht="15.75">
      <c r="C7378" s="956" t="s">
        <v>926</v>
      </c>
      <c r="D7378" s="957"/>
      <c r="E7378" s="958"/>
      <c r="F7378" s="1069"/>
      <c r="G7378" s="957"/>
      <c r="H7378" s="1032"/>
      <c r="I7378" s="959">
        <f>+I7364</f>
        <v>2407.1999999999998</v>
      </c>
    </row>
    <row r="7379" spans="2:9" ht="15.75">
      <c r="C7379" s="956" t="s">
        <v>927</v>
      </c>
      <c r="D7379" s="957"/>
      <c r="E7379" s="958"/>
      <c r="F7379" s="1069"/>
      <c r="G7379" s="957"/>
      <c r="H7379" s="1032"/>
      <c r="I7379" s="959">
        <f>+I7368</f>
        <v>0</v>
      </c>
    </row>
    <row r="7380" spans="2:9" ht="15.75">
      <c r="C7380" s="956" t="s">
        <v>928</v>
      </c>
      <c r="D7380" s="957"/>
      <c r="E7380" s="958"/>
      <c r="F7380" s="1069"/>
      <c r="G7380" s="957"/>
      <c r="H7380" s="1032"/>
      <c r="I7380" s="959">
        <f>+I7372</f>
        <v>0</v>
      </c>
    </row>
    <row r="7381" spans="2:9" ht="15.75">
      <c r="C7381" s="956" t="s">
        <v>929</v>
      </c>
      <c r="D7381" s="957"/>
      <c r="E7381" s="958"/>
      <c r="F7381" s="1069"/>
      <c r="G7381" s="957"/>
      <c r="H7381" s="1032"/>
      <c r="I7381" s="959">
        <f>+I7376</f>
        <v>0</v>
      </c>
    </row>
    <row r="7382" spans="2:9" ht="15.75">
      <c r="C7382" s="949"/>
      <c r="D7382" s="946"/>
      <c r="E7382" s="947"/>
      <c r="F7382" s="1054"/>
      <c r="G7382" s="946"/>
      <c r="H7382" s="1031"/>
      <c r="I7382" s="948"/>
    </row>
    <row r="7383" spans="2:9" ht="15.75">
      <c r="C7383" s="951" t="s">
        <v>930</v>
      </c>
      <c r="D7383" s="960"/>
      <c r="E7383" s="975" t="str">
        <f>+E7360</f>
        <v>Ud</v>
      </c>
      <c r="F7383" s="1070"/>
      <c r="G7383" s="960"/>
      <c r="H7383" s="1033"/>
      <c r="I7383" s="952">
        <f>SUM(I7378:I7381)</f>
        <v>2407.1999999999998</v>
      </c>
    </row>
    <row r="7384" spans="2:9" ht="15.75">
      <c r="C7384" s="951"/>
      <c r="D7384" s="960"/>
      <c r="E7384" s="943"/>
      <c r="F7384" s="1070"/>
      <c r="G7384" s="960"/>
      <c r="H7384" s="1033"/>
      <c r="I7384" s="952"/>
    </row>
    <row r="7385" spans="2:9" ht="15.75">
      <c r="B7385" s="1062">
        <v>10.15</v>
      </c>
      <c r="C7385" s="937" t="str">
        <f>+Presupuesto!B448</f>
        <v>Tinaco de 500 gls</v>
      </c>
      <c r="D7385" s="938"/>
      <c r="E7385" s="962" t="s">
        <v>10</v>
      </c>
      <c r="F7385" s="1066"/>
      <c r="G7385" s="938"/>
      <c r="H7385" s="1029"/>
      <c r="I7385" s="940">
        <f>+I7408</f>
        <v>11371.57</v>
      </c>
    </row>
    <row r="7386" spans="2:9" ht="15.75">
      <c r="C7386" s="941" t="s">
        <v>908</v>
      </c>
      <c r="D7386" s="942" t="s">
        <v>9</v>
      </c>
      <c r="E7386" s="943" t="s">
        <v>10</v>
      </c>
      <c r="F7386" s="1067" t="s">
        <v>909</v>
      </c>
      <c r="G7386" s="942" t="s">
        <v>910</v>
      </c>
      <c r="H7386" s="1030" t="s">
        <v>911</v>
      </c>
      <c r="I7386" s="944" t="s">
        <v>912</v>
      </c>
    </row>
    <row r="7387" spans="2:9" ht="15.75">
      <c r="C7387" s="945" t="s">
        <v>913</v>
      </c>
      <c r="D7387" s="946"/>
      <c r="E7387" s="947"/>
      <c r="F7387" s="1054"/>
      <c r="G7387" s="946"/>
      <c r="H7387" s="1031"/>
      <c r="I7387" s="948"/>
    </row>
    <row r="7388" spans="2:9" ht="15.75">
      <c r="C7388" s="949" t="s">
        <v>1610</v>
      </c>
      <c r="D7388" s="946">
        <v>1.02</v>
      </c>
      <c r="E7388" s="947" t="str">
        <f>+VLOOKUP(C7388,'Basic (equilibrio) (2)'!B:D,2,FALSE)</f>
        <v>ud</v>
      </c>
      <c r="F7388" s="1068">
        <f>'Basic (equilibrio) (2)'!$D$225</f>
        <v>11148.6</v>
      </c>
      <c r="G7388" s="946">
        <f>F7388-(F7388/1.18)</f>
        <v>1700.63</v>
      </c>
      <c r="H7388" s="1031"/>
      <c r="I7388" s="948">
        <f>D7388*F7388</f>
        <v>11371.57</v>
      </c>
    </row>
    <row r="7389" spans="2:9" ht="15.75">
      <c r="C7389" s="951" t="s">
        <v>918</v>
      </c>
      <c r="D7389" s="946"/>
      <c r="E7389" s="947"/>
      <c r="F7389" s="1068"/>
      <c r="G7389" s="946"/>
      <c r="H7389" s="1031"/>
      <c r="I7389" s="952">
        <f>SUM(I7388:I7388)</f>
        <v>11371.57</v>
      </c>
    </row>
    <row r="7390" spans="2:9" ht="15.75">
      <c r="C7390" s="949"/>
      <c r="D7390" s="946"/>
      <c r="E7390" s="947"/>
      <c r="F7390" s="1068"/>
      <c r="G7390" s="946"/>
      <c r="H7390" s="1031"/>
      <c r="I7390" s="948"/>
    </row>
    <row r="7391" spans="2:9" ht="15.75">
      <c r="C7391" s="945" t="s">
        <v>919</v>
      </c>
      <c r="D7391" s="946"/>
      <c r="E7391" s="947"/>
      <c r="F7391" s="1068"/>
      <c r="G7391" s="946"/>
      <c r="H7391" s="1031"/>
      <c r="I7391" s="948"/>
    </row>
    <row r="7392" spans="2:9" ht="15.75">
      <c r="C7392" s="949" t="s">
        <v>924</v>
      </c>
      <c r="D7392" s="953"/>
      <c r="E7392" s="954" t="str">
        <f>+VLOOKUP(C7392,'Basic (equilibrio) (2)'!B:D,2,FALSE)</f>
        <v>n/a</v>
      </c>
      <c r="F7392" s="1068">
        <f>+VLOOKUP(C7392,'Basic (equilibrio) (2)'!B:D,3,FALSE)</f>
        <v>0</v>
      </c>
      <c r="G7392" s="946">
        <v>0</v>
      </c>
      <c r="H7392" s="1031"/>
      <c r="I7392" s="948">
        <f>(D7392*F7392)</f>
        <v>0</v>
      </c>
    </row>
    <row r="7393" spans="3:9" ht="15.75">
      <c r="C7393" s="951" t="s">
        <v>918</v>
      </c>
      <c r="D7393" s="946"/>
      <c r="E7393" s="947"/>
      <c r="F7393" s="1054"/>
      <c r="G7393" s="946"/>
      <c r="H7393" s="1031"/>
      <c r="I7393" s="952">
        <f>SUM(I7392:I7392)</f>
        <v>0</v>
      </c>
    </row>
    <row r="7394" spans="3:9" ht="15.75">
      <c r="C7394" s="949"/>
      <c r="D7394" s="946"/>
      <c r="E7394" s="947"/>
      <c r="F7394" s="1054"/>
      <c r="G7394" s="946"/>
      <c r="H7394" s="1031"/>
      <c r="I7394" s="948"/>
    </row>
    <row r="7395" spans="3:9" ht="15.75">
      <c r="C7395" s="945" t="s">
        <v>923</v>
      </c>
      <c r="D7395" s="946"/>
      <c r="E7395" s="947"/>
      <c r="F7395" s="1054"/>
      <c r="G7395" s="946"/>
      <c r="H7395" s="1031"/>
      <c r="I7395" s="948"/>
    </row>
    <row r="7396" spans="3:9" ht="15.75">
      <c r="C7396" s="949" t="s">
        <v>924</v>
      </c>
      <c r="D7396" s="946"/>
      <c r="E7396" s="947" t="str">
        <f>+VLOOKUP(C7396,'Basic (equilibrio) (2)'!B:D,2,FALSE)</f>
        <v>n/a</v>
      </c>
      <c r="F7396" s="1054">
        <f>+VLOOKUP(C7396,'Basic (equilibrio) (2)'!B:D,3,FALSE)</f>
        <v>0</v>
      </c>
      <c r="G7396" s="946">
        <f>F7396-(F7396/1.18)</f>
        <v>0</v>
      </c>
      <c r="H7396" s="1039"/>
      <c r="I7396" s="955">
        <f>D7396*F7396</f>
        <v>0</v>
      </c>
    </row>
    <row r="7397" spans="3:9" ht="15.75">
      <c r="C7397" s="951" t="s">
        <v>918</v>
      </c>
      <c r="D7397" s="946"/>
      <c r="E7397" s="947"/>
      <c r="F7397" s="1054"/>
      <c r="G7397" s="946"/>
      <c r="H7397" s="1031"/>
      <c r="I7397" s="952">
        <f>SUM(I7396:I7396)</f>
        <v>0</v>
      </c>
    </row>
    <row r="7398" spans="3:9" ht="15.75">
      <c r="C7398" s="949"/>
      <c r="D7398" s="946"/>
      <c r="E7398" s="947"/>
      <c r="F7398" s="1054"/>
      <c r="G7398" s="946"/>
      <c r="H7398" s="1031"/>
      <c r="I7398" s="948"/>
    </row>
    <row r="7399" spans="3:9" ht="15.75">
      <c r="C7399" s="945" t="s">
        <v>925</v>
      </c>
      <c r="D7399" s="946"/>
      <c r="E7399" s="947"/>
      <c r="F7399" s="1054"/>
      <c r="G7399" s="946"/>
      <c r="H7399" s="1031"/>
      <c r="I7399" s="948"/>
    </row>
    <row r="7400" spans="3:9" ht="15.75">
      <c r="C7400" s="949" t="s">
        <v>924</v>
      </c>
      <c r="D7400" s="946"/>
      <c r="E7400" s="947" t="str">
        <f>+VLOOKUP(C7400,'Basic (equilibrio) (2)'!B:D,2,FALSE)</f>
        <v>n/a</v>
      </c>
      <c r="F7400" s="1054">
        <f>+VLOOKUP(C7400,'Basic (equilibrio) (2)'!B:D,3,FALSE)</f>
        <v>0</v>
      </c>
      <c r="G7400" s="946"/>
      <c r="H7400" s="1031"/>
      <c r="I7400" s="948">
        <f>D7400*F7400</f>
        <v>0</v>
      </c>
    </row>
    <row r="7401" spans="3:9" ht="15.75">
      <c r="C7401" s="951" t="s">
        <v>918</v>
      </c>
      <c r="D7401" s="946"/>
      <c r="E7401" s="947"/>
      <c r="F7401" s="1054"/>
      <c r="G7401" s="946"/>
      <c r="H7401" s="1031"/>
      <c r="I7401" s="952">
        <f>SUM(I7400)</f>
        <v>0</v>
      </c>
    </row>
    <row r="7402" spans="3:9" ht="15.75">
      <c r="C7402" s="951"/>
      <c r="D7402" s="946"/>
      <c r="E7402" s="947"/>
      <c r="F7402" s="1054"/>
      <c r="G7402" s="946"/>
      <c r="H7402" s="1031"/>
      <c r="I7402" s="952"/>
    </row>
    <row r="7403" spans="3:9" ht="15.75">
      <c r="C7403" s="956" t="s">
        <v>926</v>
      </c>
      <c r="D7403" s="957"/>
      <c r="E7403" s="958"/>
      <c r="F7403" s="1069"/>
      <c r="G7403" s="957"/>
      <c r="H7403" s="1032"/>
      <c r="I7403" s="959">
        <f>+I7389</f>
        <v>11371.57</v>
      </c>
    </row>
    <row r="7404" spans="3:9" ht="15.75">
      <c r="C7404" s="956" t="s">
        <v>927</v>
      </c>
      <c r="D7404" s="957"/>
      <c r="E7404" s="958"/>
      <c r="F7404" s="1069"/>
      <c r="G7404" s="957"/>
      <c r="H7404" s="1032"/>
      <c r="I7404" s="959">
        <f>+I7393</f>
        <v>0</v>
      </c>
    </row>
    <row r="7405" spans="3:9" ht="15.75">
      <c r="C7405" s="956" t="s">
        <v>928</v>
      </c>
      <c r="D7405" s="957"/>
      <c r="E7405" s="958"/>
      <c r="F7405" s="1069"/>
      <c r="G7405" s="957"/>
      <c r="H7405" s="1032"/>
      <c r="I7405" s="959">
        <f>+I7397</f>
        <v>0</v>
      </c>
    </row>
    <row r="7406" spans="3:9" ht="15.75">
      <c r="C7406" s="956" t="s">
        <v>929</v>
      </c>
      <c r="D7406" s="957"/>
      <c r="E7406" s="958"/>
      <c r="F7406" s="1069"/>
      <c r="G7406" s="957"/>
      <c r="H7406" s="1032"/>
      <c r="I7406" s="959">
        <f>+I7401</f>
        <v>0</v>
      </c>
    </row>
    <row r="7407" spans="3:9" ht="15.75">
      <c r="C7407" s="949"/>
      <c r="D7407" s="946"/>
      <c r="E7407" s="947"/>
      <c r="F7407" s="1054"/>
      <c r="G7407" s="946"/>
      <c r="H7407" s="1031"/>
      <c r="I7407" s="948"/>
    </row>
    <row r="7408" spans="3:9" ht="15.75">
      <c r="C7408" s="951" t="s">
        <v>930</v>
      </c>
      <c r="D7408" s="960"/>
      <c r="E7408" s="975" t="str">
        <f>+E7385</f>
        <v>Ud</v>
      </c>
      <c r="F7408" s="1070"/>
      <c r="G7408" s="960"/>
      <c r="H7408" s="1033"/>
      <c r="I7408" s="952">
        <f>SUM(I7403:I7406)</f>
        <v>11371.57</v>
      </c>
    </row>
    <row r="7409" spans="2:9" ht="15.75">
      <c r="C7409" s="951"/>
      <c r="D7409" s="960"/>
      <c r="E7409" s="943"/>
      <c r="F7409" s="1070"/>
      <c r="G7409" s="960"/>
      <c r="H7409" s="1033"/>
      <c r="I7409" s="952"/>
    </row>
    <row r="7410" spans="2:9" ht="15.75">
      <c r="B7410" s="1062">
        <v>10.16</v>
      </c>
      <c r="C7410" s="937" t="str">
        <f>+Presupuesto!B449</f>
        <v>Pozo tubular para agua potable</v>
      </c>
      <c r="D7410" s="938"/>
      <c r="E7410" s="962" t="s">
        <v>10</v>
      </c>
      <c r="F7410" s="1066"/>
      <c r="G7410" s="938"/>
      <c r="H7410" s="1029"/>
      <c r="I7410" s="940">
        <f>+I7433</f>
        <v>346800</v>
      </c>
    </row>
    <row r="7411" spans="2:9" ht="15.75">
      <c r="C7411" s="941" t="s">
        <v>908</v>
      </c>
      <c r="D7411" s="942" t="s">
        <v>9</v>
      </c>
      <c r="E7411" s="943" t="s">
        <v>10</v>
      </c>
      <c r="F7411" s="1067" t="s">
        <v>909</v>
      </c>
      <c r="G7411" s="942" t="s">
        <v>910</v>
      </c>
      <c r="H7411" s="1030" t="s">
        <v>911</v>
      </c>
      <c r="I7411" s="944" t="s">
        <v>912</v>
      </c>
    </row>
    <row r="7412" spans="2:9" ht="15.75">
      <c r="C7412" s="945" t="s">
        <v>913</v>
      </c>
      <c r="D7412" s="946"/>
      <c r="E7412" s="947"/>
      <c r="F7412" s="1054"/>
      <c r="G7412" s="946"/>
      <c r="H7412" s="1031"/>
      <c r="I7412" s="948"/>
    </row>
    <row r="7413" spans="2:9" ht="15.75">
      <c r="C7413" s="949" t="s">
        <v>1612</v>
      </c>
      <c r="D7413" s="946">
        <v>1.02</v>
      </c>
      <c r="E7413" s="947" t="str">
        <f>+VLOOKUP(C7413,'Basic (equilibrio) (2)'!B:D,2,FALSE)</f>
        <v>ud</v>
      </c>
      <c r="F7413" s="1068">
        <f>'Basic (equilibrio) (2)'!$D$226</f>
        <v>340000</v>
      </c>
      <c r="G7413" s="946">
        <f>F7413-(F7413/1.18)</f>
        <v>51864.41</v>
      </c>
      <c r="H7413" s="1031"/>
      <c r="I7413" s="948">
        <f>D7413*F7413</f>
        <v>346800</v>
      </c>
    </row>
    <row r="7414" spans="2:9" ht="15.75">
      <c r="C7414" s="951" t="s">
        <v>918</v>
      </c>
      <c r="D7414" s="946"/>
      <c r="E7414" s="947"/>
      <c r="F7414" s="1068"/>
      <c r="G7414" s="946"/>
      <c r="H7414" s="1031"/>
      <c r="I7414" s="952">
        <f>SUM(I7413:I7413)</f>
        <v>346800</v>
      </c>
    </row>
    <row r="7415" spans="2:9" ht="15.75">
      <c r="C7415" s="949"/>
      <c r="D7415" s="946"/>
      <c r="E7415" s="947"/>
      <c r="F7415" s="1068"/>
      <c r="G7415" s="946"/>
      <c r="H7415" s="1031"/>
      <c r="I7415" s="948"/>
    </row>
    <row r="7416" spans="2:9" ht="15.75">
      <c r="C7416" s="945" t="s">
        <v>919</v>
      </c>
      <c r="D7416" s="946"/>
      <c r="E7416" s="947"/>
      <c r="F7416" s="1068"/>
      <c r="G7416" s="946"/>
      <c r="H7416" s="1031"/>
      <c r="I7416" s="948"/>
    </row>
    <row r="7417" spans="2:9" ht="15.75">
      <c r="C7417" s="949" t="s">
        <v>924</v>
      </c>
      <c r="D7417" s="953"/>
      <c r="E7417" s="954" t="str">
        <f>+VLOOKUP(C7417,'Basic (equilibrio) (2)'!B:D,2,FALSE)</f>
        <v>n/a</v>
      </c>
      <c r="F7417" s="1068">
        <f>+VLOOKUP(C7417,'Basic (equilibrio) (2)'!B:D,3,FALSE)</f>
        <v>0</v>
      </c>
      <c r="G7417" s="946">
        <v>0</v>
      </c>
      <c r="H7417" s="1031"/>
      <c r="I7417" s="948">
        <f>(D7417*F7417)</f>
        <v>0</v>
      </c>
    </row>
    <row r="7418" spans="2:9" ht="15.75">
      <c r="C7418" s="951" t="s">
        <v>918</v>
      </c>
      <c r="D7418" s="946"/>
      <c r="E7418" s="947"/>
      <c r="F7418" s="1054"/>
      <c r="G7418" s="946"/>
      <c r="H7418" s="1031"/>
      <c r="I7418" s="952">
        <f>SUM(I7417:I7417)</f>
        <v>0</v>
      </c>
    </row>
    <row r="7419" spans="2:9" ht="15.75">
      <c r="C7419" s="949"/>
      <c r="D7419" s="946"/>
      <c r="E7419" s="947"/>
      <c r="F7419" s="1054"/>
      <c r="G7419" s="946"/>
      <c r="H7419" s="1031"/>
      <c r="I7419" s="948"/>
    </row>
    <row r="7420" spans="2:9" ht="15.75">
      <c r="C7420" s="945" t="s">
        <v>923</v>
      </c>
      <c r="D7420" s="946"/>
      <c r="E7420" s="947"/>
      <c r="F7420" s="1054"/>
      <c r="G7420" s="946"/>
      <c r="H7420" s="1031"/>
      <c r="I7420" s="948"/>
    </row>
    <row r="7421" spans="2:9" ht="15.75">
      <c r="C7421" s="949" t="s">
        <v>924</v>
      </c>
      <c r="D7421" s="946"/>
      <c r="E7421" s="947" t="str">
        <f>+VLOOKUP(C7421,'Basic (equilibrio) (2)'!B:D,2,FALSE)</f>
        <v>n/a</v>
      </c>
      <c r="F7421" s="1054">
        <f>+VLOOKUP(C7421,'Basic (equilibrio) (2)'!B:D,3,FALSE)</f>
        <v>0</v>
      </c>
      <c r="G7421" s="946">
        <f>F7421-(F7421/1.18)</f>
        <v>0</v>
      </c>
      <c r="H7421" s="1039"/>
      <c r="I7421" s="955">
        <f>D7421*F7421</f>
        <v>0</v>
      </c>
    </row>
    <row r="7422" spans="2:9" ht="15.75">
      <c r="C7422" s="951" t="s">
        <v>918</v>
      </c>
      <c r="D7422" s="946"/>
      <c r="E7422" s="947"/>
      <c r="F7422" s="1054"/>
      <c r="G7422" s="946"/>
      <c r="H7422" s="1031"/>
      <c r="I7422" s="952">
        <f>SUM(I7421:I7421)</f>
        <v>0</v>
      </c>
    </row>
    <row r="7423" spans="2:9" ht="15.75">
      <c r="C7423" s="949"/>
      <c r="D7423" s="946"/>
      <c r="E7423" s="947"/>
      <c r="F7423" s="1054"/>
      <c r="G7423" s="946"/>
      <c r="H7423" s="1031"/>
      <c r="I7423" s="948"/>
    </row>
    <row r="7424" spans="2:9" ht="15.75">
      <c r="C7424" s="945" t="s">
        <v>925</v>
      </c>
      <c r="D7424" s="946"/>
      <c r="E7424" s="947"/>
      <c r="F7424" s="1054"/>
      <c r="G7424" s="946"/>
      <c r="H7424" s="1031"/>
      <c r="I7424" s="948"/>
    </row>
    <row r="7425" spans="2:9" ht="15.75">
      <c r="C7425" s="949" t="s">
        <v>924</v>
      </c>
      <c r="D7425" s="946"/>
      <c r="E7425" s="947" t="str">
        <f>+VLOOKUP(C7425,'Basic (equilibrio) (2)'!B:D,2,FALSE)</f>
        <v>n/a</v>
      </c>
      <c r="F7425" s="1054">
        <f>+VLOOKUP(C7425,'Basic (equilibrio) (2)'!B:D,3,FALSE)</f>
        <v>0</v>
      </c>
      <c r="G7425" s="946"/>
      <c r="H7425" s="1031"/>
      <c r="I7425" s="948">
        <f>D7425*F7425</f>
        <v>0</v>
      </c>
    </row>
    <row r="7426" spans="2:9" ht="15.75">
      <c r="C7426" s="951" t="s">
        <v>918</v>
      </c>
      <c r="D7426" s="946"/>
      <c r="E7426" s="947"/>
      <c r="F7426" s="1054"/>
      <c r="G7426" s="946"/>
      <c r="H7426" s="1031"/>
      <c r="I7426" s="952">
        <f>SUM(I7425)</f>
        <v>0</v>
      </c>
    </row>
    <row r="7427" spans="2:9" ht="15.75">
      <c r="C7427" s="951"/>
      <c r="D7427" s="946"/>
      <c r="E7427" s="947"/>
      <c r="F7427" s="1054"/>
      <c r="G7427" s="946"/>
      <c r="H7427" s="1031"/>
      <c r="I7427" s="952"/>
    </row>
    <row r="7428" spans="2:9" ht="15.75">
      <c r="C7428" s="956" t="s">
        <v>926</v>
      </c>
      <c r="D7428" s="957"/>
      <c r="E7428" s="958"/>
      <c r="F7428" s="1069"/>
      <c r="G7428" s="957"/>
      <c r="H7428" s="1032"/>
      <c r="I7428" s="959">
        <f>+I7414</f>
        <v>346800</v>
      </c>
    </row>
    <row r="7429" spans="2:9" ht="15.75">
      <c r="C7429" s="956" t="s">
        <v>927</v>
      </c>
      <c r="D7429" s="957"/>
      <c r="E7429" s="958"/>
      <c r="F7429" s="1069"/>
      <c r="G7429" s="957"/>
      <c r="H7429" s="1032"/>
      <c r="I7429" s="959">
        <f>+I7418</f>
        <v>0</v>
      </c>
    </row>
    <row r="7430" spans="2:9" ht="15.75">
      <c r="C7430" s="956" t="s">
        <v>928</v>
      </c>
      <c r="D7430" s="957"/>
      <c r="E7430" s="958"/>
      <c r="F7430" s="1069"/>
      <c r="G7430" s="957"/>
      <c r="H7430" s="1032"/>
      <c r="I7430" s="959">
        <f>+I7422</f>
        <v>0</v>
      </c>
    </row>
    <row r="7431" spans="2:9" ht="15.75">
      <c r="C7431" s="956" t="s">
        <v>929</v>
      </c>
      <c r="D7431" s="957"/>
      <c r="E7431" s="958"/>
      <c r="F7431" s="1069"/>
      <c r="G7431" s="957"/>
      <c r="H7431" s="1032"/>
      <c r="I7431" s="959">
        <f>+I7426</f>
        <v>0</v>
      </c>
    </row>
    <row r="7432" spans="2:9" ht="15.75">
      <c r="C7432" s="949"/>
      <c r="D7432" s="946"/>
      <c r="E7432" s="947"/>
      <c r="F7432" s="1054"/>
      <c r="G7432" s="946"/>
      <c r="H7432" s="1031"/>
      <c r="I7432" s="948"/>
    </row>
    <row r="7433" spans="2:9" ht="15.75">
      <c r="C7433" s="951" t="s">
        <v>930</v>
      </c>
      <c r="D7433" s="960"/>
      <c r="E7433" s="975" t="str">
        <f>+E7410</f>
        <v>Ud</v>
      </c>
      <c r="F7433" s="1070"/>
      <c r="G7433" s="960"/>
      <c r="H7433" s="1033"/>
      <c r="I7433" s="952">
        <f>SUM(I7428:I7431)</f>
        <v>346800</v>
      </c>
    </row>
    <row r="7434" spans="2:9" ht="15.75">
      <c r="C7434" s="951"/>
      <c r="D7434" s="960"/>
      <c r="E7434" s="943"/>
      <c r="F7434" s="1070"/>
      <c r="G7434" s="960"/>
      <c r="H7434" s="1033"/>
      <c r="I7434" s="952"/>
    </row>
    <row r="7435" spans="2:9" ht="15.75">
      <c r="B7435" s="1062">
        <v>10.17</v>
      </c>
      <c r="C7435" s="937" t="str">
        <f>+Presupuesto!B450</f>
        <v>Filtrante en 8"</v>
      </c>
      <c r="D7435" s="938"/>
      <c r="E7435" s="962" t="s">
        <v>10</v>
      </c>
      <c r="F7435" s="1066"/>
      <c r="G7435" s="938"/>
      <c r="H7435" s="1029"/>
      <c r="I7435" s="940">
        <f>+I7458</f>
        <v>77010</v>
      </c>
    </row>
    <row r="7436" spans="2:9" ht="15.75">
      <c r="C7436" s="941" t="s">
        <v>908</v>
      </c>
      <c r="D7436" s="942" t="s">
        <v>9</v>
      </c>
      <c r="E7436" s="943" t="s">
        <v>10</v>
      </c>
      <c r="F7436" s="1067" t="s">
        <v>909</v>
      </c>
      <c r="G7436" s="942" t="s">
        <v>910</v>
      </c>
      <c r="H7436" s="1030" t="s">
        <v>911</v>
      </c>
      <c r="I7436" s="944" t="s">
        <v>912</v>
      </c>
    </row>
    <row r="7437" spans="2:9" ht="15.75">
      <c r="C7437" s="945" t="s">
        <v>913</v>
      </c>
      <c r="D7437" s="946"/>
      <c r="E7437" s="947"/>
      <c r="F7437" s="1054"/>
      <c r="G7437" s="946"/>
      <c r="H7437" s="1031"/>
      <c r="I7437" s="948"/>
    </row>
    <row r="7438" spans="2:9" ht="15.75">
      <c r="C7438" s="949" t="s">
        <v>1611</v>
      </c>
      <c r="D7438" s="946">
        <v>1.02</v>
      </c>
      <c r="E7438" s="947" t="str">
        <f>+VLOOKUP(C7438,'Basic (equilibrio) (2)'!B:D,2,FALSE)</f>
        <v>ud</v>
      </c>
      <c r="F7438" s="1068">
        <f>'Basic (equilibrio) (2)'!$D$227</f>
        <v>75500</v>
      </c>
      <c r="G7438" s="946">
        <f>F7438-(F7438/1.18)</f>
        <v>11516.95</v>
      </c>
      <c r="H7438" s="1031"/>
      <c r="I7438" s="948">
        <f>D7438*F7438</f>
        <v>77010</v>
      </c>
    </row>
    <row r="7439" spans="2:9" ht="15.75">
      <c r="C7439" s="951" t="s">
        <v>918</v>
      </c>
      <c r="D7439" s="946"/>
      <c r="E7439" s="947"/>
      <c r="F7439" s="1068"/>
      <c r="G7439" s="946"/>
      <c r="H7439" s="1031"/>
      <c r="I7439" s="952">
        <f>SUM(I7438:I7438)</f>
        <v>77010</v>
      </c>
    </row>
    <row r="7440" spans="2:9" ht="15.75">
      <c r="C7440" s="949"/>
      <c r="D7440" s="946"/>
      <c r="E7440" s="947"/>
      <c r="F7440" s="1068"/>
      <c r="G7440" s="946"/>
      <c r="H7440" s="1031"/>
      <c r="I7440" s="948"/>
    </row>
    <row r="7441" spans="3:9" ht="15.75">
      <c r="C7441" s="945" t="s">
        <v>919</v>
      </c>
      <c r="D7441" s="946"/>
      <c r="E7441" s="947"/>
      <c r="F7441" s="1068"/>
      <c r="G7441" s="946"/>
      <c r="H7441" s="1031"/>
      <c r="I7441" s="948"/>
    </row>
    <row r="7442" spans="3:9" ht="15.75">
      <c r="C7442" s="949" t="s">
        <v>924</v>
      </c>
      <c r="D7442" s="953"/>
      <c r="E7442" s="954" t="str">
        <f>+VLOOKUP(C7442,'Basic (equilibrio) (2)'!B:D,2,FALSE)</f>
        <v>n/a</v>
      </c>
      <c r="F7442" s="1068">
        <f>+VLOOKUP(C7442,'Basic (equilibrio) (2)'!B:D,3,FALSE)</f>
        <v>0</v>
      </c>
      <c r="G7442" s="946">
        <v>0</v>
      </c>
      <c r="H7442" s="1031"/>
      <c r="I7442" s="948">
        <f>(D7442*F7442)</f>
        <v>0</v>
      </c>
    </row>
    <row r="7443" spans="3:9" ht="15.75">
      <c r="C7443" s="951" t="s">
        <v>918</v>
      </c>
      <c r="D7443" s="946"/>
      <c r="E7443" s="947"/>
      <c r="F7443" s="1054"/>
      <c r="G7443" s="946"/>
      <c r="H7443" s="1031"/>
      <c r="I7443" s="952">
        <f>SUM(I7442:I7442)</f>
        <v>0</v>
      </c>
    </row>
    <row r="7444" spans="3:9" ht="15.75">
      <c r="C7444" s="949"/>
      <c r="D7444" s="946"/>
      <c r="E7444" s="947"/>
      <c r="F7444" s="1054"/>
      <c r="G7444" s="946"/>
      <c r="H7444" s="1031"/>
      <c r="I7444" s="948"/>
    </row>
    <row r="7445" spans="3:9" ht="15.75">
      <c r="C7445" s="945" t="s">
        <v>923</v>
      </c>
      <c r="D7445" s="946"/>
      <c r="E7445" s="947"/>
      <c r="F7445" s="1054"/>
      <c r="G7445" s="946"/>
      <c r="H7445" s="1031"/>
      <c r="I7445" s="948"/>
    </row>
    <row r="7446" spans="3:9" ht="15.75">
      <c r="C7446" s="949" t="s">
        <v>924</v>
      </c>
      <c r="D7446" s="946"/>
      <c r="E7446" s="947" t="str">
        <f>+VLOOKUP(C7446,'Basic (equilibrio) (2)'!B:D,2,FALSE)</f>
        <v>n/a</v>
      </c>
      <c r="F7446" s="1054">
        <f>+VLOOKUP(C7446,'Basic (equilibrio) (2)'!B:D,3,FALSE)</f>
        <v>0</v>
      </c>
      <c r="G7446" s="946">
        <f>F7446-(F7446/1.18)</f>
        <v>0</v>
      </c>
      <c r="H7446" s="1039"/>
      <c r="I7446" s="955">
        <f>D7446*F7446</f>
        <v>0</v>
      </c>
    </row>
    <row r="7447" spans="3:9" ht="15.75">
      <c r="C7447" s="951" t="s">
        <v>918</v>
      </c>
      <c r="D7447" s="946"/>
      <c r="E7447" s="947"/>
      <c r="F7447" s="1054"/>
      <c r="G7447" s="946"/>
      <c r="H7447" s="1031"/>
      <c r="I7447" s="952">
        <f>SUM(I7446:I7446)</f>
        <v>0</v>
      </c>
    </row>
    <row r="7448" spans="3:9" ht="15.75">
      <c r="C7448" s="949"/>
      <c r="D7448" s="946"/>
      <c r="E7448" s="947"/>
      <c r="F7448" s="1054"/>
      <c r="G7448" s="946"/>
      <c r="H7448" s="1031"/>
      <c r="I7448" s="948"/>
    </row>
    <row r="7449" spans="3:9" ht="15.75">
      <c r="C7449" s="945" t="s">
        <v>925</v>
      </c>
      <c r="D7449" s="946"/>
      <c r="E7449" s="947"/>
      <c r="F7449" s="1054"/>
      <c r="G7449" s="946"/>
      <c r="H7449" s="1031"/>
      <c r="I7449" s="948"/>
    </row>
    <row r="7450" spans="3:9" ht="15.75">
      <c r="C7450" s="949" t="s">
        <v>924</v>
      </c>
      <c r="D7450" s="946"/>
      <c r="E7450" s="947" t="str">
        <f>+VLOOKUP(C7450,'Basic (equilibrio) (2)'!B:D,2,FALSE)</f>
        <v>n/a</v>
      </c>
      <c r="F7450" s="1054">
        <f>+VLOOKUP(C7450,'Basic (equilibrio) (2)'!B:D,3,FALSE)</f>
        <v>0</v>
      </c>
      <c r="G7450" s="946"/>
      <c r="H7450" s="1031"/>
      <c r="I7450" s="948">
        <f>D7450*F7450</f>
        <v>0</v>
      </c>
    </row>
    <row r="7451" spans="3:9" ht="15.75">
      <c r="C7451" s="951" t="s">
        <v>918</v>
      </c>
      <c r="D7451" s="946"/>
      <c r="E7451" s="947"/>
      <c r="F7451" s="1054"/>
      <c r="G7451" s="946"/>
      <c r="H7451" s="1031"/>
      <c r="I7451" s="952">
        <f>SUM(I7450)</f>
        <v>0</v>
      </c>
    </row>
    <row r="7452" spans="3:9" ht="15.75">
      <c r="C7452" s="951"/>
      <c r="D7452" s="946"/>
      <c r="E7452" s="947"/>
      <c r="F7452" s="1054"/>
      <c r="G7452" s="946"/>
      <c r="H7452" s="1031"/>
      <c r="I7452" s="952"/>
    </row>
    <row r="7453" spans="3:9" ht="15.75">
      <c r="C7453" s="956" t="s">
        <v>926</v>
      </c>
      <c r="D7453" s="957"/>
      <c r="E7453" s="958"/>
      <c r="F7453" s="1069"/>
      <c r="G7453" s="957"/>
      <c r="H7453" s="1032"/>
      <c r="I7453" s="959">
        <f>+I7439</f>
        <v>77010</v>
      </c>
    </row>
    <row r="7454" spans="3:9" ht="15.75">
      <c r="C7454" s="956" t="s">
        <v>927</v>
      </c>
      <c r="D7454" s="957"/>
      <c r="E7454" s="958"/>
      <c r="F7454" s="1069"/>
      <c r="G7454" s="957"/>
      <c r="H7454" s="1032"/>
      <c r="I7454" s="959">
        <f>+I7443</f>
        <v>0</v>
      </c>
    </row>
    <row r="7455" spans="3:9" ht="15.75">
      <c r="C7455" s="956" t="s">
        <v>928</v>
      </c>
      <c r="D7455" s="957"/>
      <c r="E7455" s="958"/>
      <c r="F7455" s="1069"/>
      <c r="G7455" s="957"/>
      <c r="H7455" s="1032"/>
      <c r="I7455" s="959">
        <f>+I7447</f>
        <v>0</v>
      </c>
    </row>
    <row r="7456" spans="3:9" ht="15.75">
      <c r="C7456" s="956" t="s">
        <v>929</v>
      </c>
      <c r="D7456" s="957"/>
      <c r="E7456" s="958"/>
      <c r="F7456" s="1069"/>
      <c r="G7456" s="957"/>
      <c r="H7456" s="1032"/>
      <c r="I7456" s="959">
        <f>+I7451</f>
        <v>0</v>
      </c>
    </row>
    <row r="7457" spans="2:9" ht="15.75">
      <c r="C7457" s="949"/>
      <c r="D7457" s="946"/>
      <c r="E7457" s="947"/>
      <c r="F7457" s="1054"/>
      <c r="G7457" s="946"/>
      <c r="H7457" s="1031"/>
      <c r="I7457" s="948"/>
    </row>
    <row r="7458" spans="2:9" ht="15.75">
      <c r="C7458" s="951" t="s">
        <v>930</v>
      </c>
      <c r="D7458" s="960"/>
      <c r="E7458" s="975" t="str">
        <f>+E7435</f>
        <v>Ud</v>
      </c>
      <c r="F7458" s="1070"/>
      <c r="G7458" s="960"/>
      <c r="H7458" s="1033"/>
      <c r="I7458" s="952">
        <f>SUM(I7453:I7456)</f>
        <v>77010</v>
      </c>
    </row>
    <row r="7459" spans="2:9" ht="15.75">
      <c r="C7459" s="951"/>
      <c r="D7459" s="960"/>
      <c r="E7459" s="975"/>
      <c r="F7459" s="1070"/>
      <c r="G7459" s="960"/>
      <c r="H7459" s="1033"/>
      <c r="I7459" s="952"/>
    </row>
    <row r="7460" spans="2:9" ht="15.75">
      <c r="B7460" s="1062">
        <v>10.18</v>
      </c>
      <c r="C7460" s="937" t="str">
        <f>+Presupuesto!B451</f>
        <v>Bomba Myers para cisterna de 2HP</v>
      </c>
      <c r="D7460" s="938"/>
      <c r="E7460" s="962" t="s">
        <v>10</v>
      </c>
      <c r="F7460" s="1066"/>
      <c r="G7460" s="938"/>
      <c r="H7460" s="1029"/>
      <c r="I7460" s="940">
        <f>+I7483</f>
        <v>28501.25</v>
      </c>
    </row>
    <row r="7461" spans="2:9" ht="15.75">
      <c r="C7461" s="941" t="s">
        <v>908</v>
      </c>
      <c r="D7461" s="942" t="s">
        <v>9</v>
      </c>
      <c r="E7461" s="943" t="s">
        <v>10</v>
      </c>
      <c r="F7461" s="1067" t="s">
        <v>909</v>
      </c>
      <c r="G7461" s="942" t="s">
        <v>910</v>
      </c>
      <c r="H7461" s="1030" t="s">
        <v>911</v>
      </c>
      <c r="I7461" s="944" t="s">
        <v>912</v>
      </c>
    </row>
    <row r="7462" spans="2:9" ht="15.75">
      <c r="C7462" s="945" t="s">
        <v>913</v>
      </c>
      <c r="D7462" s="946"/>
      <c r="E7462" s="947"/>
      <c r="F7462" s="1054"/>
      <c r="G7462" s="946"/>
      <c r="H7462" s="1031"/>
      <c r="I7462" s="948"/>
    </row>
    <row r="7463" spans="2:9" ht="15.75">
      <c r="C7463" s="949" t="s">
        <v>1613</v>
      </c>
      <c r="D7463" s="946">
        <v>1.02</v>
      </c>
      <c r="E7463" s="947" t="str">
        <f>+VLOOKUP(C7463,'Basic (equilibrio) (2)'!B:D,2,FALSE)</f>
        <v>ud</v>
      </c>
      <c r="F7463" s="1068">
        <f>'Basic (equilibrio) (2)'!$D$228</f>
        <v>27942.400000000001</v>
      </c>
      <c r="G7463" s="946">
        <f>F7463-(F7463/1.18)</f>
        <v>4262.3999999999996</v>
      </c>
      <c r="H7463" s="1031"/>
      <c r="I7463" s="948">
        <f>D7463*F7463</f>
        <v>28501.25</v>
      </c>
    </row>
    <row r="7464" spans="2:9" ht="15.75">
      <c r="C7464" s="951" t="s">
        <v>918</v>
      </c>
      <c r="D7464" s="946"/>
      <c r="E7464" s="947"/>
      <c r="F7464" s="1068"/>
      <c r="G7464" s="946"/>
      <c r="H7464" s="1031"/>
      <c r="I7464" s="952">
        <f>SUM(I7463:I7463)</f>
        <v>28501.25</v>
      </c>
    </row>
    <row r="7465" spans="2:9" ht="15.75">
      <c r="C7465" s="949"/>
      <c r="D7465" s="946"/>
      <c r="E7465" s="947"/>
      <c r="F7465" s="1068"/>
      <c r="G7465" s="946"/>
      <c r="H7465" s="1031"/>
      <c r="I7465" s="948"/>
    </row>
    <row r="7466" spans="2:9" ht="15.75">
      <c r="C7466" s="945" t="s">
        <v>919</v>
      </c>
      <c r="D7466" s="946"/>
      <c r="E7466" s="947"/>
      <c r="F7466" s="1068"/>
      <c r="G7466" s="946"/>
      <c r="H7466" s="1031"/>
      <c r="I7466" s="948"/>
    </row>
    <row r="7467" spans="2:9" ht="15.75">
      <c r="C7467" s="949" t="s">
        <v>924</v>
      </c>
      <c r="D7467" s="953"/>
      <c r="E7467" s="954" t="str">
        <f>+VLOOKUP(C7467,'Basic (equilibrio) (2)'!B:D,2,FALSE)</f>
        <v>n/a</v>
      </c>
      <c r="F7467" s="1068">
        <f>+VLOOKUP(C7467,'Basic (equilibrio) (2)'!B:D,3,FALSE)</f>
        <v>0</v>
      </c>
      <c r="G7467" s="946">
        <v>0</v>
      </c>
      <c r="H7467" s="1031"/>
      <c r="I7467" s="948">
        <f>(D7467*F7467)</f>
        <v>0</v>
      </c>
    </row>
    <row r="7468" spans="2:9" ht="15.75">
      <c r="C7468" s="951" t="s">
        <v>918</v>
      </c>
      <c r="D7468" s="946"/>
      <c r="E7468" s="947"/>
      <c r="F7468" s="1054"/>
      <c r="G7468" s="946"/>
      <c r="H7468" s="1031"/>
      <c r="I7468" s="952">
        <f>SUM(I7467:I7467)</f>
        <v>0</v>
      </c>
    </row>
    <row r="7469" spans="2:9" ht="15.75">
      <c r="C7469" s="949"/>
      <c r="D7469" s="946"/>
      <c r="E7469" s="947"/>
      <c r="F7469" s="1054"/>
      <c r="G7469" s="946"/>
      <c r="H7469" s="1031"/>
      <c r="I7469" s="948"/>
    </row>
    <row r="7470" spans="2:9" ht="15.75">
      <c r="C7470" s="945" t="s">
        <v>923</v>
      </c>
      <c r="D7470" s="946"/>
      <c r="E7470" s="947"/>
      <c r="F7470" s="1054"/>
      <c r="G7470" s="946"/>
      <c r="H7470" s="1031"/>
      <c r="I7470" s="948"/>
    </row>
    <row r="7471" spans="2:9" ht="15.75">
      <c r="C7471" s="949" t="s">
        <v>924</v>
      </c>
      <c r="D7471" s="946"/>
      <c r="E7471" s="947" t="str">
        <f>+VLOOKUP(C7471,'Basic (equilibrio) (2)'!B:D,2,FALSE)</f>
        <v>n/a</v>
      </c>
      <c r="F7471" s="1054">
        <f>+VLOOKUP(C7471,'Basic (equilibrio) (2)'!B:D,3,FALSE)</f>
        <v>0</v>
      </c>
      <c r="G7471" s="946">
        <f>F7471-(F7471/1.18)</f>
        <v>0</v>
      </c>
      <c r="H7471" s="1039"/>
      <c r="I7471" s="955">
        <f>D7471*F7471</f>
        <v>0</v>
      </c>
    </row>
    <row r="7472" spans="2:9" ht="15.75">
      <c r="C7472" s="951" t="s">
        <v>918</v>
      </c>
      <c r="D7472" s="946"/>
      <c r="E7472" s="947"/>
      <c r="F7472" s="1054"/>
      <c r="G7472" s="946"/>
      <c r="H7472" s="1031"/>
      <c r="I7472" s="952">
        <f>SUM(I7471:I7471)</f>
        <v>0</v>
      </c>
    </row>
    <row r="7473" spans="2:9" ht="15.75">
      <c r="C7473" s="949"/>
      <c r="D7473" s="946"/>
      <c r="E7473" s="947"/>
      <c r="F7473" s="1054"/>
      <c r="G7473" s="946"/>
      <c r="H7473" s="1031"/>
      <c r="I7473" s="948"/>
    </row>
    <row r="7474" spans="2:9" ht="15.75">
      <c r="C7474" s="945" t="s">
        <v>925</v>
      </c>
      <c r="D7474" s="946"/>
      <c r="E7474" s="947"/>
      <c r="F7474" s="1054"/>
      <c r="G7474" s="946"/>
      <c r="H7474" s="1031"/>
      <c r="I7474" s="948"/>
    </row>
    <row r="7475" spans="2:9" ht="15.75">
      <c r="C7475" s="949" t="s">
        <v>924</v>
      </c>
      <c r="D7475" s="946"/>
      <c r="E7475" s="947" t="str">
        <f>+VLOOKUP(C7475,'Basic (equilibrio) (2)'!B:D,2,FALSE)</f>
        <v>n/a</v>
      </c>
      <c r="F7475" s="1054">
        <f>+VLOOKUP(C7475,'Basic (equilibrio) (2)'!B:D,3,FALSE)</f>
        <v>0</v>
      </c>
      <c r="G7475" s="946"/>
      <c r="H7475" s="1031"/>
      <c r="I7475" s="948">
        <f>D7475*F7475</f>
        <v>0</v>
      </c>
    </row>
    <row r="7476" spans="2:9" ht="15.75">
      <c r="C7476" s="951" t="s">
        <v>918</v>
      </c>
      <c r="D7476" s="946"/>
      <c r="E7476" s="947"/>
      <c r="F7476" s="1054"/>
      <c r="G7476" s="946"/>
      <c r="H7476" s="1031"/>
      <c r="I7476" s="952">
        <f>SUM(I7475)</f>
        <v>0</v>
      </c>
    </row>
    <row r="7477" spans="2:9" ht="15.75">
      <c r="C7477" s="951"/>
      <c r="D7477" s="946"/>
      <c r="E7477" s="947"/>
      <c r="F7477" s="1054"/>
      <c r="G7477" s="946"/>
      <c r="H7477" s="1031"/>
      <c r="I7477" s="952"/>
    </row>
    <row r="7478" spans="2:9" ht="15.75">
      <c r="C7478" s="956" t="s">
        <v>926</v>
      </c>
      <c r="D7478" s="957"/>
      <c r="E7478" s="958"/>
      <c r="F7478" s="1069"/>
      <c r="G7478" s="957"/>
      <c r="H7478" s="1032"/>
      <c r="I7478" s="959">
        <f>+I7464</f>
        <v>28501.25</v>
      </c>
    </row>
    <row r="7479" spans="2:9" ht="15.75">
      <c r="C7479" s="956" t="s">
        <v>927</v>
      </c>
      <c r="D7479" s="957"/>
      <c r="E7479" s="958"/>
      <c r="F7479" s="1069"/>
      <c r="G7479" s="957"/>
      <c r="H7479" s="1032"/>
      <c r="I7479" s="959">
        <f>+I7468</f>
        <v>0</v>
      </c>
    </row>
    <row r="7480" spans="2:9" ht="15.75">
      <c r="C7480" s="956" t="s">
        <v>928</v>
      </c>
      <c r="D7480" s="957"/>
      <c r="E7480" s="958"/>
      <c r="F7480" s="1069"/>
      <c r="G7480" s="957"/>
      <c r="H7480" s="1032"/>
      <c r="I7480" s="959">
        <f>+I7472</f>
        <v>0</v>
      </c>
    </row>
    <row r="7481" spans="2:9" ht="15.75">
      <c r="C7481" s="956" t="s">
        <v>929</v>
      </c>
      <c r="D7481" s="957"/>
      <c r="E7481" s="958"/>
      <c r="F7481" s="1069"/>
      <c r="G7481" s="957"/>
      <c r="H7481" s="1032"/>
      <c r="I7481" s="959">
        <f>+I7476</f>
        <v>0</v>
      </c>
    </row>
    <row r="7482" spans="2:9" ht="15.75">
      <c r="C7482" s="949"/>
      <c r="D7482" s="946"/>
      <c r="E7482" s="947"/>
      <c r="F7482" s="1054"/>
      <c r="G7482" s="946"/>
      <c r="H7482" s="1031"/>
      <c r="I7482" s="948"/>
    </row>
    <row r="7483" spans="2:9" ht="15.75">
      <c r="C7483" s="951" t="s">
        <v>930</v>
      </c>
      <c r="D7483" s="960"/>
      <c r="E7483" s="975" t="str">
        <f>+E7460</f>
        <v>Ud</v>
      </c>
      <c r="F7483" s="1070"/>
      <c r="G7483" s="960"/>
      <c r="H7483" s="1033"/>
      <c r="I7483" s="952">
        <f>SUM(I7478:I7481)</f>
        <v>28501.25</v>
      </c>
    </row>
    <row r="7484" spans="2:9" ht="15.75">
      <c r="C7484" s="951"/>
      <c r="D7484" s="960"/>
      <c r="E7484" s="943"/>
      <c r="F7484" s="1070"/>
      <c r="G7484" s="960"/>
      <c r="H7484" s="1033"/>
      <c r="I7484" s="952"/>
    </row>
    <row r="7485" spans="2:9" ht="15.75">
      <c r="B7485" s="1062">
        <v>10.19</v>
      </c>
      <c r="C7485" s="937" t="str">
        <f>+Presupuesto!B452</f>
        <v>Tanque hidroneumatico de 120 gls</v>
      </c>
      <c r="D7485" s="938"/>
      <c r="E7485" s="962" t="s">
        <v>10</v>
      </c>
      <c r="F7485" s="1066"/>
      <c r="G7485" s="938"/>
      <c r="H7485" s="1029"/>
      <c r="I7485" s="940">
        <f>+I7508</f>
        <v>78258.070000000007</v>
      </c>
    </row>
    <row r="7486" spans="2:9" ht="15.75">
      <c r="C7486" s="941" t="s">
        <v>908</v>
      </c>
      <c r="D7486" s="942" t="s">
        <v>9</v>
      </c>
      <c r="E7486" s="943" t="s">
        <v>10</v>
      </c>
      <c r="F7486" s="1067" t="s">
        <v>909</v>
      </c>
      <c r="G7486" s="942" t="s">
        <v>910</v>
      </c>
      <c r="H7486" s="1030" t="s">
        <v>911</v>
      </c>
      <c r="I7486" s="944" t="s">
        <v>912</v>
      </c>
    </row>
    <row r="7487" spans="2:9" ht="15.75">
      <c r="C7487" s="945" t="s">
        <v>913</v>
      </c>
      <c r="D7487" s="946"/>
      <c r="E7487" s="947"/>
      <c r="F7487" s="1054"/>
      <c r="G7487" s="946"/>
      <c r="H7487" s="1031"/>
      <c r="I7487" s="948"/>
    </row>
    <row r="7488" spans="2:9" ht="15.75">
      <c r="C7488" s="949" t="s">
        <v>1614</v>
      </c>
      <c r="D7488" s="946">
        <v>1.02</v>
      </c>
      <c r="E7488" s="947" t="str">
        <f>+VLOOKUP(C7488,'Basic (equilibrio) (2)'!B:D,2,FALSE)</f>
        <v>ud</v>
      </c>
      <c r="F7488" s="1068">
        <f>'Basic (equilibrio) (2)'!$D$229</f>
        <v>76723.600000000006</v>
      </c>
      <c r="G7488" s="946">
        <f>F7488-(F7488/1.18)</f>
        <v>11703.6</v>
      </c>
      <c r="H7488" s="1031"/>
      <c r="I7488" s="948">
        <f>D7488*F7488</f>
        <v>78258.070000000007</v>
      </c>
    </row>
    <row r="7489" spans="3:9" ht="15.75">
      <c r="C7489" s="951" t="s">
        <v>918</v>
      </c>
      <c r="D7489" s="946"/>
      <c r="E7489" s="947"/>
      <c r="F7489" s="1068"/>
      <c r="G7489" s="946"/>
      <c r="H7489" s="1031"/>
      <c r="I7489" s="952">
        <f>SUM(I7488:I7488)</f>
        <v>78258.070000000007</v>
      </c>
    </row>
    <row r="7490" spans="3:9" ht="15.75">
      <c r="C7490" s="949"/>
      <c r="D7490" s="946"/>
      <c r="E7490" s="947"/>
      <c r="F7490" s="1068"/>
      <c r="G7490" s="946"/>
      <c r="H7490" s="1031"/>
      <c r="I7490" s="948"/>
    </row>
    <row r="7491" spans="3:9" ht="15.75">
      <c r="C7491" s="945" t="s">
        <v>919</v>
      </c>
      <c r="D7491" s="946"/>
      <c r="E7491" s="947"/>
      <c r="F7491" s="1068"/>
      <c r="G7491" s="946"/>
      <c r="H7491" s="1031"/>
      <c r="I7491" s="948"/>
    </row>
    <row r="7492" spans="3:9" ht="15.75">
      <c r="C7492" s="949" t="s">
        <v>924</v>
      </c>
      <c r="D7492" s="953"/>
      <c r="E7492" s="954" t="str">
        <f>+VLOOKUP(C7492,'Basic (equilibrio) (2)'!B:D,2,FALSE)</f>
        <v>n/a</v>
      </c>
      <c r="F7492" s="1068">
        <f>+VLOOKUP(C7492,'Basic (equilibrio) (2)'!B:D,3,FALSE)</f>
        <v>0</v>
      </c>
      <c r="G7492" s="946">
        <v>0</v>
      </c>
      <c r="H7492" s="1031"/>
      <c r="I7492" s="948">
        <f>(D7492*F7492)</f>
        <v>0</v>
      </c>
    </row>
    <row r="7493" spans="3:9" ht="15.75">
      <c r="C7493" s="951" t="s">
        <v>918</v>
      </c>
      <c r="D7493" s="946"/>
      <c r="E7493" s="947"/>
      <c r="F7493" s="1054"/>
      <c r="G7493" s="946"/>
      <c r="H7493" s="1031"/>
      <c r="I7493" s="952">
        <f>SUM(I7492:I7492)</f>
        <v>0</v>
      </c>
    </row>
    <row r="7494" spans="3:9" ht="15.75">
      <c r="C7494" s="949"/>
      <c r="D7494" s="946"/>
      <c r="E7494" s="947"/>
      <c r="F7494" s="1054"/>
      <c r="G7494" s="946"/>
      <c r="H7494" s="1031"/>
      <c r="I7494" s="948"/>
    </row>
    <row r="7495" spans="3:9" ht="15.75">
      <c r="C7495" s="945" t="s">
        <v>923</v>
      </c>
      <c r="D7495" s="946"/>
      <c r="E7495" s="947"/>
      <c r="F7495" s="1054"/>
      <c r="G7495" s="946"/>
      <c r="H7495" s="1031"/>
      <c r="I7495" s="948"/>
    </row>
    <row r="7496" spans="3:9" ht="15.75">
      <c r="C7496" s="949" t="s">
        <v>924</v>
      </c>
      <c r="D7496" s="946"/>
      <c r="E7496" s="947" t="str">
        <f>+VLOOKUP(C7496,'Basic (equilibrio) (2)'!B:D,2,FALSE)</f>
        <v>n/a</v>
      </c>
      <c r="F7496" s="1054">
        <f>+VLOOKUP(C7496,'Basic (equilibrio) (2)'!B:D,3,FALSE)</f>
        <v>0</v>
      </c>
      <c r="G7496" s="946">
        <f>F7496-(F7496/1.18)</f>
        <v>0</v>
      </c>
      <c r="H7496" s="1039"/>
      <c r="I7496" s="955">
        <f>D7496*F7496</f>
        <v>0</v>
      </c>
    </row>
    <row r="7497" spans="3:9" ht="15.75">
      <c r="C7497" s="951" t="s">
        <v>918</v>
      </c>
      <c r="D7497" s="946"/>
      <c r="E7497" s="947"/>
      <c r="F7497" s="1054"/>
      <c r="G7497" s="946"/>
      <c r="H7497" s="1031"/>
      <c r="I7497" s="952">
        <f>SUM(I7496:I7496)</f>
        <v>0</v>
      </c>
    </row>
    <row r="7498" spans="3:9" ht="15.75">
      <c r="C7498" s="949"/>
      <c r="D7498" s="946"/>
      <c r="E7498" s="947"/>
      <c r="F7498" s="1054"/>
      <c r="G7498" s="946"/>
      <c r="H7498" s="1031"/>
      <c r="I7498" s="948"/>
    </row>
    <row r="7499" spans="3:9" ht="15.75">
      <c r="C7499" s="945" t="s">
        <v>925</v>
      </c>
      <c r="D7499" s="946"/>
      <c r="E7499" s="947"/>
      <c r="F7499" s="1054"/>
      <c r="G7499" s="946"/>
      <c r="H7499" s="1031"/>
      <c r="I7499" s="948"/>
    </row>
    <row r="7500" spans="3:9" ht="15.75">
      <c r="C7500" s="949" t="s">
        <v>924</v>
      </c>
      <c r="D7500" s="946"/>
      <c r="E7500" s="947" t="str">
        <f>+VLOOKUP(C7500,'Basic (equilibrio) (2)'!B:D,2,FALSE)</f>
        <v>n/a</v>
      </c>
      <c r="F7500" s="1054">
        <f>+VLOOKUP(C7500,'Basic (equilibrio) (2)'!B:D,3,FALSE)</f>
        <v>0</v>
      </c>
      <c r="G7500" s="946"/>
      <c r="H7500" s="1031"/>
      <c r="I7500" s="948">
        <f>D7500*F7500</f>
        <v>0</v>
      </c>
    </row>
    <row r="7501" spans="3:9" ht="15.75">
      <c r="C7501" s="951" t="s">
        <v>918</v>
      </c>
      <c r="D7501" s="946"/>
      <c r="E7501" s="947"/>
      <c r="F7501" s="1054"/>
      <c r="G7501" s="946"/>
      <c r="H7501" s="1031"/>
      <c r="I7501" s="952">
        <f>SUM(I7500)</f>
        <v>0</v>
      </c>
    </row>
    <row r="7502" spans="3:9" ht="15.75">
      <c r="C7502" s="951"/>
      <c r="D7502" s="946"/>
      <c r="E7502" s="947"/>
      <c r="F7502" s="1054"/>
      <c r="G7502" s="946"/>
      <c r="H7502" s="1031"/>
      <c r="I7502" s="952"/>
    </row>
    <row r="7503" spans="3:9" ht="15.75">
      <c r="C7503" s="956" t="s">
        <v>926</v>
      </c>
      <c r="D7503" s="957"/>
      <c r="E7503" s="958"/>
      <c r="F7503" s="1069"/>
      <c r="G7503" s="957"/>
      <c r="H7503" s="1032"/>
      <c r="I7503" s="959">
        <f>+I7489</f>
        <v>78258.070000000007</v>
      </c>
    </row>
    <row r="7504" spans="3:9" ht="15.75">
      <c r="C7504" s="956" t="s">
        <v>927</v>
      </c>
      <c r="D7504" s="957"/>
      <c r="E7504" s="958"/>
      <c r="F7504" s="1069"/>
      <c r="G7504" s="957"/>
      <c r="H7504" s="1032"/>
      <c r="I7504" s="959">
        <f>+I7493</f>
        <v>0</v>
      </c>
    </row>
    <row r="7505" spans="2:9" ht="15.75">
      <c r="C7505" s="956" t="s">
        <v>928</v>
      </c>
      <c r="D7505" s="957"/>
      <c r="E7505" s="958"/>
      <c r="F7505" s="1069"/>
      <c r="G7505" s="957"/>
      <c r="H7505" s="1032"/>
      <c r="I7505" s="959">
        <f>+I7497</f>
        <v>0</v>
      </c>
    </row>
    <row r="7506" spans="2:9" ht="15.75">
      <c r="C7506" s="956" t="s">
        <v>929</v>
      </c>
      <c r="D7506" s="957"/>
      <c r="E7506" s="958"/>
      <c r="F7506" s="1069"/>
      <c r="G7506" s="957"/>
      <c r="H7506" s="1032"/>
      <c r="I7506" s="959">
        <f>+I7501</f>
        <v>0</v>
      </c>
    </row>
    <row r="7507" spans="2:9" ht="15.75">
      <c r="C7507" s="949"/>
      <c r="D7507" s="946"/>
      <c r="E7507" s="947"/>
      <c r="F7507" s="1054"/>
      <c r="G7507" s="946"/>
      <c r="H7507" s="1031"/>
      <c r="I7507" s="948"/>
    </row>
    <row r="7508" spans="2:9" ht="15.75">
      <c r="C7508" s="951" t="s">
        <v>930</v>
      </c>
      <c r="D7508" s="960"/>
      <c r="E7508" s="975" t="str">
        <f>+E7485</f>
        <v>Ud</v>
      </c>
      <c r="F7508" s="1070"/>
      <c r="G7508" s="960"/>
      <c r="H7508" s="1033"/>
      <c r="I7508" s="952">
        <f>SUM(I7503:I7506)</f>
        <v>78258.070000000007</v>
      </c>
    </row>
    <row r="7509" spans="2:9" ht="15.75">
      <c r="C7509" s="951"/>
      <c r="D7509" s="960"/>
      <c r="E7509" s="943"/>
      <c r="F7509" s="1070"/>
      <c r="G7509" s="960"/>
      <c r="H7509" s="1033"/>
      <c r="I7509" s="952"/>
    </row>
    <row r="7510" spans="2:9" ht="15.75">
      <c r="B7510" s="1062">
        <v>10.199999999999999</v>
      </c>
      <c r="C7510" s="937" t="str">
        <f>+Presupuesto!B453</f>
        <v>Suministro e instalación Plafond en PVC en baños</v>
      </c>
      <c r="D7510" s="938"/>
      <c r="E7510" s="962" t="s">
        <v>1109</v>
      </c>
      <c r="F7510" s="1066"/>
      <c r="G7510" s="938"/>
      <c r="H7510" s="1029"/>
      <c r="I7510" s="940">
        <f>+I7533</f>
        <v>1530</v>
      </c>
    </row>
    <row r="7511" spans="2:9" ht="15.75">
      <c r="C7511" s="941" t="s">
        <v>908</v>
      </c>
      <c r="D7511" s="942" t="s">
        <v>9</v>
      </c>
      <c r="E7511" s="943" t="s">
        <v>10</v>
      </c>
      <c r="F7511" s="1067" t="s">
        <v>909</v>
      </c>
      <c r="G7511" s="942" t="s">
        <v>910</v>
      </c>
      <c r="H7511" s="1030" t="s">
        <v>911</v>
      </c>
      <c r="I7511" s="944" t="s">
        <v>912</v>
      </c>
    </row>
    <row r="7512" spans="2:9" ht="15.75">
      <c r="C7512" s="945" t="s">
        <v>913</v>
      </c>
      <c r="D7512" s="946"/>
      <c r="E7512" s="947"/>
      <c r="F7512" s="1054"/>
      <c r="G7512" s="946"/>
      <c r="H7512" s="1031"/>
      <c r="I7512" s="948"/>
    </row>
    <row r="7513" spans="2:9" ht="15.75">
      <c r="C7513" s="949" t="s">
        <v>1615</v>
      </c>
      <c r="D7513" s="946">
        <v>1.02</v>
      </c>
      <c r="E7513" s="947" t="str">
        <f>+VLOOKUP(C7513,'Basic (equilibrio) (2)'!B:D,2,FALSE)</f>
        <v>m2</v>
      </c>
      <c r="F7513" s="1068">
        <f>'Basic (equilibrio) (2)'!$D$230</f>
        <v>1500</v>
      </c>
      <c r="G7513" s="946">
        <f>F7513-(F7513/1.18)</f>
        <v>228.81</v>
      </c>
      <c r="H7513" s="1031"/>
      <c r="I7513" s="948">
        <f>D7513*F7513</f>
        <v>1530</v>
      </c>
    </row>
    <row r="7514" spans="2:9" ht="15.75">
      <c r="C7514" s="951" t="s">
        <v>918</v>
      </c>
      <c r="D7514" s="946"/>
      <c r="E7514" s="947"/>
      <c r="F7514" s="1068"/>
      <c r="G7514" s="946"/>
      <c r="H7514" s="1031"/>
      <c r="I7514" s="952">
        <f>SUM(I7513:I7513)</f>
        <v>1530</v>
      </c>
    </row>
    <row r="7515" spans="2:9" ht="15.75">
      <c r="C7515" s="949"/>
      <c r="D7515" s="946"/>
      <c r="E7515" s="947"/>
      <c r="F7515" s="1068"/>
      <c r="G7515" s="946"/>
      <c r="H7515" s="1031"/>
      <c r="I7515" s="948"/>
    </row>
    <row r="7516" spans="2:9" ht="15.75">
      <c r="C7516" s="945" t="s">
        <v>919</v>
      </c>
      <c r="D7516" s="946"/>
      <c r="E7516" s="947"/>
      <c r="F7516" s="1068"/>
      <c r="G7516" s="946"/>
      <c r="H7516" s="1031"/>
      <c r="I7516" s="948"/>
    </row>
    <row r="7517" spans="2:9" ht="15.75">
      <c r="C7517" s="949" t="s">
        <v>924</v>
      </c>
      <c r="D7517" s="953"/>
      <c r="E7517" s="954" t="str">
        <f>+VLOOKUP(C7517,'Basic (equilibrio) (2)'!B:D,2,FALSE)</f>
        <v>n/a</v>
      </c>
      <c r="F7517" s="1068">
        <f>+VLOOKUP(C7517,'Basic (equilibrio) (2)'!B:D,3,FALSE)</f>
        <v>0</v>
      </c>
      <c r="G7517" s="946">
        <v>0</v>
      </c>
      <c r="H7517" s="1031"/>
      <c r="I7517" s="948">
        <f>(D7517*F7517)</f>
        <v>0</v>
      </c>
    </row>
    <row r="7518" spans="2:9" ht="15.75">
      <c r="C7518" s="951" t="s">
        <v>918</v>
      </c>
      <c r="D7518" s="946"/>
      <c r="E7518" s="947"/>
      <c r="F7518" s="1054"/>
      <c r="G7518" s="946"/>
      <c r="H7518" s="1031"/>
      <c r="I7518" s="952">
        <f>SUM(I7517:I7517)</f>
        <v>0</v>
      </c>
    </row>
    <row r="7519" spans="2:9" ht="15.75">
      <c r="C7519" s="949"/>
      <c r="D7519" s="946"/>
      <c r="E7519" s="947"/>
      <c r="F7519" s="1054"/>
      <c r="G7519" s="946"/>
      <c r="H7519" s="1031"/>
      <c r="I7519" s="948"/>
    </row>
    <row r="7520" spans="2:9" ht="15.75">
      <c r="C7520" s="945" t="s">
        <v>923</v>
      </c>
      <c r="D7520" s="946"/>
      <c r="E7520" s="947"/>
      <c r="F7520" s="1054"/>
      <c r="G7520" s="946"/>
      <c r="H7520" s="1031"/>
      <c r="I7520" s="948"/>
    </row>
    <row r="7521" spans="2:9" ht="15.75">
      <c r="C7521" s="949" t="s">
        <v>924</v>
      </c>
      <c r="D7521" s="946"/>
      <c r="E7521" s="947" t="str">
        <f>+VLOOKUP(C7521,'Basic (equilibrio) (2)'!B:D,2,FALSE)</f>
        <v>n/a</v>
      </c>
      <c r="F7521" s="1054">
        <f>+VLOOKUP(C7521,'Basic (equilibrio) (2)'!B:D,3,FALSE)</f>
        <v>0</v>
      </c>
      <c r="G7521" s="946">
        <f>F7521-(F7521/1.18)</f>
        <v>0</v>
      </c>
      <c r="H7521" s="1039"/>
      <c r="I7521" s="955">
        <f>D7521*F7521</f>
        <v>0</v>
      </c>
    </row>
    <row r="7522" spans="2:9" ht="15.75">
      <c r="C7522" s="951" t="s">
        <v>918</v>
      </c>
      <c r="D7522" s="946"/>
      <c r="E7522" s="947"/>
      <c r="F7522" s="1054"/>
      <c r="G7522" s="946"/>
      <c r="H7522" s="1031"/>
      <c r="I7522" s="952">
        <f>SUM(I7521:I7521)</f>
        <v>0</v>
      </c>
    </row>
    <row r="7523" spans="2:9" ht="15.75">
      <c r="C7523" s="949"/>
      <c r="D7523" s="946"/>
      <c r="E7523" s="947"/>
      <c r="F7523" s="1054"/>
      <c r="G7523" s="946"/>
      <c r="H7523" s="1031"/>
      <c r="I7523" s="948"/>
    </row>
    <row r="7524" spans="2:9" ht="15.75">
      <c r="C7524" s="945" t="s">
        <v>925</v>
      </c>
      <c r="D7524" s="946"/>
      <c r="E7524" s="947"/>
      <c r="F7524" s="1054"/>
      <c r="G7524" s="946"/>
      <c r="H7524" s="1031"/>
      <c r="I7524" s="948"/>
    </row>
    <row r="7525" spans="2:9" ht="15.75">
      <c r="C7525" s="949" t="s">
        <v>924</v>
      </c>
      <c r="D7525" s="946"/>
      <c r="E7525" s="947" t="str">
        <f>+VLOOKUP(C7525,'Basic (equilibrio) (2)'!B:D,2,FALSE)</f>
        <v>n/a</v>
      </c>
      <c r="F7525" s="1054">
        <f>+VLOOKUP(C7525,'Basic (equilibrio) (2)'!B:D,3,FALSE)</f>
        <v>0</v>
      </c>
      <c r="G7525" s="946"/>
      <c r="H7525" s="1031"/>
      <c r="I7525" s="948">
        <f>D7525*F7525</f>
        <v>0</v>
      </c>
    </row>
    <row r="7526" spans="2:9" ht="15.75">
      <c r="C7526" s="951" t="s">
        <v>918</v>
      </c>
      <c r="D7526" s="946"/>
      <c r="E7526" s="947"/>
      <c r="F7526" s="1054"/>
      <c r="G7526" s="946"/>
      <c r="H7526" s="1031"/>
      <c r="I7526" s="952">
        <f>SUM(I7525)</f>
        <v>0</v>
      </c>
    </row>
    <row r="7527" spans="2:9" ht="15.75">
      <c r="C7527" s="951"/>
      <c r="D7527" s="946"/>
      <c r="E7527" s="947"/>
      <c r="F7527" s="1054"/>
      <c r="G7527" s="946"/>
      <c r="H7527" s="1031"/>
      <c r="I7527" s="952"/>
    </row>
    <row r="7528" spans="2:9" ht="15.75">
      <c r="C7528" s="956" t="s">
        <v>926</v>
      </c>
      <c r="D7528" s="957"/>
      <c r="E7528" s="958"/>
      <c r="F7528" s="1069"/>
      <c r="G7528" s="957"/>
      <c r="H7528" s="1032"/>
      <c r="I7528" s="959">
        <f>+I7514</f>
        <v>1530</v>
      </c>
    </row>
    <row r="7529" spans="2:9" ht="15.75">
      <c r="C7529" s="956" t="s">
        <v>927</v>
      </c>
      <c r="D7529" s="957"/>
      <c r="E7529" s="958"/>
      <c r="F7529" s="1069"/>
      <c r="G7529" s="957"/>
      <c r="H7529" s="1032"/>
      <c r="I7529" s="959">
        <f>+I7518</f>
        <v>0</v>
      </c>
    </row>
    <row r="7530" spans="2:9" ht="15.75">
      <c r="C7530" s="956" t="s">
        <v>928</v>
      </c>
      <c r="D7530" s="957"/>
      <c r="E7530" s="958"/>
      <c r="F7530" s="1069"/>
      <c r="G7530" s="957"/>
      <c r="H7530" s="1032"/>
      <c r="I7530" s="959">
        <f>+I7522</f>
        <v>0</v>
      </c>
    </row>
    <row r="7531" spans="2:9" ht="15.75">
      <c r="C7531" s="956" t="s">
        <v>929</v>
      </c>
      <c r="D7531" s="957"/>
      <c r="E7531" s="958"/>
      <c r="F7531" s="1069"/>
      <c r="G7531" s="957"/>
      <c r="H7531" s="1032"/>
      <c r="I7531" s="959">
        <f>+I7526</f>
        <v>0</v>
      </c>
    </row>
    <row r="7532" spans="2:9" ht="15.75">
      <c r="C7532" s="949"/>
      <c r="D7532" s="946"/>
      <c r="E7532" s="947"/>
      <c r="F7532" s="1054"/>
      <c r="G7532" s="946"/>
      <c r="H7532" s="1031"/>
      <c r="I7532" s="948"/>
    </row>
    <row r="7533" spans="2:9" ht="15.75">
      <c r="C7533" s="951" t="s">
        <v>930</v>
      </c>
      <c r="D7533" s="960"/>
      <c r="E7533" s="975" t="str">
        <f>+E7510</f>
        <v>P.a</v>
      </c>
      <c r="F7533" s="1070"/>
      <c r="G7533" s="960"/>
      <c r="H7533" s="1033"/>
      <c r="I7533" s="952">
        <f>SUM(I7528:I7531)</f>
        <v>1530</v>
      </c>
    </row>
    <row r="7534" spans="2:9" ht="15.75">
      <c r="C7534" s="951"/>
      <c r="D7534" s="960"/>
      <c r="E7534" s="943"/>
      <c r="F7534" s="1070"/>
      <c r="G7534" s="960"/>
      <c r="H7534" s="1033"/>
      <c r="I7534" s="952"/>
    </row>
    <row r="7535" spans="2:9" ht="15.75">
      <c r="B7535" s="1062">
        <v>10.210000000000001</v>
      </c>
      <c r="C7535" s="937" t="str">
        <f>+Presupuesto!B454</f>
        <v>Sistema sanitario para cárceles (prevision fondos)</v>
      </c>
      <c r="D7535" s="938"/>
      <c r="E7535" s="962" t="s">
        <v>1109</v>
      </c>
      <c r="F7535" s="1066"/>
      <c r="G7535" s="938"/>
      <c r="H7535" s="1029"/>
      <c r="I7535" s="940">
        <f>+I7558</f>
        <v>35700</v>
      </c>
    </row>
    <row r="7536" spans="2:9" ht="15.75">
      <c r="C7536" s="941" t="s">
        <v>908</v>
      </c>
      <c r="D7536" s="942" t="s">
        <v>9</v>
      </c>
      <c r="E7536" s="943" t="s">
        <v>10</v>
      </c>
      <c r="F7536" s="1067" t="s">
        <v>909</v>
      </c>
      <c r="G7536" s="942" t="s">
        <v>910</v>
      </c>
      <c r="H7536" s="1030" t="s">
        <v>911</v>
      </c>
      <c r="I7536" s="944" t="s">
        <v>912</v>
      </c>
    </row>
    <row r="7537" spans="3:9" ht="15.75">
      <c r="C7537" s="945" t="s">
        <v>913</v>
      </c>
      <c r="D7537" s="946"/>
      <c r="E7537" s="947"/>
      <c r="F7537" s="1054"/>
      <c r="G7537" s="946"/>
      <c r="H7537" s="1031"/>
      <c r="I7537" s="948"/>
    </row>
    <row r="7538" spans="3:9" ht="15.75">
      <c r="C7538" s="949" t="s">
        <v>1616</v>
      </c>
      <c r="D7538" s="946">
        <v>1.02</v>
      </c>
      <c r="E7538" s="947" t="str">
        <f>+VLOOKUP(C7538,'Basic (equilibrio) (2)'!B:D,2,FALSE)</f>
        <v>p.a</v>
      </c>
      <c r="F7538" s="1068">
        <f>'Basic (equilibrio) (2)'!$D$231</f>
        <v>35000</v>
      </c>
      <c r="G7538" s="946">
        <f>F7538-(F7538/1.18)</f>
        <v>5338.98</v>
      </c>
      <c r="H7538" s="1031"/>
      <c r="I7538" s="948">
        <f>D7538*F7538</f>
        <v>35700</v>
      </c>
    </row>
    <row r="7539" spans="3:9" ht="15.75">
      <c r="C7539" s="951" t="s">
        <v>918</v>
      </c>
      <c r="D7539" s="946"/>
      <c r="E7539" s="947"/>
      <c r="F7539" s="1068"/>
      <c r="G7539" s="946"/>
      <c r="H7539" s="1031"/>
      <c r="I7539" s="952">
        <f>SUM(I7538:I7538)</f>
        <v>35700</v>
      </c>
    </row>
    <row r="7540" spans="3:9" ht="15.75">
      <c r="C7540" s="949"/>
      <c r="D7540" s="946"/>
      <c r="E7540" s="947"/>
      <c r="F7540" s="1068"/>
      <c r="G7540" s="946"/>
      <c r="H7540" s="1031"/>
      <c r="I7540" s="948"/>
    </row>
    <row r="7541" spans="3:9" ht="15.75">
      <c r="C7541" s="945" t="s">
        <v>919</v>
      </c>
      <c r="D7541" s="946"/>
      <c r="E7541" s="947"/>
      <c r="F7541" s="1068"/>
      <c r="G7541" s="946"/>
      <c r="H7541" s="1031"/>
      <c r="I7541" s="948"/>
    </row>
    <row r="7542" spans="3:9" ht="15.75">
      <c r="C7542" s="949" t="s">
        <v>924</v>
      </c>
      <c r="D7542" s="953"/>
      <c r="E7542" s="954" t="str">
        <f>+VLOOKUP(C7542,'Basic (equilibrio) (2)'!B:D,2,FALSE)</f>
        <v>n/a</v>
      </c>
      <c r="F7542" s="1068">
        <f>+VLOOKUP(C7542,'Basic (equilibrio) (2)'!B:D,3,FALSE)</f>
        <v>0</v>
      </c>
      <c r="G7542" s="946">
        <v>0</v>
      </c>
      <c r="H7542" s="1031"/>
      <c r="I7542" s="948">
        <f>(D7542*F7542)</f>
        <v>0</v>
      </c>
    </row>
    <row r="7543" spans="3:9" ht="15.75">
      <c r="C7543" s="951" t="s">
        <v>918</v>
      </c>
      <c r="D7543" s="946"/>
      <c r="E7543" s="947"/>
      <c r="F7543" s="1054"/>
      <c r="G7543" s="946"/>
      <c r="H7543" s="1031"/>
      <c r="I7543" s="952">
        <f>SUM(I7542:I7542)</f>
        <v>0</v>
      </c>
    </row>
    <row r="7544" spans="3:9" ht="15.75">
      <c r="C7544" s="949"/>
      <c r="D7544" s="946"/>
      <c r="E7544" s="947"/>
      <c r="F7544" s="1054"/>
      <c r="G7544" s="946"/>
      <c r="H7544" s="1031"/>
      <c r="I7544" s="948"/>
    </row>
    <row r="7545" spans="3:9" ht="15.75">
      <c r="C7545" s="945" t="s">
        <v>923</v>
      </c>
      <c r="D7545" s="946"/>
      <c r="E7545" s="947"/>
      <c r="F7545" s="1054"/>
      <c r="G7545" s="946"/>
      <c r="H7545" s="1031"/>
      <c r="I7545" s="948"/>
    </row>
    <row r="7546" spans="3:9" ht="15.75">
      <c r="C7546" s="949" t="s">
        <v>924</v>
      </c>
      <c r="D7546" s="946"/>
      <c r="E7546" s="947" t="str">
        <f>+VLOOKUP(C7546,'Basic (equilibrio) (2)'!B:D,2,FALSE)</f>
        <v>n/a</v>
      </c>
      <c r="F7546" s="1054">
        <f>+VLOOKUP(C7546,'Basic (equilibrio) (2)'!B:D,3,FALSE)</f>
        <v>0</v>
      </c>
      <c r="G7546" s="946">
        <f>F7546-(F7546/1.18)</f>
        <v>0</v>
      </c>
      <c r="H7546" s="1039"/>
      <c r="I7546" s="955">
        <f>D7546*F7546</f>
        <v>0</v>
      </c>
    </row>
    <row r="7547" spans="3:9" ht="15.75">
      <c r="C7547" s="951" t="s">
        <v>918</v>
      </c>
      <c r="D7547" s="946"/>
      <c r="E7547" s="947"/>
      <c r="F7547" s="1054"/>
      <c r="G7547" s="946"/>
      <c r="H7547" s="1031"/>
      <c r="I7547" s="952">
        <f>SUM(I7546:I7546)</f>
        <v>0</v>
      </c>
    </row>
    <row r="7548" spans="3:9" ht="15.75">
      <c r="C7548" s="949"/>
      <c r="D7548" s="946"/>
      <c r="E7548" s="947"/>
      <c r="F7548" s="1054"/>
      <c r="G7548" s="946"/>
      <c r="H7548" s="1031"/>
      <c r="I7548" s="948"/>
    </row>
    <row r="7549" spans="3:9" ht="15.75">
      <c r="C7549" s="945" t="s">
        <v>925</v>
      </c>
      <c r="D7549" s="946"/>
      <c r="E7549" s="947"/>
      <c r="F7549" s="1054"/>
      <c r="G7549" s="946"/>
      <c r="H7549" s="1031"/>
      <c r="I7549" s="948"/>
    </row>
    <row r="7550" spans="3:9" ht="15.75">
      <c r="C7550" s="949" t="s">
        <v>924</v>
      </c>
      <c r="D7550" s="946"/>
      <c r="E7550" s="947" t="str">
        <f>+VLOOKUP(C7550,'Basic (equilibrio) (2)'!B:D,2,FALSE)</f>
        <v>n/a</v>
      </c>
      <c r="F7550" s="1054">
        <f>+VLOOKUP(C7550,'Basic (equilibrio) (2)'!B:D,3,FALSE)</f>
        <v>0</v>
      </c>
      <c r="G7550" s="946"/>
      <c r="H7550" s="1031"/>
      <c r="I7550" s="948">
        <f>D7550*F7550</f>
        <v>0</v>
      </c>
    </row>
    <row r="7551" spans="3:9" ht="15.75">
      <c r="C7551" s="951" t="s">
        <v>918</v>
      </c>
      <c r="D7551" s="946"/>
      <c r="E7551" s="947"/>
      <c r="F7551" s="1054"/>
      <c r="G7551" s="946"/>
      <c r="H7551" s="1031"/>
      <c r="I7551" s="952">
        <f>SUM(I7550)</f>
        <v>0</v>
      </c>
    </row>
    <row r="7552" spans="3:9" ht="15.75">
      <c r="C7552" s="951"/>
      <c r="D7552" s="946"/>
      <c r="E7552" s="947"/>
      <c r="F7552" s="1054"/>
      <c r="G7552" s="946"/>
      <c r="H7552" s="1031"/>
      <c r="I7552" s="952"/>
    </row>
    <row r="7553" spans="2:9" ht="15.75">
      <c r="C7553" s="956" t="s">
        <v>926</v>
      </c>
      <c r="D7553" s="957"/>
      <c r="E7553" s="958"/>
      <c r="F7553" s="1069"/>
      <c r="G7553" s="957"/>
      <c r="H7553" s="1032"/>
      <c r="I7553" s="959">
        <f>+I7539</f>
        <v>35700</v>
      </c>
    </row>
    <row r="7554" spans="2:9" ht="15.75">
      <c r="C7554" s="956" t="s">
        <v>927</v>
      </c>
      <c r="D7554" s="957"/>
      <c r="E7554" s="958"/>
      <c r="F7554" s="1069"/>
      <c r="G7554" s="957"/>
      <c r="H7554" s="1032"/>
      <c r="I7554" s="959">
        <f>+I7543</f>
        <v>0</v>
      </c>
    </row>
    <row r="7555" spans="2:9" ht="15.75">
      <c r="C7555" s="956" t="s">
        <v>928</v>
      </c>
      <c r="D7555" s="957"/>
      <c r="E7555" s="958"/>
      <c r="F7555" s="1069"/>
      <c r="G7555" s="957"/>
      <c r="H7555" s="1032"/>
      <c r="I7555" s="959">
        <f>+I7547</f>
        <v>0</v>
      </c>
    </row>
    <row r="7556" spans="2:9" ht="15.75">
      <c r="C7556" s="956" t="s">
        <v>929</v>
      </c>
      <c r="D7556" s="957"/>
      <c r="E7556" s="958"/>
      <c r="F7556" s="1069"/>
      <c r="G7556" s="957"/>
      <c r="H7556" s="1032"/>
      <c r="I7556" s="959">
        <f>+I7551</f>
        <v>0</v>
      </c>
    </row>
    <row r="7557" spans="2:9" ht="15.75">
      <c r="C7557" s="949"/>
      <c r="D7557" s="946"/>
      <c r="E7557" s="947"/>
      <c r="F7557" s="1054"/>
      <c r="G7557" s="946"/>
      <c r="H7557" s="1031"/>
      <c r="I7557" s="948"/>
    </row>
    <row r="7558" spans="2:9" ht="15.75">
      <c r="C7558" s="951" t="s">
        <v>930</v>
      </c>
      <c r="D7558" s="960"/>
      <c r="E7558" s="975" t="str">
        <f>+E7535</f>
        <v>P.a</v>
      </c>
      <c r="F7558" s="1070"/>
      <c r="G7558" s="960"/>
      <c r="H7558" s="1033"/>
      <c r="I7558" s="952">
        <f>SUM(I7553:I7556)</f>
        <v>35700</v>
      </c>
    </row>
    <row r="7559" spans="2:9" ht="15.75">
      <c r="C7559" s="951"/>
      <c r="D7559" s="960"/>
      <c r="E7559" s="943"/>
      <c r="F7559" s="1070"/>
      <c r="G7559" s="960"/>
      <c r="H7559" s="1033"/>
      <c r="I7559" s="952"/>
    </row>
    <row r="7560" spans="2:9" ht="31.5">
      <c r="B7560" s="1062">
        <v>10.220000000000001</v>
      </c>
      <c r="C7560" s="937" t="str">
        <f>+Presupuesto!B455</f>
        <v>Suministro de tuberías y piezas en PVC para aguas residuales</v>
      </c>
      <c r="D7560" s="938"/>
      <c r="E7560" s="962" t="s">
        <v>1109</v>
      </c>
      <c r="F7560" s="1066"/>
      <c r="G7560" s="938"/>
      <c r="H7560" s="1029"/>
      <c r="I7560" s="940">
        <f>+I7583</f>
        <v>12240</v>
      </c>
    </row>
    <row r="7561" spans="2:9" ht="15.75">
      <c r="C7561" s="941" t="s">
        <v>908</v>
      </c>
      <c r="D7561" s="942" t="s">
        <v>9</v>
      </c>
      <c r="E7561" s="943" t="s">
        <v>10</v>
      </c>
      <c r="F7561" s="1067" t="s">
        <v>909</v>
      </c>
      <c r="G7561" s="942" t="s">
        <v>910</v>
      </c>
      <c r="H7561" s="1030" t="s">
        <v>911</v>
      </c>
      <c r="I7561" s="944" t="s">
        <v>912</v>
      </c>
    </row>
    <row r="7562" spans="2:9" ht="15.75">
      <c r="C7562" s="945" t="s">
        <v>913</v>
      </c>
      <c r="D7562" s="946"/>
      <c r="E7562" s="947"/>
      <c r="F7562" s="1054"/>
      <c r="G7562" s="946"/>
      <c r="H7562" s="1031"/>
      <c r="I7562" s="948"/>
    </row>
    <row r="7563" spans="2:9" ht="15.75">
      <c r="C7563" s="949" t="s">
        <v>1618</v>
      </c>
      <c r="D7563" s="946">
        <v>1.02</v>
      </c>
      <c r="E7563" s="947" t="str">
        <f>+VLOOKUP(C7563,'Basic (equilibrio) (2)'!B:D,2,FALSE)</f>
        <v>p.a</v>
      </c>
      <c r="F7563" s="1068">
        <f>'Basic (equilibrio) (2)'!$D$232</f>
        <v>12000</v>
      </c>
      <c r="G7563" s="946">
        <f>F7563-(F7563/1.18)</f>
        <v>1830.51</v>
      </c>
      <c r="H7563" s="1031"/>
      <c r="I7563" s="948">
        <f>D7563*F7563</f>
        <v>12240</v>
      </c>
    </row>
    <row r="7564" spans="2:9" ht="15.75">
      <c r="C7564" s="951" t="s">
        <v>918</v>
      </c>
      <c r="D7564" s="946"/>
      <c r="E7564" s="947"/>
      <c r="F7564" s="1068"/>
      <c r="G7564" s="946"/>
      <c r="H7564" s="1031"/>
      <c r="I7564" s="952">
        <f>SUM(I7563:I7563)</f>
        <v>12240</v>
      </c>
    </row>
    <row r="7565" spans="2:9" ht="15.75">
      <c r="C7565" s="949"/>
      <c r="D7565" s="946"/>
      <c r="E7565" s="947"/>
      <c r="F7565" s="1068"/>
      <c r="G7565" s="946"/>
      <c r="H7565" s="1031"/>
      <c r="I7565" s="948"/>
    </row>
    <row r="7566" spans="2:9" ht="15.75">
      <c r="C7566" s="945" t="s">
        <v>919</v>
      </c>
      <c r="D7566" s="946"/>
      <c r="E7566" s="947"/>
      <c r="F7566" s="1068"/>
      <c r="G7566" s="946"/>
      <c r="H7566" s="1031"/>
      <c r="I7566" s="948"/>
    </row>
    <row r="7567" spans="2:9" ht="15.75">
      <c r="C7567" s="949" t="s">
        <v>924</v>
      </c>
      <c r="D7567" s="953"/>
      <c r="E7567" s="954" t="str">
        <f>+VLOOKUP(C7567,'Basic (equilibrio) (2)'!B:D,2,FALSE)</f>
        <v>n/a</v>
      </c>
      <c r="F7567" s="1068">
        <f>+VLOOKUP(C7567,'Basic (equilibrio) (2)'!B:D,3,FALSE)</f>
        <v>0</v>
      </c>
      <c r="G7567" s="946">
        <v>0</v>
      </c>
      <c r="H7567" s="1031"/>
      <c r="I7567" s="948">
        <f>(D7567*F7567)</f>
        <v>0</v>
      </c>
    </row>
    <row r="7568" spans="2:9" ht="15.75">
      <c r="C7568" s="951" t="s">
        <v>918</v>
      </c>
      <c r="D7568" s="946"/>
      <c r="E7568" s="947"/>
      <c r="F7568" s="1054"/>
      <c r="G7568" s="946"/>
      <c r="H7568" s="1031"/>
      <c r="I7568" s="952">
        <f>SUM(I7567:I7567)</f>
        <v>0</v>
      </c>
    </row>
    <row r="7569" spans="3:9" ht="15.75">
      <c r="C7569" s="949"/>
      <c r="D7569" s="946"/>
      <c r="E7569" s="947"/>
      <c r="F7569" s="1054"/>
      <c r="G7569" s="946"/>
      <c r="H7569" s="1031"/>
      <c r="I7569" s="948"/>
    </row>
    <row r="7570" spans="3:9" ht="15.75">
      <c r="C7570" s="945" t="s">
        <v>923</v>
      </c>
      <c r="D7570" s="946"/>
      <c r="E7570" s="947"/>
      <c r="F7570" s="1054"/>
      <c r="G7570" s="946"/>
      <c r="H7570" s="1031"/>
      <c r="I7570" s="948"/>
    </row>
    <row r="7571" spans="3:9" ht="15.75">
      <c r="C7571" s="949" t="s">
        <v>924</v>
      </c>
      <c r="D7571" s="946"/>
      <c r="E7571" s="947" t="str">
        <f>+VLOOKUP(C7571,'Basic (equilibrio) (2)'!B:D,2,FALSE)</f>
        <v>n/a</v>
      </c>
      <c r="F7571" s="1054">
        <f>+VLOOKUP(C7571,'Basic (equilibrio) (2)'!B:D,3,FALSE)</f>
        <v>0</v>
      </c>
      <c r="G7571" s="946">
        <f>F7571-(F7571/1.18)</f>
        <v>0</v>
      </c>
      <c r="H7571" s="1039"/>
      <c r="I7571" s="955">
        <f>D7571*F7571</f>
        <v>0</v>
      </c>
    </row>
    <row r="7572" spans="3:9" ht="15.75">
      <c r="C7572" s="951" t="s">
        <v>918</v>
      </c>
      <c r="D7572" s="946"/>
      <c r="E7572" s="947"/>
      <c r="F7572" s="1054"/>
      <c r="G7572" s="946"/>
      <c r="H7572" s="1031"/>
      <c r="I7572" s="952">
        <f>SUM(I7571:I7571)</f>
        <v>0</v>
      </c>
    </row>
    <row r="7573" spans="3:9" ht="15.75">
      <c r="C7573" s="949"/>
      <c r="D7573" s="946"/>
      <c r="E7573" s="947"/>
      <c r="F7573" s="1054"/>
      <c r="G7573" s="946"/>
      <c r="H7573" s="1031"/>
      <c r="I7573" s="948"/>
    </row>
    <row r="7574" spans="3:9" ht="15.75">
      <c r="C7574" s="945" t="s">
        <v>925</v>
      </c>
      <c r="D7574" s="946"/>
      <c r="E7574" s="947"/>
      <c r="F7574" s="1054"/>
      <c r="G7574" s="946"/>
      <c r="H7574" s="1031"/>
      <c r="I7574" s="948"/>
    </row>
    <row r="7575" spans="3:9" ht="15.75">
      <c r="C7575" s="949" t="s">
        <v>924</v>
      </c>
      <c r="D7575" s="946"/>
      <c r="E7575" s="947" t="str">
        <f>+VLOOKUP(C7575,'Basic (equilibrio) (2)'!B:D,2,FALSE)</f>
        <v>n/a</v>
      </c>
      <c r="F7575" s="1054">
        <f>+VLOOKUP(C7575,'Basic (equilibrio) (2)'!B:D,3,FALSE)</f>
        <v>0</v>
      </c>
      <c r="G7575" s="946"/>
      <c r="H7575" s="1031"/>
      <c r="I7575" s="948">
        <f>D7575*F7575</f>
        <v>0</v>
      </c>
    </row>
    <row r="7576" spans="3:9" ht="15.75">
      <c r="C7576" s="951" t="s">
        <v>918</v>
      </c>
      <c r="D7576" s="946"/>
      <c r="E7576" s="947"/>
      <c r="F7576" s="1054"/>
      <c r="G7576" s="946"/>
      <c r="H7576" s="1031"/>
      <c r="I7576" s="952">
        <f>SUM(I7575)</f>
        <v>0</v>
      </c>
    </row>
    <row r="7577" spans="3:9" ht="15.75">
      <c r="C7577" s="951"/>
      <c r="D7577" s="946"/>
      <c r="E7577" s="947"/>
      <c r="F7577" s="1054"/>
      <c r="G7577" s="946"/>
      <c r="H7577" s="1031"/>
      <c r="I7577" s="952"/>
    </row>
    <row r="7578" spans="3:9" ht="15.75">
      <c r="C7578" s="956" t="s">
        <v>926</v>
      </c>
      <c r="D7578" s="957"/>
      <c r="E7578" s="958"/>
      <c r="F7578" s="1069"/>
      <c r="G7578" s="957"/>
      <c r="H7578" s="1032"/>
      <c r="I7578" s="959">
        <f>+I7564</f>
        <v>12240</v>
      </c>
    </row>
    <row r="7579" spans="3:9" ht="15.75">
      <c r="C7579" s="956" t="s">
        <v>927</v>
      </c>
      <c r="D7579" s="957"/>
      <c r="E7579" s="958"/>
      <c r="F7579" s="1069"/>
      <c r="G7579" s="957"/>
      <c r="H7579" s="1032"/>
      <c r="I7579" s="959">
        <f>+I7568</f>
        <v>0</v>
      </c>
    </row>
    <row r="7580" spans="3:9" ht="15.75">
      <c r="C7580" s="956" t="s">
        <v>928</v>
      </c>
      <c r="D7580" s="957"/>
      <c r="E7580" s="958"/>
      <c r="F7580" s="1069"/>
      <c r="G7580" s="957"/>
      <c r="H7580" s="1032"/>
      <c r="I7580" s="959">
        <f>+I7572</f>
        <v>0</v>
      </c>
    </row>
    <row r="7581" spans="3:9" ht="15.75">
      <c r="C7581" s="956" t="s">
        <v>929</v>
      </c>
      <c r="D7581" s="957"/>
      <c r="E7581" s="958"/>
      <c r="F7581" s="1069"/>
      <c r="G7581" s="957"/>
      <c r="H7581" s="1032"/>
      <c r="I7581" s="959">
        <f>+I7576</f>
        <v>0</v>
      </c>
    </row>
    <row r="7582" spans="3:9" ht="15.75">
      <c r="C7582" s="949"/>
      <c r="D7582" s="946"/>
      <c r="E7582" s="947"/>
      <c r="F7582" s="1054"/>
      <c r="G7582" s="946"/>
      <c r="H7582" s="1031"/>
      <c r="I7582" s="948"/>
    </row>
    <row r="7583" spans="3:9" ht="15.75">
      <c r="C7583" s="951" t="s">
        <v>930</v>
      </c>
      <c r="D7583" s="960"/>
      <c r="E7583" s="975" t="str">
        <f>+E7560</f>
        <v>P.a</v>
      </c>
      <c r="F7583" s="1070"/>
      <c r="G7583" s="960"/>
      <c r="H7583" s="1033"/>
      <c r="I7583" s="952">
        <f>SUM(I7578:I7581)</f>
        <v>12240</v>
      </c>
    </row>
    <row r="7584" spans="3:9" ht="15.75">
      <c r="C7584" s="951"/>
      <c r="D7584" s="960"/>
      <c r="E7584" s="943"/>
      <c r="F7584" s="1070"/>
      <c r="G7584" s="960"/>
      <c r="H7584" s="1033"/>
      <c r="I7584" s="952"/>
    </row>
    <row r="7585" spans="2:9" ht="15.75">
      <c r="C7585" s="951"/>
      <c r="D7585" s="960"/>
      <c r="E7585" s="943"/>
      <c r="F7585" s="1070"/>
      <c r="G7585" s="960"/>
      <c r="H7585" s="1033"/>
      <c r="I7585" s="952"/>
    </row>
    <row r="7586" spans="2:9" ht="15.75">
      <c r="B7586" s="1062">
        <v>10.23</v>
      </c>
      <c r="C7586" s="937" t="str">
        <f>+Presupuesto!B456</f>
        <v>Suministro de tuberías y piezas en PVC para agua potable</v>
      </c>
      <c r="D7586" s="938"/>
      <c r="E7586" s="962" t="s">
        <v>1109</v>
      </c>
      <c r="F7586" s="1066"/>
      <c r="G7586" s="938"/>
      <c r="H7586" s="1029"/>
      <c r="I7586" s="940">
        <f>+I7609</f>
        <v>15300</v>
      </c>
    </row>
    <row r="7587" spans="2:9" ht="15.75">
      <c r="C7587" s="941" t="s">
        <v>908</v>
      </c>
      <c r="D7587" s="942" t="s">
        <v>9</v>
      </c>
      <c r="E7587" s="943" t="s">
        <v>10</v>
      </c>
      <c r="F7587" s="1067" t="s">
        <v>909</v>
      </c>
      <c r="G7587" s="942" t="s">
        <v>910</v>
      </c>
      <c r="H7587" s="1030" t="s">
        <v>911</v>
      </c>
      <c r="I7587" s="944" t="s">
        <v>912</v>
      </c>
    </row>
    <row r="7588" spans="2:9" ht="15.75">
      <c r="C7588" s="945" t="s">
        <v>913</v>
      </c>
      <c r="D7588" s="946"/>
      <c r="E7588" s="947"/>
      <c r="F7588" s="1054"/>
      <c r="G7588" s="946"/>
      <c r="H7588" s="1031"/>
      <c r="I7588" s="948"/>
    </row>
    <row r="7589" spans="2:9" ht="15.75">
      <c r="C7589" s="949" t="s">
        <v>1619</v>
      </c>
      <c r="D7589" s="946">
        <v>1.02</v>
      </c>
      <c r="E7589" s="947" t="str">
        <f>+VLOOKUP(C7589,'Basic (equilibrio) (2)'!B:D,2,FALSE)</f>
        <v>p.a</v>
      </c>
      <c r="F7589" s="1068">
        <f>'Basic (equilibrio) (2)'!$D$233</f>
        <v>15000</v>
      </c>
      <c r="G7589" s="946">
        <f>F7589-(F7589/1.18)</f>
        <v>2288.14</v>
      </c>
      <c r="H7589" s="1031"/>
      <c r="I7589" s="948">
        <f>D7589*F7589</f>
        <v>15300</v>
      </c>
    </row>
    <row r="7590" spans="2:9" ht="15.75">
      <c r="C7590" s="951" t="s">
        <v>918</v>
      </c>
      <c r="D7590" s="946"/>
      <c r="E7590" s="947"/>
      <c r="F7590" s="1068"/>
      <c r="G7590" s="946"/>
      <c r="H7590" s="1031"/>
      <c r="I7590" s="952">
        <f>SUM(I7589:I7589)</f>
        <v>15300</v>
      </c>
    </row>
    <row r="7591" spans="2:9" ht="15.75">
      <c r="C7591" s="949"/>
      <c r="D7591" s="946"/>
      <c r="E7591" s="947"/>
      <c r="F7591" s="1068"/>
      <c r="G7591" s="946"/>
      <c r="H7591" s="1031"/>
      <c r="I7591" s="948"/>
    </row>
    <row r="7592" spans="2:9" ht="15.75">
      <c r="C7592" s="945" t="s">
        <v>919</v>
      </c>
      <c r="D7592" s="946"/>
      <c r="E7592" s="947"/>
      <c r="F7592" s="1068"/>
      <c r="G7592" s="946"/>
      <c r="H7592" s="1031"/>
      <c r="I7592" s="948"/>
    </row>
    <row r="7593" spans="2:9" ht="15.75">
      <c r="C7593" s="949" t="s">
        <v>924</v>
      </c>
      <c r="D7593" s="953"/>
      <c r="E7593" s="954" t="str">
        <f>+VLOOKUP(C7593,'Basic (equilibrio) (2)'!B:D,2,FALSE)</f>
        <v>n/a</v>
      </c>
      <c r="F7593" s="1068">
        <f>+VLOOKUP(C7593,'Basic (equilibrio) (2)'!B:D,3,FALSE)</f>
        <v>0</v>
      </c>
      <c r="G7593" s="946">
        <v>0</v>
      </c>
      <c r="H7593" s="1031"/>
      <c r="I7593" s="948">
        <f>(D7593*F7593)</f>
        <v>0</v>
      </c>
    </row>
    <row r="7594" spans="2:9" ht="15.75">
      <c r="C7594" s="951" t="s">
        <v>918</v>
      </c>
      <c r="D7594" s="946"/>
      <c r="E7594" s="947"/>
      <c r="F7594" s="1054"/>
      <c r="G7594" s="946"/>
      <c r="H7594" s="1031"/>
      <c r="I7594" s="952">
        <f>SUM(I7593:I7593)</f>
        <v>0</v>
      </c>
    </row>
    <row r="7595" spans="2:9" ht="15.75">
      <c r="C7595" s="949"/>
      <c r="D7595" s="946"/>
      <c r="E7595" s="947"/>
      <c r="F7595" s="1054"/>
      <c r="G7595" s="946"/>
      <c r="H7595" s="1031"/>
      <c r="I7595" s="948"/>
    </row>
    <row r="7596" spans="2:9" ht="15.75">
      <c r="C7596" s="945" t="s">
        <v>923</v>
      </c>
      <c r="D7596" s="946"/>
      <c r="E7596" s="947"/>
      <c r="F7596" s="1054"/>
      <c r="G7596" s="946"/>
      <c r="H7596" s="1031"/>
      <c r="I7596" s="948"/>
    </row>
    <row r="7597" spans="2:9" ht="15.75">
      <c r="C7597" s="949" t="s">
        <v>924</v>
      </c>
      <c r="D7597" s="946"/>
      <c r="E7597" s="947" t="str">
        <f>+VLOOKUP(C7597,'Basic (equilibrio) (2)'!B:D,2,FALSE)</f>
        <v>n/a</v>
      </c>
      <c r="F7597" s="1054">
        <f>+VLOOKUP(C7597,'Basic (equilibrio) (2)'!B:D,3,FALSE)</f>
        <v>0</v>
      </c>
      <c r="G7597" s="946">
        <f>F7597-(F7597/1.18)</f>
        <v>0</v>
      </c>
      <c r="H7597" s="1039"/>
      <c r="I7597" s="955">
        <f>D7597*F7597</f>
        <v>0</v>
      </c>
    </row>
    <row r="7598" spans="2:9" ht="15.75">
      <c r="C7598" s="951" t="s">
        <v>918</v>
      </c>
      <c r="D7598" s="946"/>
      <c r="E7598" s="947"/>
      <c r="F7598" s="1054"/>
      <c r="G7598" s="946"/>
      <c r="H7598" s="1031"/>
      <c r="I7598" s="952">
        <f>SUM(I7597:I7597)</f>
        <v>0</v>
      </c>
    </row>
    <row r="7599" spans="2:9" ht="15.75">
      <c r="C7599" s="949"/>
      <c r="D7599" s="946"/>
      <c r="E7599" s="947"/>
      <c r="F7599" s="1054"/>
      <c r="G7599" s="946"/>
      <c r="H7599" s="1031"/>
      <c r="I7599" s="948"/>
    </row>
    <row r="7600" spans="2:9" ht="15.75">
      <c r="C7600" s="945" t="s">
        <v>925</v>
      </c>
      <c r="D7600" s="946"/>
      <c r="E7600" s="947"/>
      <c r="F7600" s="1054"/>
      <c r="G7600" s="946"/>
      <c r="H7600" s="1031"/>
      <c r="I7600" s="948"/>
    </row>
    <row r="7601" spans="2:9" ht="15.75">
      <c r="C7601" s="949" t="s">
        <v>924</v>
      </c>
      <c r="D7601" s="946"/>
      <c r="E7601" s="947" t="str">
        <f>+VLOOKUP(C7601,'Basic (equilibrio) (2)'!B:D,2,FALSE)</f>
        <v>n/a</v>
      </c>
      <c r="F7601" s="1054">
        <f>+VLOOKUP(C7601,'Basic (equilibrio) (2)'!B:D,3,FALSE)</f>
        <v>0</v>
      </c>
      <c r="G7601" s="946"/>
      <c r="H7601" s="1031"/>
      <c r="I7601" s="948">
        <f>D7601*F7601</f>
        <v>0</v>
      </c>
    </row>
    <row r="7602" spans="2:9" ht="15.75">
      <c r="C7602" s="951" t="s">
        <v>918</v>
      </c>
      <c r="D7602" s="946"/>
      <c r="E7602" s="947"/>
      <c r="F7602" s="1054"/>
      <c r="G7602" s="946"/>
      <c r="H7602" s="1031"/>
      <c r="I7602" s="952">
        <f>SUM(I7601)</f>
        <v>0</v>
      </c>
    </row>
    <row r="7603" spans="2:9" ht="15.75">
      <c r="C7603" s="951"/>
      <c r="D7603" s="946"/>
      <c r="E7603" s="947"/>
      <c r="F7603" s="1054"/>
      <c r="G7603" s="946"/>
      <c r="H7603" s="1031"/>
      <c r="I7603" s="952"/>
    </row>
    <row r="7604" spans="2:9" ht="15.75">
      <c r="C7604" s="956" t="s">
        <v>926</v>
      </c>
      <c r="D7604" s="957"/>
      <c r="E7604" s="958"/>
      <c r="F7604" s="1069"/>
      <c r="G7604" s="957"/>
      <c r="H7604" s="1032"/>
      <c r="I7604" s="959">
        <f>+I7590</f>
        <v>15300</v>
      </c>
    </row>
    <row r="7605" spans="2:9" ht="15.75">
      <c r="C7605" s="956" t="s">
        <v>927</v>
      </c>
      <c r="D7605" s="957"/>
      <c r="E7605" s="958"/>
      <c r="F7605" s="1069"/>
      <c r="G7605" s="957"/>
      <c r="H7605" s="1032"/>
      <c r="I7605" s="959">
        <f>+I7594</f>
        <v>0</v>
      </c>
    </row>
    <row r="7606" spans="2:9" ht="15.75">
      <c r="C7606" s="956" t="s">
        <v>928</v>
      </c>
      <c r="D7606" s="957"/>
      <c r="E7606" s="958"/>
      <c r="F7606" s="1069"/>
      <c r="G7606" s="957"/>
      <c r="H7606" s="1032"/>
      <c r="I7606" s="959">
        <f>+I7598</f>
        <v>0</v>
      </c>
    </row>
    <row r="7607" spans="2:9" ht="15.75">
      <c r="C7607" s="956" t="s">
        <v>929</v>
      </c>
      <c r="D7607" s="957"/>
      <c r="E7607" s="958"/>
      <c r="F7607" s="1069"/>
      <c r="G7607" s="957"/>
      <c r="H7607" s="1032"/>
      <c r="I7607" s="959">
        <f>+I7602</f>
        <v>0</v>
      </c>
    </row>
    <row r="7608" spans="2:9" ht="15.75">
      <c r="C7608" s="949"/>
      <c r="D7608" s="946"/>
      <c r="E7608" s="947"/>
      <c r="F7608" s="1054"/>
      <c r="G7608" s="946"/>
      <c r="H7608" s="1031"/>
      <c r="I7608" s="948"/>
    </row>
    <row r="7609" spans="2:9" ht="15.75">
      <c r="C7609" s="951" t="s">
        <v>930</v>
      </c>
      <c r="D7609" s="960"/>
      <c r="E7609" s="975" t="str">
        <f>+E7586</f>
        <v>P.a</v>
      </c>
      <c r="F7609" s="1070"/>
      <c r="G7609" s="960"/>
      <c r="H7609" s="1033"/>
      <c r="I7609" s="952">
        <f>SUM(I7604:I7607)</f>
        <v>15300</v>
      </c>
    </row>
    <row r="7610" spans="2:9" ht="15.75">
      <c r="C7610" s="951"/>
      <c r="D7610" s="960"/>
      <c r="E7610" s="943"/>
      <c r="F7610" s="1070"/>
      <c r="G7610" s="960"/>
      <c r="H7610" s="1033"/>
      <c r="I7610" s="952"/>
    </row>
    <row r="7611" spans="2:9" ht="15.75">
      <c r="B7611" s="1062">
        <v>10.24</v>
      </c>
      <c r="C7611" s="937" t="str">
        <f>+Presupuesto!B457</f>
        <v>Mano de obra plomero</v>
      </c>
      <c r="D7611" s="938"/>
      <c r="E7611" s="962" t="s">
        <v>1109</v>
      </c>
      <c r="F7611" s="1066"/>
      <c r="G7611" s="938"/>
      <c r="H7611" s="1029"/>
      <c r="I7611" s="940">
        <f>+I7634</f>
        <v>50000</v>
      </c>
    </row>
    <row r="7612" spans="2:9" ht="15.75">
      <c r="C7612" s="941" t="s">
        <v>908</v>
      </c>
      <c r="D7612" s="942" t="s">
        <v>9</v>
      </c>
      <c r="E7612" s="943" t="s">
        <v>10</v>
      </c>
      <c r="F7612" s="1067" t="s">
        <v>909</v>
      </c>
      <c r="G7612" s="942" t="s">
        <v>910</v>
      </c>
      <c r="H7612" s="1030" t="s">
        <v>911</v>
      </c>
      <c r="I7612" s="944" t="s">
        <v>912</v>
      </c>
    </row>
    <row r="7613" spans="2:9" ht="15.75">
      <c r="C7613" s="945" t="s">
        <v>913</v>
      </c>
      <c r="D7613" s="946"/>
      <c r="E7613" s="947"/>
      <c r="F7613" s="1054"/>
      <c r="G7613" s="946"/>
      <c r="H7613" s="1031"/>
      <c r="I7613" s="948"/>
    </row>
    <row r="7614" spans="2:9" ht="15.75">
      <c r="C7614" s="949" t="s">
        <v>1651</v>
      </c>
      <c r="D7614" s="946">
        <v>1</v>
      </c>
      <c r="E7614" s="947" t="s">
        <v>1109</v>
      </c>
      <c r="F7614" s="1068">
        <v>50000</v>
      </c>
      <c r="G7614" s="946">
        <f>F7614-(F7614/1.18)</f>
        <v>7627.12</v>
      </c>
      <c r="H7614" s="1031"/>
      <c r="I7614" s="948">
        <f>D7614*F7614</f>
        <v>50000</v>
      </c>
    </row>
    <row r="7615" spans="2:9" ht="15.75">
      <c r="C7615" s="951" t="s">
        <v>918</v>
      </c>
      <c r="D7615" s="946"/>
      <c r="E7615" s="947"/>
      <c r="F7615" s="1068"/>
      <c r="G7615" s="946"/>
      <c r="H7615" s="1031"/>
      <c r="I7615" s="952">
        <f>SUM(I7614:I7614)</f>
        <v>50000</v>
      </c>
    </row>
    <row r="7616" spans="2:9" ht="15.75">
      <c r="C7616" s="949"/>
      <c r="D7616" s="946"/>
      <c r="E7616" s="947"/>
      <c r="F7616" s="1068"/>
      <c r="G7616" s="946"/>
      <c r="H7616" s="1031"/>
      <c r="I7616" s="948"/>
    </row>
    <row r="7617" spans="3:9" ht="15.75">
      <c r="C7617" s="945" t="s">
        <v>919</v>
      </c>
      <c r="D7617" s="946"/>
      <c r="E7617" s="947"/>
      <c r="F7617" s="1068"/>
      <c r="G7617" s="946"/>
      <c r="H7617" s="1031"/>
      <c r="I7617" s="948"/>
    </row>
    <row r="7618" spans="3:9" ht="15.75">
      <c r="C7618" s="949" t="s">
        <v>924</v>
      </c>
      <c r="D7618" s="953"/>
      <c r="E7618" s="954" t="str">
        <f>+VLOOKUP(C7618,'Basic (equilibrio) (2)'!B:D,2,FALSE)</f>
        <v>n/a</v>
      </c>
      <c r="F7618" s="1068">
        <f>+VLOOKUP(C7618,'Basic (equilibrio) (2)'!B:D,3,FALSE)</f>
        <v>0</v>
      </c>
      <c r="G7618" s="946">
        <v>0</v>
      </c>
      <c r="H7618" s="1031"/>
      <c r="I7618" s="948">
        <f>(D7618*F7618)</f>
        <v>0</v>
      </c>
    </row>
    <row r="7619" spans="3:9" ht="15.75">
      <c r="C7619" s="951" t="s">
        <v>918</v>
      </c>
      <c r="D7619" s="946"/>
      <c r="E7619" s="947"/>
      <c r="F7619" s="1054"/>
      <c r="G7619" s="946"/>
      <c r="H7619" s="1031"/>
      <c r="I7619" s="952">
        <f>SUM(I7618:I7618)</f>
        <v>0</v>
      </c>
    </row>
    <row r="7620" spans="3:9" ht="15.75">
      <c r="C7620" s="949"/>
      <c r="D7620" s="946"/>
      <c r="E7620" s="947"/>
      <c r="F7620" s="1054"/>
      <c r="G7620" s="946"/>
      <c r="H7620" s="1031"/>
      <c r="I7620" s="948"/>
    </row>
    <row r="7621" spans="3:9" ht="15.75">
      <c r="C7621" s="945" t="s">
        <v>923</v>
      </c>
      <c r="D7621" s="946"/>
      <c r="E7621" s="947"/>
      <c r="F7621" s="1054"/>
      <c r="G7621" s="946"/>
      <c r="H7621" s="1031"/>
      <c r="I7621" s="948"/>
    </row>
    <row r="7622" spans="3:9" ht="15.75">
      <c r="C7622" s="949" t="s">
        <v>924</v>
      </c>
      <c r="D7622" s="946"/>
      <c r="E7622" s="947" t="str">
        <f>+VLOOKUP(C7622,'Basic (equilibrio) (2)'!B:D,2,FALSE)</f>
        <v>n/a</v>
      </c>
      <c r="F7622" s="1054">
        <f>+VLOOKUP(C7622,'Basic (equilibrio) (2)'!B:D,3,FALSE)</f>
        <v>0</v>
      </c>
      <c r="G7622" s="946">
        <f>F7622-(F7622/1.18)</f>
        <v>0</v>
      </c>
      <c r="H7622" s="1039"/>
      <c r="I7622" s="955">
        <f>D7622*F7622</f>
        <v>0</v>
      </c>
    </row>
    <row r="7623" spans="3:9" ht="15.75">
      <c r="C7623" s="951" t="s">
        <v>918</v>
      </c>
      <c r="D7623" s="946"/>
      <c r="E7623" s="947"/>
      <c r="F7623" s="1054"/>
      <c r="G7623" s="946"/>
      <c r="H7623" s="1031"/>
      <c r="I7623" s="952">
        <f>SUM(I7622:I7622)</f>
        <v>0</v>
      </c>
    </row>
    <row r="7624" spans="3:9" ht="15.75">
      <c r="C7624" s="949"/>
      <c r="D7624" s="946"/>
      <c r="E7624" s="947"/>
      <c r="F7624" s="1054"/>
      <c r="G7624" s="946"/>
      <c r="H7624" s="1031"/>
      <c r="I7624" s="948"/>
    </row>
    <row r="7625" spans="3:9" ht="15.75">
      <c r="C7625" s="945" t="s">
        <v>925</v>
      </c>
      <c r="D7625" s="946"/>
      <c r="E7625" s="947"/>
      <c r="F7625" s="1054"/>
      <c r="G7625" s="946"/>
      <c r="H7625" s="1031"/>
      <c r="I7625" s="948"/>
    </row>
    <row r="7626" spans="3:9" ht="15.75">
      <c r="C7626" s="949" t="s">
        <v>924</v>
      </c>
      <c r="D7626" s="946"/>
      <c r="E7626" s="947" t="str">
        <f>+VLOOKUP(C7626,'Basic (equilibrio) (2)'!B:D,2,FALSE)</f>
        <v>n/a</v>
      </c>
      <c r="F7626" s="1054">
        <f>+VLOOKUP(C7626,'Basic (equilibrio) (2)'!B:D,3,FALSE)</f>
        <v>0</v>
      </c>
      <c r="G7626" s="946"/>
      <c r="H7626" s="1031"/>
      <c r="I7626" s="948">
        <f>D7626*F7626</f>
        <v>0</v>
      </c>
    </row>
    <row r="7627" spans="3:9" ht="15.75">
      <c r="C7627" s="951" t="s">
        <v>918</v>
      </c>
      <c r="D7627" s="946"/>
      <c r="E7627" s="947"/>
      <c r="F7627" s="1054"/>
      <c r="G7627" s="946"/>
      <c r="H7627" s="1031"/>
      <c r="I7627" s="952">
        <f>SUM(I7626)</f>
        <v>0</v>
      </c>
    </row>
    <row r="7628" spans="3:9" ht="15.75">
      <c r="C7628" s="951"/>
      <c r="D7628" s="946"/>
      <c r="E7628" s="947"/>
      <c r="F7628" s="1054"/>
      <c r="G7628" s="946"/>
      <c r="H7628" s="1031"/>
      <c r="I7628" s="952"/>
    </row>
    <row r="7629" spans="3:9" ht="15.75">
      <c r="C7629" s="956" t="s">
        <v>926</v>
      </c>
      <c r="D7629" s="957"/>
      <c r="E7629" s="958"/>
      <c r="F7629" s="1069"/>
      <c r="G7629" s="957"/>
      <c r="H7629" s="1032"/>
      <c r="I7629" s="959">
        <f>+I7615</f>
        <v>50000</v>
      </c>
    </row>
    <row r="7630" spans="3:9" ht="15.75">
      <c r="C7630" s="956" t="s">
        <v>927</v>
      </c>
      <c r="D7630" s="957"/>
      <c r="E7630" s="958"/>
      <c r="F7630" s="1069"/>
      <c r="G7630" s="957"/>
      <c r="H7630" s="1032"/>
      <c r="I7630" s="959">
        <f>+I7619</f>
        <v>0</v>
      </c>
    </row>
    <row r="7631" spans="3:9" ht="15.75">
      <c r="C7631" s="956" t="s">
        <v>928</v>
      </c>
      <c r="D7631" s="957"/>
      <c r="E7631" s="958"/>
      <c r="F7631" s="1069"/>
      <c r="G7631" s="957"/>
      <c r="H7631" s="1032"/>
      <c r="I7631" s="959">
        <f>+I7623</f>
        <v>0</v>
      </c>
    </row>
    <row r="7632" spans="3:9" ht="15.75">
      <c r="C7632" s="956" t="s">
        <v>929</v>
      </c>
      <c r="D7632" s="957"/>
      <c r="E7632" s="958"/>
      <c r="F7632" s="1069"/>
      <c r="G7632" s="957"/>
      <c r="H7632" s="1032"/>
      <c r="I7632" s="959">
        <f>+I7627</f>
        <v>0</v>
      </c>
    </row>
    <row r="7633" spans="2:9" ht="15.75">
      <c r="C7633" s="949"/>
      <c r="D7633" s="946"/>
      <c r="E7633" s="947"/>
      <c r="F7633" s="1054"/>
      <c r="G7633" s="946"/>
      <c r="H7633" s="1031"/>
      <c r="I7633" s="948"/>
    </row>
    <row r="7634" spans="2:9" ht="15.75">
      <c r="C7634" s="951" t="s">
        <v>930</v>
      </c>
      <c r="D7634" s="960"/>
      <c r="E7634" s="975" t="str">
        <f>+E7611</f>
        <v>P.a</v>
      </c>
      <c r="F7634" s="1070"/>
      <c r="G7634" s="960"/>
      <c r="H7634" s="1033"/>
      <c r="I7634" s="952">
        <f>SUM(I7629:I7632)</f>
        <v>50000</v>
      </c>
    </row>
    <row r="7635" spans="2:9" ht="15.75">
      <c r="C7635" s="951"/>
      <c r="D7635" s="960"/>
      <c r="E7635" s="943"/>
      <c r="F7635" s="1070"/>
      <c r="G7635" s="960"/>
      <c r="H7635" s="1033"/>
      <c r="I7635" s="952"/>
    </row>
    <row r="7636" spans="2:9" ht="15.75">
      <c r="B7636" s="1063">
        <v>11.1</v>
      </c>
      <c r="C7636" s="937" t="str">
        <f>+Presupuesto!B460</f>
        <v>Salidas de luces cenitales</v>
      </c>
      <c r="D7636" s="938"/>
      <c r="E7636" s="962" t="str">
        <f>+Presupuesto!D460</f>
        <v>Ud</v>
      </c>
      <c r="F7636" s="1066"/>
      <c r="G7636" s="938"/>
      <c r="H7636" s="1029"/>
      <c r="I7636" s="940">
        <f>+I7659</f>
        <v>1945.14</v>
      </c>
    </row>
    <row r="7637" spans="2:9" ht="15.75">
      <c r="C7637" s="941" t="s">
        <v>908</v>
      </c>
      <c r="D7637" s="942" t="s">
        <v>9</v>
      </c>
      <c r="E7637" s="943" t="s">
        <v>10</v>
      </c>
      <c r="F7637" s="1067" t="s">
        <v>909</v>
      </c>
      <c r="G7637" s="942" t="s">
        <v>910</v>
      </c>
      <c r="H7637" s="1030" t="s">
        <v>911</v>
      </c>
      <c r="I7637" s="944" t="s">
        <v>912</v>
      </c>
    </row>
    <row r="7638" spans="2:9" ht="15.75">
      <c r="C7638" s="945" t="s">
        <v>913</v>
      </c>
      <c r="D7638" s="946"/>
      <c r="E7638" s="947"/>
      <c r="F7638" s="1054"/>
      <c r="G7638" s="946"/>
      <c r="H7638" s="1031"/>
      <c r="I7638" s="948"/>
    </row>
    <row r="7639" spans="2:9" ht="15.75">
      <c r="C7639" s="949" t="s">
        <v>1620</v>
      </c>
      <c r="D7639" s="946">
        <v>1.02</v>
      </c>
      <c r="E7639" s="947" t="str">
        <f>+VLOOKUP(C7639,'Basic (equilibrio) (2)'!B:D,2,FALSE)</f>
        <v>ud</v>
      </c>
      <c r="F7639" s="1068">
        <f>'Basic (equilibrio) (2)'!$D$234</f>
        <v>1907</v>
      </c>
      <c r="G7639" s="946">
        <f>F7639-(F7639/1.18)</f>
        <v>290.89999999999998</v>
      </c>
      <c r="H7639" s="1031"/>
      <c r="I7639" s="948">
        <f>D7639*F7639</f>
        <v>1945.14</v>
      </c>
    </row>
    <row r="7640" spans="2:9" ht="15.75">
      <c r="C7640" s="951" t="s">
        <v>918</v>
      </c>
      <c r="D7640" s="946"/>
      <c r="E7640" s="947"/>
      <c r="F7640" s="1068"/>
      <c r="G7640" s="946"/>
      <c r="H7640" s="1031"/>
      <c r="I7640" s="952">
        <f>SUM(I7639:I7639)</f>
        <v>1945.14</v>
      </c>
    </row>
    <row r="7641" spans="2:9" ht="15.75">
      <c r="C7641" s="949"/>
      <c r="D7641" s="946"/>
      <c r="E7641" s="947"/>
      <c r="F7641" s="1068"/>
      <c r="G7641" s="946"/>
      <c r="H7641" s="1031"/>
      <c r="I7641" s="948"/>
    </row>
    <row r="7642" spans="2:9" ht="15.75">
      <c r="C7642" s="945" t="s">
        <v>919</v>
      </c>
      <c r="D7642" s="946"/>
      <c r="E7642" s="947"/>
      <c r="F7642" s="1068"/>
      <c r="G7642" s="946"/>
      <c r="H7642" s="1031"/>
      <c r="I7642" s="948"/>
    </row>
    <row r="7643" spans="2:9" ht="15.75">
      <c r="C7643" s="949" t="s">
        <v>924</v>
      </c>
      <c r="D7643" s="953"/>
      <c r="E7643" s="954" t="str">
        <f>+VLOOKUP(C7643,'Basic (equilibrio) (2)'!B:D,2,FALSE)</f>
        <v>n/a</v>
      </c>
      <c r="F7643" s="1068">
        <f>+VLOOKUP(C7643,'Basic (equilibrio) (2)'!B:D,3,FALSE)</f>
        <v>0</v>
      </c>
      <c r="G7643" s="946">
        <v>0</v>
      </c>
      <c r="H7643" s="1031"/>
      <c r="I7643" s="948">
        <f>(D7643*F7643)</f>
        <v>0</v>
      </c>
    </row>
    <row r="7644" spans="2:9" ht="15.75">
      <c r="C7644" s="951" t="s">
        <v>918</v>
      </c>
      <c r="D7644" s="946"/>
      <c r="E7644" s="947"/>
      <c r="F7644" s="1054"/>
      <c r="G7644" s="946"/>
      <c r="H7644" s="1031"/>
      <c r="I7644" s="952">
        <f>SUM(I7643:I7643)</f>
        <v>0</v>
      </c>
    </row>
    <row r="7645" spans="2:9" ht="15.75">
      <c r="C7645" s="949"/>
      <c r="D7645" s="946"/>
      <c r="E7645" s="947"/>
      <c r="F7645" s="1054"/>
      <c r="G7645" s="946"/>
      <c r="H7645" s="1031"/>
      <c r="I7645" s="948"/>
    </row>
    <row r="7646" spans="2:9" ht="15.75">
      <c r="C7646" s="945" t="s">
        <v>923</v>
      </c>
      <c r="D7646" s="946"/>
      <c r="E7646" s="947"/>
      <c r="F7646" s="1054"/>
      <c r="G7646" s="946"/>
      <c r="H7646" s="1031"/>
      <c r="I7646" s="948"/>
    </row>
    <row r="7647" spans="2:9" ht="15.75">
      <c r="C7647" s="949" t="s">
        <v>924</v>
      </c>
      <c r="D7647" s="946"/>
      <c r="E7647" s="947" t="str">
        <f>+VLOOKUP(C7647,'Basic (equilibrio) (2)'!B:D,2,FALSE)</f>
        <v>n/a</v>
      </c>
      <c r="F7647" s="1054">
        <f>+VLOOKUP(C7647,'Basic (equilibrio) (2)'!B:D,3,FALSE)</f>
        <v>0</v>
      </c>
      <c r="G7647" s="946">
        <f>F7647-(F7647/1.18)</f>
        <v>0</v>
      </c>
      <c r="H7647" s="1039"/>
      <c r="I7647" s="955">
        <f>D7647*F7647</f>
        <v>0</v>
      </c>
    </row>
    <row r="7648" spans="2:9" ht="15.75">
      <c r="C7648" s="951" t="s">
        <v>918</v>
      </c>
      <c r="D7648" s="946"/>
      <c r="E7648" s="947"/>
      <c r="F7648" s="1054"/>
      <c r="G7648" s="946"/>
      <c r="H7648" s="1031"/>
      <c r="I7648" s="952">
        <f>SUM(I7647:I7647)</f>
        <v>0</v>
      </c>
    </row>
    <row r="7649" spans="2:9" ht="15.75">
      <c r="C7649" s="949"/>
      <c r="D7649" s="946"/>
      <c r="E7649" s="947"/>
      <c r="F7649" s="1054"/>
      <c r="G7649" s="946"/>
      <c r="H7649" s="1031"/>
      <c r="I7649" s="948"/>
    </row>
    <row r="7650" spans="2:9" ht="15.75">
      <c r="C7650" s="945" t="s">
        <v>925</v>
      </c>
      <c r="D7650" s="946"/>
      <c r="E7650" s="947"/>
      <c r="F7650" s="1054"/>
      <c r="G7650" s="946"/>
      <c r="H7650" s="1031"/>
      <c r="I7650" s="948"/>
    </row>
    <row r="7651" spans="2:9" ht="15.75">
      <c r="C7651" s="949" t="s">
        <v>924</v>
      </c>
      <c r="D7651" s="946"/>
      <c r="E7651" s="947" t="str">
        <f>+VLOOKUP(C7651,'Basic (equilibrio) (2)'!B:D,2,FALSE)</f>
        <v>n/a</v>
      </c>
      <c r="F7651" s="1054">
        <f>+VLOOKUP(C7651,'Basic (equilibrio) (2)'!B:D,3,FALSE)</f>
        <v>0</v>
      </c>
      <c r="G7651" s="946"/>
      <c r="H7651" s="1031"/>
      <c r="I7651" s="948">
        <f>D7651*F7651</f>
        <v>0</v>
      </c>
    </row>
    <row r="7652" spans="2:9" ht="15.75">
      <c r="C7652" s="951" t="s">
        <v>918</v>
      </c>
      <c r="D7652" s="946"/>
      <c r="E7652" s="947"/>
      <c r="F7652" s="1054"/>
      <c r="G7652" s="946"/>
      <c r="H7652" s="1031"/>
      <c r="I7652" s="952">
        <f>SUM(I7651)</f>
        <v>0</v>
      </c>
    </row>
    <row r="7653" spans="2:9" ht="15.75">
      <c r="C7653" s="951"/>
      <c r="D7653" s="946"/>
      <c r="E7653" s="947"/>
      <c r="F7653" s="1054"/>
      <c r="G7653" s="946"/>
      <c r="H7653" s="1031"/>
      <c r="I7653" s="952"/>
    </row>
    <row r="7654" spans="2:9" ht="15.75">
      <c r="C7654" s="956" t="s">
        <v>926</v>
      </c>
      <c r="D7654" s="957"/>
      <c r="E7654" s="958"/>
      <c r="F7654" s="1069"/>
      <c r="G7654" s="957"/>
      <c r="H7654" s="1032"/>
      <c r="I7654" s="959">
        <f>+I7640</f>
        <v>1945.14</v>
      </c>
    </row>
    <row r="7655" spans="2:9" ht="15.75">
      <c r="C7655" s="956" t="s">
        <v>927</v>
      </c>
      <c r="D7655" s="957"/>
      <c r="E7655" s="958"/>
      <c r="F7655" s="1069"/>
      <c r="G7655" s="957"/>
      <c r="H7655" s="1032"/>
      <c r="I7655" s="959">
        <f>+I7644</f>
        <v>0</v>
      </c>
    </row>
    <row r="7656" spans="2:9" ht="15.75">
      <c r="C7656" s="956" t="s">
        <v>928</v>
      </c>
      <c r="D7656" s="957"/>
      <c r="E7656" s="958"/>
      <c r="F7656" s="1069"/>
      <c r="G7656" s="957"/>
      <c r="H7656" s="1032"/>
      <c r="I7656" s="959">
        <f>+I7648</f>
        <v>0</v>
      </c>
    </row>
    <row r="7657" spans="2:9" ht="15.75">
      <c r="C7657" s="956" t="s">
        <v>929</v>
      </c>
      <c r="D7657" s="957"/>
      <c r="E7657" s="958"/>
      <c r="F7657" s="1069"/>
      <c r="G7657" s="957"/>
      <c r="H7657" s="1032"/>
      <c r="I7657" s="959">
        <f>+I7652</f>
        <v>0</v>
      </c>
    </row>
    <row r="7658" spans="2:9" ht="15.75">
      <c r="C7658" s="949"/>
      <c r="D7658" s="946"/>
      <c r="E7658" s="947"/>
      <c r="F7658" s="1054"/>
      <c r="G7658" s="946"/>
      <c r="H7658" s="1031"/>
      <c r="I7658" s="948"/>
    </row>
    <row r="7659" spans="2:9" ht="15.75">
      <c r="C7659" s="951" t="s">
        <v>930</v>
      </c>
      <c r="D7659" s="960"/>
      <c r="E7659" s="975" t="str">
        <f>+E7636</f>
        <v>Ud</v>
      </c>
      <c r="F7659" s="1070"/>
      <c r="G7659" s="960"/>
      <c r="H7659" s="1033"/>
      <c r="I7659" s="952">
        <f>SUM(I7654:I7657)</f>
        <v>1945.14</v>
      </c>
    </row>
    <row r="7660" spans="2:9" ht="15.75">
      <c r="C7660" s="951"/>
      <c r="D7660" s="960"/>
      <c r="E7660" s="943"/>
      <c r="F7660" s="1070"/>
      <c r="G7660" s="960"/>
      <c r="H7660" s="1033"/>
      <c r="I7660" s="952"/>
    </row>
    <row r="7661" spans="2:9" ht="15.75">
      <c r="B7661" s="1063">
        <v>11.2</v>
      </c>
      <c r="C7661" s="937" t="str">
        <f>+Presupuesto!B461</f>
        <v>Salidas interruptores simples</v>
      </c>
      <c r="D7661" s="938"/>
      <c r="E7661" s="962" t="s">
        <v>1056</v>
      </c>
      <c r="F7661" s="1066"/>
      <c r="G7661" s="938"/>
      <c r="H7661" s="1029"/>
      <c r="I7661" s="940">
        <f>+I7684</f>
        <v>1974.72</v>
      </c>
    </row>
    <row r="7662" spans="2:9" ht="15.75">
      <c r="C7662" s="941" t="s">
        <v>908</v>
      </c>
      <c r="D7662" s="942" t="s">
        <v>9</v>
      </c>
      <c r="E7662" s="943" t="s">
        <v>10</v>
      </c>
      <c r="F7662" s="1067" t="s">
        <v>909</v>
      </c>
      <c r="G7662" s="942" t="s">
        <v>910</v>
      </c>
      <c r="H7662" s="1030" t="s">
        <v>911</v>
      </c>
      <c r="I7662" s="944" t="s">
        <v>912</v>
      </c>
    </row>
    <row r="7663" spans="2:9" ht="15.75">
      <c r="C7663" s="945" t="s">
        <v>913</v>
      </c>
      <c r="D7663" s="946"/>
      <c r="E7663" s="947"/>
      <c r="F7663" s="1054"/>
      <c r="G7663" s="946"/>
      <c r="H7663" s="1031"/>
      <c r="I7663" s="948"/>
    </row>
    <row r="7664" spans="2:9" ht="15.75">
      <c r="C7664" s="949" t="s">
        <v>1621</v>
      </c>
      <c r="D7664" s="946">
        <v>1.02</v>
      </c>
      <c r="E7664" s="947" t="str">
        <f>+VLOOKUP(C7664,'Basic (equilibrio) (2)'!B:D,2,FALSE)</f>
        <v>ud</v>
      </c>
      <c r="F7664" s="1068">
        <f>'Basic (equilibrio) (2)'!$D$235</f>
        <v>1936</v>
      </c>
      <c r="G7664" s="946">
        <f>F7664-(F7664/1.18)</f>
        <v>295.32</v>
      </c>
      <c r="H7664" s="1031"/>
      <c r="I7664" s="948">
        <f>D7664*F7664</f>
        <v>1974.72</v>
      </c>
    </row>
    <row r="7665" spans="3:9" ht="15.75">
      <c r="C7665" s="951" t="s">
        <v>918</v>
      </c>
      <c r="D7665" s="946"/>
      <c r="E7665" s="947"/>
      <c r="F7665" s="1068"/>
      <c r="G7665" s="946"/>
      <c r="H7665" s="1031"/>
      <c r="I7665" s="952">
        <f>SUM(I7664:I7664)</f>
        <v>1974.72</v>
      </c>
    </row>
    <row r="7666" spans="3:9" ht="15.75">
      <c r="C7666" s="949"/>
      <c r="D7666" s="946"/>
      <c r="E7666" s="947"/>
      <c r="F7666" s="1068"/>
      <c r="G7666" s="946"/>
      <c r="H7666" s="1031"/>
      <c r="I7666" s="948"/>
    </row>
    <row r="7667" spans="3:9" ht="15.75">
      <c r="C7667" s="945" t="s">
        <v>919</v>
      </c>
      <c r="D7667" s="946"/>
      <c r="E7667" s="947"/>
      <c r="F7667" s="1068"/>
      <c r="G7667" s="946"/>
      <c r="H7667" s="1031"/>
      <c r="I7667" s="948"/>
    </row>
    <row r="7668" spans="3:9" ht="15.75">
      <c r="C7668" s="949" t="s">
        <v>924</v>
      </c>
      <c r="D7668" s="953"/>
      <c r="E7668" s="954" t="str">
        <f>+VLOOKUP(C7668,'Basic (equilibrio) (2)'!B:D,2,FALSE)</f>
        <v>n/a</v>
      </c>
      <c r="F7668" s="1068">
        <f>+VLOOKUP(C7668,'Basic (equilibrio) (2)'!B:D,3,FALSE)</f>
        <v>0</v>
      </c>
      <c r="G7668" s="946">
        <v>0</v>
      </c>
      <c r="H7668" s="1031"/>
      <c r="I7668" s="948">
        <f>(D7668*F7668)</f>
        <v>0</v>
      </c>
    </row>
    <row r="7669" spans="3:9" ht="15.75">
      <c r="C7669" s="951" t="s">
        <v>918</v>
      </c>
      <c r="D7669" s="946"/>
      <c r="E7669" s="947"/>
      <c r="F7669" s="1054"/>
      <c r="G7669" s="946"/>
      <c r="H7669" s="1031"/>
      <c r="I7669" s="952">
        <f>SUM(I7668:I7668)</f>
        <v>0</v>
      </c>
    </row>
    <row r="7670" spans="3:9" ht="15.75">
      <c r="C7670" s="949"/>
      <c r="D7670" s="946"/>
      <c r="E7670" s="947"/>
      <c r="F7670" s="1054"/>
      <c r="G7670" s="946"/>
      <c r="H7670" s="1031"/>
      <c r="I7670" s="948"/>
    </row>
    <row r="7671" spans="3:9" ht="15.75">
      <c r="C7671" s="945" t="s">
        <v>923</v>
      </c>
      <c r="D7671" s="946"/>
      <c r="E7671" s="947"/>
      <c r="F7671" s="1054"/>
      <c r="G7671" s="946"/>
      <c r="H7671" s="1031"/>
      <c r="I7671" s="948"/>
    </row>
    <row r="7672" spans="3:9" ht="15.75">
      <c r="C7672" s="949" t="s">
        <v>924</v>
      </c>
      <c r="D7672" s="946"/>
      <c r="E7672" s="947" t="str">
        <f>+VLOOKUP(C7672,'Basic (equilibrio) (2)'!B:D,2,FALSE)</f>
        <v>n/a</v>
      </c>
      <c r="F7672" s="1054">
        <f>+VLOOKUP(C7672,'Basic (equilibrio) (2)'!B:D,3,FALSE)</f>
        <v>0</v>
      </c>
      <c r="G7672" s="946">
        <f>F7672-(F7672/1.18)</f>
        <v>0</v>
      </c>
      <c r="H7672" s="1039"/>
      <c r="I7672" s="955">
        <f>D7672*F7672</f>
        <v>0</v>
      </c>
    </row>
    <row r="7673" spans="3:9" ht="15.75">
      <c r="C7673" s="951" t="s">
        <v>918</v>
      </c>
      <c r="D7673" s="946"/>
      <c r="E7673" s="947"/>
      <c r="F7673" s="1054"/>
      <c r="G7673" s="946"/>
      <c r="H7673" s="1031"/>
      <c r="I7673" s="952">
        <f>SUM(I7672:I7672)</f>
        <v>0</v>
      </c>
    </row>
    <row r="7674" spans="3:9" ht="15.75">
      <c r="C7674" s="949"/>
      <c r="D7674" s="946"/>
      <c r="E7674" s="947"/>
      <c r="F7674" s="1054"/>
      <c r="G7674" s="946"/>
      <c r="H7674" s="1031"/>
      <c r="I7674" s="948"/>
    </row>
    <row r="7675" spans="3:9" ht="15.75">
      <c r="C7675" s="945" t="s">
        <v>925</v>
      </c>
      <c r="D7675" s="946"/>
      <c r="E7675" s="947"/>
      <c r="F7675" s="1054"/>
      <c r="G7675" s="946"/>
      <c r="H7675" s="1031"/>
      <c r="I7675" s="948"/>
    </row>
    <row r="7676" spans="3:9" ht="15.75">
      <c r="C7676" s="949" t="s">
        <v>924</v>
      </c>
      <c r="D7676" s="946"/>
      <c r="E7676" s="947" t="str">
        <f>+VLOOKUP(C7676,'Basic (equilibrio) (2)'!B:D,2,FALSE)</f>
        <v>n/a</v>
      </c>
      <c r="F7676" s="1054">
        <f>+VLOOKUP(C7676,'Basic (equilibrio) (2)'!B:D,3,FALSE)</f>
        <v>0</v>
      </c>
      <c r="G7676" s="946"/>
      <c r="H7676" s="1031"/>
      <c r="I7676" s="948">
        <f>D7676*F7676</f>
        <v>0</v>
      </c>
    </row>
    <row r="7677" spans="3:9" ht="15.75">
      <c r="C7677" s="951" t="s">
        <v>918</v>
      </c>
      <c r="D7677" s="946"/>
      <c r="E7677" s="947"/>
      <c r="F7677" s="1054"/>
      <c r="G7677" s="946"/>
      <c r="H7677" s="1031"/>
      <c r="I7677" s="952">
        <f>SUM(I7676)</f>
        <v>0</v>
      </c>
    </row>
    <row r="7678" spans="3:9" ht="15.75">
      <c r="C7678" s="951"/>
      <c r="D7678" s="946"/>
      <c r="E7678" s="947"/>
      <c r="F7678" s="1054"/>
      <c r="G7678" s="946"/>
      <c r="H7678" s="1031"/>
      <c r="I7678" s="952"/>
    </row>
    <row r="7679" spans="3:9" ht="15.75">
      <c r="C7679" s="956" t="s">
        <v>926</v>
      </c>
      <c r="D7679" s="957"/>
      <c r="E7679" s="958"/>
      <c r="F7679" s="1069"/>
      <c r="G7679" s="957"/>
      <c r="H7679" s="1032"/>
      <c r="I7679" s="959">
        <f>+I7665</f>
        <v>1974.72</v>
      </c>
    </row>
    <row r="7680" spans="3:9" ht="15.75">
      <c r="C7680" s="956" t="s">
        <v>927</v>
      </c>
      <c r="D7680" s="957"/>
      <c r="E7680" s="958"/>
      <c r="F7680" s="1069"/>
      <c r="G7680" s="957"/>
      <c r="H7680" s="1032"/>
      <c r="I7680" s="959">
        <f>+I7669</f>
        <v>0</v>
      </c>
    </row>
    <row r="7681" spans="2:9" ht="15.75">
      <c r="C7681" s="956" t="s">
        <v>928</v>
      </c>
      <c r="D7681" s="957"/>
      <c r="E7681" s="958"/>
      <c r="F7681" s="1069"/>
      <c r="G7681" s="957"/>
      <c r="H7681" s="1032"/>
      <c r="I7681" s="959">
        <f>+I7673</f>
        <v>0</v>
      </c>
    </row>
    <row r="7682" spans="2:9" ht="15.75">
      <c r="C7682" s="956" t="s">
        <v>929</v>
      </c>
      <c r="D7682" s="957"/>
      <c r="E7682" s="958"/>
      <c r="F7682" s="1069"/>
      <c r="G7682" s="957"/>
      <c r="H7682" s="1032"/>
      <c r="I7682" s="959">
        <f>+I7677</f>
        <v>0</v>
      </c>
    </row>
    <row r="7683" spans="2:9" ht="15.75">
      <c r="C7683" s="949"/>
      <c r="D7683" s="946"/>
      <c r="E7683" s="947"/>
      <c r="F7683" s="1054"/>
      <c r="G7683" s="946"/>
      <c r="H7683" s="1031"/>
      <c r="I7683" s="948"/>
    </row>
    <row r="7684" spans="2:9" ht="15.75">
      <c r="C7684" s="951" t="s">
        <v>930</v>
      </c>
      <c r="D7684" s="960"/>
      <c r="E7684" s="975" t="str">
        <f>+E7661</f>
        <v>ud</v>
      </c>
      <c r="F7684" s="1070"/>
      <c r="G7684" s="960"/>
      <c r="H7684" s="1033"/>
      <c r="I7684" s="952">
        <f>SUM(I7679:I7682)</f>
        <v>1974.72</v>
      </c>
    </row>
    <row r="7685" spans="2:9" ht="15.75">
      <c r="C7685" s="951"/>
      <c r="D7685" s="960"/>
      <c r="E7685" s="943"/>
      <c r="F7685" s="1070"/>
      <c r="G7685" s="960"/>
      <c r="H7685" s="1033"/>
      <c r="I7685" s="952"/>
    </row>
    <row r="7686" spans="2:9" ht="15.75">
      <c r="B7686" s="1063">
        <v>11.3</v>
      </c>
      <c r="C7686" s="937" t="str">
        <f>+Presupuesto!B462</f>
        <v>Salidas interruptores dobles</v>
      </c>
      <c r="D7686" s="938"/>
      <c r="E7686" s="962" t="s">
        <v>1056</v>
      </c>
      <c r="F7686" s="1066"/>
      <c r="G7686" s="938"/>
      <c r="H7686" s="1029"/>
      <c r="I7686" s="940">
        <f>+I7709</f>
        <v>2035.92</v>
      </c>
    </row>
    <row r="7687" spans="2:9" ht="15.75">
      <c r="C7687" s="941" t="s">
        <v>908</v>
      </c>
      <c r="D7687" s="942" t="s">
        <v>9</v>
      </c>
      <c r="E7687" s="943" t="s">
        <v>10</v>
      </c>
      <c r="F7687" s="1067" t="s">
        <v>909</v>
      </c>
      <c r="G7687" s="942" t="s">
        <v>910</v>
      </c>
      <c r="H7687" s="1030" t="s">
        <v>911</v>
      </c>
      <c r="I7687" s="944" t="s">
        <v>912</v>
      </c>
    </row>
    <row r="7688" spans="2:9" ht="15.75">
      <c r="C7688" s="945" t="s">
        <v>913</v>
      </c>
      <c r="D7688" s="946"/>
      <c r="E7688" s="947"/>
      <c r="F7688" s="1054"/>
      <c r="G7688" s="946"/>
      <c r="H7688" s="1031"/>
      <c r="I7688" s="948"/>
    </row>
    <row r="7689" spans="2:9" ht="15.75">
      <c r="C7689" s="949" t="s">
        <v>1623</v>
      </c>
      <c r="D7689" s="946">
        <v>1.02</v>
      </c>
      <c r="E7689" s="947" t="str">
        <f>+VLOOKUP(C7689,'Basic (equilibrio) (2)'!B:D,2,FALSE)</f>
        <v>ud</v>
      </c>
      <c r="F7689" s="1068">
        <f>'Basic (equilibrio) (2)'!$D$236</f>
        <v>1996</v>
      </c>
      <c r="G7689" s="946">
        <f>F7689-(F7689/1.18)</f>
        <v>304.47000000000003</v>
      </c>
      <c r="H7689" s="1031"/>
      <c r="I7689" s="948">
        <f>D7689*F7689</f>
        <v>2035.92</v>
      </c>
    </row>
    <row r="7690" spans="2:9" ht="15.75">
      <c r="C7690" s="951" t="s">
        <v>918</v>
      </c>
      <c r="D7690" s="946"/>
      <c r="E7690" s="947"/>
      <c r="F7690" s="1068"/>
      <c r="G7690" s="946"/>
      <c r="H7690" s="1031"/>
      <c r="I7690" s="952">
        <f>SUM(I7689:I7689)</f>
        <v>2035.92</v>
      </c>
    </row>
    <row r="7691" spans="2:9" ht="15.75">
      <c r="C7691" s="949"/>
      <c r="D7691" s="946"/>
      <c r="E7691" s="947"/>
      <c r="F7691" s="1068"/>
      <c r="G7691" s="946"/>
      <c r="H7691" s="1031"/>
      <c r="I7691" s="948"/>
    </row>
    <row r="7692" spans="2:9" ht="15.75">
      <c r="C7692" s="945" t="s">
        <v>919</v>
      </c>
      <c r="D7692" s="946"/>
      <c r="E7692" s="947"/>
      <c r="F7692" s="1068"/>
      <c r="G7692" s="946"/>
      <c r="H7692" s="1031"/>
      <c r="I7692" s="948"/>
    </row>
    <row r="7693" spans="2:9" ht="15.75">
      <c r="C7693" s="949" t="s">
        <v>924</v>
      </c>
      <c r="D7693" s="953"/>
      <c r="E7693" s="954" t="str">
        <f>+VLOOKUP(C7693,'Basic (equilibrio) (2)'!B:D,2,FALSE)</f>
        <v>n/a</v>
      </c>
      <c r="F7693" s="1068">
        <f>+VLOOKUP(C7693,'Basic (equilibrio) (2)'!B:D,3,FALSE)</f>
        <v>0</v>
      </c>
      <c r="G7693" s="946">
        <v>0</v>
      </c>
      <c r="H7693" s="1031"/>
      <c r="I7693" s="948">
        <f>(D7693*F7693)</f>
        <v>0</v>
      </c>
    </row>
    <row r="7694" spans="2:9" ht="15.75">
      <c r="C7694" s="951" t="s">
        <v>918</v>
      </c>
      <c r="D7694" s="946"/>
      <c r="E7694" s="947"/>
      <c r="F7694" s="1054"/>
      <c r="G7694" s="946"/>
      <c r="H7694" s="1031"/>
      <c r="I7694" s="952">
        <f>SUM(I7693:I7693)</f>
        <v>0</v>
      </c>
    </row>
    <row r="7695" spans="2:9" ht="15.75">
      <c r="C7695" s="949"/>
      <c r="D7695" s="946"/>
      <c r="E7695" s="947"/>
      <c r="F7695" s="1054"/>
      <c r="G7695" s="946"/>
      <c r="H7695" s="1031"/>
      <c r="I7695" s="948"/>
    </row>
    <row r="7696" spans="2:9" ht="15.75">
      <c r="C7696" s="945" t="s">
        <v>923</v>
      </c>
      <c r="D7696" s="946"/>
      <c r="E7696" s="947"/>
      <c r="F7696" s="1054"/>
      <c r="G7696" s="946"/>
      <c r="H7696" s="1031"/>
      <c r="I7696" s="948"/>
    </row>
    <row r="7697" spans="2:9" ht="15.75">
      <c r="C7697" s="949" t="s">
        <v>924</v>
      </c>
      <c r="D7697" s="946"/>
      <c r="E7697" s="947" t="str">
        <f>+VLOOKUP(C7697,'Basic (equilibrio) (2)'!B:D,2,FALSE)</f>
        <v>n/a</v>
      </c>
      <c r="F7697" s="1054">
        <f>+VLOOKUP(C7697,'Basic (equilibrio) (2)'!B:D,3,FALSE)</f>
        <v>0</v>
      </c>
      <c r="G7697" s="946">
        <f>F7697-(F7697/1.18)</f>
        <v>0</v>
      </c>
      <c r="H7697" s="1039"/>
      <c r="I7697" s="955">
        <f>D7697*F7697</f>
        <v>0</v>
      </c>
    </row>
    <row r="7698" spans="2:9" ht="15.75">
      <c r="C7698" s="951" t="s">
        <v>918</v>
      </c>
      <c r="D7698" s="946"/>
      <c r="E7698" s="947"/>
      <c r="F7698" s="1054"/>
      <c r="G7698" s="946"/>
      <c r="H7698" s="1031"/>
      <c r="I7698" s="952">
        <f>SUM(I7697:I7697)</f>
        <v>0</v>
      </c>
    </row>
    <row r="7699" spans="2:9" ht="15.75">
      <c r="C7699" s="949"/>
      <c r="D7699" s="946"/>
      <c r="E7699" s="947"/>
      <c r="F7699" s="1054"/>
      <c r="G7699" s="946"/>
      <c r="H7699" s="1031"/>
      <c r="I7699" s="948"/>
    </row>
    <row r="7700" spans="2:9" ht="15.75">
      <c r="C7700" s="945" t="s">
        <v>925</v>
      </c>
      <c r="D7700" s="946"/>
      <c r="E7700" s="947"/>
      <c r="F7700" s="1054"/>
      <c r="G7700" s="946"/>
      <c r="H7700" s="1031"/>
      <c r="I7700" s="948"/>
    </row>
    <row r="7701" spans="2:9" ht="15.75">
      <c r="C7701" s="949" t="s">
        <v>924</v>
      </c>
      <c r="D7701" s="946"/>
      <c r="E7701" s="947" t="str">
        <f>+VLOOKUP(C7701,'Basic (equilibrio) (2)'!B:D,2,FALSE)</f>
        <v>n/a</v>
      </c>
      <c r="F7701" s="1054">
        <f>+VLOOKUP(C7701,'Basic (equilibrio) (2)'!B:D,3,FALSE)</f>
        <v>0</v>
      </c>
      <c r="G7701" s="946"/>
      <c r="H7701" s="1031"/>
      <c r="I7701" s="948">
        <f>D7701*F7701</f>
        <v>0</v>
      </c>
    </row>
    <row r="7702" spans="2:9" ht="15.75">
      <c r="C7702" s="951" t="s">
        <v>918</v>
      </c>
      <c r="D7702" s="946"/>
      <c r="E7702" s="947"/>
      <c r="F7702" s="1054"/>
      <c r="G7702" s="946"/>
      <c r="H7702" s="1031"/>
      <c r="I7702" s="952">
        <f>SUM(I7701)</f>
        <v>0</v>
      </c>
    </row>
    <row r="7703" spans="2:9" ht="15.75">
      <c r="C7703" s="951"/>
      <c r="D7703" s="946"/>
      <c r="E7703" s="947"/>
      <c r="F7703" s="1054"/>
      <c r="G7703" s="946"/>
      <c r="H7703" s="1031"/>
      <c r="I7703" s="952"/>
    </row>
    <row r="7704" spans="2:9" ht="15.75">
      <c r="C7704" s="956" t="s">
        <v>926</v>
      </c>
      <c r="D7704" s="957"/>
      <c r="E7704" s="958"/>
      <c r="F7704" s="1069"/>
      <c r="G7704" s="957"/>
      <c r="H7704" s="1032"/>
      <c r="I7704" s="959">
        <f>+I7690</f>
        <v>2035.92</v>
      </c>
    </row>
    <row r="7705" spans="2:9" ht="15.75">
      <c r="C7705" s="956" t="s">
        <v>927</v>
      </c>
      <c r="D7705" s="957"/>
      <c r="E7705" s="958"/>
      <c r="F7705" s="1069"/>
      <c r="G7705" s="957"/>
      <c r="H7705" s="1032"/>
      <c r="I7705" s="959">
        <f>+I7694</f>
        <v>0</v>
      </c>
    </row>
    <row r="7706" spans="2:9" ht="15.75">
      <c r="C7706" s="956" t="s">
        <v>928</v>
      </c>
      <c r="D7706" s="957"/>
      <c r="E7706" s="958"/>
      <c r="F7706" s="1069"/>
      <c r="G7706" s="957"/>
      <c r="H7706" s="1032"/>
      <c r="I7706" s="959">
        <f>+I7698</f>
        <v>0</v>
      </c>
    </row>
    <row r="7707" spans="2:9" ht="15.75">
      <c r="C7707" s="956" t="s">
        <v>929</v>
      </c>
      <c r="D7707" s="957"/>
      <c r="E7707" s="958"/>
      <c r="F7707" s="1069"/>
      <c r="G7707" s="957"/>
      <c r="H7707" s="1032"/>
      <c r="I7707" s="959">
        <f>+I7702</f>
        <v>0</v>
      </c>
    </row>
    <row r="7708" spans="2:9" ht="15.75">
      <c r="C7708" s="949"/>
      <c r="D7708" s="946"/>
      <c r="E7708" s="947"/>
      <c r="F7708" s="1054"/>
      <c r="G7708" s="946"/>
      <c r="H7708" s="1031"/>
      <c r="I7708" s="948"/>
    </row>
    <row r="7709" spans="2:9" ht="15.75">
      <c r="C7709" s="951" t="s">
        <v>930</v>
      </c>
      <c r="D7709" s="960"/>
      <c r="E7709" s="975" t="str">
        <f>+E7686</f>
        <v>ud</v>
      </c>
      <c r="F7709" s="1070"/>
      <c r="G7709" s="960"/>
      <c r="H7709" s="1033"/>
      <c r="I7709" s="952">
        <f>SUM(I7704:I7707)</f>
        <v>2035.92</v>
      </c>
    </row>
    <row r="7710" spans="2:9" ht="15.75">
      <c r="C7710" s="951"/>
      <c r="D7710" s="960"/>
      <c r="E7710" s="943"/>
      <c r="F7710" s="1070"/>
      <c r="G7710" s="960"/>
      <c r="H7710" s="1033"/>
      <c r="I7710" s="952"/>
    </row>
    <row r="7711" spans="2:9" ht="15.75">
      <c r="B7711" s="1063">
        <v>11.4</v>
      </c>
      <c r="C7711" s="937" t="str">
        <f>+Presupuesto!B463</f>
        <v>Salidas para Tomacorriente 120V</v>
      </c>
      <c r="D7711" s="938"/>
      <c r="E7711" s="962" t="s">
        <v>1056</v>
      </c>
      <c r="F7711" s="1066"/>
      <c r="G7711" s="938"/>
      <c r="H7711" s="1029"/>
      <c r="I7711" s="940">
        <f>+I7734</f>
        <v>2175.66</v>
      </c>
    </row>
    <row r="7712" spans="2:9" ht="15.75">
      <c r="C7712" s="941" t="s">
        <v>908</v>
      </c>
      <c r="D7712" s="942" t="s">
        <v>9</v>
      </c>
      <c r="E7712" s="943" t="s">
        <v>10</v>
      </c>
      <c r="F7712" s="1067" t="s">
        <v>909</v>
      </c>
      <c r="G7712" s="942" t="s">
        <v>910</v>
      </c>
      <c r="H7712" s="1030" t="s">
        <v>911</v>
      </c>
      <c r="I7712" s="944" t="s">
        <v>912</v>
      </c>
    </row>
    <row r="7713" spans="3:9" ht="15.75">
      <c r="C7713" s="945" t="s">
        <v>913</v>
      </c>
      <c r="D7713" s="946"/>
      <c r="E7713" s="947"/>
      <c r="F7713" s="1054"/>
      <c r="G7713" s="946"/>
      <c r="H7713" s="1031"/>
      <c r="I7713" s="948"/>
    </row>
    <row r="7714" spans="3:9" ht="15.75">
      <c r="C7714" s="949" t="s">
        <v>1622</v>
      </c>
      <c r="D7714" s="946">
        <v>1.02</v>
      </c>
      <c r="E7714" s="947" t="str">
        <f>+VLOOKUP(C7714,'Basic (equilibrio) (2)'!B:D,2,FALSE)</f>
        <v>ud</v>
      </c>
      <c r="F7714" s="1068">
        <f>'Basic (equilibrio) (2)'!$D$237</f>
        <v>2133</v>
      </c>
      <c r="G7714" s="946">
        <f>F7714-(F7714/1.18)</f>
        <v>325.37</v>
      </c>
      <c r="H7714" s="1031"/>
      <c r="I7714" s="948">
        <f>D7714*F7714</f>
        <v>2175.66</v>
      </c>
    </row>
    <row r="7715" spans="3:9" ht="15.75">
      <c r="C7715" s="951" t="s">
        <v>918</v>
      </c>
      <c r="D7715" s="946"/>
      <c r="E7715" s="947"/>
      <c r="F7715" s="1068"/>
      <c r="G7715" s="946"/>
      <c r="H7715" s="1031"/>
      <c r="I7715" s="952">
        <f>SUM(I7714:I7714)</f>
        <v>2175.66</v>
      </c>
    </row>
    <row r="7716" spans="3:9" ht="15.75">
      <c r="C7716" s="949"/>
      <c r="D7716" s="946"/>
      <c r="E7716" s="947"/>
      <c r="F7716" s="1068"/>
      <c r="G7716" s="946"/>
      <c r="H7716" s="1031"/>
      <c r="I7716" s="948"/>
    </row>
    <row r="7717" spans="3:9" ht="15.75">
      <c r="C7717" s="945" t="s">
        <v>919</v>
      </c>
      <c r="D7717" s="946"/>
      <c r="E7717" s="947"/>
      <c r="F7717" s="1068"/>
      <c r="G7717" s="946"/>
      <c r="H7717" s="1031"/>
      <c r="I7717" s="948"/>
    </row>
    <row r="7718" spans="3:9" ht="15.75">
      <c r="C7718" s="949" t="s">
        <v>924</v>
      </c>
      <c r="D7718" s="953"/>
      <c r="E7718" s="954" t="str">
        <f>+VLOOKUP(C7718,'Basic (equilibrio) (2)'!B:D,2,FALSE)</f>
        <v>n/a</v>
      </c>
      <c r="F7718" s="1068">
        <f>+VLOOKUP(C7718,'Basic (equilibrio) (2)'!B:D,3,FALSE)</f>
        <v>0</v>
      </c>
      <c r="G7718" s="946">
        <v>0</v>
      </c>
      <c r="H7718" s="1031"/>
      <c r="I7718" s="948">
        <f>(D7718*F7718)</f>
        <v>0</v>
      </c>
    </row>
    <row r="7719" spans="3:9" ht="15.75">
      <c r="C7719" s="951" t="s">
        <v>918</v>
      </c>
      <c r="D7719" s="946"/>
      <c r="E7719" s="947"/>
      <c r="F7719" s="1054"/>
      <c r="G7719" s="946"/>
      <c r="H7719" s="1031"/>
      <c r="I7719" s="952">
        <f>SUM(I7718:I7718)</f>
        <v>0</v>
      </c>
    </row>
    <row r="7720" spans="3:9" ht="15.75">
      <c r="C7720" s="949"/>
      <c r="D7720" s="946"/>
      <c r="E7720" s="947"/>
      <c r="F7720" s="1054"/>
      <c r="G7720" s="946"/>
      <c r="H7720" s="1031"/>
      <c r="I7720" s="948"/>
    </row>
    <row r="7721" spans="3:9" ht="15.75">
      <c r="C7721" s="945" t="s">
        <v>923</v>
      </c>
      <c r="D7721" s="946"/>
      <c r="E7721" s="947"/>
      <c r="F7721" s="1054"/>
      <c r="G7721" s="946"/>
      <c r="H7721" s="1031"/>
      <c r="I7721" s="948"/>
    </row>
    <row r="7722" spans="3:9" ht="15.75">
      <c r="C7722" s="949" t="s">
        <v>924</v>
      </c>
      <c r="D7722" s="946"/>
      <c r="E7722" s="947" t="str">
        <f>+VLOOKUP(C7722,'Basic (equilibrio) (2)'!B:D,2,FALSE)</f>
        <v>n/a</v>
      </c>
      <c r="F7722" s="1054">
        <f>+VLOOKUP(C7722,'Basic (equilibrio) (2)'!B:D,3,FALSE)</f>
        <v>0</v>
      </c>
      <c r="G7722" s="946">
        <f>F7722-(F7722/1.18)</f>
        <v>0</v>
      </c>
      <c r="H7722" s="1039"/>
      <c r="I7722" s="955">
        <f>D7722*F7722</f>
        <v>0</v>
      </c>
    </row>
    <row r="7723" spans="3:9" ht="15.75">
      <c r="C7723" s="951" t="s">
        <v>918</v>
      </c>
      <c r="D7723" s="946"/>
      <c r="E7723" s="947"/>
      <c r="F7723" s="1054"/>
      <c r="G7723" s="946"/>
      <c r="H7723" s="1031"/>
      <c r="I7723" s="952">
        <f>SUM(I7722:I7722)</f>
        <v>0</v>
      </c>
    </row>
    <row r="7724" spans="3:9" ht="15.75">
      <c r="C7724" s="949"/>
      <c r="D7724" s="946"/>
      <c r="E7724" s="947"/>
      <c r="F7724" s="1054"/>
      <c r="G7724" s="946"/>
      <c r="H7724" s="1031"/>
      <c r="I7724" s="948"/>
    </row>
    <row r="7725" spans="3:9" ht="15.75">
      <c r="C7725" s="945" t="s">
        <v>925</v>
      </c>
      <c r="D7725" s="946"/>
      <c r="E7725" s="947"/>
      <c r="F7725" s="1054"/>
      <c r="G7725" s="946"/>
      <c r="H7725" s="1031"/>
      <c r="I7725" s="948"/>
    </row>
    <row r="7726" spans="3:9" ht="15.75">
      <c r="C7726" s="949" t="s">
        <v>924</v>
      </c>
      <c r="D7726" s="946"/>
      <c r="E7726" s="947" t="str">
        <f>+VLOOKUP(C7726,'Basic (equilibrio) (2)'!B:D,2,FALSE)</f>
        <v>n/a</v>
      </c>
      <c r="F7726" s="1054">
        <f>+VLOOKUP(C7726,'Basic (equilibrio) (2)'!B:D,3,FALSE)</f>
        <v>0</v>
      </c>
      <c r="G7726" s="946"/>
      <c r="H7726" s="1031"/>
      <c r="I7726" s="948">
        <f>D7726*F7726</f>
        <v>0</v>
      </c>
    </row>
    <row r="7727" spans="3:9" ht="15.75">
      <c r="C7727" s="951" t="s">
        <v>918</v>
      </c>
      <c r="D7727" s="946"/>
      <c r="E7727" s="947"/>
      <c r="F7727" s="1054"/>
      <c r="G7727" s="946"/>
      <c r="H7727" s="1031"/>
      <c r="I7727" s="952">
        <f>SUM(I7726)</f>
        <v>0</v>
      </c>
    </row>
    <row r="7728" spans="3:9" ht="15.75">
      <c r="C7728" s="951"/>
      <c r="D7728" s="946"/>
      <c r="E7728" s="947"/>
      <c r="F7728" s="1054"/>
      <c r="G7728" s="946"/>
      <c r="H7728" s="1031"/>
      <c r="I7728" s="952"/>
    </row>
    <row r="7729" spans="2:9" ht="15.75">
      <c r="C7729" s="956" t="s">
        <v>926</v>
      </c>
      <c r="D7729" s="957"/>
      <c r="E7729" s="958"/>
      <c r="F7729" s="1069"/>
      <c r="G7729" s="957"/>
      <c r="H7729" s="1032"/>
      <c r="I7729" s="959">
        <f>+I7715</f>
        <v>2175.66</v>
      </c>
    </row>
    <row r="7730" spans="2:9" ht="15.75">
      <c r="C7730" s="956" t="s">
        <v>927</v>
      </c>
      <c r="D7730" s="957"/>
      <c r="E7730" s="958"/>
      <c r="F7730" s="1069"/>
      <c r="G7730" s="957"/>
      <c r="H7730" s="1032"/>
      <c r="I7730" s="959">
        <f>+I7719</f>
        <v>0</v>
      </c>
    </row>
    <row r="7731" spans="2:9" ht="15.75">
      <c r="C7731" s="956" t="s">
        <v>928</v>
      </c>
      <c r="D7731" s="957"/>
      <c r="E7731" s="958"/>
      <c r="F7731" s="1069"/>
      <c r="G7731" s="957"/>
      <c r="H7731" s="1032"/>
      <c r="I7731" s="959">
        <f>+I7723</f>
        <v>0</v>
      </c>
    </row>
    <row r="7732" spans="2:9" ht="15.75">
      <c r="C7732" s="956" t="s">
        <v>929</v>
      </c>
      <c r="D7732" s="957"/>
      <c r="E7732" s="958"/>
      <c r="F7732" s="1069"/>
      <c r="G7732" s="957"/>
      <c r="H7732" s="1032"/>
      <c r="I7732" s="959">
        <f>+I7727</f>
        <v>0</v>
      </c>
    </row>
    <row r="7733" spans="2:9" ht="15.75">
      <c r="C7733" s="949"/>
      <c r="D7733" s="946"/>
      <c r="E7733" s="947"/>
      <c r="F7733" s="1054"/>
      <c r="G7733" s="946"/>
      <c r="H7733" s="1031"/>
      <c r="I7733" s="948"/>
    </row>
    <row r="7734" spans="2:9" ht="15.75">
      <c r="C7734" s="951" t="s">
        <v>930</v>
      </c>
      <c r="D7734" s="960"/>
      <c r="E7734" s="975" t="str">
        <f>+E7711</f>
        <v>ud</v>
      </c>
      <c r="F7734" s="1070"/>
      <c r="G7734" s="960"/>
      <c r="H7734" s="1033"/>
      <c r="I7734" s="952">
        <f>SUM(I7729:I7732)</f>
        <v>2175.66</v>
      </c>
    </row>
    <row r="7735" spans="2:9" ht="15.75">
      <c r="C7735" s="951"/>
      <c r="D7735" s="960"/>
      <c r="E7735" s="943"/>
      <c r="F7735" s="1070"/>
      <c r="G7735" s="960"/>
      <c r="H7735" s="1033"/>
      <c r="I7735" s="952"/>
    </row>
    <row r="7736" spans="2:9" ht="15.75">
      <c r="B7736" s="1063">
        <v>11.5</v>
      </c>
      <c r="C7736" s="937" t="str">
        <f>+Presupuesto!B464</f>
        <v>Salidas para Tomacorriente 220V</v>
      </c>
      <c r="D7736" s="938"/>
      <c r="E7736" s="962" t="s">
        <v>1056</v>
      </c>
      <c r="F7736" s="1066"/>
      <c r="G7736" s="938"/>
      <c r="H7736" s="1029"/>
      <c r="I7736" s="940">
        <f>+I7759</f>
        <v>3159.96</v>
      </c>
    </row>
    <row r="7737" spans="2:9" ht="15.75">
      <c r="C7737" s="941" t="s">
        <v>908</v>
      </c>
      <c r="D7737" s="942" t="s">
        <v>9</v>
      </c>
      <c r="E7737" s="943" t="s">
        <v>10</v>
      </c>
      <c r="F7737" s="1067" t="s">
        <v>909</v>
      </c>
      <c r="G7737" s="942" t="s">
        <v>910</v>
      </c>
      <c r="H7737" s="1030" t="s">
        <v>911</v>
      </c>
      <c r="I7737" s="944" t="s">
        <v>912</v>
      </c>
    </row>
    <row r="7738" spans="2:9" ht="15.75">
      <c r="C7738" s="945" t="s">
        <v>913</v>
      </c>
      <c r="D7738" s="946"/>
      <c r="E7738" s="947"/>
      <c r="F7738" s="1054"/>
      <c r="G7738" s="946"/>
      <c r="H7738" s="1031"/>
      <c r="I7738" s="948"/>
    </row>
    <row r="7739" spans="2:9" ht="15.75">
      <c r="C7739" s="949" t="s">
        <v>1624</v>
      </c>
      <c r="D7739" s="946">
        <v>1.02</v>
      </c>
      <c r="E7739" s="947" t="str">
        <f>+VLOOKUP(C7739,'Basic (equilibrio) (2)'!B:D,2,FALSE)</f>
        <v>ud</v>
      </c>
      <c r="F7739" s="1068">
        <f>'Basic (equilibrio) (2)'!$D$238</f>
        <v>3098</v>
      </c>
      <c r="G7739" s="946">
        <f>F7739-(F7739/1.18)</f>
        <v>472.58</v>
      </c>
      <c r="H7739" s="1031"/>
      <c r="I7739" s="948">
        <f>D7739*F7739</f>
        <v>3159.96</v>
      </c>
    </row>
    <row r="7740" spans="2:9" ht="15.75">
      <c r="C7740" s="951" t="s">
        <v>918</v>
      </c>
      <c r="D7740" s="946"/>
      <c r="E7740" s="947"/>
      <c r="F7740" s="1068"/>
      <c r="G7740" s="946"/>
      <c r="H7740" s="1031"/>
      <c r="I7740" s="952">
        <f>SUM(I7739:I7739)</f>
        <v>3159.96</v>
      </c>
    </row>
    <row r="7741" spans="2:9" ht="15.75">
      <c r="C7741" s="949"/>
      <c r="D7741" s="946"/>
      <c r="E7741" s="947"/>
      <c r="F7741" s="1068"/>
      <c r="G7741" s="946"/>
      <c r="H7741" s="1031"/>
      <c r="I7741" s="948"/>
    </row>
    <row r="7742" spans="2:9" ht="15.75">
      <c r="C7742" s="945" t="s">
        <v>919</v>
      </c>
      <c r="D7742" s="946"/>
      <c r="E7742" s="947"/>
      <c r="F7742" s="1068"/>
      <c r="G7742" s="946"/>
      <c r="H7742" s="1031"/>
      <c r="I7742" s="948"/>
    </row>
    <row r="7743" spans="2:9" ht="15.75">
      <c r="C7743" s="949" t="s">
        <v>924</v>
      </c>
      <c r="D7743" s="953"/>
      <c r="E7743" s="954" t="str">
        <f>+VLOOKUP(C7743,'Basic (equilibrio) (2)'!B:D,2,FALSE)</f>
        <v>n/a</v>
      </c>
      <c r="F7743" s="1068">
        <f>+VLOOKUP(C7743,'Basic (equilibrio) (2)'!B:D,3,FALSE)</f>
        <v>0</v>
      </c>
      <c r="G7743" s="946">
        <v>0</v>
      </c>
      <c r="H7743" s="1031"/>
      <c r="I7743" s="948">
        <f>(D7743*F7743)</f>
        <v>0</v>
      </c>
    </row>
    <row r="7744" spans="2:9" ht="15.75">
      <c r="C7744" s="951" t="s">
        <v>918</v>
      </c>
      <c r="D7744" s="946"/>
      <c r="E7744" s="947"/>
      <c r="F7744" s="1054"/>
      <c r="G7744" s="946"/>
      <c r="H7744" s="1031"/>
      <c r="I7744" s="952">
        <f>SUM(I7743:I7743)</f>
        <v>0</v>
      </c>
    </row>
    <row r="7745" spans="3:9" ht="15.75">
      <c r="C7745" s="949"/>
      <c r="D7745" s="946"/>
      <c r="E7745" s="947"/>
      <c r="F7745" s="1054"/>
      <c r="G7745" s="946"/>
      <c r="H7745" s="1031"/>
      <c r="I7745" s="948"/>
    </row>
    <row r="7746" spans="3:9" ht="15.75">
      <c r="C7746" s="945" t="s">
        <v>923</v>
      </c>
      <c r="D7746" s="946"/>
      <c r="E7746" s="947"/>
      <c r="F7746" s="1054"/>
      <c r="G7746" s="946"/>
      <c r="H7746" s="1031"/>
      <c r="I7746" s="948"/>
    </row>
    <row r="7747" spans="3:9" ht="15.75">
      <c r="C7747" s="949" t="s">
        <v>924</v>
      </c>
      <c r="D7747" s="946"/>
      <c r="E7747" s="947" t="str">
        <f>+VLOOKUP(C7747,'Basic (equilibrio) (2)'!B:D,2,FALSE)</f>
        <v>n/a</v>
      </c>
      <c r="F7747" s="1054">
        <f>+VLOOKUP(C7747,'Basic (equilibrio) (2)'!B:D,3,FALSE)</f>
        <v>0</v>
      </c>
      <c r="G7747" s="946">
        <f>F7747-(F7747/1.18)</f>
        <v>0</v>
      </c>
      <c r="H7747" s="1039"/>
      <c r="I7747" s="955">
        <f>D7747*F7747</f>
        <v>0</v>
      </c>
    </row>
    <row r="7748" spans="3:9" ht="15.75">
      <c r="C7748" s="951" t="s">
        <v>918</v>
      </c>
      <c r="D7748" s="946"/>
      <c r="E7748" s="947"/>
      <c r="F7748" s="1054"/>
      <c r="G7748" s="946"/>
      <c r="H7748" s="1031"/>
      <c r="I7748" s="952">
        <f>SUM(I7747:I7747)</f>
        <v>0</v>
      </c>
    </row>
    <row r="7749" spans="3:9" ht="15.75">
      <c r="C7749" s="949"/>
      <c r="D7749" s="946"/>
      <c r="E7749" s="947"/>
      <c r="F7749" s="1054"/>
      <c r="G7749" s="946"/>
      <c r="H7749" s="1031"/>
      <c r="I7749" s="948"/>
    </row>
    <row r="7750" spans="3:9" ht="15.75">
      <c r="C7750" s="945" t="s">
        <v>925</v>
      </c>
      <c r="D7750" s="946"/>
      <c r="E7750" s="947"/>
      <c r="F7750" s="1054"/>
      <c r="G7750" s="946"/>
      <c r="H7750" s="1031"/>
      <c r="I7750" s="948"/>
    </row>
    <row r="7751" spans="3:9" ht="15.75">
      <c r="C7751" s="949" t="s">
        <v>924</v>
      </c>
      <c r="D7751" s="946"/>
      <c r="E7751" s="947" t="str">
        <f>+VLOOKUP(C7751,'Basic (equilibrio) (2)'!B:D,2,FALSE)</f>
        <v>n/a</v>
      </c>
      <c r="F7751" s="1054">
        <f>+VLOOKUP(C7751,'Basic (equilibrio) (2)'!B:D,3,FALSE)</f>
        <v>0</v>
      </c>
      <c r="G7751" s="946"/>
      <c r="H7751" s="1031"/>
      <c r="I7751" s="948">
        <f>D7751*F7751</f>
        <v>0</v>
      </c>
    </row>
    <row r="7752" spans="3:9" ht="15.75">
      <c r="C7752" s="951" t="s">
        <v>918</v>
      </c>
      <c r="D7752" s="946"/>
      <c r="E7752" s="947"/>
      <c r="F7752" s="1054"/>
      <c r="G7752" s="946"/>
      <c r="H7752" s="1031"/>
      <c r="I7752" s="952">
        <f>SUM(I7751)</f>
        <v>0</v>
      </c>
    </row>
    <row r="7753" spans="3:9" ht="15.75">
      <c r="C7753" s="951"/>
      <c r="D7753" s="946"/>
      <c r="E7753" s="947"/>
      <c r="F7753" s="1054"/>
      <c r="G7753" s="946"/>
      <c r="H7753" s="1031"/>
      <c r="I7753" s="952"/>
    </row>
    <row r="7754" spans="3:9" ht="15.75">
      <c r="C7754" s="956" t="s">
        <v>926</v>
      </c>
      <c r="D7754" s="957"/>
      <c r="E7754" s="958"/>
      <c r="F7754" s="1069"/>
      <c r="G7754" s="957"/>
      <c r="H7754" s="1032"/>
      <c r="I7754" s="959">
        <f>+I7740</f>
        <v>3159.96</v>
      </c>
    </row>
    <row r="7755" spans="3:9" ht="15.75">
      <c r="C7755" s="956" t="s">
        <v>927</v>
      </c>
      <c r="D7755" s="957"/>
      <c r="E7755" s="958"/>
      <c r="F7755" s="1069"/>
      <c r="G7755" s="957"/>
      <c r="H7755" s="1032"/>
      <c r="I7755" s="959">
        <f>+I7744</f>
        <v>0</v>
      </c>
    </row>
    <row r="7756" spans="3:9" ht="15.75">
      <c r="C7756" s="956" t="s">
        <v>928</v>
      </c>
      <c r="D7756" s="957"/>
      <c r="E7756" s="958"/>
      <c r="F7756" s="1069"/>
      <c r="G7756" s="957"/>
      <c r="H7756" s="1032"/>
      <c r="I7756" s="959">
        <f>+I7748</f>
        <v>0</v>
      </c>
    </row>
    <row r="7757" spans="3:9" ht="15.75">
      <c r="C7757" s="956" t="s">
        <v>929</v>
      </c>
      <c r="D7757" s="957"/>
      <c r="E7757" s="958"/>
      <c r="F7757" s="1069"/>
      <c r="G7757" s="957"/>
      <c r="H7757" s="1032"/>
      <c r="I7757" s="959">
        <f>+I7752</f>
        <v>0</v>
      </c>
    </row>
    <row r="7758" spans="3:9" ht="15.75">
      <c r="C7758" s="949"/>
      <c r="D7758" s="946"/>
      <c r="E7758" s="947"/>
      <c r="F7758" s="1054"/>
      <c r="G7758" s="946"/>
      <c r="H7758" s="1031"/>
      <c r="I7758" s="948"/>
    </row>
    <row r="7759" spans="3:9" ht="15.75">
      <c r="C7759" s="951" t="s">
        <v>930</v>
      </c>
      <c r="D7759" s="960"/>
      <c r="E7759" s="975" t="str">
        <f>+E7736</f>
        <v>ud</v>
      </c>
      <c r="F7759" s="1070"/>
      <c r="G7759" s="960"/>
      <c r="H7759" s="1033"/>
      <c r="I7759" s="952">
        <f>SUM(I7754:I7757)</f>
        <v>3159.96</v>
      </c>
    </row>
    <row r="7760" spans="3:9" ht="15.75">
      <c r="C7760" s="951"/>
      <c r="D7760" s="960"/>
      <c r="E7760" s="943"/>
      <c r="F7760" s="1070"/>
      <c r="G7760" s="960"/>
      <c r="H7760" s="1033"/>
      <c r="I7760" s="952"/>
    </row>
    <row r="7761" spans="2:9" ht="15.75">
      <c r="B7761" s="1063">
        <v>11.6</v>
      </c>
      <c r="C7761" s="937" t="str">
        <f>+Presupuesto!B465</f>
        <v>Caja de Breakers (8 circuitos)</v>
      </c>
      <c r="D7761" s="938"/>
      <c r="E7761" s="962" t="s">
        <v>1056</v>
      </c>
      <c r="F7761" s="1066"/>
      <c r="G7761" s="938"/>
      <c r="H7761" s="1029"/>
      <c r="I7761" s="940">
        <f>+I7784</f>
        <v>5457</v>
      </c>
    </row>
    <row r="7762" spans="2:9" ht="15.75">
      <c r="C7762" s="941" t="s">
        <v>908</v>
      </c>
      <c r="D7762" s="942" t="s">
        <v>9</v>
      </c>
      <c r="E7762" s="943" t="s">
        <v>10</v>
      </c>
      <c r="F7762" s="1067" t="s">
        <v>909</v>
      </c>
      <c r="G7762" s="942" t="s">
        <v>910</v>
      </c>
      <c r="H7762" s="1030" t="s">
        <v>911</v>
      </c>
      <c r="I7762" s="944" t="s">
        <v>912</v>
      </c>
    </row>
    <row r="7763" spans="2:9" ht="15.75">
      <c r="C7763" s="945" t="s">
        <v>913</v>
      </c>
      <c r="D7763" s="946"/>
      <c r="E7763" s="947"/>
      <c r="F7763" s="1054"/>
      <c r="G7763" s="946"/>
      <c r="H7763" s="1031"/>
      <c r="I7763" s="948"/>
    </row>
    <row r="7764" spans="2:9" ht="15.75">
      <c r="C7764" s="949" t="s">
        <v>1625</v>
      </c>
      <c r="D7764" s="946">
        <v>1.02</v>
      </c>
      <c r="E7764" s="947" t="str">
        <f>+VLOOKUP(C7764,'Basic (equilibrio) (2)'!B:D,2,FALSE)</f>
        <v>ud</v>
      </c>
      <c r="F7764" s="1068">
        <f>'Basic (equilibrio) (2)'!$D$239</f>
        <v>5350</v>
      </c>
      <c r="G7764" s="946">
        <f>F7764-(F7764/1.18)</f>
        <v>816.1</v>
      </c>
      <c r="H7764" s="1031"/>
      <c r="I7764" s="948">
        <f>D7764*F7764</f>
        <v>5457</v>
      </c>
    </row>
    <row r="7765" spans="2:9" ht="15.75">
      <c r="C7765" s="951" t="s">
        <v>918</v>
      </c>
      <c r="D7765" s="946"/>
      <c r="E7765" s="947"/>
      <c r="F7765" s="1068"/>
      <c r="G7765" s="946"/>
      <c r="H7765" s="1031"/>
      <c r="I7765" s="952">
        <f>SUM(I7764:I7764)</f>
        <v>5457</v>
      </c>
    </row>
    <row r="7766" spans="2:9" ht="15.75">
      <c r="C7766" s="949"/>
      <c r="D7766" s="946"/>
      <c r="E7766" s="947"/>
      <c r="F7766" s="1068"/>
      <c r="G7766" s="946"/>
      <c r="H7766" s="1031"/>
      <c r="I7766" s="948"/>
    </row>
    <row r="7767" spans="2:9" ht="15.75">
      <c r="C7767" s="945" t="s">
        <v>919</v>
      </c>
      <c r="D7767" s="946"/>
      <c r="E7767" s="947"/>
      <c r="F7767" s="1068"/>
      <c r="G7767" s="946"/>
      <c r="H7767" s="1031"/>
      <c r="I7767" s="948"/>
    </row>
    <row r="7768" spans="2:9" ht="15.75">
      <c r="C7768" s="949" t="s">
        <v>924</v>
      </c>
      <c r="D7768" s="953"/>
      <c r="E7768" s="954" t="str">
        <f>+VLOOKUP(C7768,'Basic (equilibrio) (2)'!B:D,2,FALSE)</f>
        <v>n/a</v>
      </c>
      <c r="F7768" s="1068">
        <f>+VLOOKUP(C7768,'Basic (equilibrio) (2)'!B:D,3,FALSE)</f>
        <v>0</v>
      </c>
      <c r="G7768" s="946">
        <v>0</v>
      </c>
      <c r="H7768" s="1031"/>
      <c r="I7768" s="948">
        <f>(D7768*F7768)</f>
        <v>0</v>
      </c>
    </row>
    <row r="7769" spans="2:9" ht="15.75">
      <c r="C7769" s="951" t="s">
        <v>918</v>
      </c>
      <c r="D7769" s="946"/>
      <c r="E7769" s="947"/>
      <c r="F7769" s="1054"/>
      <c r="G7769" s="946"/>
      <c r="H7769" s="1031"/>
      <c r="I7769" s="952">
        <f>SUM(I7768:I7768)</f>
        <v>0</v>
      </c>
    </row>
    <row r="7770" spans="2:9" ht="15.75">
      <c r="C7770" s="949"/>
      <c r="D7770" s="946"/>
      <c r="E7770" s="947"/>
      <c r="F7770" s="1054"/>
      <c r="G7770" s="946"/>
      <c r="H7770" s="1031"/>
      <c r="I7770" s="948"/>
    </row>
    <row r="7771" spans="2:9" ht="15.75">
      <c r="C7771" s="945" t="s">
        <v>923</v>
      </c>
      <c r="D7771" s="946"/>
      <c r="E7771" s="947"/>
      <c r="F7771" s="1054"/>
      <c r="G7771" s="946"/>
      <c r="H7771" s="1031"/>
      <c r="I7771" s="948"/>
    </row>
    <row r="7772" spans="2:9" ht="15.75">
      <c r="C7772" s="949" t="s">
        <v>924</v>
      </c>
      <c r="D7772" s="946"/>
      <c r="E7772" s="947" t="str">
        <f>+VLOOKUP(C7772,'Basic (equilibrio) (2)'!B:D,2,FALSE)</f>
        <v>n/a</v>
      </c>
      <c r="F7772" s="1054">
        <f>+VLOOKUP(C7772,'Basic (equilibrio) (2)'!B:D,3,FALSE)</f>
        <v>0</v>
      </c>
      <c r="G7772" s="946">
        <f>F7772-(F7772/1.18)</f>
        <v>0</v>
      </c>
      <c r="H7772" s="1039"/>
      <c r="I7772" s="955">
        <f>D7772*F7772</f>
        <v>0</v>
      </c>
    </row>
    <row r="7773" spans="2:9" ht="15.75">
      <c r="C7773" s="951" t="s">
        <v>918</v>
      </c>
      <c r="D7773" s="946"/>
      <c r="E7773" s="947"/>
      <c r="F7773" s="1054"/>
      <c r="G7773" s="946"/>
      <c r="H7773" s="1031"/>
      <c r="I7773" s="952">
        <f>SUM(I7772:I7772)</f>
        <v>0</v>
      </c>
    </row>
    <row r="7774" spans="2:9" ht="15.75">
      <c r="C7774" s="949"/>
      <c r="D7774" s="946"/>
      <c r="E7774" s="947"/>
      <c r="F7774" s="1054"/>
      <c r="G7774" s="946"/>
      <c r="H7774" s="1031"/>
      <c r="I7774" s="948"/>
    </row>
    <row r="7775" spans="2:9" ht="15.75">
      <c r="C7775" s="945" t="s">
        <v>925</v>
      </c>
      <c r="D7775" s="946"/>
      <c r="E7775" s="947"/>
      <c r="F7775" s="1054"/>
      <c r="G7775" s="946"/>
      <c r="H7775" s="1031"/>
      <c r="I7775" s="948"/>
    </row>
    <row r="7776" spans="2:9" ht="15.75">
      <c r="C7776" s="949" t="s">
        <v>924</v>
      </c>
      <c r="D7776" s="946"/>
      <c r="E7776" s="947" t="str">
        <f>+VLOOKUP(C7776,'Basic (equilibrio) (2)'!B:D,2,FALSE)</f>
        <v>n/a</v>
      </c>
      <c r="F7776" s="1054">
        <f>+VLOOKUP(C7776,'Basic (equilibrio) (2)'!B:D,3,FALSE)</f>
        <v>0</v>
      </c>
      <c r="G7776" s="946"/>
      <c r="H7776" s="1031"/>
      <c r="I7776" s="948">
        <f>D7776*F7776</f>
        <v>0</v>
      </c>
    </row>
    <row r="7777" spans="2:9" ht="15.75">
      <c r="C7777" s="951" t="s">
        <v>918</v>
      </c>
      <c r="D7777" s="946"/>
      <c r="E7777" s="947"/>
      <c r="F7777" s="1054"/>
      <c r="G7777" s="946"/>
      <c r="H7777" s="1031"/>
      <c r="I7777" s="952">
        <f>SUM(I7776)</f>
        <v>0</v>
      </c>
    </row>
    <row r="7778" spans="2:9" ht="15.75">
      <c r="C7778" s="951"/>
      <c r="D7778" s="946"/>
      <c r="E7778" s="947"/>
      <c r="F7778" s="1054"/>
      <c r="G7778" s="946"/>
      <c r="H7778" s="1031"/>
      <c r="I7778" s="952"/>
    </row>
    <row r="7779" spans="2:9" ht="15.75">
      <c r="C7779" s="956" t="s">
        <v>926</v>
      </c>
      <c r="D7779" s="957"/>
      <c r="E7779" s="958"/>
      <c r="F7779" s="1069"/>
      <c r="G7779" s="957"/>
      <c r="H7779" s="1032"/>
      <c r="I7779" s="959">
        <f>+I7765</f>
        <v>5457</v>
      </c>
    </row>
    <row r="7780" spans="2:9" ht="15.75">
      <c r="C7780" s="956" t="s">
        <v>927</v>
      </c>
      <c r="D7780" s="957"/>
      <c r="E7780" s="958"/>
      <c r="F7780" s="1069"/>
      <c r="G7780" s="957"/>
      <c r="H7780" s="1032"/>
      <c r="I7780" s="959">
        <f>+I7769</f>
        <v>0</v>
      </c>
    </row>
    <row r="7781" spans="2:9" ht="15.75">
      <c r="C7781" s="956" t="s">
        <v>928</v>
      </c>
      <c r="D7781" s="957"/>
      <c r="E7781" s="958"/>
      <c r="F7781" s="1069"/>
      <c r="G7781" s="957"/>
      <c r="H7781" s="1032"/>
      <c r="I7781" s="959">
        <f>+I7773</f>
        <v>0</v>
      </c>
    </row>
    <row r="7782" spans="2:9" ht="15.75">
      <c r="C7782" s="956" t="s">
        <v>929</v>
      </c>
      <c r="D7782" s="957"/>
      <c r="E7782" s="958"/>
      <c r="F7782" s="1069"/>
      <c r="G7782" s="957"/>
      <c r="H7782" s="1032"/>
      <c r="I7782" s="959">
        <f>+I7777</f>
        <v>0</v>
      </c>
    </row>
    <row r="7783" spans="2:9" ht="15.75">
      <c r="C7783" s="949"/>
      <c r="D7783" s="946"/>
      <c r="E7783" s="947"/>
      <c r="F7783" s="1054"/>
      <c r="G7783" s="946"/>
      <c r="H7783" s="1031"/>
      <c r="I7783" s="948"/>
    </row>
    <row r="7784" spans="2:9" ht="15.75">
      <c r="C7784" s="951" t="s">
        <v>930</v>
      </c>
      <c r="D7784" s="960"/>
      <c r="E7784" s="975" t="str">
        <f>+E7761</f>
        <v>ud</v>
      </c>
      <c r="F7784" s="1070"/>
      <c r="G7784" s="960"/>
      <c r="H7784" s="1033"/>
      <c r="I7784" s="952">
        <f>SUM(I7779:I7782)</f>
        <v>5457</v>
      </c>
    </row>
    <row r="7785" spans="2:9" ht="15.75">
      <c r="C7785" s="951"/>
      <c r="D7785" s="960"/>
      <c r="E7785" s="943"/>
      <c r="F7785" s="1070"/>
      <c r="G7785" s="960"/>
      <c r="H7785" s="1033"/>
      <c r="I7785" s="952"/>
    </row>
    <row r="7786" spans="2:9" ht="15.75">
      <c r="B7786" s="1063">
        <v>11.7</v>
      </c>
      <c r="C7786" s="937" t="str">
        <f>+Presupuesto!B466</f>
        <v>Registros eléctricos</v>
      </c>
      <c r="D7786" s="938"/>
      <c r="E7786" s="962" t="s">
        <v>1056</v>
      </c>
      <c r="F7786" s="1066"/>
      <c r="G7786" s="938"/>
      <c r="H7786" s="1029"/>
      <c r="I7786" s="940">
        <f>+I7809</f>
        <v>1071</v>
      </c>
    </row>
    <row r="7787" spans="2:9" ht="15.75">
      <c r="C7787" s="941" t="s">
        <v>908</v>
      </c>
      <c r="D7787" s="942" t="s">
        <v>9</v>
      </c>
      <c r="E7787" s="943" t="s">
        <v>10</v>
      </c>
      <c r="F7787" s="1067" t="s">
        <v>909</v>
      </c>
      <c r="G7787" s="942" t="s">
        <v>910</v>
      </c>
      <c r="H7787" s="1030" t="s">
        <v>911</v>
      </c>
      <c r="I7787" s="944" t="s">
        <v>912</v>
      </c>
    </row>
    <row r="7788" spans="2:9" ht="15.75">
      <c r="C7788" s="945" t="s">
        <v>913</v>
      </c>
      <c r="D7788" s="946"/>
      <c r="E7788" s="947"/>
      <c r="F7788" s="1054"/>
      <c r="G7788" s="946"/>
      <c r="H7788" s="1031"/>
      <c r="I7788" s="948"/>
    </row>
    <row r="7789" spans="2:9" ht="15.75">
      <c r="C7789" s="949" t="s">
        <v>1626</v>
      </c>
      <c r="D7789" s="946">
        <v>1.02</v>
      </c>
      <c r="E7789" s="947" t="str">
        <f>+VLOOKUP(C7789,'Basic (equilibrio) (2)'!B:D,2,FALSE)</f>
        <v>ud</v>
      </c>
      <c r="F7789" s="1068">
        <f>'Basic (equilibrio) (2)'!$D$240</f>
        <v>1050</v>
      </c>
      <c r="G7789" s="946">
        <f>F7789-(F7789/1.18)</f>
        <v>160.16999999999999</v>
      </c>
      <c r="H7789" s="1031"/>
      <c r="I7789" s="948">
        <f>D7789*F7789</f>
        <v>1071</v>
      </c>
    </row>
    <row r="7790" spans="2:9" ht="15.75">
      <c r="C7790" s="951" t="s">
        <v>918</v>
      </c>
      <c r="D7790" s="946"/>
      <c r="E7790" s="947"/>
      <c r="F7790" s="1068"/>
      <c r="G7790" s="946"/>
      <c r="H7790" s="1031"/>
      <c r="I7790" s="952">
        <f>SUM(I7789:I7789)</f>
        <v>1071</v>
      </c>
    </row>
    <row r="7791" spans="2:9" ht="15.75">
      <c r="C7791" s="949"/>
      <c r="D7791" s="946"/>
      <c r="E7791" s="947"/>
      <c r="F7791" s="1068"/>
      <c r="G7791" s="946"/>
      <c r="H7791" s="1031"/>
      <c r="I7791" s="948"/>
    </row>
    <row r="7792" spans="2:9" ht="15.75">
      <c r="C7792" s="945" t="s">
        <v>919</v>
      </c>
      <c r="D7792" s="946"/>
      <c r="E7792" s="947"/>
      <c r="F7792" s="1068"/>
      <c r="G7792" s="946"/>
      <c r="H7792" s="1031"/>
      <c r="I7792" s="948"/>
    </row>
    <row r="7793" spans="3:9" ht="15.75">
      <c r="C7793" s="949" t="s">
        <v>924</v>
      </c>
      <c r="D7793" s="953"/>
      <c r="E7793" s="954" t="str">
        <f>+VLOOKUP(C7793,'Basic (equilibrio) (2)'!B:D,2,FALSE)</f>
        <v>n/a</v>
      </c>
      <c r="F7793" s="1068">
        <f>+VLOOKUP(C7793,'Basic (equilibrio) (2)'!B:D,3,FALSE)</f>
        <v>0</v>
      </c>
      <c r="G7793" s="946">
        <v>0</v>
      </c>
      <c r="H7793" s="1031"/>
      <c r="I7793" s="948">
        <f>(D7793*F7793)</f>
        <v>0</v>
      </c>
    </row>
    <row r="7794" spans="3:9" ht="15.75">
      <c r="C7794" s="951" t="s">
        <v>918</v>
      </c>
      <c r="D7794" s="946"/>
      <c r="E7794" s="947"/>
      <c r="F7794" s="1054"/>
      <c r="G7794" s="946"/>
      <c r="H7794" s="1031"/>
      <c r="I7794" s="952">
        <f>SUM(I7793:I7793)</f>
        <v>0</v>
      </c>
    </row>
    <row r="7795" spans="3:9" ht="15.75">
      <c r="C7795" s="949"/>
      <c r="D7795" s="946"/>
      <c r="E7795" s="947"/>
      <c r="F7795" s="1054"/>
      <c r="G7795" s="946"/>
      <c r="H7795" s="1031"/>
      <c r="I7795" s="948"/>
    </row>
    <row r="7796" spans="3:9" ht="15.75">
      <c r="C7796" s="945" t="s">
        <v>923</v>
      </c>
      <c r="D7796" s="946"/>
      <c r="E7796" s="947"/>
      <c r="F7796" s="1054"/>
      <c r="G7796" s="946"/>
      <c r="H7796" s="1031"/>
      <c r="I7796" s="948"/>
    </row>
    <row r="7797" spans="3:9" ht="15.75">
      <c r="C7797" s="949" t="s">
        <v>924</v>
      </c>
      <c r="D7797" s="946"/>
      <c r="E7797" s="947" t="str">
        <f>+VLOOKUP(C7797,'Basic (equilibrio) (2)'!B:D,2,FALSE)</f>
        <v>n/a</v>
      </c>
      <c r="F7797" s="1054">
        <f>+VLOOKUP(C7797,'Basic (equilibrio) (2)'!B:D,3,FALSE)</f>
        <v>0</v>
      </c>
      <c r="G7797" s="946">
        <f>F7797-(F7797/1.18)</f>
        <v>0</v>
      </c>
      <c r="H7797" s="1039"/>
      <c r="I7797" s="955">
        <f>D7797*F7797</f>
        <v>0</v>
      </c>
    </row>
    <row r="7798" spans="3:9" ht="15.75">
      <c r="C7798" s="951" t="s">
        <v>918</v>
      </c>
      <c r="D7798" s="946"/>
      <c r="E7798" s="947"/>
      <c r="F7798" s="1054"/>
      <c r="G7798" s="946"/>
      <c r="H7798" s="1031"/>
      <c r="I7798" s="952">
        <f>SUM(I7797:I7797)</f>
        <v>0</v>
      </c>
    </row>
    <row r="7799" spans="3:9" ht="15.75">
      <c r="C7799" s="949"/>
      <c r="D7799" s="946"/>
      <c r="E7799" s="947"/>
      <c r="F7799" s="1054"/>
      <c r="G7799" s="946"/>
      <c r="H7799" s="1031"/>
      <c r="I7799" s="948"/>
    </row>
    <row r="7800" spans="3:9" ht="15.75">
      <c r="C7800" s="945" t="s">
        <v>925</v>
      </c>
      <c r="D7800" s="946"/>
      <c r="E7800" s="947"/>
      <c r="F7800" s="1054"/>
      <c r="G7800" s="946"/>
      <c r="H7800" s="1031"/>
      <c r="I7800" s="948"/>
    </row>
    <row r="7801" spans="3:9" ht="15.75">
      <c r="C7801" s="949" t="s">
        <v>924</v>
      </c>
      <c r="D7801" s="946"/>
      <c r="E7801" s="947" t="str">
        <f>+VLOOKUP(C7801,'Basic (equilibrio) (2)'!B:D,2,FALSE)</f>
        <v>n/a</v>
      </c>
      <c r="F7801" s="1054">
        <f>+VLOOKUP(C7801,'Basic (equilibrio) (2)'!B:D,3,FALSE)</f>
        <v>0</v>
      </c>
      <c r="G7801" s="946"/>
      <c r="H7801" s="1031"/>
      <c r="I7801" s="948">
        <f>D7801*F7801</f>
        <v>0</v>
      </c>
    </row>
    <row r="7802" spans="3:9" ht="15.75">
      <c r="C7802" s="951" t="s">
        <v>918</v>
      </c>
      <c r="D7802" s="946"/>
      <c r="E7802" s="947"/>
      <c r="F7802" s="1054"/>
      <c r="G7802" s="946"/>
      <c r="H7802" s="1031"/>
      <c r="I7802" s="952">
        <f>SUM(I7801)</f>
        <v>0</v>
      </c>
    </row>
    <row r="7803" spans="3:9" ht="15.75">
      <c r="C7803" s="951"/>
      <c r="D7803" s="946"/>
      <c r="E7803" s="947"/>
      <c r="F7803" s="1054"/>
      <c r="G7803" s="946"/>
      <c r="H7803" s="1031"/>
      <c r="I7803" s="952"/>
    </row>
    <row r="7804" spans="3:9" ht="15.75">
      <c r="C7804" s="956" t="s">
        <v>926</v>
      </c>
      <c r="D7804" s="957"/>
      <c r="E7804" s="958"/>
      <c r="F7804" s="1069"/>
      <c r="G7804" s="957"/>
      <c r="H7804" s="1032"/>
      <c r="I7804" s="959">
        <f>+I7790</f>
        <v>1071</v>
      </c>
    </row>
    <row r="7805" spans="3:9" ht="15.75">
      <c r="C7805" s="956" t="s">
        <v>927</v>
      </c>
      <c r="D7805" s="957"/>
      <c r="E7805" s="958"/>
      <c r="F7805" s="1069"/>
      <c r="G7805" s="957"/>
      <c r="H7805" s="1032"/>
      <c r="I7805" s="959">
        <f>+I7794</f>
        <v>0</v>
      </c>
    </row>
    <row r="7806" spans="3:9" ht="15.75">
      <c r="C7806" s="956" t="s">
        <v>928</v>
      </c>
      <c r="D7806" s="957"/>
      <c r="E7806" s="958"/>
      <c r="F7806" s="1069"/>
      <c r="G7806" s="957"/>
      <c r="H7806" s="1032"/>
      <c r="I7806" s="959">
        <f>+I7798</f>
        <v>0</v>
      </c>
    </row>
    <row r="7807" spans="3:9" ht="15.75">
      <c r="C7807" s="956" t="s">
        <v>929</v>
      </c>
      <c r="D7807" s="957"/>
      <c r="E7807" s="958"/>
      <c r="F7807" s="1069"/>
      <c r="G7807" s="957"/>
      <c r="H7807" s="1032"/>
      <c r="I7807" s="959">
        <f>+I7802</f>
        <v>0</v>
      </c>
    </row>
    <row r="7808" spans="3:9" ht="15.75">
      <c r="C7808" s="949"/>
      <c r="D7808" s="946"/>
      <c r="E7808" s="947"/>
      <c r="F7808" s="1054"/>
      <c r="G7808" s="946"/>
      <c r="H7808" s="1031"/>
      <c r="I7808" s="948"/>
    </row>
    <row r="7809" spans="2:9" ht="15.75">
      <c r="C7809" s="951" t="s">
        <v>930</v>
      </c>
      <c r="D7809" s="960"/>
      <c r="E7809" s="975" t="str">
        <f>+E7786</f>
        <v>ud</v>
      </c>
      <c r="F7809" s="1070"/>
      <c r="G7809" s="960"/>
      <c r="H7809" s="1033"/>
      <c r="I7809" s="952">
        <f>SUM(I7804:I7807)</f>
        <v>1071</v>
      </c>
    </row>
    <row r="7810" spans="2:9" ht="15.75">
      <c r="C7810" s="951"/>
      <c r="D7810" s="960"/>
      <c r="E7810" s="943"/>
      <c r="F7810" s="1070"/>
      <c r="G7810" s="960"/>
      <c r="H7810" s="1033"/>
      <c r="I7810" s="952"/>
    </row>
    <row r="7811" spans="2:9" ht="15.75">
      <c r="B7811" s="1063">
        <v>11.8</v>
      </c>
      <c r="C7811" s="937" t="str">
        <f>+Presupuesto!B467</f>
        <v>Acometida desde transformador hasta medidor</v>
      </c>
      <c r="D7811" s="938"/>
      <c r="E7811" s="962" t="s">
        <v>1056</v>
      </c>
      <c r="F7811" s="1066"/>
      <c r="G7811" s="938"/>
      <c r="H7811" s="1029"/>
      <c r="I7811" s="940">
        <f>+I7834</f>
        <v>33057.18</v>
      </c>
    </row>
    <row r="7812" spans="2:9" ht="15.75">
      <c r="C7812" s="941" t="s">
        <v>908</v>
      </c>
      <c r="D7812" s="942" t="s">
        <v>9</v>
      </c>
      <c r="E7812" s="943" t="s">
        <v>10</v>
      </c>
      <c r="F7812" s="1067" t="s">
        <v>909</v>
      </c>
      <c r="G7812" s="942" t="s">
        <v>910</v>
      </c>
      <c r="H7812" s="1030" t="s">
        <v>911</v>
      </c>
      <c r="I7812" s="944" t="s">
        <v>912</v>
      </c>
    </row>
    <row r="7813" spans="2:9" ht="15.75">
      <c r="C7813" s="945" t="s">
        <v>913</v>
      </c>
      <c r="D7813" s="946"/>
      <c r="E7813" s="947"/>
      <c r="F7813" s="1054"/>
      <c r="G7813" s="946"/>
      <c r="H7813" s="1031"/>
      <c r="I7813" s="948"/>
    </row>
    <row r="7814" spans="2:9" ht="15.75">
      <c r="C7814" s="949" t="s">
        <v>1627</v>
      </c>
      <c r="D7814" s="946">
        <v>1.02</v>
      </c>
      <c r="E7814" s="947" t="str">
        <f>+VLOOKUP(C7814,'Basic (equilibrio) (2)'!B:D,2,FALSE)</f>
        <v>ud</v>
      </c>
      <c r="F7814" s="1068">
        <f>'Basic (equilibrio) (2)'!$D$241</f>
        <v>32409</v>
      </c>
      <c r="G7814" s="946">
        <f>F7814-(F7814/1.18)</f>
        <v>4943.75</v>
      </c>
      <c r="H7814" s="1031"/>
      <c r="I7814" s="948">
        <f>D7814*F7814</f>
        <v>33057.18</v>
      </c>
    </row>
    <row r="7815" spans="2:9" ht="15.75">
      <c r="C7815" s="951" t="s">
        <v>918</v>
      </c>
      <c r="D7815" s="946"/>
      <c r="E7815" s="947"/>
      <c r="F7815" s="1068"/>
      <c r="G7815" s="946"/>
      <c r="H7815" s="1031"/>
      <c r="I7815" s="952">
        <f>SUM(I7814:I7814)</f>
        <v>33057.18</v>
      </c>
    </row>
    <row r="7816" spans="2:9" ht="15.75">
      <c r="C7816" s="949"/>
      <c r="D7816" s="946"/>
      <c r="E7816" s="947"/>
      <c r="F7816" s="1068"/>
      <c r="G7816" s="946"/>
      <c r="H7816" s="1031"/>
      <c r="I7816" s="948"/>
    </row>
    <row r="7817" spans="2:9" ht="15.75">
      <c r="C7817" s="945" t="s">
        <v>919</v>
      </c>
      <c r="D7817" s="946"/>
      <c r="E7817" s="947"/>
      <c r="F7817" s="1068"/>
      <c r="G7817" s="946"/>
      <c r="H7817" s="1031"/>
      <c r="I7817" s="948"/>
    </row>
    <row r="7818" spans="2:9" ht="15.75">
      <c r="C7818" s="949" t="s">
        <v>924</v>
      </c>
      <c r="D7818" s="953"/>
      <c r="E7818" s="954" t="str">
        <f>+VLOOKUP(C7818,'Basic (equilibrio) (2)'!B:D,2,FALSE)</f>
        <v>n/a</v>
      </c>
      <c r="F7818" s="1068">
        <f>+VLOOKUP(C7818,'Basic (equilibrio) (2)'!B:D,3,FALSE)</f>
        <v>0</v>
      </c>
      <c r="G7818" s="946">
        <v>0</v>
      </c>
      <c r="H7818" s="1031"/>
      <c r="I7818" s="948">
        <f>(D7818*F7818)</f>
        <v>0</v>
      </c>
    </row>
    <row r="7819" spans="2:9" ht="15.75">
      <c r="C7819" s="951" t="s">
        <v>918</v>
      </c>
      <c r="D7819" s="946"/>
      <c r="E7819" s="947"/>
      <c r="F7819" s="1054"/>
      <c r="G7819" s="946"/>
      <c r="H7819" s="1031"/>
      <c r="I7819" s="952">
        <f>SUM(I7818:I7818)</f>
        <v>0</v>
      </c>
    </row>
    <row r="7820" spans="2:9" ht="15.75">
      <c r="C7820" s="949"/>
      <c r="D7820" s="946"/>
      <c r="E7820" s="947"/>
      <c r="F7820" s="1054"/>
      <c r="G7820" s="946"/>
      <c r="H7820" s="1031"/>
      <c r="I7820" s="948"/>
    </row>
    <row r="7821" spans="2:9" ht="15.75">
      <c r="C7821" s="945" t="s">
        <v>923</v>
      </c>
      <c r="D7821" s="946"/>
      <c r="E7821" s="947"/>
      <c r="F7821" s="1054"/>
      <c r="G7821" s="946"/>
      <c r="H7821" s="1031"/>
      <c r="I7821" s="948"/>
    </row>
    <row r="7822" spans="2:9" ht="15.75">
      <c r="C7822" s="949" t="s">
        <v>924</v>
      </c>
      <c r="D7822" s="946"/>
      <c r="E7822" s="947" t="str">
        <f>+VLOOKUP(C7822,'Basic (equilibrio) (2)'!B:D,2,FALSE)</f>
        <v>n/a</v>
      </c>
      <c r="F7822" s="1054">
        <f>+VLOOKUP(C7822,'Basic (equilibrio) (2)'!B:D,3,FALSE)</f>
        <v>0</v>
      </c>
      <c r="G7822" s="946">
        <f>F7822-(F7822/1.18)</f>
        <v>0</v>
      </c>
      <c r="H7822" s="1039"/>
      <c r="I7822" s="955">
        <f>D7822*F7822</f>
        <v>0</v>
      </c>
    </row>
    <row r="7823" spans="2:9" ht="15.75">
      <c r="C7823" s="951" t="s">
        <v>918</v>
      </c>
      <c r="D7823" s="946"/>
      <c r="E7823" s="947"/>
      <c r="F7823" s="1054"/>
      <c r="G7823" s="946"/>
      <c r="H7823" s="1031"/>
      <c r="I7823" s="952">
        <f>SUM(I7822:I7822)</f>
        <v>0</v>
      </c>
    </row>
    <row r="7824" spans="2:9" ht="15.75">
      <c r="C7824" s="949"/>
      <c r="D7824" s="946"/>
      <c r="E7824" s="947"/>
      <c r="F7824" s="1054"/>
      <c r="G7824" s="946"/>
      <c r="H7824" s="1031"/>
      <c r="I7824" s="948"/>
    </row>
    <row r="7825" spans="2:9" ht="15.75">
      <c r="C7825" s="945" t="s">
        <v>925</v>
      </c>
      <c r="D7825" s="946"/>
      <c r="E7825" s="947"/>
      <c r="F7825" s="1054"/>
      <c r="G7825" s="946"/>
      <c r="H7825" s="1031"/>
      <c r="I7825" s="948"/>
    </row>
    <row r="7826" spans="2:9" ht="15.75">
      <c r="C7826" s="949" t="s">
        <v>924</v>
      </c>
      <c r="D7826" s="946"/>
      <c r="E7826" s="947" t="str">
        <f>+VLOOKUP(C7826,'Basic (equilibrio) (2)'!B:D,2,FALSE)</f>
        <v>n/a</v>
      </c>
      <c r="F7826" s="1054">
        <f>+VLOOKUP(C7826,'Basic (equilibrio) (2)'!B:D,3,FALSE)</f>
        <v>0</v>
      </c>
      <c r="G7826" s="946"/>
      <c r="H7826" s="1031"/>
      <c r="I7826" s="948">
        <f>D7826*F7826</f>
        <v>0</v>
      </c>
    </row>
    <row r="7827" spans="2:9" ht="15.75">
      <c r="C7827" s="951" t="s">
        <v>918</v>
      </c>
      <c r="D7827" s="946"/>
      <c r="E7827" s="947"/>
      <c r="F7827" s="1054"/>
      <c r="G7827" s="946"/>
      <c r="H7827" s="1031"/>
      <c r="I7827" s="952">
        <f>SUM(I7826)</f>
        <v>0</v>
      </c>
    </row>
    <row r="7828" spans="2:9" ht="15.75">
      <c r="C7828" s="951"/>
      <c r="D7828" s="946"/>
      <c r="E7828" s="947"/>
      <c r="F7828" s="1054"/>
      <c r="G7828" s="946"/>
      <c r="H7828" s="1031"/>
      <c r="I7828" s="952"/>
    </row>
    <row r="7829" spans="2:9" ht="15.75">
      <c r="C7829" s="956" t="s">
        <v>926</v>
      </c>
      <c r="D7829" s="957"/>
      <c r="E7829" s="958"/>
      <c r="F7829" s="1069"/>
      <c r="G7829" s="957"/>
      <c r="H7829" s="1032"/>
      <c r="I7829" s="959">
        <f>+I7815</f>
        <v>33057.18</v>
      </c>
    </row>
    <row r="7830" spans="2:9" ht="15.75">
      <c r="C7830" s="956" t="s">
        <v>927</v>
      </c>
      <c r="D7830" s="957"/>
      <c r="E7830" s="958"/>
      <c r="F7830" s="1069"/>
      <c r="G7830" s="957"/>
      <c r="H7830" s="1032"/>
      <c r="I7830" s="959">
        <f>+I7819</f>
        <v>0</v>
      </c>
    </row>
    <row r="7831" spans="2:9" ht="15.75">
      <c r="C7831" s="956" t="s">
        <v>928</v>
      </c>
      <c r="D7831" s="957"/>
      <c r="E7831" s="958"/>
      <c r="F7831" s="1069"/>
      <c r="G7831" s="957"/>
      <c r="H7831" s="1032"/>
      <c r="I7831" s="959">
        <f>+I7823</f>
        <v>0</v>
      </c>
    </row>
    <row r="7832" spans="2:9" ht="15.75">
      <c r="C7832" s="956" t="s">
        <v>929</v>
      </c>
      <c r="D7832" s="957"/>
      <c r="E7832" s="958"/>
      <c r="F7832" s="1069"/>
      <c r="G7832" s="957"/>
      <c r="H7832" s="1032"/>
      <c r="I7832" s="959">
        <f>+I7827</f>
        <v>0</v>
      </c>
    </row>
    <row r="7833" spans="2:9" ht="15.75">
      <c r="C7833" s="949"/>
      <c r="D7833" s="946"/>
      <c r="E7833" s="947"/>
      <c r="F7833" s="1054"/>
      <c r="G7833" s="946"/>
      <c r="H7833" s="1031"/>
      <c r="I7833" s="948"/>
    </row>
    <row r="7834" spans="2:9" ht="15.75">
      <c r="C7834" s="951" t="s">
        <v>930</v>
      </c>
      <c r="D7834" s="960"/>
      <c r="E7834" s="975" t="str">
        <f>+E7811</f>
        <v>ud</v>
      </c>
      <c r="F7834" s="1070"/>
      <c r="G7834" s="960"/>
      <c r="H7834" s="1033"/>
      <c r="I7834" s="952">
        <f>SUM(I7829:I7832)</f>
        <v>33057.18</v>
      </c>
    </row>
    <row r="7835" spans="2:9" ht="15.75">
      <c r="C7835" s="951"/>
      <c r="D7835" s="960"/>
      <c r="E7835" s="943"/>
      <c r="F7835" s="1070"/>
      <c r="G7835" s="960"/>
      <c r="H7835" s="1033"/>
      <c r="I7835" s="952"/>
    </row>
    <row r="7836" spans="2:9" ht="15.75">
      <c r="B7836" s="1063">
        <v>11.9</v>
      </c>
      <c r="C7836" s="937" t="str">
        <f>+Presupuesto!B468</f>
        <v>Salidas para telefonos.</v>
      </c>
      <c r="D7836" s="938"/>
      <c r="E7836" s="962" t="s">
        <v>1056</v>
      </c>
      <c r="F7836" s="1066"/>
      <c r="G7836" s="938"/>
      <c r="H7836" s="1029"/>
      <c r="I7836" s="940">
        <f>+I7859</f>
        <v>33057.18</v>
      </c>
    </row>
    <row r="7837" spans="2:9" ht="15.75">
      <c r="C7837" s="941" t="s">
        <v>908</v>
      </c>
      <c r="D7837" s="942" t="s">
        <v>9</v>
      </c>
      <c r="E7837" s="943" t="s">
        <v>10</v>
      </c>
      <c r="F7837" s="1067" t="s">
        <v>909</v>
      </c>
      <c r="G7837" s="942" t="s">
        <v>910</v>
      </c>
      <c r="H7837" s="1030" t="s">
        <v>911</v>
      </c>
      <c r="I7837" s="944" t="s">
        <v>912</v>
      </c>
    </row>
    <row r="7838" spans="2:9" ht="15.75">
      <c r="C7838" s="945" t="s">
        <v>913</v>
      </c>
      <c r="D7838" s="946"/>
      <c r="E7838" s="947"/>
      <c r="F7838" s="1054"/>
      <c r="G7838" s="946"/>
      <c r="H7838" s="1031"/>
      <c r="I7838" s="948"/>
    </row>
    <row r="7839" spans="2:9" ht="15.75">
      <c r="C7839" s="949" t="s">
        <v>1627</v>
      </c>
      <c r="D7839" s="946">
        <v>1.02</v>
      </c>
      <c r="E7839" s="947" t="str">
        <f>+VLOOKUP(C7839,'Basic (equilibrio) (2)'!B:D,2,FALSE)</f>
        <v>ud</v>
      </c>
      <c r="F7839" s="1068">
        <f>+'Basic (equilibrio) (2)'!$D$241</f>
        <v>32409</v>
      </c>
      <c r="G7839" s="946">
        <f>F7839-(F7839/1.18)</f>
        <v>4943.75</v>
      </c>
      <c r="H7839" s="1031"/>
      <c r="I7839" s="948">
        <f>D7839*F7839</f>
        <v>33057.18</v>
      </c>
    </row>
    <row r="7840" spans="2:9" ht="15.75">
      <c r="C7840" s="951" t="s">
        <v>918</v>
      </c>
      <c r="D7840" s="946"/>
      <c r="E7840" s="947"/>
      <c r="F7840" s="1068"/>
      <c r="G7840" s="946"/>
      <c r="H7840" s="1031"/>
      <c r="I7840" s="952">
        <f>SUM(I7839:I7839)</f>
        <v>33057.18</v>
      </c>
    </row>
    <row r="7841" spans="3:9" ht="15.75">
      <c r="C7841" s="949"/>
      <c r="D7841" s="946"/>
      <c r="E7841" s="947"/>
      <c r="F7841" s="1068"/>
      <c r="G7841" s="946"/>
      <c r="H7841" s="1031"/>
      <c r="I7841" s="948"/>
    </row>
    <row r="7842" spans="3:9" ht="15.75">
      <c r="C7842" s="945" t="s">
        <v>919</v>
      </c>
      <c r="D7842" s="946"/>
      <c r="E7842" s="947"/>
      <c r="F7842" s="1068"/>
      <c r="G7842" s="946"/>
      <c r="H7842" s="1031"/>
      <c r="I7842" s="948"/>
    </row>
    <row r="7843" spans="3:9" ht="15.75">
      <c r="C7843" s="949" t="s">
        <v>924</v>
      </c>
      <c r="D7843" s="953"/>
      <c r="E7843" s="954" t="str">
        <f>+VLOOKUP(C7843,'Basic (equilibrio) (2)'!B:D,2,FALSE)</f>
        <v>n/a</v>
      </c>
      <c r="F7843" s="1068">
        <f>+VLOOKUP(C7843,'Basic (equilibrio) (2)'!B:D,3,FALSE)</f>
        <v>0</v>
      </c>
      <c r="G7843" s="946">
        <v>0</v>
      </c>
      <c r="H7843" s="1031"/>
      <c r="I7843" s="948">
        <f>(D7843*F7843)</f>
        <v>0</v>
      </c>
    </row>
    <row r="7844" spans="3:9" ht="15.75">
      <c r="C7844" s="951" t="s">
        <v>918</v>
      </c>
      <c r="D7844" s="946"/>
      <c r="E7844" s="947"/>
      <c r="F7844" s="1054"/>
      <c r="G7844" s="946"/>
      <c r="H7844" s="1031"/>
      <c r="I7844" s="952">
        <f>SUM(I7843:I7843)</f>
        <v>0</v>
      </c>
    </row>
    <row r="7845" spans="3:9" ht="15.75">
      <c r="C7845" s="949"/>
      <c r="D7845" s="946"/>
      <c r="E7845" s="947"/>
      <c r="F7845" s="1054"/>
      <c r="G7845" s="946"/>
      <c r="H7845" s="1031"/>
      <c r="I7845" s="948"/>
    </row>
    <row r="7846" spans="3:9" ht="15.75">
      <c r="C7846" s="945" t="s">
        <v>923</v>
      </c>
      <c r="D7846" s="946"/>
      <c r="E7846" s="947"/>
      <c r="F7846" s="1054"/>
      <c r="G7846" s="946"/>
      <c r="H7846" s="1031"/>
      <c r="I7846" s="948"/>
    </row>
    <row r="7847" spans="3:9" ht="15.75">
      <c r="C7847" s="949" t="s">
        <v>924</v>
      </c>
      <c r="D7847" s="946"/>
      <c r="E7847" s="947" t="str">
        <f>+VLOOKUP(C7847,'Basic (equilibrio) (2)'!B:D,2,FALSE)</f>
        <v>n/a</v>
      </c>
      <c r="F7847" s="1054">
        <f>+VLOOKUP(C7847,'Basic (equilibrio) (2)'!B:D,3,FALSE)</f>
        <v>0</v>
      </c>
      <c r="G7847" s="946">
        <f>F7847-(F7847/1.18)</f>
        <v>0</v>
      </c>
      <c r="H7847" s="1039"/>
      <c r="I7847" s="955">
        <f>D7847*F7847</f>
        <v>0</v>
      </c>
    </row>
    <row r="7848" spans="3:9" ht="15.75">
      <c r="C7848" s="951" t="s">
        <v>918</v>
      </c>
      <c r="D7848" s="946"/>
      <c r="E7848" s="947"/>
      <c r="F7848" s="1054"/>
      <c r="G7848" s="946"/>
      <c r="H7848" s="1031"/>
      <c r="I7848" s="952">
        <f>SUM(I7847:I7847)</f>
        <v>0</v>
      </c>
    </row>
    <row r="7849" spans="3:9" ht="15.75">
      <c r="C7849" s="949"/>
      <c r="D7849" s="946"/>
      <c r="E7849" s="947"/>
      <c r="F7849" s="1054"/>
      <c r="G7849" s="946"/>
      <c r="H7849" s="1031"/>
      <c r="I7849" s="948"/>
    </row>
    <row r="7850" spans="3:9" ht="15.75">
      <c r="C7850" s="945" t="s">
        <v>925</v>
      </c>
      <c r="D7850" s="946"/>
      <c r="E7850" s="947"/>
      <c r="F7850" s="1054"/>
      <c r="G7850" s="946"/>
      <c r="H7850" s="1031"/>
      <c r="I7850" s="948"/>
    </row>
    <row r="7851" spans="3:9" ht="15.75">
      <c r="C7851" s="949" t="s">
        <v>924</v>
      </c>
      <c r="D7851" s="946"/>
      <c r="E7851" s="947" t="str">
        <f>+VLOOKUP(C7851,'Basic (equilibrio) (2)'!B:D,2,FALSE)</f>
        <v>n/a</v>
      </c>
      <c r="F7851" s="1054">
        <f>+VLOOKUP(C7851,'Basic (equilibrio) (2)'!B:D,3,FALSE)</f>
        <v>0</v>
      </c>
      <c r="G7851" s="946"/>
      <c r="H7851" s="1031"/>
      <c r="I7851" s="948">
        <f>D7851*F7851</f>
        <v>0</v>
      </c>
    </row>
    <row r="7852" spans="3:9" ht="15.75">
      <c r="C7852" s="951" t="s">
        <v>918</v>
      </c>
      <c r="D7852" s="946"/>
      <c r="E7852" s="947"/>
      <c r="F7852" s="1054"/>
      <c r="G7852" s="946"/>
      <c r="H7852" s="1031"/>
      <c r="I7852" s="952">
        <f>SUM(I7851)</f>
        <v>0</v>
      </c>
    </row>
    <row r="7853" spans="3:9" ht="15.75">
      <c r="C7853" s="951"/>
      <c r="D7853" s="946"/>
      <c r="E7853" s="947"/>
      <c r="F7853" s="1054"/>
      <c r="G7853" s="946"/>
      <c r="H7853" s="1031"/>
      <c r="I7853" s="952"/>
    </row>
    <row r="7854" spans="3:9" ht="15.75">
      <c r="C7854" s="956" t="s">
        <v>926</v>
      </c>
      <c r="D7854" s="957"/>
      <c r="E7854" s="958"/>
      <c r="F7854" s="1069"/>
      <c r="G7854" s="957"/>
      <c r="H7854" s="1032"/>
      <c r="I7854" s="959">
        <f>+I7840</f>
        <v>33057.18</v>
      </c>
    </row>
    <row r="7855" spans="3:9" ht="15.75">
      <c r="C7855" s="956" t="s">
        <v>927</v>
      </c>
      <c r="D7855" s="957"/>
      <c r="E7855" s="958"/>
      <c r="F7855" s="1069"/>
      <c r="G7855" s="957"/>
      <c r="H7855" s="1032"/>
      <c r="I7855" s="959">
        <f>+I7844</f>
        <v>0</v>
      </c>
    </row>
    <row r="7856" spans="3:9" ht="15.75">
      <c r="C7856" s="956" t="s">
        <v>928</v>
      </c>
      <c r="D7856" s="957"/>
      <c r="E7856" s="958"/>
      <c r="F7856" s="1069"/>
      <c r="G7856" s="957"/>
      <c r="H7856" s="1032"/>
      <c r="I7856" s="959">
        <f>+I7848</f>
        <v>0</v>
      </c>
    </row>
    <row r="7857" spans="2:9" ht="15.75">
      <c r="C7857" s="956" t="s">
        <v>929</v>
      </c>
      <c r="D7857" s="957"/>
      <c r="E7857" s="958"/>
      <c r="F7857" s="1069"/>
      <c r="G7857" s="957"/>
      <c r="H7857" s="1032"/>
      <c r="I7857" s="959">
        <f>+I7852</f>
        <v>0</v>
      </c>
    </row>
    <row r="7858" spans="2:9" ht="15.75">
      <c r="C7858" s="949"/>
      <c r="D7858" s="946"/>
      <c r="E7858" s="947"/>
      <c r="F7858" s="1054"/>
      <c r="G7858" s="946"/>
      <c r="H7858" s="1031"/>
      <c r="I7858" s="948"/>
    </row>
    <row r="7859" spans="2:9" ht="15.75">
      <c r="C7859" s="951" t="s">
        <v>930</v>
      </c>
      <c r="D7859" s="960"/>
      <c r="E7859" s="975" t="str">
        <f>+E7836</f>
        <v>ud</v>
      </c>
      <c r="F7859" s="1070"/>
      <c r="G7859" s="960"/>
      <c r="H7859" s="1033"/>
      <c r="I7859" s="952">
        <f>SUM(I7854:I7857)</f>
        <v>33057.18</v>
      </c>
    </row>
    <row r="7860" spans="2:9" ht="15.75">
      <c r="C7860" s="951"/>
      <c r="D7860" s="960"/>
      <c r="E7860" s="943"/>
      <c r="F7860" s="1070"/>
      <c r="G7860" s="960"/>
      <c r="H7860" s="1033"/>
      <c r="I7860" s="952"/>
    </row>
    <row r="7861" spans="2:9" ht="15.75">
      <c r="B7861" s="1062">
        <v>11.1</v>
      </c>
      <c r="C7861" s="937" t="str">
        <f>+Presupuesto!B469</f>
        <v>Salidas para red de data y PC</v>
      </c>
      <c r="D7861" s="938"/>
      <c r="E7861" s="962" t="s">
        <v>1056</v>
      </c>
      <c r="F7861" s="1066"/>
      <c r="G7861" s="938"/>
      <c r="H7861" s="1029"/>
      <c r="I7861" s="940">
        <f>+I7884</f>
        <v>1071</v>
      </c>
    </row>
    <row r="7862" spans="2:9" ht="15.75">
      <c r="C7862" s="941" t="s">
        <v>908</v>
      </c>
      <c r="D7862" s="942" t="s">
        <v>9</v>
      </c>
      <c r="E7862" s="943" t="s">
        <v>10</v>
      </c>
      <c r="F7862" s="1067" t="s">
        <v>909</v>
      </c>
      <c r="G7862" s="942" t="s">
        <v>910</v>
      </c>
      <c r="H7862" s="1030" t="s">
        <v>911</v>
      </c>
      <c r="I7862" s="944" t="s">
        <v>912</v>
      </c>
    </row>
    <row r="7863" spans="2:9" ht="15.75">
      <c r="C7863" s="945" t="s">
        <v>913</v>
      </c>
      <c r="D7863" s="946"/>
      <c r="E7863" s="947"/>
      <c r="F7863" s="1054"/>
      <c r="G7863" s="946"/>
      <c r="H7863" s="1031"/>
      <c r="I7863" s="948"/>
    </row>
    <row r="7864" spans="2:9" ht="15.75">
      <c r="C7864" s="949" t="s">
        <v>1628</v>
      </c>
      <c r="D7864" s="946">
        <v>1.02</v>
      </c>
      <c r="E7864" s="947" t="str">
        <f>+VLOOKUP(C7864,'Basic (equilibrio) (2)'!B:D,2,FALSE)</f>
        <v>ud</v>
      </c>
      <c r="F7864" s="1068">
        <f>'Basic (equilibrio) (2)'!$D$243</f>
        <v>1050</v>
      </c>
      <c r="G7864" s="946">
        <f>F7864-(F7864/1.18)</f>
        <v>160.16999999999999</v>
      </c>
      <c r="H7864" s="1031"/>
      <c r="I7864" s="948">
        <f>D7864*F7864</f>
        <v>1071</v>
      </c>
    </row>
    <row r="7865" spans="2:9" ht="15.75">
      <c r="C7865" s="951" t="s">
        <v>918</v>
      </c>
      <c r="D7865" s="946"/>
      <c r="E7865" s="947"/>
      <c r="F7865" s="1068"/>
      <c r="G7865" s="946"/>
      <c r="H7865" s="1031"/>
      <c r="I7865" s="952">
        <f>SUM(I7864:I7864)</f>
        <v>1071</v>
      </c>
    </row>
    <row r="7866" spans="2:9" ht="15.75">
      <c r="C7866" s="949"/>
      <c r="D7866" s="946"/>
      <c r="E7866" s="947"/>
      <c r="F7866" s="1068"/>
      <c r="G7866" s="946"/>
      <c r="H7866" s="1031"/>
      <c r="I7866" s="948"/>
    </row>
    <row r="7867" spans="2:9" ht="15.75">
      <c r="C7867" s="945" t="s">
        <v>919</v>
      </c>
      <c r="D7867" s="946"/>
      <c r="E7867" s="947"/>
      <c r="F7867" s="1068"/>
      <c r="G7867" s="946"/>
      <c r="H7867" s="1031"/>
      <c r="I7867" s="948"/>
    </row>
    <row r="7868" spans="2:9" ht="15.75">
      <c r="C7868" s="949" t="s">
        <v>924</v>
      </c>
      <c r="D7868" s="953"/>
      <c r="E7868" s="954" t="str">
        <f>+VLOOKUP(C7868,'Basic (equilibrio) (2)'!B:D,2,FALSE)</f>
        <v>n/a</v>
      </c>
      <c r="F7868" s="1068">
        <f>+VLOOKUP(C7868,'Basic (equilibrio) (2)'!B:D,3,FALSE)</f>
        <v>0</v>
      </c>
      <c r="G7868" s="946">
        <v>0</v>
      </c>
      <c r="H7868" s="1031"/>
      <c r="I7868" s="948">
        <f>(D7868*F7868)</f>
        <v>0</v>
      </c>
    </row>
    <row r="7869" spans="2:9" ht="15.75">
      <c r="C7869" s="951" t="s">
        <v>918</v>
      </c>
      <c r="D7869" s="946"/>
      <c r="E7869" s="947"/>
      <c r="F7869" s="1054"/>
      <c r="G7869" s="946"/>
      <c r="H7869" s="1031"/>
      <c r="I7869" s="952">
        <f>SUM(I7868:I7868)</f>
        <v>0</v>
      </c>
    </row>
    <row r="7870" spans="2:9" ht="15.75">
      <c r="C7870" s="949"/>
      <c r="D7870" s="946"/>
      <c r="E7870" s="947"/>
      <c r="F7870" s="1054"/>
      <c r="G7870" s="946"/>
      <c r="H7870" s="1031"/>
      <c r="I7870" s="948"/>
    </row>
    <row r="7871" spans="2:9" ht="15.75">
      <c r="C7871" s="945" t="s">
        <v>923</v>
      </c>
      <c r="D7871" s="946"/>
      <c r="E7871" s="947"/>
      <c r="F7871" s="1054"/>
      <c r="G7871" s="946"/>
      <c r="H7871" s="1031"/>
      <c r="I7871" s="948"/>
    </row>
    <row r="7872" spans="2:9" ht="15.75">
      <c r="C7872" s="949" t="s">
        <v>924</v>
      </c>
      <c r="D7872" s="946"/>
      <c r="E7872" s="947" t="str">
        <f>+VLOOKUP(C7872,'Basic (equilibrio) (2)'!B:D,2,FALSE)</f>
        <v>n/a</v>
      </c>
      <c r="F7872" s="1054">
        <f>+VLOOKUP(C7872,'Basic (equilibrio) (2)'!B:D,3,FALSE)</f>
        <v>0</v>
      </c>
      <c r="G7872" s="946">
        <f>F7872-(F7872/1.18)</f>
        <v>0</v>
      </c>
      <c r="H7872" s="1039"/>
      <c r="I7872" s="955">
        <f>D7872*F7872</f>
        <v>0</v>
      </c>
    </row>
    <row r="7873" spans="2:9" ht="15.75">
      <c r="C7873" s="951" t="s">
        <v>918</v>
      </c>
      <c r="D7873" s="946"/>
      <c r="E7873" s="947"/>
      <c r="F7873" s="1054"/>
      <c r="G7873" s="946"/>
      <c r="H7873" s="1031"/>
      <c r="I7873" s="952">
        <f>SUM(I7872:I7872)</f>
        <v>0</v>
      </c>
    </row>
    <row r="7874" spans="2:9" ht="15.75">
      <c r="C7874" s="949"/>
      <c r="D7874" s="946"/>
      <c r="E7874" s="947"/>
      <c r="F7874" s="1054"/>
      <c r="G7874" s="946"/>
      <c r="H7874" s="1031"/>
      <c r="I7874" s="948"/>
    </row>
    <row r="7875" spans="2:9" ht="15.75">
      <c r="C7875" s="945" t="s">
        <v>925</v>
      </c>
      <c r="D7875" s="946"/>
      <c r="E7875" s="947"/>
      <c r="F7875" s="1054"/>
      <c r="G7875" s="946"/>
      <c r="H7875" s="1031"/>
      <c r="I7875" s="948"/>
    </row>
    <row r="7876" spans="2:9" ht="15.75">
      <c r="C7876" s="949" t="s">
        <v>924</v>
      </c>
      <c r="D7876" s="946"/>
      <c r="E7876" s="947" t="str">
        <f>+VLOOKUP(C7876,'Basic (equilibrio) (2)'!B:D,2,FALSE)</f>
        <v>n/a</v>
      </c>
      <c r="F7876" s="1054">
        <f>+VLOOKUP(C7876,'Basic (equilibrio) (2)'!B:D,3,FALSE)</f>
        <v>0</v>
      </c>
      <c r="G7876" s="946"/>
      <c r="H7876" s="1031"/>
      <c r="I7876" s="948">
        <f>D7876*F7876</f>
        <v>0</v>
      </c>
    </row>
    <row r="7877" spans="2:9" ht="15.75">
      <c r="C7877" s="951" t="s">
        <v>918</v>
      </c>
      <c r="D7877" s="946"/>
      <c r="E7877" s="947"/>
      <c r="F7877" s="1054"/>
      <c r="G7877" s="946"/>
      <c r="H7877" s="1031"/>
      <c r="I7877" s="952">
        <f>SUM(I7876)</f>
        <v>0</v>
      </c>
    </row>
    <row r="7878" spans="2:9" ht="15.75">
      <c r="C7878" s="951"/>
      <c r="D7878" s="946"/>
      <c r="E7878" s="947"/>
      <c r="F7878" s="1054"/>
      <c r="G7878" s="946"/>
      <c r="H7878" s="1031"/>
      <c r="I7878" s="952"/>
    </row>
    <row r="7879" spans="2:9" ht="15.75">
      <c r="C7879" s="956" t="s">
        <v>926</v>
      </c>
      <c r="D7879" s="957"/>
      <c r="E7879" s="958"/>
      <c r="F7879" s="1069"/>
      <c r="G7879" s="957"/>
      <c r="H7879" s="1032"/>
      <c r="I7879" s="959">
        <f>+I7865</f>
        <v>1071</v>
      </c>
    </row>
    <row r="7880" spans="2:9" ht="15.75">
      <c r="C7880" s="956" t="s">
        <v>927</v>
      </c>
      <c r="D7880" s="957"/>
      <c r="E7880" s="958"/>
      <c r="F7880" s="1069"/>
      <c r="G7880" s="957"/>
      <c r="H7880" s="1032"/>
      <c r="I7880" s="959">
        <f>+I7869</f>
        <v>0</v>
      </c>
    </row>
    <row r="7881" spans="2:9" ht="15.75">
      <c r="C7881" s="956" t="s">
        <v>928</v>
      </c>
      <c r="D7881" s="957"/>
      <c r="E7881" s="958"/>
      <c r="F7881" s="1069"/>
      <c r="G7881" s="957"/>
      <c r="H7881" s="1032"/>
      <c r="I7881" s="959">
        <f>+I7873</f>
        <v>0</v>
      </c>
    </row>
    <row r="7882" spans="2:9" ht="15.75">
      <c r="C7882" s="956" t="s">
        <v>929</v>
      </c>
      <c r="D7882" s="957"/>
      <c r="E7882" s="958"/>
      <c r="F7882" s="1069"/>
      <c r="G7882" s="957"/>
      <c r="H7882" s="1032"/>
      <c r="I7882" s="959">
        <f>+I7877</f>
        <v>0</v>
      </c>
    </row>
    <row r="7883" spans="2:9" ht="15.75">
      <c r="C7883" s="949"/>
      <c r="D7883" s="946"/>
      <c r="E7883" s="947"/>
      <c r="F7883" s="1054"/>
      <c r="G7883" s="946"/>
      <c r="H7883" s="1031"/>
      <c r="I7883" s="948"/>
    </row>
    <row r="7884" spans="2:9" ht="15.75">
      <c r="C7884" s="951" t="s">
        <v>930</v>
      </c>
      <c r="D7884" s="960"/>
      <c r="E7884" s="975" t="str">
        <f>+E7861</f>
        <v>ud</v>
      </c>
      <c r="F7884" s="1070"/>
      <c r="G7884" s="960"/>
      <c r="H7884" s="1033"/>
      <c r="I7884" s="952">
        <f>SUM(I7879:I7882)</f>
        <v>1071</v>
      </c>
    </row>
    <row r="7885" spans="2:9" ht="15.75">
      <c r="C7885" s="951"/>
      <c r="D7885" s="960"/>
      <c r="E7885" s="943"/>
      <c r="F7885" s="1070"/>
      <c r="G7885" s="960"/>
      <c r="H7885" s="1033"/>
      <c r="I7885" s="952"/>
    </row>
    <row r="7886" spans="2:9" ht="15.75">
      <c r="B7886" s="1062">
        <v>11.11</v>
      </c>
      <c r="C7886" s="937" t="str">
        <f>+Presupuesto!B470</f>
        <v>Salidas para abanicos de pared</v>
      </c>
      <c r="D7886" s="938"/>
      <c r="E7886" s="962" t="s">
        <v>1056</v>
      </c>
      <c r="F7886" s="1066"/>
      <c r="G7886" s="938"/>
      <c r="H7886" s="1029"/>
      <c r="I7886" s="940">
        <f>+I7909</f>
        <v>1836</v>
      </c>
    </row>
    <row r="7887" spans="2:9" ht="15.75">
      <c r="C7887" s="941" t="s">
        <v>908</v>
      </c>
      <c r="D7887" s="942" t="s">
        <v>9</v>
      </c>
      <c r="E7887" s="943" t="s">
        <v>10</v>
      </c>
      <c r="F7887" s="1067" t="s">
        <v>909</v>
      </c>
      <c r="G7887" s="942" t="s">
        <v>910</v>
      </c>
      <c r="H7887" s="1030" t="s">
        <v>911</v>
      </c>
      <c r="I7887" s="944" t="s">
        <v>912</v>
      </c>
    </row>
    <row r="7888" spans="2:9" ht="15.75">
      <c r="C7888" s="945" t="s">
        <v>913</v>
      </c>
      <c r="D7888" s="946"/>
      <c r="E7888" s="947"/>
      <c r="F7888" s="1054"/>
      <c r="G7888" s="946"/>
      <c r="H7888" s="1031"/>
      <c r="I7888" s="948"/>
    </row>
    <row r="7889" spans="3:9" ht="15.75">
      <c r="C7889" s="949" t="s">
        <v>1630</v>
      </c>
      <c r="D7889" s="946">
        <v>1.02</v>
      </c>
      <c r="E7889" s="947" t="str">
        <f>+VLOOKUP(C7889,'Basic (equilibrio) (2)'!B:D,2,FALSE)</f>
        <v>ud</v>
      </c>
      <c r="F7889" s="1068">
        <f>'Basic (equilibrio) (2)'!$D$244</f>
        <v>1800</v>
      </c>
      <c r="G7889" s="946">
        <f>F7889-(F7889/1.18)</f>
        <v>274.58</v>
      </c>
      <c r="H7889" s="1031"/>
      <c r="I7889" s="948">
        <f>D7889*F7889</f>
        <v>1836</v>
      </c>
    </row>
    <row r="7890" spans="3:9" ht="15.75">
      <c r="C7890" s="951" t="s">
        <v>918</v>
      </c>
      <c r="D7890" s="946"/>
      <c r="E7890" s="947"/>
      <c r="F7890" s="1068"/>
      <c r="G7890" s="946"/>
      <c r="H7890" s="1031"/>
      <c r="I7890" s="952">
        <f>SUM(I7889:I7889)</f>
        <v>1836</v>
      </c>
    </row>
    <row r="7891" spans="3:9" ht="15.75">
      <c r="C7891" s="949"/>
      <c r="D7891" s="946"/>
      <c r="E7891" s="947"/>
      <c r="F7891" s="1068"/>
      <c r="G7891" s="946"/>
      <c r="H7891" s="1031"/>
      <c r="I7891" s="948"/>
    </row>
    <row r="7892" spans="3:9" ht="15.75">
      <c r="C7892" s="945" t="s">
        <v>919</v>
      </c>
      <c r="D7892" s="946"/>
      <c r="E7892" s="947"/>
      <c r="F7892" s="1068"/>
      <c r="G7892" s="946"/>
      <c r="H7892" s="1031"/>
      <c r="I7892" s="948"/>
    </row>
    <row r="7893" spans="3:9" ht="15.75">
      <c r="C7893" s="949" t="s">
        <v>924</v>
      </c>
      <c r="D7893" s="953"/>
      <c r="E7893" s="954" t="str">
        <f>+VLOOKUP(C7893,'Basic (equilibrio) (2)'!B:D,2,FALSE)</f>
        <v>n/a</v>
      </c>
      <c r="F7893" s="1068">
        <f>+VLOOKUP(C7893,'Basic (equilibrio) (2)'!B:D,3,FALSE)</f>
        <v>0</v>
      </c>
      <c r="G7893" s="946">
        <v>0</v>
      </c>
      <c r="H7893" s="1031"/>
      <c r="I7893" s="948">
        <f>(D7893*F7893)</f>
        <v>0</v>
      </c>
    </row>
    <row r="7894" spans="3:9" ht="15.75">
      <c r="C7894" s="951" t="s">
        <v>918</v>
      </c>
      <c r="D7894" s="946"/>
      <c r="E7894" s="947"/>
      <c r="F7894" s="1054"/>
      <c r="G7894" s="946"/>
      <c r="H7894" s="1031"/>
      <c r="I7894" s="952">
        <f>SUM(I7893:I7893)</f>
        <v>0</v>
      </c>
    </row>
    <row r="7895" spans="3:9" ht="15.75">
      <c r="C7895" s="949"/>
      <c r="D7895" s="946"/>
      <c r="E7895" s="947"/>
      <c r="F7895" s="1054"/>
      <c r="G7895" s="946"/>
      <c r="H7895" s="1031"/>
      <c r="I7895" s="948"/>
    </row>
    <row r="7896" spans="3:9" ht="15.75">
      <c r="C7896" s="945" t="s">
        <v>923</v>
      </c>
      <c r="D7896" s="946"/>
      <c r="E7896" s="947"/>
      <c r="F7896" s="1054"/>
      <c r="G7896" s="946"/>
      <c r="H7896" s="1031"/>
      <c r="I7896" s="948"/>
    </row>
    <row r="7897" spans="3:9" ht="15.75">
      <c r="C7897" s="949" t="s">
        <v>924</v>
      </c>
      <c r="D7897" s="946"/>
      <c r="E7897" s="947" t="str">
        <f>+VLOOKUP(C7897,'Basic (equilibrio) (2)'!B:D,2,FALSE)</f>
        <v>n/a</v>
      </c>
      <c r="F7897" s="1054">
        <f>+VLOOKUP(C7897,'Basic (equilibrio) (2)'!B:D,3,FALSE)</f>
        <v>0</v>
      </c>
      <c r="G7897" s="946">
        <f>F7897-(F7897/1.18)</f>
        <v>0</v>
      </c>
      <c r="H7897" s="1039"/>
      <c r="I7897" s="955">
        <f>D7897*F7897</f>
        <v>0</v>
      </c>
    </row>
    <row r="7898" spans="3:9" ht="15.75">
      <c r="C7898" s="951" t="s">
        <v>918</v>
      </c>
      <c r="D7898" s="946"/>
      <c r="E7898" s="947"/>
      <c r="F7898" s="1054"/>
      <c r="G7898" s="946"/>
      <c r="H7898" s="1031"/>
      <c r="I7898" s="952">
        <f>SUM(I7897:I7897)</f>
        <v>0</v>
      </c>
    </row>
    <row r="7899" spans="3:9" ht="15.75">
      <c r="C7899" s="949"/>
      <c r="D7899" s="946"/>
      <c r="E7899" s="947"/>
      <c r="F7899" s="1054"/>
      <c r="G7899" s="946"/>
      <c r="H7899" s="1031"/>
      <c r="I7899" s="948"/>
    </row>
    <row r="7900" spans="3:9" ht="15.75">
      <c r="C7900" s="945" t="s">
        <v>925</v>
      </c>
      <c r="D7900" s="946"/>
      <c r="E7900" s="947"/>
      <c r="F7900" s="1054"/>
      <c r="G7900" s="946"/>
      <c r="H7900" s="1031"/>
      <c r="I7900" s="948"/>
    </row>
    <row r="7901" spans="3:9" ht="15.75">
      <c r="C7901" s="949" t="s">
        <v>924</v>
      </c>
      <c r="D7901" s="946"/>
      <c r="E7901" s="947" t="str">
        <f>+VLOOKUP(C7901,'Basic (equilibrio) (2)'!B:D,2,FALSE)</f>
        <v>n/a</v>
      </c>
      <c r="F7901" s="1054">
        <f>+VLOOKUP(C7901,'Basic (equilibrio) (2)'!B:D,3,FALSE)</f>
        <v>0</v>
      </c>
      <c r="G7901" s="946"/>
      <c r="H7901" s="1031"/>
      <c r="I7901" s="948">
        <f>D7901*F7901</f>
        <v>0</v>
      </c>
    </row>
    <row r="7902" spans="3:9" ht="15.75">
      <c r="C7902" s="951" t="s">
        <v>918</v>
      </c>
      <c r="D7902" s="946"/>
      <c r="E7902" s="947"/>
      <c r="F7902" s="1054"/>
      <c r="G7902" s="946"/>
      <c r="H7902" s="1031"/>
      <c r="I7902" s="952">
        <f>SUM(I7901)</f>
        <v>0</v>
      </c>
    </row>
    <row r="7903" spans="3:9" ht="15.75">
      <c r="C7903" s="951"/>
      <c r="D7903" s="946"/>
      <c r="E7903" s="947"/>
      <c r="F7903" s="1054"/>
      <c r="G7903" s="946"/>
      <c r="H7903" s="1031"/>
      <c r="I7903" s="952"/>
    </row>
    <row r="7904" spans="3:9" ht="15.75">
      <c r="C7904" s="956" t="s">
        <v>926</v>
      </c>
      <c r="D7904" s="957"/>
      <c r="E7904" s="958"/>
      <c r="F7904" s="1069"/>
      <c r="G7904" s="957"/>
      <c r="H7904" s="1032"/>
      <c r="I7904" s="959">
        <f>+I7890</f>
        <v>1836</v>
      </c>
    </row>
    <row r="7905" spans="2:9" ht="15.75">
      <c r="C7905" s="956" t="s">
        <v>927</v>
      </c>
      <c r="D7905" s="957"/>
      <c r="E7905" s="958"/>
      <c r="F7905" s="1069"/>
      <c r="G7905" s="957"/>
      <c r="H7905" s="1032"/>
      <c r="I7905" s="959">
        <f>+I7894</f>
        <v>0</v>
      </c>
    </row>
    <row r="7906" spans="2:9" ht="15.75">
      <c r="C7906" s="956" t="s">
        <v>928</v>
      </c>
      <c r="D7906" s="957"/>
      <c r="E7906" s="958"/>
      <c r="F7906" s="1069"/>
      <c r="G7906" s="957"/>
      <c r="H7906" s="1032"/>
      <c r="I7906" s="959">
        <f>+I7898</f>
        <v>0</v>
      </c>
    </row>
    <row r="7907" spans="2:9" ht="15.75">
      <c r="C7907" s="956" t="s">
        <v>929</v>
      </c>
      <c r="D7907" s="957"/>
      <c r="E7907" s="958"/>
      <c r="F7907" s="1069"/>
      <c r="G7907" s="957"/>
      <c r="H7907" s="1032"/>
      <c r="I7907" s="959">
        <f>+I7902</f>
        <v>0</v>
      </c>
    </row>
    <row r="7908" spans="2:9" ht="15.75">
      <c r="C7908" s="949"/>
      <c r="D7908" s="946"/>
      <c r="E7908" s="947"/>
      <c r="F7908" s="1054"/>
      <c r="G7908" s="946"/>
      <c r="H7908" s="1031"/>
      <c r="I7908" s="948"/>
    </row>
    <row r="7909" spans="2:9" ht="15.75">
      <c r="C7909" s="951" t="s">
        <v>930</v>
      </c>
      <c r="D7909" s="960"/>
      <c r="E7909" s="975" t="str">
        <f>+E7886</f>
        <v>ud</v>
      </c>
      <c r="F7909" s="1070"/>
      <c r="G7909" s="960"/>
      <c r="H7909" s="1033"/>
      <c r="I7909" s="952">
        <f>SUM(I7904:I7907)</f>
        <v>1836</v>
      </c>
    </row>
    <row r="7910" spans="2:9" ht="15.75">
      <c r="C7910" s="951"/>
      <c r="D7910" s="960"/>
      <c r="E7910" s="943"/>
      <c r="F7910" s="1070"/>
      <c r="G7910" s="960"/>
      <c r="H7910" s="1033"/>
      <c r="I7910" s="952"/>
    </row>
    <row r="7911" spans="2:9" ht="15.75">
      <c r="B7911" s="1062">
        <v>11.12</v>
      </c>
      <c r="C7911" s="937" t="str">
        <f>+Presupuesto!B471</f>
        <v>Abanicos KDK de pared (suministro y colocación)</v>
      </c>
      <c r="D7911" s="938"/>
      <c r="E7911" s="962" t="s">
        <v>1056</v>
      </c>
      <c r="F7911" s="1066"/>
      <c r="G7911" s="938"/>
      <c r="H7911" s="1029"/>
      <c r="I7911" s="940">
        <f>+I7934</f>
        <v>8509.15</v>
      </c>
    </row>
    <row r="7912" spans="2:9" ht="15.75">
      <c r="C7912" s="941" t="s">
        <v>908</v>
      </c>
      <c r="D7912" s="942" t="s">
        <v>9</v>
      </c>
      <c r="E7912" s="943" t="s">
        <v>10</v>
      </c>
      <c r="F7912" s="1067" t="s">
        <v>909</v>
      </c>
      <c r="G7912" s="942" t="s">
        <v>910</v>
      </c>
      <c r="H7912" s="1030" t="s">
        <v>911</v>
      </c>
      <c r="I7912" s="944" t="s">
        <v>912</v>
      </c>
    </row>
    <row r="7913" spans="2:9" ht="15.75">
      <c r="C7913" s="945" t="s">
        <v>913</v>
      </c>
      <c r="D7913" s="946"/>
      <c r="E7913" s="947"/>
      <c r="F7913" s="1054"/>
      <c r="G7913" s="946"/>
      <c r="H7913" s="1031"/>
      <c r="I7913" s="948"/>
    </row>
    <row r="7914" spans="2:9" ht="15.75">
      <c r="C7914" s="949" t="s">
        <v>1631</v>
      </c>
      <c r="D7914" s="946">
        <v>1.02</v>
      </c>
      <c r="E7914" s="947" t="str">
        <f>+VLOOKUP(C7914,'Basic (equilibrio) (2)'!B:D,2,FALSE)</f>
        <v>ud</v>
      </c>
      <c r="F7914" s="1068">
        <f>'Basic (equilibrio) (2)'!$D$245</f>
        <v>8342.2999999999993</v>
      </c>
      <c r="G7914" s="946">
        <f>F7914-(F7914/1.18)</f>
        <v>1272.55</v>
      </c>
      <c r="H7914" s="1031"/>
      <c r="I7914" s="948">
        <f>D7914*F7914</f>
        <v>8509.15</v>
      </c>
    </row>
    <row r="7915" spans="2:9" ht="15.75">
      <c r="C7915" s="951" t="s">
        <v>918</v>
      </c>
      <c r="D7915" s="946"/>
      <c r="E7915" s="947"/>
      <c r="F7915" s="1068"/>
      <c r="G7915" s="946"/>
      <c r="H7915" s="1031"/>
      <c r="I7915" s="952">
        <f>SUM(I7914:I7914)</f>
        <v>8509.15</v>
      </c>
    </row>
    <row r="7916" spans="2:9" ht="15.75">
      <c r="C7916" s="949"/>
      <c r="D7916" s="946"/>
      <c r="E7916" s="947"/>
      <c r="F7916" s="1068"/>
      <c r="G7916" s="946"/>
      <c r="H7916" s="1031"/>
      <c r="I7916" s="948"/>
    </row>
    <row r="7917" spans="2:9" ht="15.75">
      <c r="C7917" s="945" t="s">
        <v>919</v>
      </c>
      <c r="D7917" s="946"/>
      <c r="E7917" s="947"/>
      <c r="F7917" s="1068"/>
      <c r="G7917" s="946"/>
      <c r="H7917" s="1031"/>
      <c r="I7917" s="948"/>
    </row>
    <row r="7918" spans="2:9" ht="15.75">
      <c r="C7918" s="949" t="s">
        <v>924</v>
      </c>
      <c r="D7918" s="953"/>
      <c r="E7918" s="954" t="str">
        <f>+VLOOKUP(C7918,'Basic (equilibrio) (2)'!B:D,2,FALSE)</f>
        <v>n/a</v>
      </c>
      <c r="F7918" s="1068">
        <f>+VLOOKUP(C7918,'Basic (equilibrio) (2)'!B:D,3,FALSE)</f>
        <v>0</v>
      </c>
      <c r="G7918" s="946">
        <v>0</v>
      </c>
      <c r="H7918" s="1031"/>
      <c r="I7918" s="948">
        <f>(D7918*F7918)</f>
        <v>0</v>
      </c>
    </row>
    <row r="7919" spans="2:9" ht="15.75">
      <c r="C7919" s="951" t="s">
        <v>918</v>
      </c>
      <c r="D7919" s="946"/>
      <c r="E7919" s="947"/>
      <c r="F7919" s="1054"/>
      <c r="G7919" s="946"/>
      <c r="H7919" s="1031"/>
      <c r="I7919" s="952">
        <f>SUM(I7918:I7918)</f>
        <v>0</v>
      </c>
    </row>
    <row r="7920" spans="2:9" ht="15.75">
      <c r="C7920" s="949"/>
      <c r="D7920" s="946"/>
      <c r="E7920" s="947"/>
      <c r="F7920" s="1054"/>
      <c r="G7920" s="946"/>
      <c r="H7920" s="1031"/>
      <c r="I7920" s="948"/>
    </row>
    <row r="7921" spans="3:9" ht="15.75">
      <c r="C7921" s="945" t="s">
        <v>923</v>
      </c>
      <c r="D7921" s="946"/>
      <c r="E7921" s="947"/>
      <c r="F7921" s="1054"/>
      <c r="G7921" s="946"/>
      <c r="H7921" s="1031"/>
      <c r="I7921" s="948"/>
    </row>
    <row r="7922" spans="3:9" ht="15.75">
      <c r="C7922" s="949" t="s">
        <v>924</v>
      </c>
      <c r="D7922" s="946"/>
      <c r="E7922" s="947" t="str">
        <f>+VLOOKUP(C7922,'Basic (equilibrio) (2)'!B:D,2,FALSE)</f>
        <v>n/a</v>
      </c>
      <c r="F7922" s="1054">
        <f>+VLOOKUP(C7922,'Basic (equilibrio) (2)'!B:D,3,FALSE)</f>
        <v>0</v>
      </c>
      <c r="G7922" s="946">
        <f>F7922-(F7922/1.18)</f>
        <v>0</v>
      </c>
      <c r="H7922" s="1039"/>
      <c r="I7922" s="955">
        <f>D7922*F7922</f>
        <v>0</v>
      </c>
    </row>
    <row r="7923" spans="3:9" ht="15.75">
      <c r="C7923" s="951" t="s">
        <v>918</v>
      </c>
      <c r="D7923" s="946"/>
      <c r="E7923" s="947"/>
      <c r="F7923" s="1054"/>
      <c r="G7923" s="946"/>
      <c r="H7923" s="1031"/>
      <c r="I7923" s="952">
        <f>SUM(I7922:I7922)</f>
        <v>0</v>
      </c>
    </row>
    <row r="7924" spans="3:9" ht="15.75">
      <c r="C7924" s="949"/>
      <c r="D7924" s="946"/>
      <c r="E7924" s="947"/>
      <c r="F7924" s="1054"/>
      <c r="G7924" s="946"/>
      <c r="H7924" s="1031"/>
      <c r="I7924" s="948"/>
    </row>
    <row r="7925" spans="3:9" ht="15.75">
      <c r="C7925" s="945" t="s">
        <v>925</v>
      </c>
      <c r="D7925" s="946"/>
      <c r="E7925" s="947"/>
      <c r="F7925" s="1054"/>
      <c r="G7925" s="946"/>
      <c r="H7925" s="1031"/>
      <c r="I7925" s="948"/>
    </row>
    <row r="7926" spans="3:9" ht="15.75">
      <c r="C7926" s="949" t="s">
        <v>924</v>
      </c>
      <c r="D7926" s="946"/>
      <c r="E7926" s="947" t="str">
        <f>+VLOOKUP(C7926,'Basic (equilibrio) (2)'!B:D,2,FALSE)</f>
        <v>n/a</v>
      </c>
      <c r="F7926" s="1054">
        <f>+VLOOKUP(C7926,'Basic (equilibrio) (2)'!B:D,3,FALSE)</f>
        <v>0</v>
      </c>
      <c r="G7926" s="946"/>
      <c r="H7926" s="1031"/>
      <c r="I7926" s="948">
        <f>D7926*F7926</f>
        <v>0</v>
      </c>
    </row>
    <row r="7927" spans="3:9" ht="15.75">
      <c r="C7927" s="951" t="s">
        <v>918</v>
      </c>
      <c r="D7927" s="946"/>
      <c r="E7927" s="947"/>
      <c r="F7927" s="1054"/>
      <c r="G7927" s="946"/>
      <c r="H7927" s="1031"/>
      <c r="I7927" s="952">
        <f>SUM(I7926)</f>
        <v>0</v>
      </c>
    </row>
    <row r="7928" spans="3:9" ht="15.75">
      <c r="C7928" s="951"/>
      <c r="D7928" s="946"/>
      <c r="E7928" s="947"/>
      <c r="F7928" s="1054"/>
      <c r="G7928" s="946"/>
      <c r="H7928" s="1031"/>
      <c r="I7928" s="952"/>
    </row>
    <row r="7929" spans="3:9" ht="15.75">
      <c r="C7929" s="956" t="s">
        <v>926</v>
      </c>
      <c r="D7929" s="957"/>
      <c r="E7929" s="958"/>
      <c r="F7929" s="1069"/>
      <c r="G7929" s="957"/>
      <c r="H7929" s="1032"/>
      <c r="I7929" s="959">
        <f>+I7915</f>
        <v>8509.15</v>
      </c>
    </row>
    <row r="7930" spans="3:9" ht="15.75">
      <c r="C7930" s="956" t="s">
        <v>927</v>
      </c>
      <c r="D7930" s="957"/>
      <c r="E7930" s="958"/>
      <c r="F7930" s="1069"/>
      <c r="G7930" s="957"/>
      <c r="H7930" s="1032"/>
      <c r="I7930" s="959">
        <f>+I7919</f>
        <v>0</v>
      </c>
    </row>
    <row r="7931" spans="3:9" ht="15.75">
      <c r="C7931" s="956" t="s">
        <v>928</v>
      </c>
      <c r="D7931" s="957"/>
      <c r="E7931" s="958"/>
      <c r="F7931" s="1069"/>
      <c r="G7931" s="957"/>
      <c r="H7931" s="1032"/>
      <c r="I7931" s="959">
        <f>+I7923</f>
        <v>0</v>
      </c>
    </row>
    <row r="7932" spans="3:9" ht="15.75">
      <c r="C7932" s="956" t="s">
        <v>929</v>
      </c>
      <c r="D7932" s="957"/>
      <c r="E7932" s="958"/>
      <c r="F7932" s="1069"/>
      <c r="G7932" s="957"/>
      <c r="H7932" s="1032"/>
      <c r="I7932" s="959">
        <f>+I7927</f>
        <v>0</v>
      </c>
    </row>
    <row r="7933" spans="3:9" ht="15.75">
      <c r="C7933" s="949"/>
      <c r="D7933" s="946"/>
      <c r="E7933" s="947"/>
      <c r="F7933" s="1054"/>
      <c r="G7933" s="946"/>
      <c r="H7933" s="1031"/>
      <c r="I7933" s="948"/>
    </row>
    <row r="7934" spans="3:9" ht="15.75">
      <c r="C7934" s="951" t="s">
        <v>930</v>
      </c>
      <c r="D7934" s="960"/>
      <c r="E7934" s="975" t="str">
        <f>+E7911</f>
        <v>ud</v>
      </c>
      <c r="F7934" s="1070"/>
      <c r="G7934" s="960"/>
      <c r="H7934" s="1033"/>
      <c r="I7934" s="952">
        <f>SUM(I7929:I7932)</f>
        <v>8509.15</v>
      </c>
    </row>
    <row r="7935" spans="3:9" ht="15.75">
      <c r="C7935" s="951"/>
      <c r="D7935" s="960"/>
      <c r="E7935" s="943"/>
      <c r="F7935" s="1070"/>
      <c r="G7935" s="960"/>
      <c r="H7935" s="1033"/>
      <c r="I7935" s="952"/>
    </row>
    <row r="7936" spans="3:9" ht="15.75">
      <c r="C7936" s="951"/>
      <c r="D7936" s="960"/>
      <c r="E7936" s="943"/>
      <c r="F7936" s="1070"/>
      <c r="G7936" s="960"/>
      <c r="H7936" s="1033"/>
      <c r="I7936" s="952"/>
    </row>
    <row r="7937" spans="2:9" ht="15.75">
      <c r="B7937" s="1062">
        <v>11.13</v>
      </c>
      <c r="C7937" s="937" t="str">
        <f>+Presupuesto!B472</f>
        <v xml:space="preserve">Tuberías y piezas materiales eléctricos                             </v>
      </c>
      <c r="D7937" s="938"/>
      <c r="E7937" s="962" t="s">
        <v>1056</v>
      </c>
      <c r="F7937" s="1066"/>
      <c r="G7937" s="938"/>
      <c r="H7937" s="1029"/>
      <c r="I7937" s="940">
        <f>+I7960</f>
        <v>4590</v>
      </c>
    </row>
    <row r="7938" spans="2:9" ht="15.75">
      <c r="C7938" s="941" t="s">
        <v>908</v>
      </c>
      <c r="D7938" s="942" t="s">
        <v>9</v>
      </c>
      <c r="E7938" s="943" t="s">
        <v>10</v>
      </c>
      <c r="F7938" s="1067" t="s">
        <v>909</v>
      </c>
      <c r="G7938" s="942" t="s">
        <v>910</v>
      </c>
      <c r="H7938" s="1030" t="s">
        <v>911</v>
      </c>
      <c r="I7938" s="944" t="s">
        <v>912</v>
      </c>
    </row>
    <row r="7939" spans="2:9" ht="15.75">
      <c r="C7939" s="945" t="s">
        <v>913</v>
      </c>
      <c r="D7939" s="946"/>
      <c r="E7939" s="947"/>
      <c r="F7939" s="1054"/>
      <c r="G7939" s="946"/>
      <c r="H7939" s="1031"/>
      <c r="I7939" s="948"/>
    </row>
    <row r="7940" spans="2:9" ht="15.75">
      <c r="C7940" s="949" t="s">
        <v>1632</v>
      </c>
      <c r="D7940" s="946">
        <v>1.02</v>
      </c>
      <c r="E7940" s="947" t="str">
        <f>+VLOOKUP(C7940,'Basic (equilibrio) (2)'!B:D,2,FALSE)</f>
        <v>ud</v>
      </c>
      <c r="F7940" s="1068">
        <f>'Basic (equilibrio) (2)'!$D$246</f>
        <v>4500</v>
      </c>
      <c r="G7940" s="946">
        <f>F7940-(F7940/1.18)</f>
        <v>686.44</v>
      </c>
      <c r="H7940" s="1031"/>
      <c r="I7940" s="948">
        <f>D7940*F7940</f>
        <v>4590</v>
      </c>
    </row>
    <row r="7941" spans="2:9" ht="15.75">
      <c r="C7941" s="951" t="s">
        <v>918</v>
      </c>
      <c r="D7941" s="946"/>
      <c r="E7941" s="947"/>
      <c r="F7941" s="1068"/>
      <c r="G7941" s="946"/>
      <c r="H7941" s="1031"/>
      <c r="I7941" s="952">
        <f>SUM(I7940:I7940)</f>
        <v>4590</v>
      </c>
    </row>
    <row r="7942" spans="2:9" ht="15.75">
      <c r="C7942" s="949"/>
      <c r="D7942" s="946"/>
      <c r="E7942" s="947"/>
      <c r="F7942" s="1068"/>
      <c r="G7942" s="946"/>
      <c r="H7942" s="1031"/>
      <c r="I7942" s="948"/>
    </row>
    <row r="7943" spans="2:9" ht="15.75">
      <c r="C7943" s="945" t="s">
        <v>919</v>
      </c>
      <c r="D7943" s="946"/>
      <c r="E7943" s="947"/>
      <c r="F7943" s="1068"/>
      <c r="G7943" s="946"/>
      <c r="H7943" s="1031"/>
      <c r="I7943" s="948"/>
    </row>
    <row r="7944" spans="2:9" ht="15.75">
      <c r="C7944" s="949" t="s">
        <v>924</v>
      </c>
      <c r="D7944" s="953"/>
      <c r="E7944" s="954" t="str">
        <f>+VLOOKUP(C7944,'Basic (equilibrio) (2)'!B:D,2,FALSE)</f>
        <v>n/a</v>
      </c>
      <c r="F7944" s="1068">
        <f>+VLOOKUP(C7944,'Basic (equilibrio) (2)'!B:D,3,FALSE)</f>
        <v>0</v>
      </c>
      <c r="G7944" s="946">
        <v>0</v>
      </c>
      <c r="H7944" s="1031"/>
      <c r="I7944" s="948">
        <f>(D7944*F7944)</f>
        <v>0</v>
      </c>
    </row>
    <row r="7945" spans="2:9" ht="15.75">
      <c r="C7945" s="951" t="s">
        <v>918</v>
      </c>
      <c r="D7945" s="946"/>
      <c r="E7945" s="947"/>
      <c r="F7945" s="1054"/>
      <c r="G7945" s="946"/>
      <c r="H7945" s="1031"/>
      <c r="I7945" s="952">
        <f>SUM(I7944:I7944)</f>
        <v>0</v>
      </c>
    </row>
    <row r="7946" spans="2:9" ht="15.75">
      <c r="C7946" s="949"/>
      <c r="D7946" s="946"/>
      <c r="E7946" s="947"/>
      <c r="F7946" s="1054"/>
      <c r="G7946" s="946"/>
      <c r="H7946" s="1031"/>
      <c r="I7946" s="948"/>
    </row>
    <row r="7947" spans="2:9" ht="15.75">
      <c r="C7947" s="945" t="s">
        <v>923</v>
      </c>
      <c r="D7947" s="946"/>
      <c r="E7947" s="947"/>
      <c r="F7947" s="1054"/>
      <c r="G7947" s="946"/>
      <c r="H7947" s="1031"/>
      <c r="I7947" s="948"/>
    </row>
    <row r="7948" spans="2:9" ht="15.75">
      <c r="C7948" s="949" t="s">
        <v>924</v>
      </c>
      <c r="D7948" s="946"/>
      <c r="E7948" s="947" t="str">
        <f>+VLOOKUP(C7948,'Basic (equilibrio) (2)'!B:D,2,FALSE)</f>
        <v>n/a</v>
      </c>
      <c r="F7948" s="1054">
        <f>+VLOOKUP(C7948,'Basic (equilibrio) (2)'!B:D,3,FALSE)</f>
        <v>0</v>
      </c>
      <c r="G7948" s="946">
        <f>F7948-(F7948/1.18)</f>
        <v>0</v>
      </c>
      <c r="H7948" s="1039"/>
      <c r="I7948" s="955">
        <f>D7948*F7948</f>
        <v>0</v>
      </c>
    </row>
    <row r="7949" spans="2:9" ht="15.75">
      <c r="C7949" s="951" t="s">
        <v>918</v>
      </c>
      <c r="D7949" s="946"/>
      <c r="E7949" s="947"/>
      <c r="F7949" s="1054"/>
      <c r="G7949" s="946"/>
      <c r="H7949" s="1031"/>
      <c r="I7949" s="952">
        <f>SUM(I7948:I7948)</f>
        <v>0</v>
      </c>
    </row>
    <row r="7950" spans="2:9" ht="15.75">
      <c r="C7950" s="949"/>
      <c r="D7950" s="946"/>
      <c r="E7950" s="947"/>
      <c r="F7950" s="1054"/>
      <c r="G7950" s="946"/>
      <c r="H7950" s="1031"/>
      <c r="I7950" s="948"/>
    </row>
    <row r="7951" spans="2:9" ht="15.75">
      <c r="C7951" s="945" t="s">
        <v>925</v>
      </c>
      <c r="D7951" s="946"/>
      <c r="E7951" s="947"/>
      <c r="F7951" s="1054"/>
      <c r="G7951" s="946"/>
      <c r="H7951" s="1031"/>
      <c r="I7951" s="948"/>
    </row>
    <row r="7952" spans="2:9" ht="15.75">
      <c r="C7952" s="949" t="s">
        <v>924</v>
      </c>
      <c r="D7952" s="946"/>
      <c r="E7952" s="947" t="str">
        <f>+VLOOKUP(C7952,'Basic (equilibrio) (2)'!B:D,2,FALSE)</f>
        <v>n/a</v>
      </c>
      <c r="F7952" s="1054">
        <f>+VLOOKUP(C7952,'Basic (equilibrio) (2)'!B:D,3,FALSE)</f>
        <v>0</v>
      </c>
      <c r="G7952" s="946"/>
      <c r="H7952" s="1031"/>
      <c r="I7952" s="948">
        <f>D7952*F7952</f>
        <v>0</v>
      </c>
    </row>
    <row r="7953" spans="2:9" ht="15.75">
      <c r="C7953" s="951" t="s">
        <v>918</v>
      </c>
      <c r="D7953" s="946"/>
      <c r="E7953" s="947"/>
      <c r="F7953" s="1054"/>
      <c r="G7953" s="946"/>
      <c r="H7953" s="1031"/>
      <c r="I7953" s="952">
        <f>SUM(I7952)</f>
        <v>0</v>
      </c>
    </row>
    <row r="7954" spans="2:9" ht="15.75">
      <c r="C7954" s="951"/>
      <c r="D7954" s="946"/>
      <c r="E7954" s="947"/>
      <c r="F7954" s="1054"/>
      <c r="G7954" s="946"/>
      <c r="H7954" s="1031"/>
      <c r="I7954" s="952"/>
    </row>
    <row r="7955" spans="2:9" ht="15.75">
      <c r="C7955" s="956" t="s">
        <v>926</v>
      </c>
      <c r="D7955" s="957"/>
      <c r="E7955" s="958"/>
      <c r="F7955" s="1069"/>
      <c r="G7955" s="957"/>
      <c r="H7955" s="1032"/>
      <c r="I7955" s="959">
        <f>+I7941</f>
        <v>4590</v>
      </c>
    </row>
    <row r="7956" spans="2:9" ht="15.75">
      <c r="C7956" s="956" t="s">
        <v>927</v>
      </c>
      <c r="D7956" s="957"/>
      <c r="E7956" s="958"/>
      <c r="F7956" s="1069"/>
      <c r="G7956" s="957"/>
      <c r="H7956" s="1032"/>
      <c r="I7956" s="959">
        <f>+I7945</f>
        <v>0</v>
      </c>
    </row>
    <row r="7957" spans="2:9" ht="15.75">
      <c r="C7957" s="956" t="s">
        <v>928</v>
      </c>
      <c r="D7957" s="957"/>
      <c r="E7957" s="958"/>
      <c r="F7957" s="1069"/>
      <c r="G7957" s="957"/>
      <c r="H7957" s="1032"/>
      <c r="I7957" s="959">
        <f>+I7949</f>
        <v>0</v>
      </c>
    </row>
    <row r="7958" spans="2:9" ht="15.75">
      <c r="C7958" s="956" t="s">
        <v>929</v>
      </c>
      <c r="D7958" s="957"/>
      <c r="E7958" s="958"/>
      <c r="F7958" s="1069"/>
      <c r="G7958" s="957"/>
      <c r="H7958" s="1032"/>
      <c r="I7958" s="959">
        <f>+I7953</f>
        <v>0</v>
      </c>
    </row>
    <row r="7959" spans="2:9" ht="15.75">
      <c r="C7959" s="949"/>
      <c r="D7959" s="946"/>
      <c r="E7959" s="947"/>
      <c r="F7959" s="1054"/>
      <c r="G7959" s="946"/>
      <c r="H7959" s="1031"/>
      <c r="I7959" s="948"/>
    </row>
    <row r="7960" spans="2:9" ht="15.75">
      <c r="C7960" s="951" t="s">
        <v>930</v>
      </c>
      <c r="D7960" s="960"/>
      <c r="E7960" s="975" t="str">
        <f>+E7937</f>
        <v>ud</v>
      </c>
      <c r="F7960" s="1070"/>
      <c r="G7960" s="960"/>
      <c r="H7960" s="1033"/>
      <c r="I7960" s="952">
        <f>SUM(I7955:I7958)</f>
        <v>4590</v>
      </c>
    </row>
    <row r="7961" spans="2:9" ht="15.75">
      <c r="C7961" s="951"/>
      <c r="D7961" s="960"/>
      <c r="E7961" s="943"/>
      <c r="F7961" s="1070"/>
      <c r="G7961" s="960"/>
      <c r="H7961" s="1033"/>
      <c r="I7961" s="952"/>
    </row>
    <row r="7962" spans="2:9" ht="15.75">
      <c r="B7962" s="1062">
        <v>11.14</v>
      </c>
      <c r="C7962" s="937" t="str">
        <f>+Presupuesto!B473</f>
        <v>Mano de obra electricista</v>
      </c>
      <c r="D7962" s="938"/>
      <c r="E7962" s="962" t="s">
        <v>1056</v>
      </c>
      <c r="F7962" s="1066"/>
      <c r="G7962" s="938"/>
      <c r="H7962" s="1029"/>
      <c r="I7962" s="940">
        <f>+I7985</f>
        <v>35700</v>
      </c>
    </row>
    <row r="7963" spans="2:9" ht="15.75">
      <c r="C7963" s="941" t="s">
        <v>908</v>
      </c>
      <c r="D7963" s="942" t="s">
        <v>9</v>
      </c>
      <c r="E7963" s="943" t="s">
        <v>10</v>
      </c>
      <c r="F7963" s="1067" t="s">
        <v>909</v>
      </c>
      <c r="G7963" s="942" t="s">
        <v>910</v>
      </c>
      <c r="H7963" s="1030" t="s">
        <v>911</v>
      </c>
      <c r="I7963" s="944" t="s">
        <v>912</v>
      </c>
    </row>
    <row r="7964" spans="2:9" ht="15.75">
      <c r="C7964" s="945" t="s">
        <v>913</v>
      </c>
      <c r="D7964" s="946"/>
      <c r="E7964" s="947"/>
      <c r="F7964" s="1054"/>
      <c r="G7964" s="946"/>
      <c r="H7964" s="1031"/>
      <c r="I7964" s="948"/>
    </row>
    <row r="7965" spans="2:9" ht="15.75">
      <c r="C7965" s="949" t="s">
        <v>1633</v>
      </c>
      <c r="D7965" s="946">
        <v>1.02</v>
      </c>
      <c r="E7965" s="947" t="str">
        <f>+VLOOKUP(C7965,'Basic (equilibrio) (2)'!B:D,2,FALSE)</f>
        <v>ud</v>
      </c>
      <c r="F7965" s="1068">
        <f>'Basic (equilibrio) (2)'!$D$247</f>
        <v>35000</v>
      </c>
      <c r="G7965" s="946">
        <f>F7965-(F7965/1.18)</f>
        <v>5338.98</v>
      </c>
      <c r="H7965" s="1031"/>
      <c r="I7965" s="948">
        <f>D7965*F7965</f>
        <v>35700</v>
      </c>
    </row>
    <row r="7966" spans="2:9" ht="15.75">
      <c r="C7966" s="951" t="s">
        <v>918</v>
      </c>
      <c r="D7966" s="946"/>
      <c r="E7966" s="947"/>
      <c r="F7966" s="1068"/>
      <c r="G7966" s="946"/>
      <c r="H7966" s="1031"/>
      <c r="I7966" s="952">
        <f>SUM(I7965:I7965)</f>
        <v>35700</v>
      </c>
    </row>
    <row r="7967" spans="2:9" ht="15.75">
      <c r="C7967" s="949"/>
      <c r="D7967" s="946"/>
      <c r="E7967" s="947"/>
      <c r="F7967" s="1068"/>
      <c r="G7967" s="946"/>
      <c r="H7967" s="1031"/>
      <c r="I7967" s="948"/>
    </row>
    <row r="7968" spans="2:9" ht="15.75">
      <c r="C7968" s="945" t="s">
        <v>919</v>
      </c>
      <c r="D7968" s="946"/>
      <c r="E7968" s="947"/>
      <c r="F7968" s="1068"/>
      <c r="G7968" s="946"/>
      <c r="H7968" s="1031"/>
      <c r="I7968" s="948"/>
    </row>
    <row r="7969" spans="3:9" ht="15.75">
      <c r="C7969" s="949" t="s">
        <v>924</v>
      </c>
      <c r="D7969" s="953"/>
      <c r="E7969" s="954" t="str">
        <f>+VLOOKUP(C7969,'Basic (equilibrio) (2)'!B:D,2,FALSE)</f>
        <v>n/a</v>
      </c>
      <c r="F7969" s="1068">
        <f>+VLOOKUP(C7969,'Basic (equilibrio) (2)'!B:D,3,FALSE)</f>
        <v>0</v>
      </c>
      <c r="G7969" s="946">
        <v>0</v>
      </c>
      <c r="H7969" s="1031"/>
      <c r="I7969" s="948">
        <f>(D7969*F7969)</f>
        <v>0</v>
      </c>
    </row>
    <row r="7970" spans="3:9" ht="15.75">
      <c r="C7970" s="951" t="s">
        <v>918</v>
      </c>
      <c r="D7970" s="946"/>
      <c r="E7970" s="947"/>
      <c r="F7970" s="1054"/>
      <c r="G7970" s="946"/>
      <c r="H7970" s="1031"/>
      <c r="I7970" s="952">
        <f>SUM(I7969:I7969)</f>
        <v>0</v>
      </c>
    </row>
    <row r="7971" spans="3:9" ht="15.75">
      <c r="C7971" s="949"/>
      <c r="D7971" s="946"/>
      <c r="E7971" s="947"/>
      <c r="F7971" s="1054"/>
      <c r="G7971" s="946"/>
      <c r="H7971" s="1031"/>
      <c r="I7971" s="948"/>
    </row>
    <row r="7972" spans="3:9" ht="15.75">
      <c r="C7972" s="945" t="s">
        <v>923</v>
      </c>
      <c r="D7972" s="946"/>
      <c r="E7972" s="947"/>
      <c r="F7972" s="1054"/>
      <c r="G7972" s="946"/>
      <c r="H7972" s="1031"/>
      <c r="I7972" s="948"/>
    </row>
    <row r="7973" spans="3:9" ht="15.75">
      <c r="C7973" s="949" t="s">
        <v>924</v>
      </c>
      <c r="D7973" s="946"/>
      <c r="E7973" s="947" t="str">
        <f>+VLOOKUP(C7973,'Basic (equilibrio) (2)'!B:D,2,FALSE)</f>
        <v>n/a</v>
      </c>
      <c r="F7973" s="1054">
        <f>+VLOOKUP(C7973,'Basic (equilibrio) (2)'!B:D,3,FALSE)</f>
        <v>0</v>
      </c>
      <c r="G7973" s="946">
        <f>F7973-(F7973/1.18)</f>
        <v>0</v>
      </c>
      <c r="H7973" s="1039"/>
      <c r="I7973" s="955">
        <f>D7973*F7973</f>
        <v>0</v>
      </c>
    </row>
    <row r="7974" spans="3:9" ht="15.75">
      <c r="C7974" s="951" t="s">
        <v>918</v>
      </c>
      <c r="D7974" s="946"/>
      <c r="E7974" s="947"/>
      <c r="F7974" s="1054"/>
      <c r="G7974" s="946"/>
      <c r="H7974" s="1031"/>
      <c r="I7974" s="952">
        <f>SUM(I7973:I7973)</f>
        <v>0</v>
      </c>
    </row>
    <row r="7975" spans="3:9" ht="15.75">
      <c r="C7975" s="949"/>
      <c r="D7975" s="946"/>
      <c r="E7975" s="947"/>
      <c r="F7975" s="1054"/>
      <c r="G7975" s="946"/>
      <c r="H7975" s="1031"/>
      <c r="I7975" s="948"/>
    </row>
    <row r="7976" spans="3:9" ht="15.75">
      <c r="C7976" s="945" t="s">
        <v>925</v>
      </c>
      <c r="D7976" s="946"/>
      <c r="E7976" s="947"/>
      <c r="F7976" s="1054"/>
      <c r="G7976" s="946"/>
      <c r="H7976" s="1031"/>
      <c r="I7976" s="948"/>
    </row>
    <row r="7977" spans="3:9" ht="15.75">
      <c r="C7977" s="949" t="s">
        <v>924</v>
      </c>
      <c r="D7977" s="946"/>
      <c r="E7977" s="947" t="str">
        <f>+VLOOKUP(C7977,'Basic (equilibrio) (2)'!B:D,2,FALSE)</f>
        <v>n/a</v>
      </c>
      <c r="F7977" s="1054">
        <f>+VLOOKUP(C7977,'Basic (equilibrio) (2)'!B:D,3,FALSE)</f>
        <v>0</v>
      </c>
      <c r="G7977" s="946"/>
      <c r="H7977" s="1031"/>
      <c r="I7977" s="948">
        <f>D7977*F7977</f>
        <v>0</v>
      </c>
    </row>
    <row r="7978" spans="3:9" ht="15.75">
      <c r="C7978" s="951" t="s">
        <v>918</v>
      </c>
      <c r="D7978" s="946"/>
      <c r="E7978" s="947"/>
      <c r="F7978" s="1054"/>
      <c r="G7978" s="946"/>
      <c r="H7978" s="1031"/>
      <c r="I7978" s="952">
        <f>SUM(I7977)</f>
        <v>0</v>
      </c>
    </row>
    <row r="7979" spans="3:9" ht="15.75">
      <c r="C7979" s="951"/>
      <c r="D7979" s="946"/>
      <c r="E7979" s="947"/>
      <c r="F7979" s="1054"/>
      <c r="G7979" s="946"/>
      <c r="H7979" s="1031"/>
      <c r="I7979" s="952"/>
    </row>
    <row r="7980" spans="3:9" ht="15.75">
      <c r="C7980" s="956" t="s">
        <v>926</v>
      </c>
      <c r="D7980" s="957"/>
      <c r="E7980" s="958"/>
      <c r="F7980" s="1069"/>
      <c r="G7980" s="957"/>
      <c r="H7980" s="1032"/>
      <c r="I7980" s="959">
        <f>+I7966</f>
        <v>35700</v>
      </c>
    </row>
    <row r="7981" spans="3:9" ht="15.75">
      <c r="C7981" s="956" t="s">
        <v>927</v>
      </c>
      <c r="D7981" s="957"/>
      <c r="E7981" s="958"/>
      <c r="F7981" s="1069"/>
      <c r="G7981" s="957"/>
      <c r="H7981" s="1032"/>
      <c r="I7981" s="959">
        <f>+I7970</f>
        <v>0</v>
      </c>
    </row>
    <row r="7982" spans="3:9" ht="15.75">
      <c r="C7982" s="956" t="s">
        <v>928</v>
      </c>
      <c r="D7982" s="957"/>
      <c r="E7982" s="958"/>
      <c r="F7982" s="1069"/>
      <c r="G7982" s="957"/>
      <c r="H7982" s="1032"/>
      <c r="I7982" s="959">
        <f>+I7974</f>
        <v>0</v>
      </c>
    </row>
    <row r="7983" spans="3:9" ht="15.75">
      <c r="C7983" s="956" t="s">
        <v>929</v>
      </c>
      <c r="D7983" s="957"/>
      <c r="E7983" s="958"/>
      <c r="F7983" s="1069"/>
      <c r="G7983" s="957"/>
      <c r="H7983" s="1032"/>
      <c r="I7983" s="959">
        <f>+I7978</f>
        <v>0</v>
      </c>
    </row>
    <row r="7984" spans="3:9" ht="15.75">
      <c r="C7984" s="949"/>
      <c r="D7984" s="946"/>
      <c r="E7984" s="947"/>
      <c r="F7984" s="1054"/>
      <c r="G7984" s="946"/>
      <c r="H7984" s="1031"/>
      <c r="I7984" s="948"/>
    </row>
    <row r="7985" spans="2:9" ht="15.75">
      <c r="C7985" s="951" t="s">
        <v>930</v>
      </c>
      <c r="D7985" s="960"/>
      <c r="E7985" s="975" t="str">
        <f>+E7962</f>
        <v>ud</v>
      </c>
      <c r="F7985" s="1070"/>
      <c r="G7985" s="960"/>
      <c r="H7985" s="1033"/>
      <c r="I7985" s="952">
        <f>SUM(I7980:I7983)</f>
        <v>35700</v>
      </c>
    </row>
    <row r="7986" spans="2:9" ht="15.75">
      <c r="C7986" s="951"/>
      <c r="D7986" s="960"/>
      <c r="E7986" s="943"/>
      <c r="F7986" s="1070"/>
      <c r="G7986" s="960"/>
      <c r="H7986" s="1033"/>
      <c r="I7986" s="952"/>
    </row>
    <row r="7987" spans="2:9" ht="15.75">
      <c r="B7987" s="1063">
        <v>12.1</v>
      </c>
      <c r="C7987" s="937" t="str">
        <f>+Presupuesto!B476</f>
        <v>Fino en techo</v>
      </c>
      <c r="D7987" s="938"/>
      <c r="E7987" s="962" t="s">
        <v>1000</v>
      </c>
      <c r="F7987" s="1066"/>
      <c r="G7987" s="938"/>
      <c r="H7987" s="1029"/>
      <c r="I7987" s="940">
        <f>I8016</f>
        <v>542.22</v>
      </c>
    </row>
    <row r="7988" spans="2:9" ht="15.75">
      <c r="C7988" s="941" t="s">
        <v>908</v>
      </c>
      <c r="D7988" s="942" t="s">
        <v>9</v>
      </c>
      <c r="E7988" s="943" t="s">
        <v>10</v>
      </c>
      <c r="F7988" s="1067" t="s">
        <v>909</v>
      </c>
      <c r="G7988" s="942" t="s">
        <v>910</v>
      </c>
      <c r="H7988" s="1030" t="s">
        <v>911</v>
      </c>
      <c r="I7988" s="944" t="s">
        <v>912</v>
      </c>
    </row>
    <row r="7989" spans="2:9" ht="15.75">
      <c r="C7989" s="945" t="s">
        <v>913</v>
      </c>
      <c r="D7989" s="946"/>
      <c r="E7989" s="947"/>
      <c r="F7989" s="1054"/>
      <c r="G7989" s="946"/>
      <c r="H7989" s="1031"/>
      <c r="I7989" s="948"/>
    </row>
    <row r="7990" spans="2:9" ht="15.75">
      <c r="C7990" s="949" t="s">
        <v>1003</v>
      </c>
      <c r="D7990" s="946">
        <v>0.57999999999999996</v>
      </c>
      <c r="E7990" s="947" t="str">
        <f>+VLOOKUP(C7990,'Basic (equilibrio) (2)'!B:D,2,FALSE)</f>
        <v>fda</v>
      </c>
      <c r="F7990" s="1068">
        <f>'Basic (equilibrio) (2)'!$D$298</f>
        <v>480</v>
      </c>
      <c r="G7990" s="946">
        <f>F7990-(F7990/1.18)</f>
        <v>73.22</v>
      </c>
      <c r="H7990" s="1031"/>
      <c r="I7990" s="948">
        <f>D7990*F7990</f>
        <v>278.39999999999998</v>
      </c>
    </row>
    <row r="7991" spans="2:9" ht="15.75">
      <c r="C7991" s="949" t="s">
        <v>1002</v>
      </c>
      <c r="D7991" s="946">
        <v>0.05</v>
      </c>
      <c r="E7991" s="947" t="str">
        <f>+VLOOKUP(C7991,'Basic (equilibrio) (2)'!B:D,2,FALSE)</f>
        <v>m3e</v>
      </c>
      <c r="F7991" s="1068">
        <f>'Basic (equilibrio) (2)'!$D$181</f>
        <v>1800</v>
      </c>
      <c r="G7991" s="946">
        <f>F7991-(F7991/1.18)</f>
        <v>274.58</v>
      </c>
      <c r="H7991" s="1031"/>
      <c r="I7991" s="948">
        <f>D7991*F7991</f>
        <v>90</v>
      </c>
    </row>
    <row r="7992" spans="2:9" ht="15.75">
      <c r="C7992" s="949" t="s">
        <v>1004</v>
      </c>
      <c r="D7992" s="946">
        <v>3.05</v>
      </c>
      <c r="E7992" s="947" t="str">
        <f>+VLOOKUP(C7992,'Basic (equilibrio) (2)'!B:D,2,FALSE)</f>
        <v>gl</v>
      </c>
      <c r="F7992" s="1068">
        <f>'Basic (equilibrio) (2)'!$D$191</f>
        <v>1</v>
      </c>
      <c r="G7992" s="946">
        <f>F7992-(F7992/1.18)</f>
        <v>0.15</v>
      </c>
      <c r="H7992" s="1031"/>
      <c r="I7992" s="948">
        <f>D7992*F7992</f>
        <v>3.05</v>
      </c>
    </row>
    <row r="7993" spans="2:9" ht="15.75">
      <c r="C7993" s="949" t="s">
        <v>916</v>
      </c>
      <c r="D7993" s="946">
        <v>0.1</v>
      </c>
      <c r="E7993" s="947" t="str">
        <f>+VLOOKUP(C7993,'Basic (equilibrio) (2)'!B:D,2,FALSE)</f>
        <v>pt</v>
      </c>
      <c r="F7993" s="1068">
        <f>'Basic (equilibrio) (2)'!$D$194</f>
        <v>107.7</v>
      </c>
      <c r="G7993" s="946">
        <f>F7993-(F7993/1.18)</f>
        <v>16.43</v>
      </c>
      <c r="H7993" s="1031"/>
      <c r="I7993" s="948">
        <f>D7993*F7993</f>
        <v>10.77</v>
      </c>
    </row>
    <row r="7994" spans="2:9" ht="15.75">
      <c r="C7994" s="951" t="s">
        <v>918</v>
      </c>
      <c r="D7994" s="946"/>
      <c r="E7994" s="947"/>
      <c r="F7994" s="1068"/>
      <c r="G7994" s="946"/>
      <c r="H7994" s="1031"/>
      <c r="I7994" s="952">
        <f>SUM(I7990:I7993)</f>
        <v>382.22</v>
      </c>
    </row>
    <row r="7995" spans="2:9" ht="15.75">
      <c r="C7995" s="949"/>
      <c r="D7995" s="946"/>
      <c r="E7995" s="947"/>
      <c r="F7995" s="1068"/>
      <c r="G7995" s="946"/>
      <c r="H7995" s="1031"/>
      <c r="I7995" s="948"/>
    </row>
    <row r="7996" spans="2:9" ht="15.75">
      <c r="C7996" s="945" t="s">
        <v>919</v>
      </c>
      <c r="D7996" s="946"/>
      <c r="E7996" s="947"/>
      <c r="F7996" s="1068"/>
      <c r="G7996" s="946"/>
      <c r="H7996" s="1031"/>
      <c r="I7996" s="948"/>
    </row>
    <row r="7997" spans="2:9" ht="15.75">
      <c r="C7997" s="949" t="s">
        <v>1029</v>
      </c>
      <c r="D7997" s="953">
        <v>0.05</v>
      </c>
      <c r="E7997" s="954" t="str">
        <f>+VLOOKUP(C7997,'Basic (equilibrio) (2)'!B:D,2,FALSE)</f>
        <v>dia</v>
      </c>
      <c r="F7997" s="1068">
        <f>'Basic (equilibrio) (2)'!$D$16</f>
        <v>900</v>
      </c>
      <c r="G7997" s="946">
        <v>0</v>
      </c>
      <c r="H7997" s="1031"/>
      <c r="I7997" s="948">
        <f t="shared" ref="I7997:I7999" si="49">(D7997*F7997)</f>
        <v>45</v>
      </c>
    </row>
    <row r="7998" spans="2:9" ht="15.75">
      <c r="C7998" s="949" t="s">
        <v>1108</v>
      </c>
      <c r="D7998" s="953">
        <v>1</v>
      </c>
      <c r="E7998" s="954" t="str">
        <f>+VLOOKUP(C7998,'Basic (equilibrio) (2)'!B:D,2,FALSE)</f>
        <v>P.a</v>
      </c>
      <c r="F7998" s="1068">
        <f>'Basic (equilibrio) (2)'!$D$39</f>
        <v>12</v>
      </c>
      <c r="G7998" s="946">
        <v>0</v>
      </c>
      <c r="H7998" s="1031"/>
      <c r="I7998" s="948">
        <f t="shared" si="49"/>
        <v>12</v>
      </c>
    </row>
    <row r="7999" spans="2:9" ht="15.75">
      <c r="C7999" s="949" t="s">
        <v>1107</v>
      </c>
      <c r="D7999" s="953">
        <v>1</v>
      </c>
      <c r="E7999" s="954" t="str">
        <f>+VLOOKUP(C7999,'Basic (equilibrio) (2)'!B:D,2,FALSE)</f>
        <v>m2</v>
      </c>
      <c r="F7999" s="1068">
        <f>'Basic (equilibrio) (2)'!$D$38</f>
        <v>103</v>
      </c>
      <c r="G7999" s="946">
        <v>0</v>
      </c>
      <c r="H7999" s="1031"/>
      <c r="I7999" s="948">
        <f t="shared" si="49"/>
        <v>103</v>
      </c>
    </row>
    <row r="8000" spans="2:9" ht="15.75">
      <c r="C8000" s="951" t="s">
        <v>918</v>
      </c>
      <c r="D8000" s="946"/>
      <c r="E8000" s="947"/>
      <c r="F8000" s="1054"/>
      <c r="G8000" s="946"/>
      <c r="H8000" s="1031"/>
      <c r="I8000" s="952">
        <f>SUM(I7997:I7999)</f>
        <v>160</v>
      </c>
    </row>
    <row r="8001" spans="3:9" ht="15.75">
      <c r="C8001" s="949"/>
      <c r="D8001" s="946"/>
      <c r="E8001" s="947"/>
      <c r="F8001" s="1054"/>
      <c r="G8001" s="946"/>
      <c r="H8001" s="1031"/>
      <c r="I8001" s="948"/>
    </row>
    <row r="8002" spans="3:9" ht="15.75">
      <c r="C8002" s="945" t="s">
        <v>923</v>
      </c>
      <c r="D8002" s="946"/>
      <c r="E8002" s="947"/>
      <c r="F8002" s="1054"/>
      <c r="G8002" s="946"/>
      <c r="H8002" s="1031"/>
      <c r="I8002" s="948"/>
    </row>
    <row r="8003" spans="3:9" ht="15.75">
      <c r="C8003" s="949" t="s">
        <v>924</v>
      </c>
      <c r="D8003" s="946"/>
      <c r="E8003" s="947" t="str">
        <f>+VLOOKUP(C8003,'Basic (equilibrio) (2)'!B:D,2,FALSE)</f>
        <v>n/a</v>
      </c>
      <c r="F8003" s="1054">
        <f>+VLOOKUP(C8003,'Basic (equilibrio) (2)'!B:D,3,FALSE)</f>
        <v>0</v>
      </c>
      <c r="G8003" s="946">
        <f>F8003-(F8003/1.18)</f>
        <v>0</v>
      </c>
      <c r="H8003" s="1039"/>
      <c r="I8003" s="955">
        <f>D8003*F8003</f>
        <v>0</v>
      </c>
    </row>
    <row r="8004" spans="3:9" ht="15.75">
      <c r="C8004" s="951" t="s">
        <v>918</v>
      </c>
      <c r="D8004" s="946"/>
      <c r="E8004" s="947"/>
      <c r="F8004" s="1054"/>
      <c r="G8004" s="946"/>
      <c r="H8004" s="1031"/>
      <c r="I8004" s="952">
        <f>SUM(I8003:I8003)</f>
        <v>0</v>
      </c>
    </row>
    <row r="8005" spans="3:9" ht="15.75">
      <c r="C8005" s="949"/>
      <c r="D8005" s="946"/>
      <c r="E8005" s="947"/>
      <c r="F8005" s="1054"/>
      <c r="G8005" s="946"/>
      <c r="H8005" s="1031"/>
      <c r="I8005" s="948"/>
    </row>
    <row r="8006" spans="3:9" ht="15.75">
      <c r="C8006" s="945" t="s">
        <v>925</v>
      </c>
      <c r="D8006" s="946"/>
      <c r="E8006" s="947"/>
      <c r="F8006" s="1054"/>
      <c r="G8006" s="946"/>
      <c r="H8006" s="1031"/>
      <c r="I8006" s="948"/>
    </row>
    <row r="8007" spans="3:9" ht="15.75">
      <c r="C8007" s="949" t="s">
        <v>924</v>
      </c>
      <c r="D8007" s="946"/>
      <c r="E8007" s="947" t="str">
        <f>+VLOOKUP(C8007,'Basic (equilibrio) (2)'!B:D,2,FALSE)</f>
        <v>n/a</v>
      </c>
      <c r="F8007" s="1054">
        <f>+VLOOKUP(C8007,'Basic (equilibrio) (2)'!B:D,3,FALSE)</f>
        <v>0</v>
      </c>
      <c r="G8007" s="946"/>
      <c r="H8007" s="1031"/>
      <c r="I8007" s="948">
        <f>D8007*F8007</f>
        <v>0</v>
      </c>
    </row>
    <row r="8008" spans="3:9" ht="15.75">
      <c r="C8008" s="951" t="s">
        <v>918</v>
      </c>
      <c r="D8008" s="946"/>
      <c r="E8008" s="947"/>
      <c r="F8008" s="1054"/>
      <c r="G8008" s="946"/>
      <c r="H8008" s="1031"/>
      <c r="I8008" s="952">
        <f>SUM(I8007)</f>
        <v>0</v>
      </c>
    </row>
    <row r="8009" spans="3:9" ht="15.75">
      <c r="C8009" s="951"/>
      <c r="D8009" s="946"/>
      <c r="E8009" s="947"/>
      <c r="F8009" s="1054"/>
      <c r="G8009" s="946"/>
      <c r="H8009" s="1031"/>
      <c r="I8009" s="952"/>
    </row>
    <row r="8010" spans="3:9" ht="15.75">
      <c r="C8010" s="956" t="s">
        <v>926</v>
      </c>
      <c r="D8010" s="957"/>
      <c r="E8010" s="958"/>
      <c r="F8010" s="1069"/>
      <c r="G8010" s="957"/>
      <c r="H8010" s="1032"/>
      <c r="I8010" s="959">
        <f>+I7994</f>
        <v>382.22</v>
      </c>
    </row>
    <row r="8011" spans="3:9" ht="15.75">
      <c r="C8011" s="956" t="s">
        <v>927</v>
      </c>
      <c r="D8011" s="957"/>
      <c r="E8011" s="958"/>
      <c r="F8011" s="1069"/>
      <c r="G8011" s="957"/>
      <c r="H8011" s="1032"/>
      <c r="I8011" s="959">
        <f>+I8000</f>
        <v>160</v>
      </c>
    </row>
    <row r="8012" spans="3:9" ht="15.75">
      <c r="C8012" s="956" t="s">
        <v>928</v>
      </c>
      <c r="D8012" s="957"/>
      <c r="E8012" s="958"/>
      <c r="F8012" s="1069"/>
      <c r="G8012" s="957"/>
      <c r="H8012" s="1032"/>
      <c r="I8012" s="959">
        <f>+I8004</f>
        <v>0</v>
      </c>
    </row>
    <row r="8013" spans="3:9" ht="15.75">
      <c r="C8013" s="956" t="s">
        <v>929</v>
      </c>
      <c r="D8013" s="957"/>
      <c r="E8013" s="958"/>
      <c r="F8013" s="1069"/>
      <c r="G8013" s="957"/>
      <c r="H8013" s="1032"/>
      <c r="I8013" s="959">
        <f>+I8008</f>
        <v>0</v>
      </c>
    </row>
    <row r="8014" spans="3:9" ht="15.75">
      <c r="C8014" s="949"/>
      <c r="D8014" s="946"/>
      <c r="E8014" s="947"/>
      <c r="F8014" s="1054"/>
      <c r="G8014" s="946"/>
      <c r="H8014" s="1031"/>
      <c r="I8014" s="948"/>
    </row>
    <row r="8015" spans="3:9" ht="15.75">
      <c r="C8015" s="949"/>
      <c r="D8015" s="946"/>
      <c r="E8015" s="947"/>
      <c r="F8015" s="1054"/>
      <c r="G8015" s="946"/>
      <c r="H8015" s="1031"/>
      <c r="I8015" s="948"/>
    </row>
    <row r="8016" spans="3:9" ht="15.75">
      <c r="C8016" s="951" t="s">
        <v>930</v>
      </c>
      <c r="D8016" s="960"/>
      <c r="E8016" s="943" t="str">
        <f>+E7987</f>
        <v>m2</v>
      </c>
      <c r="F8016" s="1070"/>
      <c r="G8016" s="960"/>
      <c r="H8016" s="1033"/>
      <c r="I8016" s="952">
        <f>SUM(I8010:I8013)</f>
        <v>542.22</v>
      </c>
    </row>
    <row r="8017" spans="2:9" ht="15.75">
      <c r="C8017" s="951"/>
      <c r="D8017" s="960"/>
      <c r="E8017" s="943"/>
      <c r="F8017" s="1070"/>
      <c r="G8017" s="960"/>
      <c r="H8017" s="1033"/>
      <c r="I8017" s="952"/>
    </row>
    <row r="8018" spans="2:9" ht="15.75">
      <c r="B8018" s="1063">
        <v>12.2</v>
      </c>
      <c r="C8018" s="937" t="str">
        <f>+Presupuesto!B477</f>
        <v>Zabaleta en techo</v>
      </c>
      <c r="D8018" s="938"/>
      <c r="E8018" s="962" t="s">
        <v>1088</v>
      </c>
      <c r="F8018" s="1066"/>
      <c r="G8018" s="938"/>
      <c r="H8018" s="1029"/>
      <c r="I8018" s="940">
        <f>I8046</f>
        <v>137.75</v>
      </c>
    </row>
    <row r="8019" spans="2:9" ht="15.75">
      <c r="C8019" s="941" t="s">
        <v>908</v>
      </c>
      <c r="D8019" s="942" t="s">
        <v>9</v>
      </c>
      <c r="E8019" s="943" t="s">
        <v>10</v>
      </c>
      <c r="F8019" s="1067" t="s">
        <v>909</v>
      </c>
      <c r="G8019" s="942" t="s">
        <v>910</v>
      </c>
      <c r="H8019" s="1030" t="s">
        <v>911</v>
      </c>
      <c r="I8019" s="944" t="s">
        <v>912</v>
      </c>
    </row>
    <row r="8020" spans="2:9" ht="15.75">
      <c r="C8020" s="945" t="s">
        <v>913</v>
      </c>
      <c r="D8020" s="946"/>
      <c r="E8020" s="947"/>
      <c r="F8020" s="1054"/>
      <c r="G8020" s="946"/>
      <c r="H8020" s="1031"/>
      <c r="I8020" s="948"/>
    </row>
    <row r="8021" spans="2:9" ht="15.75">
      <c r="C8021" s="949" t="s">
        <v>1003</v>
      </c>
      <c r="D8021" s="946">
        <v>0.09</v>
      </c>
      <c r="E8021" s="947" t="str">
        <f>+VLOOKUP(C8021,'Basic (equilibrio) (2)'!B:D,2,FALSE)</f>
        <v>fda</v>
      </c>
      <c r="F8021" s="1068">
        <f>'Basic (equilibrio) (2)'!$D$298</f>
        <v>480</v>
      </c>
      <c r="G8021" s="946">
        <f>F8021-(F8021/1.18)</f>
        <v>73.22</v>
      </c>
      <c r="H8021" s="1031"/>
      <c r="I8021" s="948">
        <f>D8021*F8021</f>
        <v>43.2</v>
      </c>
    </row>
    <row r="8022" spans="2:9" ht="15.75">
      <c r="C8022" s="949" t="s">
        <v>1002</v>
      </c>
      <c r="D8022" s="946">
        <v>0.01</v>
      </c>
      <c r="E8022" s="947" t="str">
        <f>+VLOOKUP(C8022,'Basic (equilibrio) (2)'!B:D,2,FALSE)</f>
        <v>m3e</v>
      </c>
      <c r="F8022" s="1068">
        <f>'Basic (equilibrio) (2)'!$D$181</f>
        <v>1800</v>
      </c>
      <c r="G8022" s="946">
        <f>F8022-(F8022/1.18)</f>
        <v>274.58</v>
      </c>
      <c r="H8022" s="1031"/>
      <c r="I8022" s="948">
        <f>D8022*F8022</f>
        <v>18</v>
      </c>
    </row>
    <row r="8023" spans="2:9" ht="15.75">
      <c r="C8023" s="949" t="s">
        <v>1004</v>
      </c>
      <c r="D8023" s="946">
        <v>0.55000000000000004</v>
      </c>
      <c r="E8023" s="947" t="str">
        <f>+VLOOKUP(C8023,'Basic (equilibrio) (2)'!B:D,2,FALSE)</f>
        <v>gl</v>
      </c>
      <c r="F8023" s="1068">
        <f>'Basic (equilibrio) (2)'!$D$191</f>
        <v>1</v>
      </c>
      <c r="G8023" s="946">
        <f>F8023-(F8023/1.18)</f>
        <v>0.15</v>
      </c>
      <c r="H8023" s="1031"/>
      <c r="I8023" s="948">
        <f>D8023*F8023</f>
        <v>0.55000000000000004</v>
      </c>
    </row>
    <row r="8024" spans="2:9" ht="15.75">
      <c r="C8024" s="951" t="s">
        <v>918</v>
      </c>
      <c r="D8024" s="946"/>
      <c r="E8024" s="947"/>
      <c r="F8024" s="1068"/>
      <c r="G8024" s="946"/>
      <c r="H8024" s="1031"/>
      <c r="I8024" s="952">
        <f>SUM(I8021:I8023)</f>
        <v>61.75</v>
      </c>
    </row>
    <row r="8025" spans="2:9" ht="15.75">
      <c r="C8025" s="949"/>
      <c r="D8025" s="946"/>
      <c r="E8025" s="947"/>
      <c r="F8025" s="1068"/>
      <c r="G8025" s="946"/>
      <c r="H8025" s="1031"/>
      <c r="I8025" s="948"/>
    </row>
    <row r="8026" spans="2:9" ht="15.75">
      <c r="C8026" s="945" t="s">
        <v>919</v>
      </c>
      <c r="D8026" s="946"/>
      <c r="E8026" s="947"/>
      <c r="F8026" s="1068"/>
      <c r="G8026" s="946"/>
      <c r="H8026" s="1031"/>
      <c r="I8026" s="948"/>
    </row>
    <row r="8027" spans="2:9" ht="15.75">
      <c r="C8027" s="949" t="s">
        <v>1029</v>
      </c>
      <c r="D8027" s="953">
        <v>0.01</v>
      </c>
      <c r="E8027" s="954" t="str">
        <f>+VLOOKUP(C8027,'Basic (equilibrio) (2)'!B:D,2,FALSE)</f>
        <v>dia</v>
      </c>
      <c r="F8027" s="1068">
        <f>'Basic (equilibrio) (2)'!$D$16</f>
        <v>900</v>
      </c>
      <c r="G8027" s="946">
        <v>0</v>
      </c>
      <c r="H8027" s="1031"/>
      <c r="I8027" s="948">
        <f>(D8027*F8027)</f>
        <v>9</v>
      </c>
    </row>
    <row r="8028" spans="2:9" ht="15.75">
      <c r="C8028" s="949" t="s">
        <v>1112</v>
      </c>
      <c r="D8028" s="953">
        <v>1</v>
      </c>
      <c r="E8028" s="954" t="str">
        <f>+VLOOKUP(C8028,'Basic (equilibrio) (2)'!B:D,2,FALSE)</f>
        <v>ml</v>
      </c>
      <c r="F8028" s="1068">
        <f>'Basic (equilibrio) (2)'!$D$40</f>
        <v>55</v>
      </c>
      <c r="G8028" s="946">
        <v>0</v>
      </c>
      <c r="H8028" s="1031"/>
      <c r="I8028" s="948">
        <f t="shared" ref="I8028:I8029" si="50">(D8028*F8028)</f>
        <v>55</v>
      </c>
    </row>
    <row r="8029" spans="2:9" ht="15.75">
      <c r="C8029" s="949" t="s">
        <v>1108</v>
      </c>
      <c r="D8029" s="953">
        <v>1</v>
      </c>
      <c r="E8029" s="954" t="str">
        <f>+VLOOKUP(C8029,'Basic (equilibrio) (2)'!B:D,2,FALSE)</f>
        <v>P.a</v>
      </c>
      <c r="F8029" s="1068">
        <f>'Basic (equilibrio) (2)'!$D$39</f>
        <v>12</v>
      </c>
      <c r="G8029" s="946">
        <v>0</v>
      </c>
      <c r="H8029" s="1031"/>
      <c r="I8029" s="948">
        <f t="shared" si="50"/>
        <v>12</v>
      </c>
    </row>
    <row r="8030" spans="2:9" ht="15.75">
      <c r="C8030" s="951" t="s">
        <v>918</v>
      </c>
      <c r="D8030" s="946"/>
      <c r="E8030" s="947"/>
      <c r="F8030" s="1054"/>
      <c r="G8030" s="946"/>
      <c r="H8030" s="1031"/>
      <c r="I8030" s="952">
        <f>SUM(I8027:I8029)</f>
        <v>76</v>
      </c>
    </row>
    <row r="8031" spans="2:9" ht="15.75">
      <c r="C8031" s="949"/>
      <c r="D8031" s="946"/>
      <c r="E8031" s="947"/>
      <c r="F8031" s="1054"/>
      <c r="G8031" s="946"/>
      <c r="H8031" s="1031"/>
      <c r="I8031" s="948"/>
    </row>
    <row r="8032" spans="2:9" ht="15.75">
      <c r="C8032" s="945" t="s">
        <v>923</v>
      </c>
      <c r="D8032" s="946"/>
      <c r="E8032" s="947"/>
      <c r="F8032" s="1054"/>
      <c r="G8032" s="946"/>
      <c r="H8032" s="1031"/>
      <c r="I8032" s="948"/>
    </row>
    <row r="8033" spans="2:9" ht="15.75">
      <c r="C8033" s="949" t="s">
        <v>924</v>
      </c>
      <c r="D8033" s="946"/>
      <c r="E8033" s="947" t="str">
        <f>+VLOOKUP(C8033,'Basic (equilibrio) (2)'!B:D,2,FALSE)</f>
        <v>n/a</v>
      </c>
      <c r="F8033" s="1054">
        <f>+VLOOKUP(C8033,'Basic (equilibrio) (2)'!B:D,3,FALSE)</f>
        <v>0</v>
      </c>
      <c r="G8033" s="946">
        <f>F8033-(F8033/1.18)</f>
        <v>0</v>
      </c>
      <c r="H8033" s="1039"/>
      <c r="I8033" s="955">
        <f>D8033*F8033</f>
        <v>0</v>
      </c>
    </row>
    <row r="8034" spans="2:9" ht="15.75">
      <c r="C8034" s="951" t="s">
        <v>918</v>
      </c>
      <c r="D8034" s="946"/>
      <c r="E8034" s="947"/>
      <c r="F8034" s="1054"/>
      <c r="G8034" s="946"/>
      <c r="H8034" s="1031"/>
      <c r="I8034" s="952">
        <f>SUM(I8033:I8033)</f>
        <v>0</v>
      </c>
    </row>
    <row r="8035" spans="2:9" ht="15.75">
      <c r="C8035" s="949"/>
      <c r="D8035" s="946"/>
      <c r="E8035" s="947"/>
      <c r="F8035" s="1054"/>
      <c r="G8035" s="946"/>
      <c r="H8035" s="1031"/>
      <c r="I8035" s="948"/>
    </row>
    <row r="8036" spans="2:9" ht="15.75">
      <c r="C8036" s="945" t="s">
        <v>925</v>
      </c>
      <c r="D8036" s="946"/>
      <c r="E8036" s="947"/>
      <c r="F8036" s="1054"/>
      <c r="G8036" s="946"/>
      <c r="H8036" s="1031"/>
      <c r="I8036" s="948"/>
    </row>
    <row r="8037" spans="2:9" ht="15.75">
      <c r="C8037" s="949" t="s">
        <v>924</v>
      </c>
      <c r="D8037" s="946"/>
      <c r="E8037" s="947" t="str">
        <f>+VLOOKUP(C8037,'Basic (equilibrio) (2)'!B:D,2,FALSE)</f>
        <v>n/a</v>
      </c>
      <c r="F8037" s="1054">
        <f>+VLOOKUP(C8037,'Basic (equilibrio) (2)'!B:D,3,FALSE)</f>
        <v>0</v>
      </c>
      <c r="G8037" s="946"/>
      <c r="H8037" s="1031"/>
      <c r="I8037" s="948">
        <f>D8037*F8037</f>
        <v>0</v>
      </c>
    </row>
    <row r="8038" spans="2:9" ht="15.75">
      <c r="C8038" s="951" t="s">
        <v>918</v>
      </c>
      <c r="D8038" s="946"/>
      <c r="E8038" s="947"/>
      <c r="F8038" s="1054"/>
      <c r="G8038" s="946"/>
      <c r="H8038" s="1031"/>
      <c r="I8038" s="952">
        <f>SUM(I8037)</f>
        <v>0</v>
      </c>
    </row>
    <row r="8039" spans="2:9" ht="15.75">
      <c r="C8039" s="951"/>
      <c r="D8039" s="946"/>
      <c r="E8039" s="947"/>
      <c r="F8039" s="1054"/>
      <c r="G8039" s="946"/>
      <c r="H8039" s="1031"/>
      <c r="I8039" s="952"/>
    </row>
    <row r="8040" spans="2:9" ht="15.75">
      <c r="C8040" s="956" t="s">
        <v>926</v>
      </c>
      <c r="D8040" s="957"/>
      <c r="E8040" s="958"/>
      <c r="F8040" s="1069"/>
      <c r="G8040" s="957"/>
      <c r="H8040" s="1032"/>
      <c r="I8040" s="959">
        <f>+I8024</f>
        <v>61.75</v>
      </c>
    </row>
    <row r="8041" spans="2:9" ht="15.75">
      <c r="C8041" s="956" t="s">
        <v>927</v>
      </c>
      <c r="D8041" s="957"/>
      <c r="E8041" s="958"/>
      <c r="F8041" s="1069"/>
      <c r="G8041" s="957"/>
      <c r="H8041" s="1032"/>
      <c r="I8041" s="959">
        <f>+I8030</f>
        <v>76</v>
      </c>
    </row>
    <row r="8042" spans="2:9" ht="15.75">
      <c r="C8042" s="956" t="s">
        <v>928</v>
      </c>
      <c r="D8042" s="957"/>
      <c r="E8042" s="958"/>
      <c r="F8042" s="1069"/>
      <c r="G8042" s="957"/>
      <c r="H8042" s="1032"/>
      <c r="I8042" s="959">
        <f>+I8034</f>
        <v>0</v>
      </c>
    </row>
    <row r="8043" spans="2:9" ht="15.75">
      <c r="C8043" s="956" t="s">
        <v>929</v>
      </c>
      <c r="D8043" s="957"/>
      <c r="E8043" s="958"/>
      <c r="F8043" s="1069"/>
      <c r="G8043" s="957"/>
      <c r="H8043" s="1032"/>
      <c r="I8043" s="959">
        <f>+I8038</f>
        <v>0</v>
      </c>
    </row>
    <row r="8044" spans="2:9" ht="15.75">
      <c r="C8044" s="949"/>
      <c r="D8044" s="946"/>
      <c r="E8044" s="947"/>
      <c r="F8044" s="1054"/>
      <c r="G8044" s="946"/>
      <c r="H8044" s="1031"/>
      <c r="I8044" s="948"/>
    </row>
    <row r="8045" spans="2:9" ht="15.75">
      <c r="C8045" s="949"/>
      <c r="D8045" s="946"/>
      <c r="E8045" s="947"/>
      <c r="F8045" s="1054"/>
      <c r="G8045" s="946"/>
      <c r="H8045" s="1031"/>
      <c r="I8045" s="948"/>
    </row>
    <row r="8046" spans="2:9" ht="15.75">
      <c r="C8046" s="951" t="s">
        <v>930</v>
      </c>
      <c r="D8046" s="960"/>
      <c r="E8046" s="943" t="str">
        <f>+E8018</f>
        <v>m</v>
      </c>
      <c r="F8046" s="1070"/>
      <c r="G8046" s="960"/>
      <c r="H8046" s="1033"/>
      <c r="I8046" s="952">
        <f>SUM(I8040:I8043)</f>
        <v>137.75</v>
      </c>
    </row>
    <row r="8047" spans="2:9" ht="15.75">
      <c r="C8047" s="951"/>
      <c r="D8047" s="960"/>
      <c r="E8047" s="943"/>
      <c r="F8047" s="1070"/>
      <c r="G8047" s="960"/>
      <c r="H8047" s="1033"/>
      <c r="I8047" s="952"/>
    </row>
    <row r="8048" spans="2:9" ht="15.75">
      <c r="B8048" s="1026">
        <v>12.3</v>
      </c>
      <c r="C8048" s="937" t="str">
        <f>+Presupuesto!B478</f>
        <v>Impermeabilizante en techo</v>
      </c>
      <c r="D8048" s="938"/>
      <c r="E8048" s="962" t="s">
        <v>20</v>
      </c>
      <c r="F8048" s="1066"/>
      <c r="G8048" s="938"/>
      <c r="H8048" s="1029"/>
      <c r="I8048" s="940">
        <f>+I8072</f>
        <v>677.4</v>
      </c>
    </row>
    <row r="8049" spans="3:9" ht="15.75">
      <c r="C8049" s="941" t="s">
        <v>908</v>
      </c>
      <c r="D8049" s="942" t="s">
        <v>9</v>
      </c>
      <c r="E8049" s="943" t="s">
        <v>10</v>
      </c>
      <c r="F8049" s="1067" t="s">
        <v>909</v>
      </c>
      <c r="G8049" s="942" t="s">
        <v>910</v>
      </c>
      <c r="H8049" s="1030" t="s">
        <v>911</v>
      </c>
      <c r="I8049" s="944" t="s">
        <v>912</v>
      </c>
    </row>
    <row r="8050" spans="3:9" ht="15.75">
      <c r="C8050" s="945" t="s">
        <v>913</v>
      </c>
      <c r="D8050" s="946"/>
      <c r="E8050" s="947"/>
      <c r="F8050" s="1054"/>
      <c r="G8050" s="946"/>
      <c r="H8050" s="1031"/>
      <c r="I8050" s="948"/>
    </row>
    <row r="8051" spans="3:9" ht="15.75">
      <c r="C8051" s="949" t="str">
        <f>+'Basic (equilibrio) (2)'!$B$659</f>
        <v xml:space="preserve">Lona Asfaltica </v>
      </c>
      <c r="D8051" s="946">
        <v>1</v>
      </c>
      <c r="E8051" s="947" t="s">
        <v>20</v>
      </c>
      <c r="F8051" s="1068">
        <f>'Basic (equilibrio) (2)'!$D$659</f>
        <v>610</v>
      </c>
      <c r="G8051" s="946">
        <f>F8051-(F8051/1.18)</f>
        <v>93.05</v>
      </c>
      <c r="H8051" s="1031"/>
      <c r="I8051" s="948">
        <f>D8051*F8051</f>
        <v>610</v>
      </c>
    </row>
    <row r="8052" spans="3:9" ht="15.75">
      <c r="C8052" s="949" t="s">
        <v>1209</v>
      </c>
      <c r="D8052" s="946">
        <v>82</v>
      </c>
      <c r="E8052" s="947" t="s">
        <v>1025</v>
      </c>
      <c r="F8052" s="1068">
        <v>0.2</v>
      </c>
      <c r="G8052" s="946">
        <f>F8052-(F8052/1.18)</f>
        <v>0.03</v>
      </c>
      <c r="H8052" s="1031"/>
      <c r="I8052" s="948">
        <f>D8052*F8052</f>
        <v>16.399999999999999</v>
      </c>
    </row>
    <row r="8053" spans="3:9" ht="15.75">
      <c r="C8053" s="951" t="s">
        <v>918</v>
      </c>
      <c r="D8053" s="946"/>
      <c r="E8053" s="947"/>
      <c r="F8053" s="1068"/>
      <c r="G8053" s="946"/>
      <c r="H8053" s="1031"/>
      <c r="I8053" s="952">
        <f>SUM(I8051:I8052)</f>
        <v>626.4</v>
      </c>
    </row>
    <row r="8054" spans="3:9" ht="15.75">
      <c r="C8054" s="949"/>
      <c r="D8054" s="946"/>
      <c r="E8054" s="947"/>
      <c r="F8054" s="1068"/>
      <c r="G8054" s="946"/>
      <c r="H8054" s="1031"/>
      <c r="I8054" s="948"/>
    </row>
    <row r="8055" spans="3:9" ht="15.75">
      <c r="C8055" s="945" t="s">
        <v>919</v>
      </c>
      <c r="D8055" s="946"/>
      <c r="E8055" s="947"/>
      <c r="F8055" s="1068"/>
      <c r="G8055" s="946"/>
      <c r="H8055" s="1031"/>
      <c r="I8055" s="948"/>
    </row>
    <row r="8056" spans="3:9" ht="15.75">
      <c r="C8056" s="949" t="s">
        <v>1101</v>
      </c>
      <c r="D8056" s="953">
        <v>1</v>
      </c>
      <c r="E8056" s="954" t="str">
        <f>+VLOOKUP(C8056,'Basic (equilibrio) (2)'!B:D,2,FALSE)</f>
        <v>m2</v>
      </c>
      <c r="F8056" s="1068">
        <f>'Basic (equilibrio) (2)'!$D$37</f>
        <v>51</v>
      </c>
      <c r="G8056" s="946">
        <v>0</v>
      </c>
      <c r="H8056" s="1031"/>
      <c r="I8056" s="948">
        <f>(D8056*F8056)</f>
        <v>51</v>
      </c>
    </row>
    <row r="8057" spans="3:9" ht="15.75">
      <c r="C8057" s="951" t="s">
        <v>918</v>
      </c>
      <c r="D8057" s="946"/>
      <c r="E8057" s="947"/>
      <c r="F8057" s="1054"/>
      <c r="G8057" s="946"/>
      <c r="H8057" s="1031"/>
      <c r="I8057" s="952">
        <f>SUM(I8056:I8056)</f>
        <v>51</v>
      </c>
    </row>
    <row r="8058" spans="3:9" ht="15.75">
      <c r="C8058" s="949"/>
      <c r="D8058" s="946"/>
      <c r="E8058" s="947"/>
      <c r="F8058" s="1054"/>
      <c r="G8058" s="946"/>
      <c r="H8058" s="1031"/>
      <c r="I8058" s="948"/>
    </row>
    <row r="8059" spans="3:9" ht="15.75">
      <c r="C8059" s="945" t="s">
        <v>923</v>
      </c>
      <c r="D8059" s="946"/>
      <c r="E8059" s="947"/>
      <c r="F8059" s="1054"/>
      <c r="G8059" s="946"/>
      <c r="H8059" s="1031"/>
      <c r="I8059" s="948"/>
    </row>
    <row r="8060" spans="3:9" ht="15.75">
      <c r="C8060" s="949" t="s">
        <v>924</v>
      </c>
      <c r="D8060" s="946"/>
      <c r="E8060" s="947" t="str">
        <f>+VLOOKUP(C8060,'Basic (equilibrio) (2)'!B:D,2,FALSE)</f>
        <v>n/a</v>
      </c>
      <c r="F8060" s="1054">
        <f>+VLOOKUP(C8060,'Basic (equilibrio) (2)'!B:D,3,FALSE)</f>
        <v>0</v>
      </c>
      <c r="G8060" s="946">
        <f>F8060-(F8060/1.18)</f>
        <v>0</v>
      </c>
      <c r="H8060" s="1039"/>
      <c r="I8060" s="955">
        <f>D8060*F8060</f>
        <v>0</v>
      </c>
    </row>
    <row r="8061" spans="3:9" ht="15.75">
      <c r="C8061" s="951" t="s">
        <v>918</v>
      </c>
      <c r="D8061" s="946"/>
      <c r="E8061" s="947"/>
      <c r="F8061" s="1054"/>
      <c r="G8061" s="946"/>
      <c r="H8061" s="1031"/>
      <c r="I8061" s="952">
        <f>SUM(I8060:I8060)</f>
        <v>0</v>
      </c>
    </row>
    <row r="8062" spans="3:9" ht="15.75">
      <c r="C8062" s="949"/>
      <c r="D8062" s="946"/>
      <c r="E8062" s="947"/>
      <c r="F8062" s="1054"/>
      <c r="G8062" s="946"/>
      <c r="H8062" s="1031"/>
      <c r="I8062" s="948"/>
    </row>
    <row r="8063" spans="3:9" ht="15.75">
      <c r="C8063" s="945" t="s">
        <v>925</v>
      </c>
      <c r="D8063" s="946"/>
      <c r="E8063" s="947"/>
      <c r="F8063" s="1054"/>
      <c r="G8063" s="946"/>
      <c r="H8063" s="1031"/>
      <c r="I8063" s="948"/>
    </row>
    <row r="8064" spans="3:9" ht="15.75">
      <c r="C8064" s="949" t="s">
        <v>924</v>
      </c>
      <c r="D8064" s="946"/>
      <c r="E8064" s="947" t="str">
        <f>+VLOOKUP(C8064,'Basic (equilibrio) (2)'!B:D,2,FALSE)</f>
        <v>n/a</v>
      </c>
      <c r="F8064" s="1054">
        <f>+VLOOKUP(C8064,'Basic (equilibrio) (2)'!B:D,3,FALSE)</f>
        <v>0</v>
      </c>
      <c r="G8064" s="946"/>
      <c r="H8064" s="1031"/>
      <c r="I8064" s="948">
        <f>D8064*F8064</f>
        <v>0</v>
      </c>
    </row>
    <row r="8065" spans="2:9" ht="15.75">
      <c r="C8065" s="951" t="s">
        <v>918</v>
      </c>
      <c r="D8065" s="946"/>
      <c r="E8065" s="947"/>
      <c r="F8065" s="1054"/>
      <c r="G8065" s="946"/>
      <c r="H8065" s="1031"/>
      <c r="I8065" s="952">
        <f>SUM(I8064)</f>
        <v>0</v>
      </c>
    </row>
    <row r="8066" spans="2:9" ht="15.75">
      <c r="C8066" s="951"/>
      <c r="D8066" s="946"/>
      <c r="E8066" s="947"/>
      <c r="F8066" s="1054"/>
      <c r="G8066" s="946"/>
      <c r="H8066" s="1031"/>
      <c r="I8066" s="952"/>
    </row>
    <row r="8067" spans="2:9" ht="15.75">
      <c r="C8067" s="956" t="s">
        <v>926</v>
      </c>
      <c r="D8067" s="957"/>
      <c r="E8067" s="958"/>
      <c r="F8067" s="1069"/>
      <c r="G8067" s="957"/>
      <c r="H8067" s="1032"/>
      <c r="I8067" s="959">
        <f>+I8053</f>
        <v>626.4</v>
      </c>
    </row>
    <row r="8068" spans="2:9" ht="15.75">
      <c r="C8068" s="956" t="s">
        <v>927</v>
      </c>
      <c r="D8068" s="957"/>
      <c r="E8068" s="958"/>
      <c r="F8068" s="1069"/>
      <c r="G8068" s="957"/>
      <c r="H8068" s="1032"/>
      <c r="I8068" s="959">
        <f>+I8057</f>
        <v>51</v>
      </c>
    </row>
    <row r="8069" spans="2:9" ht="15.75">
      <c r="C8069" s="956" t="s">
        <v>928</v>
      </c>
      <c r="D8069" s="957"/>
      <c r="E8069" s="958"/>
      <c r="F8069" s="1069"/>
      <c r="G8069" s="957"/>
      <c r="H8069" s="1032"/>
      <c r="I8069" s="959">
        <f>+I8061</f>
        <v>0</v>
      </c>
    </row>
    <row r="8070" spans="2:9" ht="15.75">
      <c r="C8070" s="956" t="s">
        <v>929</v>
      </c>
      <c r="D8070" s="957"/>
      <c r="E8070" s="958"/>
      <c r="F8070" s="1069"/>
      <c r="G8070" s="957"/>
      <c r="H8070" s="1032"/>
      <c r="I8070" s="959">
        <f>+I8065</f>
        <v>0</v>
      </c>
    </row>
    <row r="8071" spans="2:9" ht="15.75">
      <c r="C8071" s="949"/>
      <c r="D8071" s="946"/>
      <c r="E8071" s="947"/>
      <c r="F8071" s="1054"/>
      <c r="G8071" s="946"/>
      <c r="H8071" s="1031"/>
      <c r="I8071" s="948"/>
    </row>
    <row r="8072" spans="2:9" ht="15.75">
      <c r="C8072" s="951" t="s">
        <v>930</v>
      </c>
      <c r="D8072" s="960"/>
      <c r="E8072" s="975" t="str">
        <f>+E8048</f>
        <v>M2</v>
      </c>
      <c r="F8072" s="1070"/>
      <c r="G8072" s="960"/>
      <c r="H8072" s="1033"/>
      <c r="I8072" s="952">
        <f>SUM(I8067:I8070)</f>
        <v>677.4</v>
      </c>
    </row>
    <row r="8073" spans="2:9" ht="15.75">
      <c r="C8073" s="951"/>
      <c r="D8073" s="960"/>
      <c r="E8073" s="943"/>
      <c r="F8073" s="1070"/>
      <c r="G8073" s="960"/>
      <c r="H8073" s="1033"/>
      <c r="I8073" s="952"/>
    </row>
    <row r="8074" spans="2:9" ht="15.75">
      <c r="B8074" s="1026">
        <v>12.4</v>
      </c>
      <c r="C8074" s="937" t="str">
        <f>+Presupuesto!B479</f>
        <v>Gotero ranurado</v>
      </c>
      <c r="D8074" s="938"/>
      <c r="E8074" s="962" t="s">
        <v>15</v>
      </c>
      <c r="F8074" s="1066"/>
      <c r="G8074" s="938"/>
      <c r="H8074" s="1029"/>
      <c r="I8074" s="940">
        <f>I8098</f>
        <v>158.5</v>
      </c>
    </row>
    <row r="8075" spans="2:9" ht="15.75">
      <c r="C8075" s="941" t="s">
        <v>908</v>
      </c>
      <c r="D8075" s="942" t="s">
        <v>9</v>
      </c>
      <c r="E8075" s="943" t="s">
        <v>10</v>
      </c>
      <c r="F8075" s="1067" t="s">
        <v>909</v>
      </c>
      <c r="G8075" s="942" t="s">
        <v>910</v>
      </c>
      <c r="H8075" s="1030" t="s">
        <v>911</v>
      </c>
      <c r="I8075" s="944" t="s">
        <v>912</v>
      </c>
    </row>
    <row r="8076" spans="2:9" ht="15.75">
      <c r="C8076" s="945" t="s">
        <v>913</v>
      </c>
      <c r="D8076" s="946"/>
      <c r="E8076" s="947"/>
      <c r="F8076" s="1054"/>
      <c r="G8076" s="946"/>
      <c r="H8076" s="1031"/>
      <c r="I8076" s="948"/>
    </row>
    <row r="8077" spans="2:9" ht="15.75">
      <c r="C8077" s="949" t="s">
        <v>958</v>
      </c>
      <c r="D8077" s="946">
        <v>0.01</v>
      </c>
      <c r="E8077" s="947" t="str">
        <f>+VLOOKUP(C8077,'Basic (equilibrio) (2)'!B:D,2,FALSE)</f>
        <v>m3</v>
      </c>
      <c r="F8077" s="1068">
        <f>'Basic (equilibrio) (2)'!$D$309</f>
        <v>6820</v>
      </c>
      <c r="G8077" s="946">
        <f>F8077-(F8077/1.18)</f>
        <v>1040.3399999999999</v>
      </c>
      <c r="H8077" s="1031"/>
      <c r="I8077" s="948">
        <f>D8077*F8077</f>
        <v>68.2</v>
      </c>
    </row>
    <row r="8078" spans="2:9" ht="15.75">
      <c r="C8078" s="949" t="s">
        <v>1206</v>
      </c>
      <c r="D8078" s="946">
        <v>0.11</v>
      </c>
      <c r="E8078" s="947" t="str">
        <f>+VLOOKUP(C8078,'Basic (equilibrio) (2)'!B:D,2,FALSE)</f>
        <v>pt</v>
      </c>
      <c r="F8078" s="1068">
        <f>'Basic (equilibrio) (2)'!$D$310</f>
        <v>230</v>
      </c>
      <c r="G8078" s="946">
        <f>F8078-(F8078/1.18)</f>
        <v>35.08</v>
      </c>
      <c r="H8078" s="1031"/>
      <c r="I8078" s="948">
        <f>D8078*F8078</f>
        <v>25.3</v>
      </c>
    </row>
    <row r="8079" spans="2:9" ht="15.75">
      <c r="C8079" s="951" t="s">
        <v>918</v>
      </c>
      <c r="D8079" s="946"/>
      <c r="E8079" s="947"/>
      <c r="F8079" s="1068"/>
      <c r="G8079" s="946"/>
      <c r="H8079" s="1031"/>
      <c r="I8079" s="952">
        <f>SUM(I8077:I8078)</f>
        <v>93.5</v>
      </c>
    </row>
    <row r="8080" spans="2:9" ht="15.75">
      <c r="C8080" s="949"/>
      <c r="D8080" s="946"/>
      <c r="E8080" s="947"/>
      <c r="F8080" s="1068"/>
      <c r="G8080" s="946"/>
      <c r="H8080" s="1031"/>
      <c r="I8080" s="948"/>
    </row>
    <row r="8081" spans="3:9" ht="15.75">
      <c r="C8081" s="945" t="s">
        <v>919</v>
      </c>
      <c r="D8081" s="946"/>
      <c r="E8081" s="947"/>
      <c r="F8081" s="1068"/>
      <c r="G8081" s="946"/>
      <c r="H8081" s="1031"/>
      <c r="I8081" s="948"/>
    </row>
    <row r="8082" spans="3:9" ht="15.75">
      <c r="C8082" s="949" t="s">
        <v>1564</v>
      </c>
      <c r="D8082" s="953">
        <v>1</v>
      </c>
      <c r="E8082" s="954" t="str">
        <f>+VLOOKUP(C8082,'Basic (equilibrio) (2)'!B:D,2,FALSE)</f>
        <v>m</v>
      </c>
      <c r="F8082" s="1068">
        <f>'Basic (equilibrio) (2)'!$D$57</f>
        <v>65</v>
      </c>
      <c r="G8082" s="946">
        <v>0</v>
      </c>
      <c r="H8082" s="1031"/>
      <c r="I8082" s="948">
        <f>(D8082*F8082)</f>
        <v>65</v>
      </c>
    </row>
    <row r="8083" spans="3:9" ht="15.75">
      <c r="C8083" s="951" t="s">
        <v>918</v>
      </c>
      <c r="D8083" s="946"/>
      <c r="E8083" s="947"/>
      <c r="F8083" s="1054"/>
      <c r="G8083" s="946"/>
      <c r="H8083" s="1031"/>
      <c r="I8083" s="952">
        <f>SUM(I8082:I8082)</f>
        <v>65</v>
      </c>
    </row>
    <row r="8084" spans="3:9" ht="15.75">
      <c r="C8084" s="949"/>
      <c r="D8084" s="946"/>
      <c r="E8084" s="947"/>
      <c r="F8084" s="1054"/>
      <c r="G8084" s="946"/>
      <c r="H8084" s="1031"/>
      <c r="I8084" s="948"/>
    </row>
    <row r="8085" spans="3:9" ht="15.75">
      <c r="C8085" s="945" t="s">
        <v>923</v>
      </c>
      <c r="D8085" s="946"/>
      <c r="E8085" s="947"/>
      <c r="F8085" s="1054"/>
      <c r="G8085" s="946"/>
      <c r="H8085" s="1031"/>
      <c r="I8085" s="948"/>
    </row>
    <row r="8086" spans="3:9" ht="15.75">
      <c r="C8086" s="949" t="s">
        <v>924</v>
      </c>
      <c r="D8086" s="946"/>
      <c r="E8086" s="947" t="str">
        <f>+VLOOKUP(C8086,'Basic (equilibrio) (2)'!B:D,2,FALSE)</f>
        <v>n/a</v>
      </c>
      <c r="F8086" s="1054">
        <f>+VLOOKUP(C8086,'Basic (equilibrio) (2)'!B:D,3,FALSE)</f>
        <v>0</v>
      </c>
      <c r="G8086" s="946">
        <f>F8086-(F8086/1.18)</f>
        <v>0</v>
      </c>
      <c r="H8086" s="1039"/>
      <c r="I8086" s="955">
        <f>D8086*F8086</f>
        <v>0</v>
      </c>
    </row>
    <row r="8087" spans="3:9" ht="15.75">
      <c r="C8087" s="951" t="s">
        <v>918</v>
      </c>
      <c r="D8087" s="946"/>
      <c r="E8087" s="947"/>
      <c r="F8087" s="1054"/>
      <c r="G8087" s="946"/>
      <c r="H8087" s="1031"/>
      <c r="I8087" s="952">
        <f>SUM(I8086:I8086)</f>
        <v>0</v>
      </c>
    </row>
    <row r="8088" spans="3:9" ht="15.75">
      <c r="C8088" s="949"/>
      <c r="D8088" s="946"/>
      <c r="E8088" s="947"/>
      <c r="F8088" s="1054"/>
      <c r="G8088" s="946"/>
      <c r="H8088" s="1031"/>
      <c r="I8088" s="948"/>
    </row>
    <row r="8089" spans="3:9" ht="15.75">
      <c r="C8089" s="945" t="s">
        <v>925</v>
      </c>
      <c r="D8089" s="946"/>
      <c r="E8089" s="947"/>
      <c r="F8089" s="1054"/>
      <c r="G8089" s="946"/>
      <c r="H8089" s="1031"/>
      <c r="I8089" s="948"/>
    </row>
    <row r="8090" spans="3:9" ht="15.75">
      <c r="C8090" s="949" t="s">
        <v>924</v>
      </c>
      <c r="D8090" s="946"/>
      <c r="E8090" s="947" t="str">
        <f>+VLOOKUP(C8090,'Basic (equilibrio) (2)'!B:D,2,FALSE)</f>
        <v>n/a</v>
      </c>
      <c r="F8090" s="1054">
        <f>+VLOOKUP(C8090,'Basic (equilibrio) (2)'!B:D,3,FALSE)</f>
        <v>0</v>
      </c>
      <c r="G8090" s="946"/>
      <c r="H8090" s="1031"/>
      <c r="I8090" s="948">
        <f>D8090*F8090</f>
        <v>0</v>
      </c>
    </row>
    <row r="8091" spans="3:9" ht="15.75">
      <c r="C8091" s="951" t="s">
        <v>918</v>
      </c>
      <c r="D8091" s="946"/>
      <c r="E8091" s="947"/>
      <c r="F8091" s="1054"/>
      <c r="G8091" s="946"/>
      <c r="H8091" s="1031"/>
      <c r="I8091" s="952">
        <f>SUM(I8090)</f>
        <v>0</v>
      </c>
    </row>
    <row r="8092" spans="3:9" ht="15.75">
      <c r="C8092" s="951"/>
      <c r="D8092" s="946"/>
      <c r="E8092" s="947"/>
      <c r="F8092" s="1054"/>
      <c r="G8092" s="946"/>
      <c r="H8092" s="1031"/>
      <c r="I8092" s="952"/>
    </row>
    <row r="8093" spans="3:9" ht="15.75">
      <c r="C8093" s="956" t="s">
        <v>926</v>
      </c>
      <c r="D8093" s="957"/>
      <c r="E8093" s="958"/>
      <c r="F8093" s="1069"/>
      <c r="G8093" s="957"/>
      <c r="H8093" s="1032"/>
      <c r="I8093" s="959">
        <f>+I8079</f>
        <v>93.5</v>
      </c>
    </row>
    <row r="8094" spans="3:9" ht="15.75">
      <c r="C8094" s="956" t="s">
        <v>927</v>
      </c>
      <c r="D8094" s="957"/>
      <c r="E8094" s="958"/>
      <c r="F8094" s="1069"/>
      <c r="G8094" s="957"/>
      <c r="H8094" s="1032"/>
      <c r="I8094" s="959">
        <f>+I8083</f>
        <v>65</v>
      </c>
    </row>
    <row r="8095" spans="3:9" ht="15.75">
      <c r="C8095" s="956" t="s">
        <v>928</v>
      </c>
      <c r="D8095" s="957"/>
      <c r="E8095" s="958"/>
      <c r="F8095" s="1069"/>
      <c r="G8095" s="957"/>
      <c r="H8095" s="1032"/>
      <c r="I8095" s="959">
        <f>+I8087</f>
        <v>0</v>
      </c>
    </row>
    <row r="8096" spans="3:9" ht="15.75">
      <c r="C8096" s="956" t="s">
        <v>929</v>
      </c>
      <c r="D8096" s="957"/>
      <c r="E8096" s="958"/>
      <c r="F8096" s="1069"/>
      <c r="G8096" s="957"/>
      <c r="H8096" s="1032"/>
      <c r="I8096" s="959">
        <f>+I8091</f>
        <v>0</v>
      </c>
    </row>
    <row r="8097" spans="2:9" ht="15.75">
      <c r="C8097" s="949"/>
      <c r="D8097" s="946"/>
      <c r="E8097" s="947"/>
      <c r="F8097" s="1054"/>
      <c r="G8097" s="946"/>
      <c r="H8097" s="1031"/>
      <c r="I8097" s="948"/>
    </row>
    <row r="8098" spans="2:9" ht="15.75">
      <c r="C8098" s="951" t="s">
        <v>930</v>
      </c>
      <c r="D8098" s="960"/>
      <c r="E8098" s="943" t="str">
        <f>+E8074</f>
        <v>M</v>
      </c>
      <c r="F8098" s="1070"/>
      <c r="G8098" s="960"/>
      <c r="H8098" s="1033"/>
      <c r="I8098" s="952">
        <f>SUM(I8093:I8096)</f>
        <v>158.5</v>
      </c>
    </row>
    <row r="8099" spans="2:9" ht="15.75">
      <c r="C8099" s="951"/>
      <c r="D8099" s="960"/>
      <c r="E8099" s="943"/>
      <c r="F8099" s="1070"/>
      <c r="G8099" s="960"/>
      <c r="H8099" s="1033"/>
      <c r="I8099" s="952"/>
    </row>
    <row r="8100" spans="2:9" ht="15.75">
      <c r="B8100" s="1063">
        <v>13.1</v>
      </c>
      <c r="C8100" s="937" t="str">
        <f>+Presupuesto!B482</f>
        <v>Gabinte de piso en pino tratado y plywood</v>
      </c>
      <c r="D8100" s="938"/>
      <c r="E8100" s="962" t="s">
        <v>1225</v>
      </c>
      <c r="F8100" s="1066"/>
      <c r="G8100" s="938"/>
      <c r="H8100" s="1029"/>
      <c r="I8100" s="940">
        <f>+I8123</f>
        <v>2856</v>
      </c>
    </row>
    <row r="8101" spans="2:9" ht="15.75">
      <c r="C8101" s="941" t="s">
        <v>908</v>
      </c>
      <c r="D8101" s="942" t="s">
        <v>9</v>
      </c>
      <c r="E8101" s="943" t="s">
        <v>10</v>
      </c>
      <c r="F8101" s="1067" t="s">
        <v>909</v>
      </c>
      <c r="G8101" s="942" t="s">
        <v>910</v>
      </c>
      <c r="H8101" s="1030" t="s">
        <v>911</v>
      </c>
      <c r="I8101" s="944" t="s">
        <v>912</v>
      </c>
    </row>
    <row r="8102" spans="2:9" ht="15.75">
      <c r="C8102" s="945" t="s">
        <v>913</v>
      </c>
      <c r="D8102" s="946"/>
      <c r="E8102" s="947"/>
      <c r="F8102" s="1054"/>
      <c r="G8102" s="946"/>
      <c r="H8102" s="1031"/>
      <c r="I8102" s="948"/>
    </row>
    <row r="8103" spans="2:9" ht="15.75">
      <c r="C8103" s="949" t="s">
        <v>1634</v>
      </c>
      <c r="D8103" s="946">
        <v>1.02</v>
      </c>
      <c r="E8103" s="947" t="str">
        <f>+VLOOKUP(C8103,'Basic (equilibrio) (2)'!B:D,2,FALSE)</f>
        <v>Pies</v>
      </c>
      <c r="F8103" s="1068">
        <f>'Basic (equilibrio) (2)'!$D$248</f>
        <v>2800</v>
      </c>
      <c r="G8103" s="946">
        <f>F8103-(F8103/1.18)</f>
        <v>427.12</v>
      </c>
      <c r="H8103" s="1031"/>
      <c r="I8103" s="948">
        <f>D8103*F8103</f>
        <v>2856</v>
      </c>
    </row>
    <row r="8104" spans="2:9" ht="15.75">
      <c r="C8104" s="951" t="s">
        <v>918</v>
      </c>
      <c r="D8104" s="946"/>
      <c r="E8104" s="947"/>
      <c r="F8104" s="1068"/>
      <c r="G8104" s="946"/>
      <c r="H8104" s="1031"/>
      <c r="I8104" s="952">
        <f>SUM(I8103:I8103)</f>
        <v>2856</v>
      </c>
    </row>
    <row r="8105" spans="2:9" ht="15.75">
      <c r="C8105" s="949"/>
      <c r="D8105" s="946"/>
      <c r="E8105" s="947"/>
      <c r="F8105" s="1068"/>
      <c r="G8105" s="946"/>
      <c r="H8105" s="1031"/>
      <c r="I8105" s="948"/>
    </row>
    <row r="8106" spans="2:9" ht="15.75">
      <c r="C8106" s="945" t="s">
        <v>919</v>
      </c>
      <c r="D8106" s="946"/>
      <c r="E8106" s="947"/>
      <c r="F8106" s="1068"/>
      <c r="G8106" s="946"/>
      <c r="H8106" s="1031"/>
      <c r="I8106" s="948"/>
    </row>
    <row r="8107" spans="2:9" ht="15.75">
      <c r="C8107" s="949" t="s">
        <v>924</v>
      </c>
      <c r="D8107" s="953"/>
      <c r="E8107" s="954" t="str">
        <f>+VLOOKUP(C8107,'Basic (equilibrio) (2)'!B:D,2,FALSE)</f>
        <v>n/a</v>
      </c>
      <c r="F8107" s="1068">
        <f>+VLOOKUP(C8107,'Basic (equilibrio) (2)'!B:D,3,FALSE)</f>
        <v>0</v>
      </c>
      <c r="G8107" s="946">
        <v>0</v>
      </c>
      <c r="H8107" s="1031"/>
      <c r="I8107" s="948">
        <f>(D8107*F8107)</f>
        <v>0</v>
      </c>
    </row>
    <row r="8108" spans="2:9" ht="15.75">
      <c r="C8108" s="951" t="s">
        <v>918</v>
      </c>
      <c r="D8108" s="946"/>
      <c r="E8108" s="947"/>
      <c r="F8108" s="1054"/>
      <c r="G8108" s="946"/>
      <c r="H8108" s="1031"/>
      <c r="I8108" s="952">
        <f>SUM(I8107:I8107)</f>
        <v>0</v>
      </c>
    </row>
    <row r="8109" spans="2:9" ht="15.75">
      <c r="C8109" s="949"/>
      <c r="D8109" s="946"/>
      <c r="E8109" s="947"/>
      <c r="F8109" s="1054"/>
      <c r="G8109" s="946"/>
      <c r="H8109" s="1031"/>
      <c r="I8109" s="948"/>
    </row>
    <row r="8110" spans="2:9" ht="15.75">
      <c r="C8110" s="945" t="s">
        <v>923</v>
      </c>
      <c r="D8110" s="946"/>
      <c r="E8110" s="947"/>
      <c r="F8110" s="1054"/>
      <c r="G8110" s="946"/>
      <c r="H8110" s="1031"/>
      <c r="I8110" s="948"/>
    </row>
    <row r="8111" spans="2:9" ht="15.75">
      <c r="C8111" s="949" t="s">
        <v>924</v>
      </c>
      <c r="D8111" s="946"/>
      <c r="E8111" s="947" t="str">
        <f>+VLOOKUP(C8111,'Basic (equilibrio) (2)'!B:D,2,FALSE)</f>
        <v>n/a</v>
      </c>
      <c r="F8111" s="1054">
        <f>+VLOOKUP(C8111,'Basic (equilibrio) (2)'!B:D,3,FALSE)</f>
        <v>0</v>
      </c>
      <c r="G8111" s="946">
        <f>F8111-(F8111/1.18)</f>
        <v>0</v>
      </c>
      <c r="H8111" s="1039"/>
      <c r="I8111" s="955">
        <f>D8111*F8111</f>
        <v>0</v>
      </c>
    </row>
    <row r="8112" spans="2:9" ht="15.75">
      <c r="C8112" s="951" t="s">
        <v>918</v>
      </c>
      <c r="D8112" s="946"/>
      <c r="E8112" s="947"/>
      <c r="F8112" s="1054"/>
      <c r="G8112" s="946"/>
      <c r="H8112" s="1031"/>
      <c r="I8112" s="952">
        <f>SUM(I8111:I8111)</f>
        <v>0</v>
      </c>
    </row>
    <row r="8113" spans="2:9" ht="15.75">
      <c r="C8113" s="949"/>
      <c r="D8113" s="946"/>
      <c r="E8113" s="947"/>
      <c r="F8113" s="1054"/>
      <c r="G8113" s="946"/>
      <c r="H8113" s="1031"/>
      <c r="I8113" s="948"/>
    </row>
    <row r="8114" spans="2:9" ht="15.75">
      <c r="C8114" s="945" t="s">
        <v>925</v>
      </c>
      <c r="D8114" s="946"/>
      <c r="E8114" s="947"/>
      <c r="F8114" s="1054"/>
      <c r="G8114" s="946"/>
      <c r="H8114" s="1031"/>
      <c r="I8114" s="948"/>
    </row>
    <row r="8115" spans="2:9" ht="15.75">
      <c r="C8115" s="949" t="s">
        <v>924</v>
      </c>
      <c r="D8115" s="946"/>
      <c r="E8115" s="947" t="str">
        <f>+VLOOKUP(C8115,'Basic (equilibrio) (2)'!B:D,2,FALSE)</f>
        <v>n/a</v>
      </c>
      <c r="F8115" s="1054">
        <f>+VLOOKUP(C8115,'Basic (equilibrio) (2)'!B:D,3,FALSE)</f>
        <v>0</v>
      </c>
      <c r="G8115" s="946"/>
      <c r="H8115" s="1031"/>
      <c r="I8115" s="948">
        <f>D8115*F8115</f>
        <v>0</v>
      </c>
    </row>
    <row r="8116" spans="2:9" ht="15.75">
      <c r="C8116" s="951" t="s">
        <v>918</v>
      </c>
      <c r="D8116" s="946"/>
      <c r="E8116" s="947"/>
      <c r="F8116" s="1054"/>
      <c r="G8116" s="946"/>
      <c r="H8116" s="1031"/>
      <c r="I8116" s="952">
        <f>SUM(I8115)</f>
        <v>0</v>
      </c>
    </row>
    <row r="8117" spans="2:9" ht="15.75">
      <c r="C8117" s="951"/>
      <c r="D8117" s="946"/>
      <c r="E8117" s="947"/>
      <c r="F8117" s="1054"/>
      <c r="G8117" s="946"/>
      <c r="H8117" s="1031"/>
      <c r="I8117" s="952"/>
    </row>
    <row r="8118" spans="2:9" ht="15.75">
      <c r="C8118" s="956" t="s">
        <v>926</v>
      </c>
      <c r="D8118" s="957"/>
      <c r="E8118" s="958"/>
      <c r="F8118" s="1069"/>
      <c r="G8118" s="957"/>
      <c r="H8118" s="1032"/>
      <c r="I8118" s="959">
        <f>+I8104</f>
        <v>2856</v>
      </c>
    </row>
    <row r="8119" spans="2:9" ht="15.75">
      <c r="C8119" s="956" t="s">
        <v>927</v>
      </c>
      <c r="D8119" s="957"/>
      <c r="E8119" s="958"/>
      <c r="F8119" s="1069"/>
      <c r="G8119" s="957"/>
      <c r="H8119" s="1032"/>
      <c r="I8119" s="959">
        <f>+I8108</f>
        <v>0</v>
      </c>
    </row>
    <row r="8120" spans="2:9" ht="15.75">
      <c r="C8120" s="956" t="s">
        <v>928</v>
      </c>
      <c r="D8120" s="957"/>
      <c r="E8120" s="958"/>
      <c r="F8120" s="1069"/>
      <c r="G8120" s="957"/>
      <c r="H8120" s="1032"/>
      <c r="I8120" s="959">
        <f>+I8112</f>
        <v>0</v>
      </c>
    </row>
    <row r="8121" spans="2:9" ht="15.75">
      <c r="C8121" s="956" t="s">
        <v>929</v>
      </c>
      <c r="D8121" s="957"/>
      <c r="E8121" s="958"/>
      <c r="F8121" s="1069"/>
      <c r="G8121" s="957"/>
      <c r="H8121" s="1032"/>
      <c r="I8121" s="959">
        <f>+I8116</f>
        <v>0</v>
      </c>
    </row>
    <row r="8122" spans="2:9" ht="15.75">
      <c r="C8122" s="949"/>
      <c r="D8122" s="946"/>
      <c r="E8122" s="947"/>
      <c r="F8122" s="1054"/>
      <c r="G8122" s="946"/>
      <c r="H8122" s="1031"/>
      <c r="I8122" s="948"/>
    </row>
    <row r="8123" spans="2:9" ht="15.75">
      <c r="C8123" s="951" t="s">
        <v>930</v>
      </c>
      <c r="D8123" s="960"/>
      <c r="E8123" s="975" t="str">
        <f>+E8100</f>
        <v>pie</v>
      </c>
      <c r="F8123" s="1070"/>
      <c r="G8123" s="960"/>
      <c r="H8123" s="1033"/>
      <c r="I8123" s="952">
        <f>SUM(I8118:I8121)</f>
        <v>2856</v>
      </c>
    </row>
    <row r="8124" spans="2:9" ht="15.75">
      <c r="C8124" s="951"/>
      <c r="D8124" s="960"/>
      <c r="E8124" s="943"/>
      <c r="F8124" s="1070"/>
      <c r="G8124" s="960"/>
      <c r="H8124" s="1033"/>
      <c r="I8124" s="952"/>
    </row>
    <row r="8125" spans="2:9" ht="15.75">
      <c r="B8125" s="1063">
        <v>13.2</v>
      </c>
      <c r="C8125" s="937" t="str">
        <f>+Presupuesto!B483</f>
        <v>Gabinte de pared en pino tratado y plywood</v>
      </c>
      <c r="D8125" s="938"/>
      <c r="E8125" s="962" t="s">
        <v>1225</v>
      </c>
      <c r="F8125" s="1066"/>
      <c r="G8125" s="938"/>
      <c r="H8125" s="1029"/>
      <c r="I8125" s="940">
        <f>+I8148</f>
        <v>2856</v>
      </c>
    </row>
    <row r="8126" spans="2:9" ht="15.75">
      <c r="C8126" s="941" t="s">
        <v>908</v>
      </c>
      <c r="D8126" s="942" t="s">
        <v>9</v>
      </c>
      <c r="E8126" s="943" t="s">
        <v>10</v>
      </c>
      <c r="F8126" s="1067" t="s">
        <v>909</v>
      </c>
      <c r="G8126" s="942" t="s">
        <v>910</v>
      </c>
      <c r="H8126" s="1030" t="s">
        <v>911</v>
      </c>
      <c r="I8126" s="944" t="s">
        <v>912</v>
      </c>
    </row>
    <row r="8127" spans="2:9" ht="15.75">
      <c r="C8127" s="945" t="s">
        <v>913</v>
      </c>
      <c r="D8127" s="946"/>
      <c r="E8127" s="947"/>
      <c r="F8127" s="1054"/>
      <c r="G8127" s="946"/>
      <c r="H8127" s="1031"/>
      <c r="I8127" s="948"/>
    </row>
    <row r="8128" spans="2:9" ht="15.75">
      <c r="C8128" s="949" t="s">
        <v>1635</v>
      </c>
      <c r="D8128" s="946">
        <v>1.02</v>
      </c>
      <c r="E8128" s="947" t="str">
        <f>+VLOOKUP(C8128,'Basic (equilibrio) (2)'!B:D,2,FALSE)</f>
        <v>Pies</v>
      </c>
      <c r="F8128" s="1068">
        <f>'Basic (equilibrio) (2)'!$D$249</f>
        <v>2800</v>
      </c>
      <c r="G8128" s="946">
        <f>F8128-(F8128/1.18)</f>
        <v>427.12</v>
      </c>
      <c r="H8128" s="1031"/>
      <c r="I8128" s="948">
        <f>D8128*F8128</f>
        <v>2856</v>
      </c>
    </row>
    <row r="8129" spans="3:9" ht="15.75">
      <c r="C8129" s="951" t="s">
        <v>918</v>
      </c>
      <c r="D8129" s="946"/>
      <c r="E8129" s="947"/>
      <c r="F8129" s="1068"/>
      <c r="G8129" s="946"/>
      <c r="H8129" s="1031"/>
      <c r="I8129" s="952">
        <f>SUM(I8128:I8128)</f>
        <v>2856</v>
      </c>
    </row>
    <row r="8130" spans="3:9" ht="15.75">
      <c r="C8130" s="949"/>
      <c r="D8130" s="946"/>
      <c r="E8130" s="947"/>
      <c r="F8130" s="1068"/>
      <c r="G8130" s="946"/>
      <c r="H8130" s="1031"/>
      <c r="I8130" s="948"/>
    </row>
    <row r="8131" spans="3:9" ht="15.75">
      <c r="C8131" s="945" t="s">
        <v>919</v>
      </c>
      <c r="D8131" s="946"/>
      <c r="E8131" s="947"/>
      <c r="F8131" s="1068"/>
      <c r="G8131" s="946"/>
      <c r="H8131" s="1031"/>
      <c r="I8131" s="948"/>
    </row>
    <row r="8132" spans="3:9" ht="15.75">
      <c r="C8132" s="949" t="s">
        <v>924</v>
      </c>
      <c r="D8132" s="953"/>
      <c r="E8132" s="954" t="str">
        <f>+VLOOKUP(C8132,'Basic (equilibrio) (2)'!B:D,2,FALSE)</f>
        <v>n/a</v>
      </c>
      <c r="F8132" s="1068">
        <f>+VLOOKUP(C8132,'Basic (equilibrio) (2)'!B:D,3,FALSE)</f>
        <v>0</v>
      </c>
      <c r="G8132" s="946">
        <v>0</v>
      </c>
      <c r="H8132" s="1031"/>
      <c r="I8132" s="948">
        <f>(D8132*F8132)</f>
        <v>0</v>
      </c>
    </row>
    <row r="8133" spans="3:9" ht="15.75">
      <c r="C8133" s="951" t="s">
        <v>918</v>
      </c>
      <c r="D8133" s="946"/>
      <c r="E8133" s="947"/>
      <c r="F8133" s="1054"/>
      <c r="G8133" s="946"/>
      <c r="H8133" s="1031"/>
      <c r="I8133" s="952">
        <f>SUM(I8132:I8132)</f>
        <v>0</v>
      </c>
    </row>
    <row r="8134" spans="3:9" ht="15.75">
      <c r="C8134" s="949"/>
      <c r="D8134" s="946"/>
      <c r="E8134" s="947"/>
      <c r="F8134" s="1054"/>
      <c r="G8134" s="946"/>
      <c r="H8134" s="1031"/>
      <c r="I8134" s="948"/>
    </row>
    <row r="8135" spans="3:9" ht="15.75">
      <c r="C8135" s="945" t="s">
        <v>923</v>
      </c>
      <c r="D8135" s="946"/>
      <c r="E8135" s="947"/>
      <c r="F8135" s="1054"/>
      <c r="G8135" s="946"/>
      <c r="H8135" s="1031"/>
      <c r="I8135" s="948"/>
    </row>
    <row r="8136" spans="3:9" ht="15.75">
      <c r="C8136" s="949" t="s">
        <v>924</v>
      </c>
      <c r="D8136" s="946"/>
      <c r="E8136" s="947" t="str">
        <f>+VLOOKUP(C8136,'Basic (equilibrio) (2)'!B:D,2,FALSE)</f>
        <v>n/a</v>
      </c>
      <c r="F8136" s="1054">
        <f>+VLOOKUP(C8136,'Basic (equilibrio) (2)'!B:D,3,FALSE)</f>
        <v>0</v>
      </c>
      <c r="G8136" s="946">
        <f>F8136-(F8136/1.18)</f>
        <v>0</v>
      </c>
      <c r="H8136" s="1039"/>
      <c r="I8136" s="955">
        <f>D8136*F8136</f>
        <v>0</v>
      </c>
    </row>
    <row r="8137" spans="3:9" ht="15.75">
      <c r="C8137" s="951" t="s">
        <v>918</v>
      </c>
      <c r="D8137" s="946"/>
      <c r="E8137" s="947"/>
      <c r="F8137" s="1054"/>
      <c r="G8137" s="946"/>
      <c r="H8137" s="1031"/>
      <c r="I8137" s="952">
        <f>SUM(I8136:I8136)</f>
        <v>0</v>
      </c>
    </row>
    <row r="8138" spans="3:9" ht="15.75">
      <c r="C8138" s="949"/>
      <c r="D8138" s="946"/>
      <c r="E8138" s="947"/>
      <c r="F8138" s="1054"/>
      <c r="G8138" s="946"/>
      <c r="H8138" s="1031"/>
      <c r="I8138" s="948"/>
    </row>
    <row r="8139" spans="3:9" ht="15.75">
      <c r="C8139" s="945" t="s">
        <v>925</v>
      </c>
      <c r="D8139" s="946"/>
      <c r="E8139" s="947"/>
      <c r="F8139" s="1054"/>
      <c r="G8139" s="946"/>
      <c r="H8139" s="1031"/>
      <c r="I8139" s="948"/>
    </row>
    <row r="8140" spans="3:9" ht="15.75">
      <c r="C8140" s="949" t="s">
        <v>924</v>
      </c>
      <c r="D8140" s="946"/>
      <c r="E8140" s="947" t="str">
        <f>+VLOOKUP(C8140,'Basic (equilibrio) (2)'!B:D,2,FALSE)</f>
        <v>n/a</v>
      </c>
      <c r="F8140" s="1054">
        <f>+VLOOKUP(C8140,'Basic (equilibrio) (2)'!B:D,3,FALSE)</f>
        <v>0</v>
      </c>
      <c r="G8140" s="946"/>
      <c r="H8140" s="1031"/>
      <c r="I8140" s="948">
        <f>D8140*F8140</f>
        <v>0</v>
      </c>
    </row>
    <row r="8141" spans="3:9" ht="15.75">
      <c r="C8141" s="951" t="s">
        <v>918</v>
      </c>
      <c r="D8141" s="946"/>
      <c r="E8141" s="947"/>
      <c r="F8141" s="1054"/>
      <c r="G8141" s="946"/>
      <c r="H8141" s="1031"/>
      <c r="I8141" s="952">
        <f>SUM(I8140)</f>
        <v>0</v>
      </c>
    </row>
    <row r="8142" spans="3:9" ht="15.75">
      <c r="C8142" s="951"/>
      <c r="D8142" s="946"/>
      <c r="E8142" s="947"/>
      <c r="F8142" s="1054"/>
      <c r="G8142" s="946"/>
      <c r="H8142" s="1031"/>
      <c r="I8142" s="952"/>
    </row>
    <row r="8143" spans="3:9" ht="15.75">
      <c r="C8143" s="956" t="s">
        <v>926</v>
      </c>
      <c r="D8143" s="957"/>
      <c r="E8143" s="958"/>
      <c r="F8143" s="1069"/>
      <c r="G8143" s="957"/>
      <c r="H8143" s="1032"/>
      <c r="I8143" s="959">
        <f>+I8129</f>
        <v>2856</v>
      </c>
    </row>
    <row r="8144" spans="3:9" ht="15.75">
      <c r="C8144" s="956" t="s">
        <v>927</v>
      </c>
      <c r="D8144" s="957"/>
      <c r="E8144" s="958"/>
      <c r="F8144" s="1069"/>
      <c r="G8144" s="957"/>
      <c r="H8144" s="1032"/>
      <c r="I8144" s="959">
        <f>+I8133</f>
        <v>0</v>
      </c>
    </row>
    <row r="8145" spans="2:9" ht="15.75">
      <c r="C8145" s="956" t="s">
        <v>928</v>
      </c>
      <c r="D8145" s="957"/>
      <c r="E8145" s="958"/>
      <c r="F8145" s="1069"/>
      <c r="G8145" s="957"/>
      <c r="H8145" s="1032"/>
      <c r="I8145" s="959">
        <f>+I8137</f>
        <v>0</v>
      </c>
    </row>
    <row r="8146" spans="2:9" ht="15.75">
      <c r="C8146" s="956" t="s">
        <v>929</v>
      </c>
      <c r="D8146" s="957"/>
      <c r="E8146" s="958"/>
      <c r="F8146" s="1069"/>
      <c r="G8146" s="957"/>
      <c r="H8146" s="1032"/>
      <c r="I8146" s="959">
        <f>+I8141</f>
        <v>0</v>
      </c>
    </row>
    <row r="8147" spans="2:9" ht="15.75">
      <c r="C8147" s="949"/>
      <c r="D8147" s="946"/>
      <c r="E8147" s="947"/>
      <c r="F8147" s="1054"/>
      <c r="G8147" s="946"/>
      <c r="H8147" s="1031"/>
      <c r="I8147" s="948"/>
    </row>
    <row r="8148" spans="2:9" ht="15.75">
      <c r="C8148" s="951" t="s">
        <v>930</v>
      </c>
      <c r="D8148" s="960"/>
      <c r="E8148" s="975" t="str">
        <f>+E8125</f>
        <v>pie</v>
      </c>
      <c r="F8148" s="1070"/>
      <c r="G8148" s="960"/>
      <c r="H8148" s="1033"/>
      <c r="I8148" s="952">
        <f>SUM(I8143:I8146)</f>
        <v>2856</v>
      </c>
    </row>
    <row r="8149" spans="2:9" ht="15.75">
      <c r="C8149" s="951"/>
      <c r="D8149" s="960"/>
      <c r="E8149" s="943"/>
      <c r="F8149" s="1070"/>
      <c r="G8149" s="960"/>
      <c r="H8149" s="1033"/>
      <c r="I8149" s="952"/>
    </row>
    <row r="8150" spans="2:9" ht="15.75">
      <c r="B8150" s="1063">
        <v>13.3</v>
      </c>
      <c r="C8150" s="937" t="str">
        <f>+Presupuesto!B484</f>
        <v>Muros de apoyo para tope de granito</v>
      </c>
      <c r="D8150" s="938"/>
      <c r="E8150" s="962" t="s">
        <v>1109</v>
      </c>
      <c r="F8150" s="1066"/>
      <c r="G8150" s="938"/>
      <c r="H8150" s="1029"/>
      <c r="I8150" s="940">
        <f>+I8173</f>
        <v>4500</v>
      </c>
    </row>
    <row r="8151" spans="2:9" ht="15.75">
      <c r="C8151" s="941" t="s">
        <v>908</v>
      </c>
      <c r="D8151" s="942" t="s">
        <v>9</v>
      </c>
      <c r="E8151" s="943" t="s">
        <v>10</v>
      </c>
      <c r="F8151" s="1067" t="s">
        <v>909</v>
      </c>
      <c r="G8151" s="942" t="s">
        <v>910</v>
      </c>
      <c r="H8151" s="1030" t="s">
        <v>911</v>
      </c>
      <c r="I8151" s="944" t="s">
        <v>912</v>
      </c>
    </row>
    <row r="8152" spans="2:9" ht="15.75">
      <c r="C8152" s="945" t="s">
        <v>913</v>
      </c>
      <c r="D8152" s="946"/>
      <c r="E8152" s="947"/>
      <c r="F8152" s="1054"/>
      <c r="G8152" s="946"/>
      <c r="H8152" s="1031"/>
      <c r="I8152" s="948"/>
    </row>
    <row r="8153" spans="2:9" ht="15.75">
      <c r="C8153" s="949" t="s">
        <v>1636</v>
      </c>
      <c r="D8153" s="946">
        <v>1</v>
      </c>
      <c r="E8153" s="947" t="str">
        <f>+VLOOKUP(C8153,'Basic (equilibrio) (2)'!B:D,2,FALSE)</f>
        <v>P.A.</v>
      </c>
      <c r="F8153" s="1068">
        <f>'Basic (equilibrio) (2)'!$D$250</f>
        <v>4500</v>
      </c>
      <c r="G8153" s="946">
        <f>F8153-(F8153/1.18)</f>
        <v>686.44</v>
      </c>
      <c r="H8153" s="1031"/>
      <c r="I8153" s="948">
        <f>D8153*F8153</f>
        <v>4500</v>
      </c>
    </row>
    <row r="8154" spans="2:9" ht="15.75">
      <c r="C8154" s="951" t="s">
        <v>918</v>
      </c>
      <c r="D8154" s="946"/>
      <c r="E8154" s="947"/>
      <c r="F8154" s="1068"/>
      <c r="G8154" s="946"/>
      <c r="H8154" s="1031"/>
      <c r="I8154" s="952">
        <f>SUM(I8153:I8153)</f>
        <v>4500</v>
      </c>
    </row>
    <row r="8155" spans="2:9" ht="15.75">
      <c r="C8155" s="949"/>
      <c r="D8155" s="946"/>
      <c r="E8155" s="947"/>
      <c r="F8155" s="1068"/>
      <c r="G8155" s="946"/>
      <c r="H8155" s="1031"/>
      <c r="I8155" s="948"/>
    </row>
    <row r="8156" spans="2:9" ht="15.75">
      <c r="C8156" s="945" t="s">
        <v>919</v>
      </c>
      <c r="D8156" s="946"/>
      <c r="E8156" s="947"/>
      <c r="F8156" s="1068"/>
      <c r="G8156" s="946"/>
      <c r="H8156" s="1031"/>
      <c r="I8156" s="948"/>
    </row>
    <row r="8157" spans="2:9" ht="15.75">
      <c r="C8157" s="949" t="s">
        <v>924</v>
      </c>
      <c r="D8157" s="953"/>
      <c r="E8157" s="954" t="str">
        <f>+VLOOKUP(C8157,'Basic (equilibrio) (2)'!B:D,2,FALSE)</f>
        <v>n/a</v>
      </c>
      <c r="F8157" s="1068">
        <f>+VLOOKUP(C8157,'Basic (equilibrio) (2)'!B:D,3,FALSE)</f>
        <v>0</v>
      </c>
      <c r="G8157" s="946">
        <v>0</v>
      </c>
      <c r="H8157" s="1031"/>
      <c r="I8157" s="948">
        <f>(D8157*F8157)</f>
        <v>0</v>
      </c>
    </row>
    <row r="8158" spans="2:9" ht="15.75">
      <c r="C8158" s="951" t="s">
        <v>918</v>
      </c>
      <c r="D8158" s="946"/>
      <c r="E8158" s="947"/>
      <c r="F8158" s="1054"/>
      <c r="G8158" s="946"/>
      <c r="H8158" s="1031"/>
      <c r="I8158" s="952">
        <f>SUM(I8157:I8157)</f>
        <v>0</v>
      </c>
    </row>
    <row r="8159" spans="2:9" ht="15.75">
      <c r="C8159" s="949"/>
      <c r="D8159" s="946"/>
      <c r="E8159" s="947"/>
      <c r="F8159" s="1054"/>
      <c r="G8159" s="946"/>
      <c r="H8159" s="1031"/>
      <c r="I8159" s="948"/>
    </row>
    <row r="8160" spans="2:9" ht="15.75">
      <c r="C8160" s="945" t="s">
        <v>923</v>
      </c>
      <c r="D8160" s="946"/>
      <c r="E8160" s="947"/>
      <c r="F8160" s="1054"/>
      <c r="G8160" s="946"/>
      <c r="H8160" s="1031"/>
      <c r="I8160" s="948"/>
    </row>
    <row r="8161" spans="2:9" ht="15.75">
      <c r="C8161" s="949" t="s">
        <v>924</v>
      </c>
      <c r="D8161" s="946"/>
      <c r="E8161" s="947" t="str">
        <f>+VLOOKUP(C8161,'Basic (equilibrio) (2)'!B:D,2,FALSE)</f>
        <v>n/a</v>
      </c>
      <c r="F8161" s="1054">
        <f>+VLOOKUP(C8161,'Basic (equilibrio) (2)'!B:D,3,FALSE)</f>
        <v>0</v>
      </c>
      <c r="G8161" s="946">
        <f>F8161-(F8161/1.18)</f>
        <v>0</v>
      </c>
      <c r="H8161" s="1039"/>
      <c r="I8161" s="955">
        <f>D8161*F8161</f>
        <v>0</v>
      </c>
    </row>
    <row r="8162" spans="2:9" ht="15.75">
      <c r="C8162" s="951" t="s">
        <v>918</v>
      </c>
      <c r="D8162" s="946"/>
      <c r="E8162" s="947"/>
      <c r="F8162" s="1054"/>
      <c r="G8162" s="946"/>
      <c r="H8162" s="1031"/>
      <c r="I8162" s="952">
        <f>SUM(I8161:I8161)</f>
        <v>0</v>
      </c>
    </row>
    <row r="8163" spans="2:9" ht="15.75">
      <c r="C8163" s="949"/>
      <c r="D8163" s="946"/>
      <c r="E8163" s="947"/>
      <c r="F8163" s="1054"/>
      <c r="G8163" s="946"/>
      <c r="H8163" s="1031"/>
      <c r="I8163" s="948"/>
    </row>
    <row r="8164" spans="2:9" ht="15.75">
      <c r="C8164" s="945" t="s">
        <v>925</v>
      </c>
      <c r="D8164" s="946"/>
      <c r="E8164" s="947"/>
      <c r="F8164" s="1054"/>
      <c r="G8164" s="946"/>
      <c r="H8164" s="1031"/>
      <c r="I8164" s="948"/>
    </row>
    <row r="8165" spans="2:9" ht="15.75">
      <c r="C8165" s="949" t="s">
        <v>924</v>
      </c>
      <c r="D8165" s="946"/>
      <c r="E8165" s="947" t="str">
        <f>+VLOOKUP(C8165,'Basic (equilibrio) (2)'!B:D,2,FALSE)</f>
        <v>n/a</v>
      </c>
      <c r="F8165" s="1054">
        <f>+VLOOKUP(C8165,'Basic (equilibrio) (2)'!B:D,3,FALSE)</f>
        <v>0</v>
      </c>
      <c r="G8165" s="946"/>
      <c r="H8165" s="1031"/>
      <c r="I8165" s="948">
        <f>D8165*F8165</f>
        <v>0</v>
      </c>
    </row>
    <row r="8166" spans="2:9" ht="15.75">
      <c r="C8166" s="951" t="s">
        <v>918</v>
      </c>
      <c r="D8166" s="946"/>
      <c r="E8166" s="947"/>
      <c r="F8166" s="1054"/>
      <c r="G8166" s="946"/>
      <c r="H8166" s="1031"/>
      <c r="I8166" s="952">
        <f>SUM(I8165)</f>
        <v>0</v>
      </c>
    </row>
    <row r="8167" spans="2:9" ht="15.75">
      <c r="C8167" s="951"/>
      <c r="D8167" s="946"/>
      <c r="E8167" s="947"/>
      <c r="F8167" s="1054"/>
      <c r="G8167" s="946"/>
      <c r="H8167" s="1031"/>
      <c r="I8167" s="952"/>
    </row>
    <row r="8168" spans="2:9" ht="15.75">
      <c r="C8168" s="956" t="s">
        <v>926</v>
      </c>
      <c r="D8168" s="957"/>
      <c r="E8168" s="958"/>
      <c r="F8168" s="1069"/>
      <c r="G8168" s="957"/>
      <c r="H8168" s="1032"/>
      <c r="I8168" s="959">
        <f>+I8154</f>
        <v>4500</v>
      </c>
    </row>
    <row r="8169" spans="2:9" ht="15.75">
      <c r="C8169" s="956" t="s">
        <v>927</v>
      </c>
      <c r="D8169" s="957"/>
      <c r="E8169" s="958"/>
      <c r="F8169" s="1069"/>
      <c r="G8169" s="957"/>
      <c r="H8169" s="1032"/>
      <c r="I8169" s="959">
        <f>+I8158</f>
        <v>0</v>
      </c>
    </row>
    <row r="8170" spans="2:9" ht="15.75">
      <c r="C8170" s="956" t="s">
        <v>928</v>
      </c>
      <c r="D8170" s="957"/>
      <c r="E8170" s="958"/>
      <c r="F8170" s="1069"/>
      <c r="G8170" s="957"/>
      <c r="H8170" s="1032"/>
      <c r="I8170" s="959">
        <f>+I8162</f>
        <v>0</v>
      </c>
    </row>
    <row r="8171" spans="2:9" ht="15.75">
      <c r="C8171" s="956" t="s">
        <v>929</v>
      </c>
      <c r="D8171" s="957"/>
      <c r="E8171" s="958"/>
      <c r="F8171" s="1069"/>
      <c r="G8171" s="957"/>
      <c r="H8171" s="1032"/>
      <c r="I8171" s="959">
        <f>+I8166</f>
        <v>0</v>
      </c>
    </row>
    <row r="8172" spans="2:9" ht="15.75">
      <c r="C8172" s="949"/>
      <c r="D8172" s="946"/>
      <c r="E8172" s="947"/>
      <c r="F8172" s="1054"/>
      <c r="G8172" s="946"/>
      <c r="H8172" s="1031"/>
      <c r="I8172" s="948"/>
    </row>
    <row r="8173" spans="2:9" ht="15.75">
      <c r="C8173" s="951" t="s">
        <v>930</v>
      </c>
      <c r="D8173" s="960"/>
      <c r="E8173" s="975" t="str">
        <f>+E8150</f>
        <v>P.a</v>
      </c>
      <c r="F8173" s="1070"/>
      <c r="G8173" s="960"/>
      <c r="H8173" s="1033"/>
      <c r="I8173" s="952">
        <f>SUM(I8168:I8171)</f>
        <v>4500</v>
      </c>
    </row>
    <row r="8174" spans="2:9" ht="15.75">
      <c r="C8174" s="951"/>
      <c r="D8174" s="960"/>
      <c r="E8174" s="943"/>
      <c r="F8174" s="1070"/>
      <c r="G8174" s="960"/>
      <c r="H8174" s="1033"/>
      <c r="I8174" s="952"/>
    </row>
    <row r="8175" spans="2:9" ht="15.75">
      <c r="B8175" s="1063">
        <v>13.4</v>
      </c>
      <c r="C8175" s="937" t="str">
        <f>+Presupuesto!B485</f>
        <v>Tope de marmolite en cocina</v>
      </c>
      <c r="D8175" s="938"/>
      <c r="E8175" s="962" t="str">
        <f>+Presupuesto!D485</f>
        <v>Pies</v>
      </c>
      <c r="F8175" s="1066"/>
      <c r="G8175" s="938"/>
      <c r="H8175" s="1029"/>
      <c r="I8175" s="940">
        <f>+I8198</f>
        <v>1300</v>
      </c>
    </row>
    <row r="8176" spans="2:9" ht="15.75">
      <c r="C8176" s="941" t="s">
        <v>908</v>
      </c>
      <c r="D8176" s="942" t="s">
        <v>9</v>
      </c>
      <c r="E8176" s="943" t="s">
        <v>10</v>
      </c>
      <c r="F8176" s="1067" t="s">
        <v>909</v>
      </c>
      <c r="G8176" s="942" t="s">
        <v>910</v>
      </c>
      <c r="H8176" s="1030" t="s">
        <v>911</v>
      </c>
      <c r="I8176" s="944" t="s">
        <v>912</v>
      </c>
    </row>
    <row r="8177" spans="3:9" ht="15.75">
      <c r="C8177" s="945" t="s">
        <v>913</v>
      </c>
      <c r="D8177" s="946"/>
      <c r="E8177" s="947"/>
      <c r="F8177" s="1054"/>
      <c r="G8177" s="946"/>
      <c r="H8177" s="1031"/>
      <c r="I8177" s="948"/>
    </row>
    <row r="8178" spans="3:9" ht="15.75">
      <c r="C8178" s="949" t="s">
        <v>1637</v>
      </c>
      <c r="D8178" s="946">
        <v>1</v>
      </c>
      <c r="E8178" s="947" t="str">
        <f>+VLOOKUP(C8178,'Basic (equilibrio) (2)'!B:D,2,FALSE)</f>
        <v>Pies</v>
      </c>
      <c r="F8178" s="1068">
        <f>'Basic (equilibrio) (2)'!$D$251</f>
        <v>1300</v>
      </c>
      <c r="G8178" s="946">
        <f>F8178-(F8178/1.18)</f>
        <v>198.31</v>
      </c>
      <c r="H8178" s="1031"/>
      <c r="I8178" s="948">
        <f>D8178*F8178</f>
        <v>1300</v>
      </c>
    </row>
    <row r="8179" spans="3:9" ht="15.75">
      <c r="C8179" s="951" t="s">
        <v>918</v>
      </c>
      <c r="D8179" s="946"/>
      <c r="E8179" s="947"/>
      <c r="F8179" s="1068"/>
      <c r="G8179" s="946"/>
      <c r="H8179" s="1031"/>
      <c r="I8179" s="952">
        <f>SUM(I8178:I8178)</f>
        <v>1300</v>
      </c>
    </row>
    <row r="8180" spans="3:9" ht="15.75">
      <c r="C8180" s="949"/>
      <c r="D8180" s="946"/>
      <c r="E8180" s="947"/>
      <c r="F8180" s="1068"/>
      <c r="G8180" s="946"/>
      <c r="H8180" s="1031"/>
      <c r="I8180" s="948"/>
    </row>
    <row r="8181" spans="3:9" ht="15.75">
      <c r="C8181" s="945" t="s">
        <v>919</v>
      </c>
      <c r="D8181" s="946"/>
      <c r="E8181" s="947"/>
      <c r="F8181" s="1068"/>
      <c r="G8181" s="946"/>
      <c r="H8181" s="1031"/>
      <c r="I8181" s="948"/>
    </row>
    <row r="8182" spans="3:9" ht="15.75">
      <c r="C8182" s="949" t="s">
        <v>924</v>
      </c>
      <c r="D8182" s="953"/>
      <c r="E8182" s="954" t="str">
        <f>+VLOOKUP(C8182,'Basic (equilibrio) (2)'!B:D,2,FALSE)</f>
        <v>n/a</v>
      </c>
      <c r="F8182" s="1068">
        <f>+VLOOKUP(C8182,'Basic (equilibrio) (2)'!B:D,3,FALSE)</f>
        <v>0</v>
      </c>
      <c r="G8182" s="946">
        <v>0</v>
      </c>
      <c r="H8182" s="1031"/>
      <c r="I8182" s="948">
        <f>(D8182*F8182)</f>
        <v>0</v>
      </c>
    </row>
    <row r="8183" spans="3:9" ht="15.75">
      <c r="C8183" s="951" t="s">
        <v>918</v>
      </c>
      <c r="D8183" s="946"/>
      <c r="E8183" s="947"/>
      <c r="F8183" s="1054"/>
      <c r="G8183" s="946"/>
      <c r="H8183" s="1031"/>
      <c r="I8183" s="952">
        <f>SUM(I8182:I8182)</f>
        <v>0</v>
      </c>
    </row>
    <row r="8184" spans="3:9" ht="15.75">
      <c r="C8184" s="949"/>
      <c r="D8184" s="946"/>
      <c r="E8184" s="947"/>
      <c r="F8184" s="1054"/>
      <c r="G8184" s="946"/>
      <c r="H8184" s="1031"/>
      <c r="I8184" s="948"/>
    </row>
    <row r="8185" spans="3:9" ht="15.75">
      <c r="C8185" s="945" t="s">
        <v>923</v>
      </c>
      <c r="D8185" s="946"/>
      <c r="E8185" s="947"/>
      <c r="F8185" s="1054"/>
      <c r="G8185" s="946"/>
      <c r="H8185" s="1031"/>
      <c r="I8185" s="948"/>
    </row>
    <row r="8186" spans="3:9" ht="15.75">
      <c r="C8186" s="949" t="s">
        <v>924</v>
      </c>
      <c r="D8186" s="946"/>
      <c r="E8186" s="947" t="str">
        <f>+VLOOKUP(C8186,'Basic (equilibrio) (2)'!B:D,2,FALSE)</f>
        <v>n/a</v>
      </c>
      <c r="F8186" s="1054">
        <f>+VLOOKUP(C8186,'Basic (equilibrio) (2)'!B:D,3,FALSE)</f>
        <v>0</v>
      </c>
      <c r="G8186" s="946">
        <f>F8186-(F8186/1.18)</f>
        <v>0</v>
      </c>
      <c r="H8186" s="1039"/>
      <c r="I8186" s="955">
        <f>D8186*F8186</f>
        <v>0</v>
      </c>
    </row>
    <row r="8187" spans="3:9" ht="15.75">
      <c r="C8187" s="951" t="s">
        <v>918</v>
      </c>
      <c r="D8187" s="946"/>
      <c r="E8187" s="947"/>
      <c r="F8187" s="1054"/>
      <c r="G8187" s="946"/>
      <c r="H8187" s="1031"/>
      <c r="I8187" s="952">
        <f>SUM(I8186:I8186)</f>
        <v>0</v>
      </c>
    </row>
    <row r="8188" spans="3:9" ht="15.75">
      <c r="C8188" s="949"/>
      <c r="D8188" s="946"/>
      <c r="E8188" s="947"/>
      <c r="F8188" s="1054"/>
      <c r="G8188" s="946"/>
      <c r="H8188" s="1031"/>
      <c r="I8188" s="948"/>
    </row>
    <row r="8189" spans="3:9" ht="15.75">
      <c r="C8189" s="945" t="s">
        <v>925</v>
      </c>
      <c r="D8189" s="946"/>
      <c r="E8189" s="947"/>
      <c r="F8189" s="1054"/>
      <c r="G8189" s="946"/>
      <c r="H8189" s="1031"/>
      <c r="I8189" s="948"/>
    </row>
    <row r="8190" spans="3:9" ht="15.75">
      <c r="C8190" s="949" t="s">
        <v>924</v>
      </c>
      <c r="D8190" s="946"/>
      <c r="E8190" s="947" t="str">
        <f>+VLOOKUP(C8190,'Basic (equilibrio) (2)'!B:D,2,FALSE)</f>
        <v>n/a</v>
      </c>
      <c r="F8190" s="1054">
        <f>+VLOOKUP(C8190,'Basic (equilibrio) (2)'!B:D,3,FALSE)</f>
        <v>0</v>
      </c>
      <c r="G8190" s="946"/>
      <c r="H8190" s="1031"/>
      <c r="I8190" s="948">
        <f>D8190*F8190</f>
        <v>0</v>
      </c>
    </row>
    <row r="8191" spans="3:9" ht="15.75">
      <c r="C8191" s="951" t="s">
        <v>918</v>
      </c>
      <c r="D8191" s="946"/>
      <c r="E8191" s="947"/>
      <c r="F8191" s="1054"/>
      <c r="G8191" s="946"/>
      <c r="H8191" s="1031"/>
      <c r="I8191" s="952">
        <f>SUM(I8190)</f>
        <v>0</v>
      </c>
    </row>
    <row r="8192" spans="3:9" ht="15.75">
      <c r="C8192" s="951"/>
      <c r="D8192" s="946"/>
      <c r="E8192" s="947"/>
      <c r="F8192" s="1054"/>
      <c r="G8192" s="946"/>
      <c r="H8192" s="1031"/>
      <c r="I8192" s="952"/>
    </row>
    <row r="8193" spans="2:9" ht="15.75">
      <c r="C8193" s="956" t="s">
        <v>926</v>
      </c>
      <c r="D8193" s="957"/>
      <c r="E8193" s="958"/>
      <c r="F8193" s="1069"/>
      <c r="G8193" s="957"/>
      <c r="H8193" s="1032"/>
      <c r="I8193" s="959">
        <f>+I8179</f>
        <v>1300</v>
      </c>
    </row>
    <row r="8194" spans="2:9" ht="15.75">
      <c r="C8194" s="956" t="s">
        <v>927</v>
      </c>
      <c r="D8194" s="957"/>
      <c r="E8194" s="958"/>
      <c r="F8194" s="1069"/>
      <c r="G8194" s="957"/>
      <c r="H8194" s="1032"/>
      <c r="I8194" s="959">
        <f>+I8183</f>
        <v>0</v>
      </c>
    </row>
    <row r="8195" spans="2:9" ht="15.75">
      <c r="C8195" s="956" t="s">
        <v>928</v>
      </c>
      <c r="D8195" s="957"/>
      <c r="E8195" s="958"/>
      <c r="F8195" s="1069"/>
      <c r="G8195" s="957"/>
      <c r="H8195" s="1032"/>
      <c r="I8195" s="959">
        <f>+I8187</f>
        <v>0</v>
      </c>
    </row>
    <row r="8196" spans="2:9" ht="15.75">
      <c r="C8196" s="956" t="s">
        <v>929</v>
      </c>
      <c r="D8196" s="957"/>
      <c r="E8196" s="958"/>
      <c r="F8196" s="1069"/>
      <c r="G8196" s="957"/>
      <c r="H8196" s="1032"/>
      <c r="I8196" s="959">
        <f>+I8191</f>
        <v>0</v>
      </c>
    </row>
    <row r="8197" spans="2:9" ht="15.75">
      <c r="C8197" s="949"/>
      <c r="D8197" s="946"/>
      <c r="E8197" s="947"/>
      <c r="F8197" s="1054"/>
      <c r="G8197" s="946"/>
      <c r="H8197" s="1031"/>
      <c r="I8197" s="948"/>
    </row>
    <row r="8198" spans="2:9" ht="15.75">
      <c r="C8198" s="951" t="s">
        <v>930</v>
      </c>
      <c r="D8198" s="960"/>
      <c r="E8198" s="975" t="str">
        <f>+E8175</f>
        <v>Pies</v>
      </c>
      <c r="F8198" s="1070"/>
      <c r="G8198" s="960"/>
      <c r="H8198" s="1033"/>
      <c r="I8198" s="952">
        <f>SUM(I8193:I8196)</f>
        <v>1300</v>
      </c>
    </row>
    <row r="8199" spans="2:9" ht="15.75">
      <c r="C8199" s="951"/>
      <c r="D8199" s="960"/>
      <c r="E8199" s="943"/>
      <c r="F8199" s="1070"/>
      <c r="G8199" s="960"/>
      <c r="H8199" s="1033"/>
      <c r="I8199" s="952"/>
    </row>
    <row r="8200" spans="2:9" ht="15.75">
      <c r="B8200" s="1026">
        <v>14.1</v>
      </c>
      <c r="C8200" s="937" t="str">
        <f>+Presupuesto!B488</f>
        <v>Acrílica en muros interiores</v>
      </c>
      <c r="D8200" s="938"/>
      <c r="E8200" s="962" t="s">
        <v>20</v>
      </c>
      <c r="F8200" s="1066"/>
      <c r="G8200" s="938"/>
      <c r="H8200" s="1029"/>
      <c r="I8200" s="940">
        <f>+I8225</f>
        <v>168.48</v>
      </c>
    </row>
    <row r="8201" spans="2:9" ht="15.75">
      <c r="C8201" s="941" t="s">
        <v>908</v>
      </c>
      <c r="D8201" s="942" t="s">
        <v>9</v>
      </c>
      <c r="E8201" s="943" t="s">
        <v>10</v>
      </c>
      <c r="F8201" s="1067" t="s">
        <v>909</v>
      </c>
      <c r="G8201" s="942" t="s">
        <v>910</v>
      </c>
      <c r="H8201" s="1030" t="s">
        <v>911</v>
      </c>
      <c r="I8201" s="944" t="s">
        <v>912</v>
      </c>
    </row>
    <row r="8202" spans="2:9" ht="15.75">
      <c r="C8202" s="945" t="s">
        <v>913</v>
      </c>
      <c r="D8202" s="946"/>
      <c r="E8202" s="947"/>
      <c r="F8202" s="1054"/>
      <c r="G8202" s="946"/>
      <c r="H8202" s="1031"/>
      <c r="I8202" s="948"/>
    </row>
    <row r="8203" spans="2:9" ht="15.75">
      <c r="C8203" s="949" t="s">
        <v>1208</v>
      </c>
      <c r="D8203" s="946">
        <v>0.08</v>
      </c>
      <c r="E8203" s="947" t="s">
        <v>1183</v>
      </c>
      <c r="F8203" s="1068">
        <f>'Basic (equilibrio) (2)'!$D$311</f>
        <v>963.5</v>
      </c>
      <c r="G8203" s="946">
        <f>F8203-(F8203/1.18)</f>
        <v>146.97</v>
      </c>
      <c r="H8203" s="1031"/>
      <c r="I8203" s="948">
        <f>D8203*F8203</f>
        <v>77.08</v>
      </c>
    </row>
    <row r="8204" spans="2:9" ht="15.75">
      <c r="C8204" s="949" t="s">
        <v>1209</v>
      </c>
      <c r="D8204" s="946">
        <v>82</v>
      </c>
      <c r="E8204" s="947" t="s">
        <v>1025</v>
      </c>
      <c r="F8204" s="1068">
        <v>0.2</v>
      </c>
      <c r="G8204" s="946">
        <f>F8204-(F8204/1.18)</f>
        <v>0.03</v>
      </c>
      <c r="H8204" s="1031"/>
      <c r="I8204" s="948">
        <f>D8204*F8204</f>
        <v>16.399999999999999</v>
      </c>
    </row>
    <row r="8205" spans="2:9" ht="15.75">
      <c r="C8205" s="951" t="s">
        <v>918</v>
      </c>
      <c r="D8205" s="946"/>
      <c r="E8205" s="947"/>
      <c r="F8205" s="1068"/>
      <c r="G8205" s="946"/>
      <c r="H8205" s="1031"/>
      <c r="I8205" s="952">
        <f>SUM(I8203:I8204)</f>
        <v>93.48</v>
      </c>
    </row>
    <row r="8206" spans="2:9" ht="15.75">
      <c r="C8206" s="949"/>
      <c r="D8206" s="946"/>
      <c r="E8206" s="947"/>
      <c r="F8206" s="1068"/>
      <c r="G8206" s="946"/>
      <c r="H8206" s="1031"/>
      <c r="I8206" s="948"/>
    </row>
    <row r="8207" spans="2:9" ht="15.75">
      <c r="C8207" s="945" t="s">
        <v>919</v>
      </c>
      <c r="D8207" s="946"/>
      <c r="E8207" s="947"/>
      <c r="F8207" s="1068"/>
      <c r="G8207" s="946"/>
      <c r="H8207" s="1031"/>
      <c r="I8207" s="948"/>
    </row>
    <row r="8208" spans="2:9" ht="15.75">
      <c r="C8208" s="949" t="s">
        <v>1083</v>
      </c>
      <c r="D8208" s="953">
        <v>1</v>
      </c>
      <c r="E8208" s="954" t="str">
        <f>+VLOOKUP(C8208,'Basic (equilibrio) (2)'!B:D,2,FALSE)</f>
        <v>m2</v>
      </c>
      <c r="F8208" s="1068">
        <f>'Basic (equilibrio) (2)'!$D$34</f>
        <v>10</v>
      </c>
      <c r="G8208" s="946">
        <v>0</v>
      </c>
      <c r="H8208" s="1031"/>
      <c r="I8208" s="948">
        <f>(D8208*F8208)</f>
        <v>10</v>
      </c>
    </row>
    <row r="8209" spans="3:9" ht="15.75">
      <c r="C8209" s="949" t="s">
        <v>1084</v>
      </c>
      <c r="D8209" s="953">
        <v>1</v>
      </c>
      <c r="E8209" s="954" t="str">
        <f>+VLOOKUP(C8209,'Basic (equilibrio) (2)'!B:D,2,FALSE)</f>
        <v>m2</v>
      </c>
      <c r="F8209" s="1068">
        <f>'Basic (equilibrio) (2)'!$D$35</f>
        <v>65</v>
      </c>
      <c r="G8209" s="946">
        <v>0</v>
      </c>
      <c r="H8209" s="1031"/>
      <c r="I8209" s="948">
        <f>(D8209*F8209)</f>
        <v>65</v>
      </c>
    </row>
    <row r="8210" spans="3:9" ht="15.75">
      <c r="C8210" s="951" t="s">
        <v>918</v>
      </c>
      <c r="D8210" s="946"/>
      <c r="E8210" s="947"/>
      <c r="F8210" s="1054"/>
      <c r="G8210" s="946"/>
      <c r="H8210" s="1031"/>
      <c r="I8210" s="952">
        <f>SUM(I8208:I8209)</f>
        <v>75</v>
      </c>
    </row>
    <row r="8211" spans="3:9" ht="15.75">
      <c r="C8211" s="949"/>
      <c r="D8211" s="946"/>
      <c r="E8211" s="947"/>
      <c r="F8211" s="1054"/>
      <c r="G8211" s="946"/>
      <c r="H8211" s="1031"/>
      <c r="I8211" s="948"/>
    </row>
    <row r="8212" spans="3:9" ht="15.75">
      <c r="C8212" s="945" t="s">
        <v>923</v>
      </c>
      <c r="D8212" s="946"/>
      <c r="E8212" s="947"/>
      <c r="F8212" s="1054"/>
      <c r="G8212" s="946"/>
      <c r="H8212" s="1031"/>
      <c r="I8212" s="948"/>
    </row>
    <row r="8213" spans="3:9" ht="15.75">
      <c r="C8213" s="949" t="s">
        <v>924</v>
      </c>
      <c r="D8213" s="946"/>
      <c r="E8213" s="947" t="str">
        <f>+VLOOKUP(C8213,'Basic (equilibrio) (2)'!B:D,2,FALSE)</f>
        <v>n/a</v>
      </c>
      <c r="F8213" s="1054">
        <f>+VLOOKUP(C8213,'Basic (equilibrio) (2)'!B:D,3,FALSE)</f>
        <v>0</v>
      </c>
      <c r="G8213" s="946">
        <f>F8213-(F8213/1.18)</f>
        <v>0</v>
      </c>
      <c r="H8213" s="1039"/>
      <c r="I8213" s="955">
        <f>D8213*F8213</f>
        <v>0</v>
      </c>
    </row>
    <row r="8214" spans="3:9" ht="15.75">
      <c r="C8214" s="951" t="s">
        <v>918</v>
      </c>
      <c r="D8214" s="946"/>
      <c r="E8214" s="947"/>
      <c r="F8214" s="1054"/>
      <c r="G8214" s="946"/>
      <c r="H8214" s="1031"/>
      <c r="I8214" s="952">
        <f>SUM(I8213:I8213)</f>
        <v>0</v>
      </c>
    </row>
    <row r="8215" spans="3:9" ht="15.75">
      <c r="C8215" s="949"/>
      <c r="D8215" s="946"/>
      <c r="E8215" s="947"/>
      <c r="F8215" s="1054"/>
      <c r="G8215" s="946"/>
      <c r="H8215" s="1031"/>
      <c r="I8215" s="948"/>
    </row>
    <row r="8216" spans="3:9" ht="15.75">
      <c r="C8216" s="945" t="s">
        <v>925</v>
      </c>
      <c r="D8216" s="946"/>
      <c r="E8216" s="947"/>
      <c r="F8216" s="1054"/>
      <c r="G8216" s="946"/>
      <c r="H8216" s="1031"/>
      <c r="I8216" s="948"/>
    </row>
    <row r="8217" spans="3:9" ht="15.75">
      <c r="C8217" s="949" t="s">
        <v>924</v>
      </c>
      <c r="D8217" s="946"/>
      <c r="E8217" s="947" t="str">
        <f>+VLOOKUP(C8217,'Basic (equilibrio) (2)'!B:D,2,FALSE)</f>
        <v>n/a</v>
      </c>
      <c r="F8217" s="1054">
        <f>+VLOOKUP(C8217,'Basic (equilibrio) (2)'!B:D,3,FALSE)</f>
        <v>0</v>
      </c>
      <c r="G8217" s="946"/>
      <c r="H8217" s="1031"/>
      <c r="I8217" s="948">
        <f>D8217*F8217</f>
        <v>0</v>
      </c>
    </row>
    <row r="8218" spans="3:9" ht="15.75">
      <c r="C8218" s="951" t="s">
        <v>918</v>
      </c>
      <c r="D8218" s="946"/>
      <c r="E8218" s="947"/>
      <c r="F8218" s="1054"/>
      <c r="G8218" s="946"/>
      <c r="H8218" s="1031"/>
      <c r="I8218" s="952">
        <f>SUM(I8217)</f>
        <v>0</v>
      </c>
    </row>
    <row r="8219" spans="3:9" ht="15.75">
      <c r="C8219" s="951"/>
      <c r="D8219" s="946"/>
      <c r="E8219" s="947"/>
      <c r="F8219" s="1054"/>
      <c r="G8219" s="946"/>
      <c r="H8219" s="1031"/>
      <c r="I8219" s="952"/>
    </row>
    <row r="8220" spans="3:9" ht="15.75">
      <c r="C8220" s="956" t="s">
        <v>926</v>
      </c>
      <c r="D8220" s="957"/>
      <c r="E8220" s="958"/>
      <c r="F8220" s="1069"/>
      <c r="G8220" s="957"/>
      <c r="H8220" s="1032"/>
      <c r="I8220" s="959">
        <f>+I8205</f>
        <v>93.48</v>
      </c>
    </row>
    <row r="8221" spans="3:9" ht="15.75">
      <c r="C8221" s="956" t="s">
        <v>927</v>
      </c>
      <c r="D8221" s="957"/>
      <c r="E8221" s="958"/>
      <c r="F8221" s="1069"/>
      <c r="G8221" s="957"/>
      <c r="H8221" s="1032"/>
      <c r="I8221" s="959">
        <f>+I8210</f>
        <v>75</v>
      </c>
    </row>
    <row r="8222" spans="3:9" ht="15.75">
      <c r="C8222" s="956" t="s">
        <v>928</v>
      </c>
      <c r="D8222" s="957"/>
      <c r="E8222" s="958"/>
      <c r="F8222" s="1069"/>
      <c r="G8222" s="957"/>
      <c r="H8222" s="1032"/>
      <c r="I8222" s="959">
        <f>+I8214</f>
        <v>0</v>
      </c>
    </row>
    <row r="8223" spans="3:9" ht="15.75">
      <c r="C8223" s="956" t="s">
        <v>929</v>
      </c>
      <c r="D8223" s="957"/>
      <c r="E8223" s="958"/>
      <c r="F8223" s="1069"/>
      <c r="G8223" s="957"/>
      <c r="H8223" s="1032"/>
      <c r="I8223" s="959">
        <f>+I8218</f>
        <v>0</v>
      </c>
    </row>
    <row r="8224" spans="3:9" ht="15.75">
      <c r="C8224" s="949"/>
      <c r="D8224" s="946"/>
      <c r="E8224" s="947"/>
      <c r="F8224" s="1054"/>
      <c r="G8224" s="946"/>
      <c r="H8224" s="1031"/>
      <c r="I8224" s="948"/>
    </row>
    <row r="8225" spans="2:9" ht="15.75">
      <c r="C8225" s="951" t="s">
        <v>930</v>
      </c>
      <c r="D8225" s="960"/>
      <c r="E8225" s="975" t="str">
        <f>+E8200</f>
        <v>M2</v>
      </c>
      <c r="F8225" s="1070"/>
      <c r="G8225" s="960"/>
      <c r="H8225" s="1033"/>
      <c r="I8225" s="952">
        <f>SUM(I8220:I8223)</f>
        <v>168.48</v>
      </c>
    </row>
    <row r="8226" spans="2:9" ht="15.75">
      <c r="C8226" s="951"/>
      <c r="D8226" s="960"/>
      <c r="E8226" s="943"/>
      <c r="F8226" s="1070"/>
      <c r="G8226" s="960"/>
      <c r="H8226" s="1033"/>
      <c r="I8226" s="952"/>
    </row>
    <row r="8227" spans="2:9" ht="15.75">
      <c r="B8227" s="1026">
        <v>14.2</v>
      </c>
      <c r="C8227" s="937" t="str">
        <f>+Presupuesto!B489</f>
        <v>Acrilica en muros exteriores.</v>
      </c>
      <c r="D8227" s="938"/>
      <c r="E8227" s="962" t="s">
        <v>20</v>
      </c>
      <c r="F8227" s="1066"/>
      <c r="G8227" s="938"/>
      <c r="H8227" s="1029"/>
      <c r="I8227" s="940">
        <f>+I8252</f>
        <v>168.48</v>
      </c>
    </row>
    <row r="8228" spans="2:9" ht="15.75">
      <c r="C8228" s="941" t="s">
        <v>908</v>
      </c>
      <c r="D8228" s="942" t="s">
        <v>9</v>
      </c>
      <c r="E8228" s="943" t="s">
        <v>10</v>
      </c>
      <c r="F8228" s="1067" t="s">
        <v>909</v>
      </c>
      <c r="G8228" s="942" t="s">
        <v>910</v>
      </c>
      <c r="H8228" s="1030" t="s">
        <v>911</v>
      </c>
      <c r="I8228" s="944" t="s">
        <v>912</v>
      </c>
    </row>
    <row r="8229" spans="2:9" ht="15.75">
      <c r="C8229" s="945" t="s">
        <v>913</v>
      </c>
      <c r="D8229" s="946"/>
      <c r="E8229" s="947"/>
      <c r="F8229" s="1054"/>
      <c r="G8229" s="946"/>
      <c r="H8229" s="1031"/>
      <c r="I8229" s="948"/>
    </row>
    <row r="8230" spans="2:9" ht="15.75">
      <c r="C8230" s="949" t="s">
        <v>1208</v>
      </c>
      <c r="D8230" s="946">
        <v>0.08</v>
      </c>
      <c r="E8230" s="947" t="s">
        <v>1183</v>
      </c>
      <c r="F8230" s="1068">
        <f>'Basic (equilibrio) (2)'!$D$311</f>
        <v>963.5</v>
      </c>
      <c r="G8230" s="946">
        <f>F8230-(F8230/1.18)</f>
        <v>146.97</v>
      </c>
      <c r="H8230" s="1031"/>
      <c r="I8230" s="948">
        <f>D8230*F8230</f>
        <v>77.08</v>
      </c>
    </row>
    <row r="8231" spans="2:9" ht="15.75">
      <c r="C8231" s="949" t="s">
        <v>1209</v>
      </c>
      <c r="D8231" s="946">
        <v>82</v>
      </c>
      <c r="E8231" s="947" t="s">
        <v>1025</v>
      </c>
      <c r="F8231" s="1068">
        <v>0.2</v>
      </c>
      <c r="G8231" s="946">
        <f>F8231-(F8231/1.18)</f>
        <v>0.03</v>
      </c>
      <c r="H8231" s="1031"/>
      <c r="I8231" s="948">
        <f>D8231*F8231</f>
        <v>16.399999999999999</v>
      </c>
    </row>
    <row r="8232" spans="2:9" ht="15.75">
      <c r="C8232" s="951" t="s">
        <v>918</v>
      </c>
      <c r="D8232" s="946"/>
      <c r="E8232" s="947"/>
      <c r="F8232" s="1068"/>
      <c r="G8232" s="946"/>
      <c r="H8232" s="1031"/>
      <c r="I8232" s="952">
        <f>SUM(I8230:I8231)</f>
        <v>93.48</v>
      </c>
    </row>
    <row r="8233" spans="2:9" ht="15.75">
      <c r="C8233" s="949"/>
      <c r="D8233" s="946"/>
      <c r="E8233" s="947"/>
      <c r="F8233" s="1068"/>
      <c r="G8233" s="946"/>
      <c r="H8233" s="1031"/>
      <c r="I8233" s="948"/>
    </row>
    <row r="8234" spans="2:9" ht="15.75">
      <c r="C8234" s="945" t="s">
        <v>919</v>
      </c>
      <c r="D8234" s="946"/>
      <c r="E8234" s="947"/>
      <c r="F8234" s="1068"/>
      <c r="G8234" s="946"/>
      <c r="H8234" s="1031"/>
      <c r="I8234" s="948"/>
    </row>
    <row r="8235" spans="2:9" ht="15.75">
      <c r="C8235" s="949" t="s">
        <v>1083</v>
      </c>
      <c r="D8235" s="953">
        <v>1</v>
      </c>
      <c r="E8235" s="954" t="str">
        <f>+VLOOKUP(C8235,'Basic (equilibrio) (2)'!B:D,2,FALSE)</f>
        <v>m2</v>
      </c>
      <c r="F8235" s="1068">
        <f>'Basic (equilibrio) (2)'!$D$34</f>
        <v>10</v>
      </c>
      <c r="G8235" s="946">
        <v>0</v>
      </c>
      <c r="H8235" s="1031"/>
      <c r="I8235" s="948">
        <f>(D8235*F8235)</f>
        <v>10</v>
      </c>
    </row>
    <row r="8236" spans="2:9" ht="15.75">
      <c r="C8236" s="949" t="s">
        <v>1084</v>
      </c>
      <c r="D8236" s="953">
        <v>1</v>
      </c>
      <c r="E8236" s="954" t="str">
        <f>+VLOOKUP(C8236,'Basic (equilibrio) (2)'!B:D,2,FALSE)</f>
        <v>m2</v>
      </c>
      <c r="F8236" s="1068">
        <f>'Basic (equilibrio) (2)'!$D$35</f>
        <v>65</v>
      </c>
      <c r="G8236" s="946">
        <v>0</v>
      </c>
      <c r="H8236" s="1031"/>
      <c r="I8236" s="948">
        <f>(D8236*F8236)</f>
        <v>65</v>
      </c>
    </row>
    <row r="8237" spans="2:9" ht="15.75">
      <c r="C8237" s="951" t="s">
        <v>918</v>
      </c>
      <c r="D8237" s="946"/>
      <c r="E8237" s="947"/>
      <c r="F8237" s="1054"/>
      <c r="G8237" s="946"/>
      <c r="H8237" s="1031"/>
      <c r="I8237" s="952">
        <f>SUM(I8235:I8236)</f>
        <v>75</v>
      </c>
    </row>
    <row r="8238" spans="2:9" ht="15.75">
      <c r="C8238" s="949"/>
      <c r="D8238" s="946"/>
      <c r="E8238" s="947"/>
      <c r="F8238" s="1054"/>
      <c r="G8238" s="946"/>
      <c r="H8238" s="1031"/>
      <c r="I8238" s="948"/>
    </row>
    <row r="8239" spans="2:9" ht="15.75">
      <c r="C8239" s="945" t="s">
        <v>923</v>
      </c>
      <c r="D8239" s="946"/>
      <c r="E8239" s="947"/>
      <c r="F8239" s="1054"/>
      <c r="G8239" s="946"/>
      <c r="H8239" s="1031"/>
      <c r="I8239" s="948"/>
    </row>
    <row r="8240" spans="2:9" ht="15.75">
      <c r="C8240" s="949" t="s">
        <v>924</v>
      </c>
      <c r="D8240" s="946"/>
      <c r="E8240" s="947" t="str">
        <f>+VLOOKUP(C8240,'Basic (equilibrio) (2)'!B:D,2,FALSE)</f>
        <v>n/a</v>
      </c>
      <c r="F8240" s="1054">
        <f>+VLOOKUP(C8240,'Basic (equilibrio) (2)'!B:D,3,FALSE)</f>
        <v>0</v>
      </c>
      <c r="G8240" s="946">
        <f>F8240-(F8240/1.18)</f>
        <v>0</v>
      </c>
      <c r="H8240" s="1039"/>
      <c r="I8240" s="955">
        <f>D8240*F8240</f>
        <v>0</v>
      </c>
    </row>
    <row r="8241" spans="2:9" ht="15.75">
      <c r="C8241" s="951" t="s">
        <v>918</v>
      </c>
      <c r="D8241" s="946"/>
      <c r="E8241" s="947"/>
      <c r="F8241" s="1054"/>
      <c r="G8241" s="946"/>
      <c r="H8241" s="1031"/>
      <c r="I8241" s="952">
        <f>SUM(I8240:I8240)</f>
        <v>0</v>
      </c>
    </row>
    <row r="8242" spans="2:9" ht="15.75">
      <c r="C8242" s="949"/>
      <c r="D8242" s="946"/>
      <c r="E8242" s="947"/>
      <c r="F8242" s="1054"/>
      <c r="G8242" s="946"/>
      <c r="H8242" s="1031"/>
      <c r="I8242" s="948"/>
    </row>
    <row r="8243" spans="2:9" ht="15.75">
      <c r="C8243" s="945" t="s">
        <v>925</v>
      </c>
      <c r="D8243" s="946"/>
      <c r="E8243" s="947"/>
      <c r="F8243" s="1054"/>
      <c r="G8243" s="946"/>
      <c r="H8243" s="1031"/>
      <c r="I8243" s="948"/>
    </row>
    <row r="8244" spans="2:9" ht="15.75">
      <c r="C8244" s="949" t="s">
        <v>924</v>
      </c>
      <c r="D8244" s="946"/>
      <c r="E8244" s="947" t="str">
        <f>+VLOOKUP(C8244,'Basic (equilibrio) (2)'!B:D,2,FALSE)</f>
        <v>n/a</v>
      </c>
      <c r="F8244" s="1054">
        <f>+VLOOKUP(C8244,'Basic (equilibrio) (2)'!B:D,3,FALSE)</f>
        <v>0</v>
      </c>
      <c r="G8244" s="946"/>
      <c r="H8244" s="1031"/>
      <c r="I8244" s="948">
        <f>D8244*F8244</f>
        <v>0</v>
      </c>
    </row>
    <row r="8245" spans="2:9" ht="15.75">
      <c r="C8245" s="951" t="s">
        <v>918</v>
      </c>
      <c r="D8245" s="946"/>
      <c r="E8245" s="947"/>
      <c r="F8245" s="1054"/>
      <c r="G8245" s="946"/>
      <c r="H8245" s="1031"/>
      <c r="I8245" s="952">
        <f>SUM(I8244)</f>
        <v>0</v>
      </c>
    </row>
    <row r="8246" spans="2:9" ht="15.75">
      <c r="C8246" s="951"/>
      <c r="D8246" s="946"/>
      <c r="E8246" s="947"/>
      <c r="F8246" s="1054"/>
      <c r="G8246" s="946"/>
      <c r="H8246" s="1031"/>
      <c r="I8246" s="952"/>
    </row>
    <row r="8247" spans="2:9" ht="15.75">
      <c r="C8247" s="956" t="s">
        <v>926</v>
      </c>
      <c r="D8247" s="957"/>
      <c r="E8247" s="958"/>
      <c r="F8247" s="1069"/>
      <c r="G8247" s="957"/>
      <c r="H8247" s="1032"/>
      <c r="I8247" s="959">
        <f>+I8232</f>
        <v>93.48</v>
      </c>
    </row>
    <row r="8248" spans="2:9" ht="15.75">
      <c r="C8248" s="956" t="s">
        <v>927</v>
      </c>
      <c r="D8248" s="957"/>
      <c r="E8248" s="958"/>
      <c r="F8248" s="1069"/>
      <c r="G8248" s="957"/>
      <c r="H8248" s="1032"/>
      <c r="I8248" s="959">
        <f>+I8237</f>
        <v>75</v>
      </c>
    </row>
    <row r="8249" spans="2:9" ht="15.75">
      <c r="C8249" s="956" t="s">
        <v>928</v>
      </c>
      <c r="D8249" s="957"/>
      <c r="E8249" s="958"/>
      <c r="F8249" s="1069"/>
      <c r="G8249" s="957"/>
      <c r="H8249" s="1032"/>
      <c r="I8249" s="959">
        <f>+I8241</f>
        <v>0</v>
      </c>
    </row>
    <row r="8250" spans="2:9" ht="15.75">
      <c r="C8250" s="956" t="s">
        <v>929</v>
      </c>
      <c r="D8250" s="957"/>
      <c r="E8250" s="958"/>
      <c r="F8250" s="1069"/>
      <c r="G8250" s="957"/>
      <c r="H8250" s="1032"/>
      <c r="I8250" s="959">
        <f>+I8245</f>
        <v>0</v>
      </c>
    </row>
    <row r="8251" spans="2:9" ht="15.75">
      <c r="C8251" s="949"/>
      <c r="D8251" s="946"/>
      <c r="E8251" s="947"/>
      <c r="F8251" s="1054"/>
      <c r="G8251" s="946"/>
      <c r="H8251" s="1031"/>
      <c r="I8251" s="948"/>
    </row>
    <row r="8252" spans="2:9" ht="15.75">
      <c r="C8252" s="951" t="s">
        <v>930</v>
      </c>
      <c r="D8252" s="960"/>
      <c r="E8252" s="975" t="str">
        <f>+E8227</f>
        <v>M2</v>
      </c>
      <c r="F8252" s="1070"/>
      <c r="G8252" s="960"/>
      <c r="H8252" s="1033"/>
      <c r="I8252" s="952">
        <f>SUM(I8247:I8250)</f>
        <v>168.48</v>
      </c>
    </row>
    <row r="8253" spans="2:9" ht="15.75">
      <c r="C8253" s="951"/>
      <c r="D8253" s="960"/>
      <c r="E8253" s="943"/>
      <c r="F8253" s="1070"/>
      <c r="G8253" s="960"/>
      <c r="H8253" s="1033"/>
      <c r="I8253" s="952"/>
    </row>
    <row r="8254" spans="2:9" ht="15.75">
      <c r="B8254" s="1026">
        <v>14.3</v>
      </c>
      <c r="C8254" s="937" t="str">
        <f>+Presupuesto!B490</f>
        <v>Acrílica blanca económica en techo</v>
      </c>
      <c r="D8254" s="938"/>
      <c r="E8254" s="962" t="s">
        <v>20</v>
      </c>
      <c r="F8254" s="1066"/>
      <c r="G8254" s="938"/>
      <c r="H8254" s="1029"/>
      <c r="I8254" s="940">
        <f>+I8279</f>
        <v>168.48</v>
      </c>
    </row>
    <row r="8255" spans="2:9" ht="15.75">
      <c r="C8255" s="941" t="s">
        <v>908</v>
      </c>
      <c r="D8255" s="942" t="s">
        <v>9</v>
      </c>
      <c r="E8255" s="943" t="s">
        <v>10</v>
      </c>
      <c r="F8255" s="1067" t="s">
        <v>909</v>
      </c>
      <c r="G8255" s="942" t="s">
        <v>910</v>
      </c>
      <c r="H8255" s="1030" t="s">
        <v>911</v>
      </c>
      <c r="I8255" s="944" t="s">
        <v>912</v>
      </c>
    </row>
    <row r="8256" spans="2:9" ht="15.75">
      <c r="C8256" s="945" t="s">
        <v>913</v>
      </c>
      <c r="D8256" s="946"/>
      <c r="E8256" s="947"/>
      <c r="F8256" s="1054"/>
      <c r="G8256" s="946"/>
      <c r="H8256" s="1031"/>
      <c r="I8256" s="948"/>
    </row>
    <row r="8257" spans="3:9" ht="15.75">
      <c r="C8257" s="949" t="s">
        <v>1208</v>
      </c>
      <c r="D8257" s="946">
        <v>0.08</v>
      </c>
      <c r="E8257" s="947" t="s">
        <v>1183</v>
      </c>
      <c r="F8257" s="1068">
        <f>'Basic (equilibrio) (2)'!$D$311</f>
        <v>963.5</v>
      </c>
      <c r="G8257" s="946">
        <f>F8257-(F8257/1.18)</f>
        <v>146.97</v>
      </c>
      <c r="H8257" s="1031"/>
      <c r="I8257" s="948">
        <f>D8257*F8257</f>
        <v>77.08</v>
      </c>
    </row>
    <row r="8258" spans="3:9" ht="15.75">
      <c r="C8258" s="949" t="s">
        <v>1209</v>
      </c>
      <c r="D8258" s="946">
        <v>82</v>
      </c>
      <c r="E8258" s="947" t="s">
        <v>1025</v>
      </c>
      <c r="F8258" s="1068">
        <v>0.2</v>
      </c>
      <c r="G8258" s="946">
        <f>F8258-(F8258/1.18)</f>
        <v>0.03</v>
      </c>
      <c r="H8258" s="1031"/>
      <c r="I8258" s="948">
        <f>D8258*F8258</f>
        <v>16.399999999999999</v>
      </c>
    </row>
    <row r="8259" spans="3:9" ht="15.75">
      <c r="C8259" s="951" t="s">
        <v>918</v>
      </c>
      <c r="D8259" s="946"/>
      <c r="E8259" s="947"/>
      <c r="F8259" s="1068"/>
      <c r="G8259" s="946"/>
      <c r="H8259" s="1031"/>
      <c r="I8259" s="952">
        <f>SUM(I8257:I8258)</f>
        <v>93.48</v>
      </c>
    </row>
    <row r="8260" spans="3:9" ht="15.75">
      <c r="C8260" s="949"/>
      <c r="D8260" s="946"/>
      <c r="E8260" s="947"/>
      <c r="F8260" s="1068"/>
      <c r="G8260" s="946"/>
      <c r="H8260" s="1031"/>
      <c r="I8260" s="948"/>
    </row>
    <row r="8261" spans="3:9" ht="15.75">
      <c r="C8261" s="945" t="s">
        <v>919</v>
      </c>
      <c r="D8261" s="946"/>
      <c r="E8261" s="947"/>
      <c r="F8261" s="1068"/>
      <c r="G8261" s="946"/>
      <c r="H8261" s="1031"/>
      <c r="I8261" s="948"/>
    </row>
    <row r="8262" spans="3:9" ht="15.75">
      <c r="C8262" s="949" t="s">
        <v>1083</v>
      </c>
      <c r="D8262" s="953">
        <v>1</v>
      </c>
      <c r="E8262" s="954" t="str">
        <f>+VLOOKUP(C8262,'Basic (equilibrio) (2)'!B:D,2,FALSE)</f>
        <v>m2</v>
      </c>
      <c r="F8262" s="1068">
        <f>'Basic (equilibrio) (2)'!$D$34</f>
        <v>10</v>
      </c>
      <c r="G8262" s="946">
        <v>0</v>
      </c>
      <c r="H8262" s="1031"/>
      <c r="I8262" s="948">
        <f>(D8262*F8262)</f>
        <v>10</v>
      </c>
    </row>
    <row r="8263" spans="3:9" ht="15.75">
      <c r="C8263" s="949" t="s">
        <v>1084</v>
      </c>
      <c r="D8263" s="953">
        <v>1</v>
      </c>
      <c r="E8263" s="954" t="str">
        <f>+VLOOKUP(C8263,'Basic (equilibrio) (2)'!B:D,2,FALSE)</f>
        <v>m2</v>
      </c>
      <c r="F8263" s="1068">
        <f>'Basic (equilibrio) (2)'!$D$35</f>
        <v>65</v>
      </c>
      <c r="G8263" s="946">
        <v>0</v>
      </c>
      <c r="H8263" s="1031"/>
      <c r="I8263" s="948">
        <f>(D8263*F8263)</f>
        <v>65</v>
      </c>
    </row>
    <row r="8264" spans="3:9" ht="15.75">
      <c r="C8264" s="951" t="s">
        <v>918</v>
      </c>
      <c r="D8264" s="946"/>
      <c r="E8264" s="947"/>
      <c r="F8264" s="1054"/>
      <c r="G8264" s="946"/>
      <c r="H8264" s="1031"/>
      <c r="I8264" s="952">
        <f>SUM(I8262:I8263)</f>
        <v>75</v>
      </c>
    </row>
    <row r="8265" spans="3:9" ht="15.75">
      <c r="C8265" s="949"/>
      <c r="D8265" s="946"/>
      <c r="E8265" s="947"/>
      <c r="F8265" s="1054"/>
      <c r="G8265" s="946"/>
      <c r="H8265" s="1031"/>
      <c r="I8265" s="948"/>
    </row>
    <row r="8266" spans="3:9" ht="15.75">
      <c r="C8266" s="945" t="s">
        <v>923</v>
      </c>
      <c r="D8266" s="946"/>
      <c r="E8266" s="947"/>
      <c r="F8266" s="1054"/>
      <c r="G8266" s="946"/>
      <c r="H8266" s="1031"/>
      <c r="I8266" s="948"/>
    </row>
    <row r="8267" spans="3:9" ht="15.75">
      <c r="C8267" s="949" t="s">
        <v>924</v>
      </c>
      <c r="D8267" s="946"/>
      <c r="E8267" s="947" t="str">
        <f>+VLOOKUP(C8267,'Basic (equilibrio) (2)'!B:D,2,FALSE)</f>
        <v>n/a</v>
      </c>
      <c r="F8267" s="1054">
        <f>+VLOOKUP(C8267,'Basic (equilibrio) (2)'!B:D,3,FALSE)</f>
        <v>0</v>
      </c>
      <c r="G8267" s="946">
        <f>F8267-(F8267/1.18)</f>
        <v>0</v>
      </c>
      <c r="H8267" s="1039"/>
      <c r="I8267" s="955">
        <f>D8267*F8267</f>
        <v>0</v>
      </c>
    </row>
    <row r="8268" spans="3:9" ht="15.75">
      <c r="C8268" s="951" t="s">
        <v>918</v>
      </c>
      <c r="D8268" s="946"/>
      <c r="E8268" s="947"/>
      <c r="F8268" s="1054"/>
      <c r="G8268" s="946"/>
      <c r="H8268" s="1031"/>
      <c r="I8268" s="952">
        <f>SUM(I8267:I8267)</f>
        <v>0</v>
      </c>
    </row>
    <row r="8269" spans="3:9" ht="15.75">
      <c r="C8269" s="949"/>
      <c r="D8269" s="946"/>
      <c r="E8269" s="947"/>
      <c r="F8269" s="1054"/>
      <c r="G8269" s="946"/>
      <c r="H8269" s="1031"/>
      <c r="I8269" s="948"/>
    </row>
    <row r="8270" spans="3:9" ht="15.75">
      <c r="C8270" s="945" t="s">
        <v>925</v>
      </c>
      <c r="D8270" s="946"/>
      <c r="E8270" s="947"/>
      <c r="F8270" s="1054"/>
      <c r="G8270" s="946"/>
      <c r="H8270" s="1031"/>
      <c r="I8270" s="948"/>
    </row>
    <row r="8271" spans="3:9" ht="15.75">
      <c r="C8271" s="949" t="s">
        <v>924</v>
      </c>
      <c r="D8271" s="946"/>
      <c r="E8271" s="947" t="str">
        <f>+VLOOKUP(C8271,'Basic (equilibrio) (2)'!B:D,2,FALSE)</f>
        <v>n/a</v>
      </c>
      <c r="F8271" s="1054">
        <f>+VLOOKUP(C8271,'Basic (equilibrio) (2)'!B:D,3,FALSE)</f>
        <v>0</v>
      </c>
      <c r="G8271" s="946"/>
      <c r="H8271" s="1031"/>
      <c r="I8271" s="948">
        <f>D8271*F8271</f>
        <v>0</v>
      </c>
    </row>
    <row r="8272" spans="3:9" ht="15.75">
      <c r="C8272" s="951" t="s">
        <v>918</v>
      </c>
      <c r="D8272" s="946"/>
      <c r="E8272" s="947"/>
      <c r="F8272" s="1054"/>
      <c r="G8272" s="946"/>
      <c r="H8272" s="1031"/>
      <c r="I8272" s="952">
        <f>SUM(I8271)</f>
        <v>0</v>
      </c>
    </row>
    <row r="8273" spans="2:9" ht="15.75">
      <c r="C8273" s="951"/>
      <c r="D8273" s="946"/>
      <c r="E8273" s="947"/>
      <c r="F8273" s="1054"/>
      <c r="G8273" s="946"/>
      <c r="H8273" s="1031"/>
      <c r="I8273" s="952"/>
    </row>
    <row r="8274" spans="2:9" ht="15.75">
      <c r="C8274" s="956" t="s">
        <v>926</v>
      </c>
      <c r="D8274" s="957"/>
      <c r="E8274" s="958"/>
      <c r="F8274" s="1069"/>
      <c r="G8274" s="957"/>
      <c r="H8274" s="1032"/>
      <c r="I8274" s="959">
        <f>+I8259</f>
        <v>93.48</v>
      </c>
    </row>
    <row r="8275" spans="2:9" ht="15.75">
      <c r="C8275" s="956" t="s">
        <v>927</v>
      </c>
      <c r="D8275" s="957"/>
      <c r="E8275" s="958"/>
      <c r="F8275" s="1069"/>
      <c r="G8275" s="957"/>
      <c r="H8275" s="1032"/>
      <c r="I8275" s="959">
        <f>+I8264</f>
        <v>75</v>
      </c>
    </row>
    <row r="8276" spans="2:9" ht="15.75">
      <c r="C8276" s="956" t="s">
        <v>928</v>
      </c>
      <c r="D8276" s="957"/>
      <c r="E8276" s="958"/>
      <c r="F8276" s="1069"/>
      <c r="G8276" s="957"/>
      <c r="H8276" s="1032"/>
      <c r="I8276" s="959">
        <f>+I8268</f>
        <v>0</v>
      </c>
    </row>
    <row r="8277" spans="2:9" ht="15.75">
      <c r="C8277" s="956" t="s">
        <v>929</v>
      </c>
      <c r="D8277" s="957"/>
      <c r="E8277" s="958"/>
      <c r="F8277" s="1069"/>
      <c r="G8277" s="957"/>
      <c r="H8277" s="1032"/>
      <c r="I8277" s="959">
        <f>+I8272</f>
        <v>0</v>
      </c>
    </row>
    <row r="8278" spans="2:9" ht="15.75">
      <c r="C8278" s="949"/>
      <c r="D8278" s="946"/>
      <c r="E8278" s="947"/>
      <c r="F8278" s="1054"/>
      <c r="G8278" s="946"/>
      <c r="H8278" s="1031"/>
      <c r="I8278" s="948"/>
    </row>
    <row r="8279" spans="2:9" ht="15.75">
      <c r="C8279" s="951" t="s">
        <v>930</v>
      </c>
      <c r="D8279" s="960"/>
      <c r="E8279" s="975" t="str">
        <f>+E8254</f>
        <v>M2</v>
      </c>
      <c r="F8279" s="1070"/>
      <c r="G8279" s="960"/>
      <c r="H8279" s="1033"/>
      <c r="I8279" s="952">
        <f>SUM(I8274:I8277)</f>
        <v>168.48</v>
      </c>
    </row>
    <row r="8280" spans="2:9" ht="15.75">
      <c r="C8280" s="951"/>
      <c r="D8280" s="960"/>
      <c r="E8280" s="943"/>
      <c r="F8280" s="1070"/>
      <c r="G8280" s="960"/>
      <c r="H8280" s="1033"/>
      <c r="I8280" s="952"/>
    </row>
    <row r="8281" spans="2:9" ht="15.75">
      <c r="B8281" s="1026">
        <v>14.4</v>
      </c>
      <c r="C8281" s="937" t="str">
        <f>+Presupuesto!B491</f>
        <v>Pintura mantenimiento en hierro de cárceles</v>
      </c>
      <c r="D8281" s="938"/>
      <c r="E8281" s="962" t="s">
        <v>1109</v>
      </c>
      <c r="F8281" s="1066"/>
      <c r="G8281" s="938"/>
      <c r="H8281" s="1029"/>
      <c r="I8281" s="940">
        <f>+I8304</f>
        <v>13000</v>
      </c>
    </row>
    <row r="8282" spans="2:9" ht="15.75">
      <c r="C8282" s="941" t="s">
        <v>908</v>
      </c>
      <c r="D8282" s="942" t="s">
        <v>9</v>
      </c>
      <c r="E8282" s="943" t="s">
        <v>10</v>
      </c>
      <c r="F8282" s="1067" t="s">
        <v>909</v>
      </c>
      <c r="G8282" s="942" t="s">
        <v>910</v>
      </c>
      <c r="H8282" s="1030" t="s">
        <v>911</v>
      </c>
      <c r="I8282" s="944" t="s">
        <v>912</v>
      </c>
    </row>
    <row r="8283" spans="2:9" ht="15.75">
      <c r="C8283" s="945" t="s">
        <v>913</v>
      </c>
      <c r="D8283" s="946"/>
      <c r="E8283" s="947"/>
      <c r="F8283" s="1054"/>
      <c r="G8283" s="946"/>
      <c r="H8283" s="1031"/>
      <c r="I8283" s="948"/>
    </row>
    <row r="8284" spans="2:9" ht="15.75">
      <c r="C8284" s="949" t="s">
        <v>1638</v>
      </c>
      <c r="D8284" s="946">
        <v>1</v>
      </c>
      <c r="E8284" s="947" t="s">
        <v>1109</v>
      </c>
      <c r="F8284" s="1068">
        <f>'Basic (equilibrio) (2)'!$D$252</f>
        <v>13000</v>
      </c>
      <c r="G8284" s="946">
        <f>F8284-(F8284/1.18)</f>
        <v>1983.05</v>
      </c>
      <c r="H8284" s="1031"/>
      <c r="I8284" s="948">
        <f>D8284*F8284</f>
        <v>13000</v>
      </c>
    </row>
    <row r="8285" spans="2:9" ht="15.75">
      <c r="C8285" s="951" t="s">
        <v>918</v>
      </c>
      <c r="D8285" s="946"/>
      <c r="E8285" s="947"/>
      <c r="F8285" s="1068"/>
      <c r="G8285" s="946"/>
      <c r="H8285" s="1031"/>
      <c r="I8285" s="952">
        <f>SUM(I8284:I8284)</f>
        <v>13000</v>
      </c>
    </row>
    <row r="8286" spans="2:9" ht="15.75">
      <c r="C8286" s="949"/>
      <c r="D8286" s="946"/>
      <c r="E8286" s="947"/>
      <c r="F8286" s="1068"/>
      <c r="G8286" s="946"/>
      <c r="H8286" s="1031"/>
      <c r="I8286" s="948"/>
    </row>
    <row r="8287" spans="2:9" ht="15.75">
      <c r="C8287" s="945" t="s">
        <v>919</v>
      </c>
      <c r="D8287" s="946"/>
      <c r="E8287" s="947"/>
      <c r="F8287" s="1068"/>
      <c r="G8287" s="946"/>
      <c r="H8287" s="1031"/>
      <c r="I8287" s="948"/>
    </row>
    <row r="8288" spans="2:9" ht="15.75">
      <c r="C8288" s="949" t="s">
        <v>924</v>
      </c>
      <c r="D8288" s="953">
        <v>1</v>
      </c>
      <c r="E8288" s="954" t="str">
        <f>+VLOOKUP(C8288,'Basic (equilibrio) (2)'!B:D,2,FALSE)</f>
        <v>n/a</v>
      </c>
      <c r="F8288" s="1068">
        <f>+VLOOKUP(C8288,'Basic (equilibrio) (2)'!B:D,3,FALSE)</f>
        <v>0</v>
      </c>
      <c r="G8288" s="946">
        <v>0</v>
      </c>
      <c r="H8288" s="1031"/>
      <c r="I8288" s="948">
        <f>(D8288*F8288)</f>
        <v>0</v>
      </c>
    </row>
    <row r="8289" spans="3:9" ht="15.75">
      <c r="C8289" s="951" t="s">
        <v>918</v>
      </c>
      <c r="D8289" s="946"/>
      <c r="E8289" s="947"/>
      <c r="F8289" s="1054"/>
      <c r="G8289" s="946"/>
      <c r="H8289" s="1031"/>
      <c r="I8289" s="952">
        <f>SUM(I8288:I8288)</f>
        <v>0</v>
      </c>
    </row>
    <row r="8290" spans="3:9" ht="15.75">
      <c r="C8290" s="949"/>
      <c r="D8290" s="946"/>
      <c r="E8290" s="947"/>
      <c r="F8290" s="1054"/>
      <c r="G8290" s="946"/>
      <c r="H8290" s="1031"/>
      <c r="I8290" s="948"/>
    </row>
    <row r="8291" spans="3:9" ht="15.75">
      <c r="C8291" s="945" t="s">
        <v>923</v>
      </c>
      <c r="D8291" s="946"/>
      <c r="E8291" s="947"/>
      <c r="F8291" s="1054"/>
      <c r="G8291" s="946"/>
      <c r="H8291" s="1031"/>
      <c r="I8291" s="948"/>
    </row>
    <row r="8292" spans="3:9" ht="15.75">
      <c r="C8292" s="949" t="s">
        <v>924</v>
      </c>
      <c r="D8292" s="946"/>
      <c r="E8292" s="947" t="str">
        <f>+VLOOKUP(C8292,'Basic (equilibrio) (2)'!B:D,2,FALSE)</f>
        <v>n/a</v>
      </c>
      <c r="F8292" s="1054">
        <f>+VLOOKUP(C8292,'Basic (equilibrio) (2)'!B:D,3,FALSE)</f>
        <v>0</v>
      </c>
      <c r="G8292" s="946">
        <f>F8292-(F8292/1.18)</f>
        <v>0</v>
      </c>
      <c r="H8292" s="1039"/>
      <c r="I8292" s="955">
        <f>D8292*F8292</f>
        <v>0</v>
      </c>
    </row>
    <row r="8293" spans="3:9" ht="15.75">
      <c r="C8293" s="951" t="s">
        <v>918</v>
      </c>
      <c r="D8293" s="946"/>
      <c r="E8293" s="947"/>
      <c r="F8293" s="1054"/>
      <c r="G8293" s="946"/>
      <c r="H8293" s="1031"/>
      <c r="I8293" s="952">
        <f>SUM(I8292:I8292)</f>
        <v>0</v>
      </c>
    </row>
    <row r="8294" spans="3:9" ht="15.75">
      <c r="C8294" s="949"/>
      <c r="D8294" s="946"/>
      <c r="E8294" s="947"/>
      <c r="F8294" s="1054"/>
      <c r="G8294" s="946"/>
      <c r="H8294" s="1031"/>
      <c r="I8294" s="948"/>
    </row>
    <row r="8295" spans="3:9" ht="15.75">
      <c r="C8295" s="945" t="s">
        <v>925</v>
      </c>
      <c r="D8295" s="946"/>
      <c r="E8295" s="947"/>
      <c r="F8295" s="1054"/>
      <c r="G8295" s="946"/>
      <c r="H8295" s="1031"/>
      <c r="I8295" s="948"/>
    </row>
    <row r="8296" spans="3:9" ht="15.75">
      <c r="C8296" s="949" t="s">
        <v>924</v>
      </c>
      <c r="D8296" s="946"/>
      <c r="E8296" s="947" t="str">
        <f>+VLOOKUP(C8296,'Basic (equilibrio) (2)'!B:D,2,FALSE)</f>
        <v>n/a</v>
      </c>
      <c r="F8296" s="1054">
        <f>+VLOOKUP(C8296,'Basic (equilibrio) (2)'!B:D,3,FALSE)</f>
        <v>0</v>
      </c>
      <c r="G8296" s="946"/>
      <c r="H8296" s="1031"/>
      <c r="I8296" s="948">
        <f>D8296*F8296</f>
        <v>0</v>
      </c>
    </row>
    <row r="8297" spans="3:9" ht="15.75">
      <c r="C8297" s="951" t="s">
        <v>918</v>
      </c>
      <c r="D8297" s="946"/>
      <c r="E8297" s="947"/>
      <c r="F8297" s="1054"/>
      <c r="G8297" s="946"/>
      <c r="H8297" s="1031"/>
      <c r="I8297" s="952">
        <f>SUM(I8296)</f>
        <v>0</v>
      </c>
    </row>
    <row r="8298" spans="3:9" ht="15.75">
      <c r="C8298" s="951"/>
      <c r="D8298" s="946"/>
      <c r="E8298" s="947"/>
      <c r="F8298" s="1054"/>
      <c r="G8298" s="946"/>
      <c r="H8298" s="1031"/>
      <c r="I8298" s="952"/>
    </row>
    <row r="8299" spans="3:9" ht="15.75">
      <c r="C8299" s="956" t="s">
        <v>926</v>
      </c>
      <c r="D8299" s="957"/>
      <c r="E8299" s="958"/>
      <c r="F8299" s="1069"/>
      <c r="G8299" s="957"/>
      <c r="H8299" s="1032"/>
      <c r="I8299" s="959">
        <f>+I8285</f>
        <v>13000</v>
      </c>
    </row>
    <row r="8300" spans="3:9" ht="15.75">
      <c r="C8300" s="956" t="s">
        <v>927</v>
      </c>
      <c r="D8300" s="957"/>
      <c r="E8300" s="958"/>
      <c r="F8300" s="1069"/>
      <c r="G8300" s="957"/>
      <c r="H8300" s="1032"/>
      <c r="I8300" s="959">
        <f>+I8289</f>
        <v>0</v>
      </c>
    </row>
    <row r="8301" spans="3:9" ht="15.75">
      <c r="C8301" s="956" t="s">
        <v>928</v>
      </c>
      <c r="D8301" s="957"/>
      <c r="E8301" s="958"/>
      <c r="F8301" s="1069"/>
      <c r="G8301" s="957"/>
      <c r="H8301" s="1032"/>
      <c r="I8301" s="959">
        <f>+I8293</f>
        <v>0</v>
      </c>
    </row>
    <row r="8302" spans="3:9" ht="15.75">
      <c r="C8302" s="956" t="s">
        <v>929</v>
      </c>
      <c r="D8302" s="957"/>
      <c r="E8302" s="958"/>
      <c r="F8302" s="1069"/>
      <c r="G8302" s="957"/>
      <c r="H8302" s="1032"/>
      <c r="I8302" s="959">
        <f>+I8297</f>
        <v>0</v>
      </c>
    </row>
    <row r="8303" spans="3:9" ht="15.75">
      <c r="C8303" s="949"/>
      <c r="D8303" s="946"/>
      <c r="E8303" s="947"/>
      <c r="F8303" s="1054"/>
      <c r="G8303" s="946"/>
      <c r="H8303" s="1031"/>
      <c r="I8303" s="948"/>
    </row>
    <row r="8304" spans="3:9" ht="15.75">
      <c r="C8304" s="951" t="s">
        <v>930</v>
      </c>
      <c r="D8304" s="960"/>
      <c r="E8304" s="975" t="str">
        <f>+E8281</f>
        <v>P.a</v>
      </c>
      <c r="F8304" s="1070"/>
      <c r="G8304" s="960"/>
      <c r="H8304" s="1033"/>
      <c r="I8304" s="952">
        <f>SUM(I8299:I8302)</f>
        <v>13000</v>
      </c>
    </row>
    <row r="8305" spans="2:9" ht="15.75">
      <c r="C8305" s="951"/>
      <c r="D8305" s="960"/>
      <c r="E8305" s="943"/>
      <c r="F8305" s="1070"/>
      <c r="G8305" s="960"/>
      <c r="H8305" s="1033"/>
      <c r="I8305" s="952"/>
    </row>
    <row r="8306" spans="2:9" ht="15.75">
      <c r="B8306" s="1063">
        <v>15.1</v>
      </c>
      <c r="C8306" s="937" t="str">
        <f>+Presupuesto!B494</f>
        <v>Jardinería</v>
      </c>
      <c r="D8306" s="938"/>
      <c r="E8306" s="962" t="s">
        <v>1056</v>
      </c>
      <c r="F8306" s="1066"/>
      <c r="G8306" s="938"/>
      <c r="H8306" s="1029"/>
      <c r="I8306" s="940">
        <f>+I8329</f>
        <v>5100</v>
      </c>
    </row>
    <row r="8307" spans="2:9" ht="15.75">
      <c r="C8307" s="941" t="s">
        <v>908</v>
      </c>
      <c r="D8307" s="942" t="s">
        <v>9</v>
      </c>
      <c r="E8307" s="943" t="s">
        <v>10</v>
      </c>
      <c r="F8307" s="1067" t="s">
        <v>909</v>
      </c>
      <c r="G8307" s="942" t="s">
        <v>910</v>
      </c>
      <c r="H8307" s="1030" t="s">
        <v>911</v>
      </c>
      <c r="I8307" s="944" t="s">
        <v>912</v>
      </c>
    </row>
    <row r="8308" spans="2:9" ht="15.75">
      <c r="C8308" s="945" t="s">
        <v>913</v>
      </c>
      <c r="D8308" s="946"/>
      <c r="E8308" s="947"/>
      <c r="F8308" s="1054"/>
      <c r="G8308" s="946"/>
      <c r="H8308" s="1031"/>
      <c r="I8308" s="948"/>
    </row>
    <row r="8309" spans="2:9" ht="47.25">
      <c r="C8309" s="949" t="s">
        <v>1007</v>
      </c>
      <c r="D8309" s="946">
        <v>1.02</v>
      </c>
      <c r="E8309" s="947" t="str">
        <f>+VLOOKUP(C8309,'Basic (equilibrio) (2)'!B:D,2,FALSE)</f>
        <v>P.A</v>
      </c>
      <c r="F8309" s="1068">
        <f>'Basic (equilibrio) (2)'!$D$453</f>
        <v>5000</v>
      </c>
      <c r="G8309" s="946">
        <f>F8309-(F8309/1.18)</f>
        <v>762.71</v>
      </c>
      <c r="H8309" s="1031"/>
      <c r="I8309" s="948">
        <f>D8309*F8309</f>
        <v>5100</v>
      </c>
    </row>
    <row r="8310" spans="2:9" ht="15.75">
      <c r="C8310" s="951" t="s">
        <v>918</v>
      </c>
      <c r="D8310" s="946"/>
      <c r="E8310" s="947"/>
      <c r="F8310" s="1068"/>
      <c r="G8310" s="946"/>
      <c r="H8310" s="1031"/>
      <c r="I8310" s="952">
        <f>SUM(I8309:I8309)</f>
        <v>5100</v>
      </c>
    </row>
    <row r="8311" spans="2:9" ht="15.75">
      <c r="C8311" s="949"/>
      <c r="D8311" s="946"/>
      <c r="E8311" s="947"/>
      <c r="F8311" s="1068"/>
      <c r="G8311" s="946"/>
      <c r="H8311" s="1031"/>
      <c r="I8311" s="948"/>
    </row>
    <row r="8312" spans="2:9" ht="15.75">
      <c r="C8312" s="945" t="s">
        <v>919</v>
      </c>
      <c r="D8312" s="946"/>
      <c r="E8312" s="947"/>
      <c r="F8312" s="1068"/>
      <c r="G8312" s="946"/>
      <c r="H8312" s="1031"/>
      <c r="I8312" s="948"/>
    </row>
    <row r="8313" spans="2:9" ht="15.75">
      <c r="C8313" s="949" t="s">
        <v>924</v>
      </c>
      <c r="D8313" s="953"/>
      <c r="E8313" s="954" t="str">
        <f>+VLOOKUP(C8313,'Basic (equilibrio) (2)'!B:D,2,FALSE)</f>
        <v>n/a</v>
      </c>
      <c r="F8313" s="1068">
        <f>+VLOOKUP(C8313,'Basic (equilibrio) (2)'!B:D,3,FALSE)</f>
        <v>0</v>
      </c>
      <c r="G8313" s="946">
        <v>0</v>
      </c>
      <c r="H8313" s="1031"/>
      <c r="I8313" s="948">
        <f>(D8313*F8313)</f>
        <v>0</v>
      </c>
    </row>
    <row r="8314" spans="2:9" ht="15.75">
      <c r="C8314" s="951" t="s">
        <v>918</v>
      </c>
      <c r="D8314" s="946"/>
      <c r="E8314" s="947"/>
      <c r="F8314" s="1054"/>
      <c r="G8314" s="946"/>
      <c r="H8314" s="1031"/>
      <c r="I8314" s="952">
        <f>SUM(I8313:I8313)</f>
        <v>0</v>
      </c>
    </row>
    <row r="8315" spans="2:9" ht="15.75">
      <c r="C8315" s="949"/>
      <c r="D8315" s="946"/>
      <c r="E8315" s="947"/>
      <c r="F8315" s="1054"/>
      <c r="G8315" s="946"/>
      <c r="H8315" s="1031"/>
      <c r="I8315" s="948"/>
    </row>
    <row r="8316" spans="2:9" ht="15.75">
      <c r="C8316" s="945" t="s">
        <v>923</v>
      </c>
      <c r="D8316" s="946"/>
      <c r="E8316" s="947"/>
      <c r="F8316" s="1054"/>
      <c r="G8316" s="946"/>
      <c r="H8316" s="1031"/>
      <c r="I8316" s="948"/>
    </row>
    <row r="8317" spans="2:9" ht="15.75">
      <c r="C8317" s="949" t="s">
        <v>924</v>
      </c>
      <c r="D8317" s="946"/>
      <c r="E8317" s="947" t="str">
        <f>+VLOOKUP(C8317,'Basic (equilibrio) (2)'!B:D,2,FALSE)</f>
        <v>n/a</v>
      </c>
      <c r="F8317" s="1054">
        <f>+VLOOKUP(C8317,'Basic (equilibrio) (2)'!B:D,3,FALSE)</f>
        <v>0</v>
      </c>
      <c r="G8317" s="946">
        <f>F8317-(F8317/1.18)</f>
        <v>0</v>
      </c>
      <c r="H8317" s="1039"/>
      <c r="I8317" s="955">
        <f>D8317*F8317</f>
        <v>0</v>
      </c>
    </row>
    <row r="8318" spans="2:9" ht="15.75">
      <c r="C8318" s="951" t="s">
        <v>918</v>
      </c>
      <c r="D8318" s="946"/>
      <c r="E8318" s="947"/>
      <c r="F8318" s="1054"/>
      <c r="G8318" s="946"/>
      <c r="H8318" s="1031"/>
      <c r="I8318" s="952">
        <f>SUM(I8317:I8317)</f>
        <v>0</v>
      </c>
    </row>
    <row r="8319" spans="2:9" ht="15.75">
      <c r="C8319" s="949"/>
      <c r="D8319" s="946"/>
      <c r="E8319" s="947"/>
      <c r="F8319" s="1054"/>
      <c r="G8319" s="946"/>
      <c r="H8319" s="1031"/>
      <c r="I8319" s="948"/>
    </row>
    <row r="8320" spans="2:9" ht="15.75">
      <c r="C8320" s="945" t="s">
        <v>925</v>
      </c>
      <c r="D8320" s="946"/>
      <c r="E8320" s="947"/>
      <c r="F8320" s="1054"/>
      <c r="G8320" s="946"/>
      <c r="H8320" s="1031"/>
      <c r="I8320" s="948"/>
    </row>
    <row r="8321" spans="2:9" ht="15.75">
      <c r="C8321" s="949" t="s">
        <v>924</v>
      </c>
      <c r="D8321" s="946"/>
      <c r="E8321" s="947" t="str">
        <f>+VLOOKUP(C8321,'Basic (equilibrio) (2)'!B:D,2,FALSE)</f>
        <v>n/a</v>
      </c>
      <c r="F8321" s="1054">
        <f>+VLOOKUP(C8321,'Basic (equilibrio) (2)'!B:D,3,FALSE)</f>
        <v>0</v>
      </c>
      <c r="G8321" s="946"/>
      <c r="H8321" s="1031"/>
      <c r="I8321" s="948">
        <f>D8321*F8321</f>
        <v>0</v>
      </c>
    </row>
    <row r="8322" spans="2:9" ht="15.75">
      <c r="C8322" s="951" t="s">
        <v>918</v>
      </c>
      <c r="D8322" s="946"/>
      <c r="E8322" s="947"/>
      <c r="F8322" s="1054"/>
      <c r="G8322" s="946"/>
      <c r="H8322" s="1031"/>
      <c r="I8322" s="952">
        <f>SUM(I8321)</f>
        <v>0</v>
      </c>
    </row>
    <row r="8323" spans="2:9" ht="15.75">
      <c r="C8323" s="951"/>
      <c r="D8323" s="946"/>
      <c r="E8323" s="947"/>
      <c r="F8323" s="1054"/>
      <c r="G8323" s="946"/>
      <c r="H8323" s="1031"/>
      <c r="I8323" s="952"/>
    </row>
    <row r="8324" spans="2:9" ht="15.75">
      <c r="C8324" s="956" t="s">
        <v>926</v>
      </c>
      <c r="D8324" s="957"/>
      <c r="E8324" s="958"/>
      <c r="F8324" s="1069"/>
      <c r="G8324" s="957"/>
      <c r="H8324" s="1032"/>
      <c r="I8324" s="959">
        <f>+I8310</f>
        <v>5100</v>
      </c>
    </row>
    <row r="8325" spans="2:9" ht="15.75">
      <c r="C8325" s="956" t="s">
        <v>927</v>
      </c>
      <c r="D8325" s="957"/>
      <c r="E8325" s="958"/>
      <c r="F8325" s="1069"/>
      <c r="G8325" s="957"/>
      <c r="H8325" s="1032"/>
      <c r="I8325" s="959">
        <f>+I8314</f>
        <v>0</v>
      </c>
    </row>
    <row r="8326" spans="2:9" ht="15.75">
      <c r="C8326" s="956" t="s">
        <v>928</v>
      </c>
      <c r="D8326" s="957"/>
      <c r="E8326" s="958"/>
      <c r="F8326" s="1069"/>
      <c r="G8326" s="957"/>
      <c r="H8326" s="1032"/>
      <c r="I8326" s="959">
        <f>+I8318</f>
        <v>0</v>
      </c>
    </row>
    <row r="8327" spans="2:9" ht="15.75">
      <c r="C8327" s="956" t="s">
        <v>929</v>
      </c>
      <c r="D8327" s="957"/>
      <c r="E8327" s="958"/>
      <c r="F8327" s="1069"/>
      <c r="G8327" s="957"/>
      <c r="H8327" s="1032"/>
      <c r="I8327" s="959">
        <f>+I8322</f>
        <v>0</v>
      </c>
    </row>
    <row r="8328" spans="2:9" ht="15.75">
      <c r="C8328" s="949"/>
      <c r="D8328" s="946"/>
      <c r="E8328" s="947"/>
      <c r="F8328" s="1054"/>
      <c r="G8328" s="946"/>
      <c r="H8328" s="1031"/>
      <c r="I8328" s="948"/>
    </row>
    <row r="8329" spans="2:9" ht="15.75">
      <c r="C8329" s="951" t="s">
        <v>930</v>
      </c>
      <c r="D8329" s="960"/>
      <c r="E8329" s="975" t="str">
        <f>+E8306</f>
        <v>ud</v>
      </c>
      <c r="F8329" s="1070"/>
      <c r="G8329" s="960"/>
      <c r="H8329" s="1033"/>
      <c r="I8329" s="952">
        <f>SUM(I8324:I8327)</f>
        <v>5100</v>
      </c>
    </row>
    <row r="8330" spans="2:9" ht="15.75">
      <c r="C8330" s="951"/>
      <c r="D8330" s="960"/>
      <c r="E8330" s="943"/>
      <c r="F8330" s="1070"/>
      <c r="G8330" s="960"/>
      <c r="H8330" s="1033"/>
      <c r="I8330" s="952"/>
    </row>
    <row r="8331" spans="2:9" ht="15.75">
      <c r="B8331" s="1089">
        <v>15.1</v>
      </c>
      <c r="C8331" s="1090" t="str">
        <f>+Presupuesto!B494</f>
        <v>Jardinería</v>
      </c>
      <c r="D8331" s="1091"/>
      <c r="E8331" s="1092" t="s">
        <v>1109</v>
      </c>
      <c r="F8331" s="1093"/>
      <c r="G8331" s="1091"/>
      <c r="H8331" s="1094"/>
      <c r="I8331" s="1095">
        <f>+I8354</f>
        <v>5100</v>
      </c>
    </row>
    <row r="8332" spans="2:9" ht="15.75">
      <c r="C8332" s="941" t="s">
        <v>908</v>
      </c>
      <c r="D8332" s="942" t="s">
        <v>9</v>
      </c>
      <c r="E8332" s="943" t="s">
        <v>10</v>
      </c>
      <c r="F8332" s="1067" t="s">
        <v>909</v>
      </c>
      <c r="G8332" s="942" t="s">
        <v>910</v>
      </c>
      <c r="H8332" s="1030" t="s">
        <v>911</v>
      </c>
      <c r="I8332" s="944" t="s">
        <v>912</v>
      </c>
    </row>
    <row r="8333" spans="2:9" ht="15.75">
      <c r="C8333" s="945" t="s">
        <v>913</v>
      </c>
      <c r="D8333" s="946"/>
      <c r="E8333" s="947"/>
      <c r="F8333" s="1054"/>
      <c r="G8333" s="946"/>
      <c r="H8333" s="1031"/>
      <c r="I8333" s="948"/>
    </row>
    <row r="8334" spans="2:9" ht="47.25">
      <c r="C8334" s="949" t="s">
        <v>1007</v>
      </c>
      <c r="D8334" s="946">
        <v>1.02</v>
      </c>
      <c r="E8334" s="947" t="str">
        <f>+VLOOKUP(C8334,'Basic (equilibrio) (2)'!B:D,2,FALSE)</f>
        <v>P.A</v>
      </c>
      <c r="F8334" s="1068">
        <f>'Basic (equilibrio) (2)'!$D$453</f>
        <v>5000</v>
      </c>
      <c r="G8334" s="946">
        <f>F8334-(F8334/1.18)</f>
        <v>762.71</v>
      </c>
      <c r="H8334" s="1031"/>
      <c r="I8334" s="948">
        <f>D8334*F8334</f>
        <v>5100</v>
      </c>
    </row>
    <row r="8335" spans="2:9" ht="15.75">
      <c r="C8335" s="951" t="s">
        <v>918</v>
      </c>
      <c r="D8335" s="946"/>
      <c r="E8335" s="947"/>
      <c r="F8335" s="1068"/>
      <c r="G8335" s="946"/>
      <c r="H8335" s="1031"/>
      <c r="I8335" s="952">
        <f>SUM(I8334:I8334)</f>
        <v>5100</v>
      </c>
    </row>
    <row r="8336" spans="2:9" ht="15.75">
      <c r="C8336" s="949"/>
      <c r="D8336" s="946"/>
      <c r="E8336" s="947"/>
      <c r="F8336" s="1068"/>
      <c r="G8336" s="946"/>
      <c r="H8336" s="1031"/>
      <c r="I8336" s="948"/>
    </row>
    <row r="8337" spans="3:9" ht="15.75">
      <c r="C8337" s="945" t="s">
        <v>919</v>
      </c>
      <c r="D8337" s="946"/>
      <c r="E8337" s="947"/>
      <c r="F8337" s="1068"/>
      <c r="G8337" s="946"/>
      <c r="H8337" s="1031"/>
      <c r="I8337" s="948"/>
    </row>
    <row r="8338" spans="3:9" ht="15.75">
      <c r="C8338" s="949" t="s">
        <v>924</v>
      </c>
      <c r="D8338" s="953"/>
      <c r="E8338" s="954" t="str">
        <f>+VLOOKUP(C8338,'Basic (equilibrio) (2)'!B:D,2,FALSE)</f>
        <v>n/a</v>
      </c>
      <c r="F8338" s="1068">
        <f>+VLOOKUP(C8338,'Basic (equilibrio) (2)'!B:D,3,FALSE)</f>
        <v>0</v>
      </c>
      <c r="G8338" s="946">
        <v>0</v>
      </c>
      <c r="H8338" s="1031"/>
      <c r="I8338" s="948">
        <f>(D8338*F8338)</f>
        <v>0</v>
      </c>
    </row>
    <row r="8339" spans="3:9" ht="15.75">
      <c r="C8339" s="951" t="s">
        <v>918</v>
      </c>
      <c r="D8339" s="946"/>
      <c r="E8339" s="947"/>
      <c r="F8339" s="1054"/>
      <c r="G8339" s="946"/>
      <c r="H8339" s="1031"/>
      <c r="I8339" s="952">
        <f>SUM(I8338:I8338)</f>
        <v>0</v>
      </c>
    </row>
    <row r="8340" spans="3:9" ht="15.75">
      <c r="C8340" s="949"/>
      <c r="D8340" s="946"/>
      <c r="E8340" s="947"/>
      <c r="F8340" s="1054"/>
      <c r="G8340" s="946"/>
      <c r="H8340" s="1031"/>
      <c r="I8340" s="948"/>
    </row>
    <row r="8341" spans="3:9" ht="15.75">
      <c r="C8341" s="945" t="s">
        <v>923</v>
      </c>
      <c r="D8341" s="946"/>
      <c r="E8341" s="947"/>
      <c r="F8341" s="1054"/>
      <c r="G8341" s="946"/>
      <c r="H8341" s="1031"/>
      <c r="I8341" s="948"/>
    </row>
    <row r="8342" spans="3:9" ht="15.75">
      <c r="C8342" s="949" t="s">
        <v>924</v>
      </c>
      <c r="D8342" s="946"/>
      <c r="E8342" s="947" t="str">
        <f>+VLOOKUP(C8342,'Basic (equilibrio) (2)'!B:D,2,FALSE)</f>
        <v>n/a</v>
      </c>
      <c r="F8342" s="1054">
        <f>+VLOOKUP(C8342,'Basic (equilibrio) (2)'!B:D,3,FALSE)</f>
        <v>0</v>
      </c>
      <c r="G8342" s="946">
        <f>F8342-(F8342/1.18)</f>
        <v>0</v>
      </c>
      <c r="H8342" s="1039"/>
      <c r="I8342" s="955">
        <f>D8342*F8342</f>
        <v>0</v>
      </c>
    </row>
    <row r="8343" spans="3:9" ht="15.75">
      <c r="C8343" s="951" t="s">
        <v>918</v>
      </c>
      <c r="D8343" s="946"/>
      <c r="E8343" s="947"/>
      <c r="F8343" s="1054"/>
      <c r="G8343" s="946"/>
      <c r="H8343" s="1031"/>
      <c r="I8343" s="952">
        <f>SUM(I8342:I8342)</f>
        <v>0</v>
      </c>
    </row>
    <row r="8344" spans="3:9" ht="15.75">
      <c r="C8344" s="949"/>
      <c r="D8344" s="946"/>
      <c r="E8344" s="947"/>
      <c r="F8344" s="1054"/>
      <c r="G8344" s="946"/>
      <c r="H8344" s="1031"/>
      <c r="I8344" s="948"/>
    </row>
    <row r="8345" spans="3:9" ht="15.75">
      <c r="C8345" s="945" t="s">
        <v>925</v>
      </c>
      <c r="D8345" s="946"/>
      <c r="E8345" s="947"/>
      <c r="F8345" s="1054"/>
      <c r="G8345" s="946"/>
      <c r="H8345" s="1031"/>
      <c r="I8345" s="948"/>
    </row>
    <row r="8346" spans="3:9" ht="15.75">
      <c r="C8346" s="949" t="s">
        <v>924</v>
      </c>
      <c r="D8346" s="946"/>
      <c r="E8346" s="947" t="str">
        <f>+VLOOKUP(C8346,'Basic (equilibrio) (2)'!B:D,2,FALSE)</f>
        <v>n/a</v>
      </c>
      <c r="F8346" s="1054">
        <f>+VLOOKUP(C8346,'Basic (equilibrio) (2)'!B:D,3,FALSE)</f>
        <v>0</v>
      </c>
      <c r="G8346" s="946"/>
      <c r="H8346" s="1031"/>
      <c r="I8346" s="948">
        <f>D8346*F8346</f>
        <v>0</v>
      </c>
    </row>
    <row r="8347" spans="3:9" ht="15.75">
      <c r="C8347" s="951" t="s">
        <v>918</v>
      </c>
      <c r="D8347" s="946"/>
      <c r="E8347" s="947"/>
      <c r="F8347" s="1054"/>
      <c r="G8347" s="946"/>
      <c r="H8347" s="1031"/>
      <c r="I8347" s="952">
        <f>SUM(I8346)</f>
        <v>0</v>
      </c>
    </row>
    <row r="8348" spans="3:9" ht="15.75">
      <c r="C8348" s="951"/>
      <c r="D8348" s="946"/>
      <c r="E8348" s="947"/>
      <c r="F8348" s="1054"/>
      <c r="G8348" s="946"/>
      <c r="H8348" s="1031"/>
      <c r="I8348" s="952"/>
    </row>
    <row r="8349" spans="3:9" ht="15.75">
      <c r="C8349" s="956" t="s">
        <v>926</v>
      </c>
      <c r="D8349" s="957"/>
      <c r="E8349" s="958"/>
      <c r="F8349" s="1069"/>
      <c r="G8349" s="957"/>
      <c r="H8349" s="1032"/>
      <c r="I8349" s="959">
        <f>+I8335</f>
        <v>5100</v>
      </c>
    </row>
    <row r="8350" spans="3:9" ht="15.75">
      <c r="C8350" s="956" t="s">
        <v>927</v>
      </c>
      <c r="D8350" s="957"/>
      <c r="E8350" s="958"/>
      <c r="F8350" s="1069"/>
      <c r="G8350" s="957"/>
      <c r="H8350" s="1032"/>
      <c r="I8350" s="959">
        <f>+I8339</f>
        <v>0</v>
      </c>
    </row>
    <row r="8351" spans="3:9" ht="15.75">
      <c r="C8351" s="956" t="s">
        <v>928</v>
      </c>
      <c r="D8351" s="957"/>
      <c r="E8351" s="958"/>
      <c r="F8351" s="1069"/>
      <c r="G8351" s="957"/>
      <c r="H8351" s="1032"/>
      <c r="I8351" s="959">
        <f>+I8343</f>
        <v>0</v>
      </c>
    </row>
    <row r="8352" spans="3:9" ht="15.75">
      <c r="C8352" s="956" t="s">
        <v>929</v>
      </c>
      <c r="D8352" s="957"/>
      <c r="E8352" s="958"/>
      <c r="F8352" s="1069"/>
      <c r="G8352" s="957"/>
      <c r="H8352" s="1032"/>
      <c r="I8352" s="959">
        <f>+I8347</f>
        <v>0</v>
      </c>
    </row>
    <row r="8353" spans="2:9" ht="15.75">
      <c r="C8353" s="949"/>
      <c r="D8353" s="946"/>
      <c r="E8353" s="947"/>
      <c r="F8353" s="1054"/>
      <c r="G8353" s="946"/>
      <c r="H8353" s="1031"/>
      <c r="I8353" s="948"/>
    </row>
    <row r="8354" spans="2:9" ht="15.75">
      <c r="C8354" s="951" t="s">
        <v>930</v>
      </c>
      <c r="D8354" s="960"/>
      <c r="E8354" s="975" t="str">
        <f>+E8331</f>
        <v>P.a</v>
      </c>
      <c r="F8354" s="1070"/>
      <c r="G8354" s="960"/>
      <c r="H8354" s="1033"/>
      <c r="I8354" s="952">
        <f>SUM(I8349:I8352)</f>
        <v>5100</v>
      </c>
    </row>
    <row r="8355" spans="2:9" ht="15.75">
      <c r="C8355" s="951"/>
      <c r="D8355" s="960"/>
      <c r="E8355" s="943"/>
      <c r="F8355" s="1070"/>
      <c r="G8355" s="960"/>
      <c r="H8355" s="1033"/>
      <c r="I8355" s="952"/>
    </row>
    <row r="8356" spans="2:9" ht="15.75">
      <c r="B8356" s="1063">
        <v>15.2</v>
      </c>
      <c r="C8356" s="937" t="str">
        <f>+Presupuesto!B495</f>
        <v>Asta para banderas</v>
      </c>
      <c r="D8356" s="938"/>
      <c r="E8356" s="962" t="s">
        <v>1056</v>
      </c>
      <c r="F8356" s="1066"/>
      <c r="G8356" s="938"/>
      <c r="H8356" s="1029"/>
      <c r="I8356" s="940">
        <f>+I8379</f>
        <v>3500</v>
      </c>
    </row>
    <row r="8357" spans="2:9" ht="15.75">
      <c r="C8357" s="941" t="s">
        <v>908</v>
      </c>
      <c r="D8357" s="942" t="s">
        <v>9</v>
      </c>
      <c r="E8357" s="943" t="s">
        <v>10</v>
      </c>
      <c r="F8357" s="1067" t="s">
        <v>909</v>
      </c>
      <c r="G8357" s="942" t="s">
        <v>910</v>
      </c>
      <c r="H8357" s="1030" t="s">
        <v>911</v>
      </c>
      <c r="I8357" s="944" t="s">
        <v>912</v>
      </c>
    </row>
    <row r="8358" spans="2:9" ht="15.75">
      <c r="C8358" s="945" t="s">
        <v>913</v>
      </c>
      <c r="D8358" s="946"/>
      <c r="E8358" s="947"/>
      <c r="F8358" s="1054"/>
      <c r="G8358" s="946"/>
      <c r="H8358" s="1031"/>
      <c r="I8358" s="948"/>
    </row>
    <row r="8359" spans="2:9" ht="15.75">
      <c r="C8359" s="949" t="s">
        <v>1639</v>
      </c>
      <c r="D8359" s="946">
        <v>1</v>
      </c>
      <c r="E8359" s="947" t="str">
        <f>+VLOOKUP(C8359,'Basic (equilibrio) (2)'!B:D,2,FALSE)</f>
        <v>ud</v>
      </c>
      <c r="F8359" s="1068">
        <f>'Basic (equilibrio) (2)'!$D$253</f>
        <v>3500</v>
      </c>
      <c r="G8359" s="946">
        <f>F8359-(F8359/1.18)</f>
        <v>533.9</v>
      </c>
      <c r="H8359" s="1031"/>
      <c r="I8359" s="948">
        <f>D8359*F8359</f>
        <v>3500</v>
      </c>
    </row>
    <row r="8360" spans="2:9" ht="15.75">
      <c r="C8360" s="951" t="s">
        <v>918</v>
      </c>
      <c r="D8360" s="946"/>
      <c r="E8360" s="947"/>
      <c r="F8360" s="1068" t="s">
        <v>1739</v>
      </c>
      <c r="G8360" s="946"/>
      <c r="H8360" s="1031"/>
      <c r="I8360" s="952">
        <f>SUM(I8359:I8359)</f>
        <v>3500</v>
      </c>
    </row>
    <row r="8361" spans="2:9" ht="15.75">
      <c r="C8361" s="949"/>
      <c r="D8361" s="946"/>
      <c r="E8361" s="947"/>
      <c r="F8361" s="1068"/>
      <c r="G8361" s="946"/>
      <c r="H8361" s="1031"/>
      <c r="I8361" s="948"/>
    </row>
    <row r="8362" spans="2:9" ht="15.75">
      <c r="C8362" s="945" t="s">
        <v>919</v>
      </c>
      <c r="D8362" s="946"/>
      <c r="E8362" s="947"/>
      <c r="F8362" s="1068"/>
      <c r="G8362" s="946"/>
      <c r="H8362" s="1031"/>
      <c r="I8362" s="948"/>
    </row>
    <row r="8363" spans="2:9" ht="15.75">
      <c r="C8363" s="949" t="s">
        <v>924</v>
      </c>
      <c r="D8363" s="953"/>
      <c r="E8363" s="954" t="str">
        <f>+VLOOKUP(C8363,'Basic (equilibrio) (2)'!B:D,2,FALSE)</f>
        <v>n/a</v>
      </c>
      <c r="F8363" s="1068">
        <f>+VLOOKUP(C8363,'Basic (equilibrio) (2)'!B:D,3,FALSE)</f>
        <v>0</v>
      </c>
      <c r="G8363" s="946">
        <v>0</v>
      </c>
      <c r="H8363" s="1031"/>
      <c r="I8363" s="948">
        <f>(D8363*F8363)</f>
        <v>0</v>
      </c>
    </row>
    <row r="8364" spans="2:9" ht="15.75">
      <c r="C8364" s="951" t="s">
        <v>918</v>
      </c>
      <c r="D8364" s="946"/>
      <c r="E8364" s="947"/>
      <c r="F8364" s="1054"/>
      <c r="G8364" s="946"/>
      <c r="H8364" s="1031"/>
      <c r="I8364" s="952">
        <f>SUM(I8363:I8363)</f>
        <v>0</v>
      </c>
    </row>
    <row r="8365" spans="2:9" ht="15.75">
      <c r="C8365" s="949"/>
      <c r="D8365" s="946"/>
      <c r="E8365" s="947"/>
      <c r="F8365" s="1054"/>
      <c r="G8365" s="946"/>
      <c r="H8365" s="1031"/>
      <c r="I8365" s="948"/>
    </row>
    <row r="8366" spans="2:9" ht="15.75">
      <c r="C8366" s="945" t="s">
        <v>923</v>
      </c>
      <c r="D8366" s="946"/>
      <c r="E8366" s="947"/>
      <c r="F8366" s="1054"/>
      <c r="G8366" s="946"/>
      <c r="H8366" s="1031"/>
      <c r="I8366" s="948"/>
    </row>
    <row r="8367" spans="2:9" ht="15.75">
      <c r="C8367" s="949" t="s">
        <v>924</v>
      </c>
      <c r="D8367" s="946"/>
      <c r="E8367" s="947" t="str">
        <f>+VLOOKUP(C8367,'Basic (equilibrio) (2)'!B:D,2,FALSE)</f>
        <v>n/a</v>
      </c>
      <c r="F8367" s="1054">
        <f>+VLOOKUP(C8367,'Basic (equilibrio) (2)'!B:D,3,FALSE)</f>
        <v>0</v>
      </c>
      <c r="G8367" s="946">
        <f>F8367-(F8367/1.18)</f>
        <v>0</v>
      </c>
      <c r="H8367" s="1039"/>
      <c r="I8367" s="955">
        <f>D8367*F8367</f>
        <v>0</v>
      </c>
    </row>
    <row r="8368" spans="2:9" ht="15.75">
      <c r="C8368" s="951" t="s">
        <v>918</v>
      </c>
      <c r="D8368" s="946"/>
      <c r="E8368" s="947"/>
      <c r="F8368" s="1054"/>
      <c r="G8368" s="946"/>
      <c r="H8368" s="1031"/>
      <c r="I8368" s="952">
        <f>SUM(I8367:I8367)</f>
        <v>0</v>
      </c>
    </row>
    <row r="8369" spans="2:9" ht="15.75">
      <c r="C8369" s="949"/>
      <c r="D8369" s="946"/>
      <c r="E8369" s="947"/>
      <c r="F8369" s="1054"/>
      <c r="G8369" s="946"/>
      <c r="H8369" s="1031"/>
      <c r="I8369" s="948"/>
    </row>
    <row r="8370" spans="2:9" ht="15.75">
      <c r="C8370" s="945" t="s">
        <v>925</v>
      </c>
      <c r="D8370" s="946"/>
      <c r="E8370" s="947"/>
      <c r="F8370" s="1054"/>
      <c r="G8370" s="946"/>
      <c r="H8370" s="1031"/>
      <c r="I8370" s="948"/>
    </row>
    <row r="8371" spans="2:9" ht="15.75">
      <c r="C8371" s="949" t="s">
        <v>924</v>
      </c>
      <c r="D8371" s="946"/>
      <c r="E8371" s="947" t="str">
        <f>+VLOOKUP(C8371,'Basic (equilibrio) (2)'!B:D,2,FALSE)</f>
        <v>n/a</v>
      </c>
      <c r="F8371" s="1054">
        <f>+VLOOKUP(C8371,'Basic (equilibrio) (2)'!B:D,3,FALSE)</f>
        <v>0</v>
      </c>
      <c r="G8371" s="946"/>
      <c r="H8371" s="1031"/>
      <c r="I8371" s="948">
        <f>D8371*F8371</f>
        <v>0</v>
      </c>
    </row>
    <row r="8372" spans="2:9" ht="15.75">
      <c r="C8372" s="951" t="s">
        <v>918</v>
      </c>
      <c r="D8372" s="946"/>
      <c r="E8372" s="947"/>
      <c r="F8372" s="1054"/>
      <c r="G8372" s="946"/>
      <c r="H8372" s="1031"/>
      <c r="I8372" s="952">
        <f>SUM(I8371)</f>
        <v>0</v>
      </c>
    </row>
    <row r="8373" spans="2:9" ht="15.75">
      <c r="C8373" s="951"/>
      <c r="D8373" s="946"/>
      <c r="E8373" s="947"/>
      <c r="F8373" s="1054"/>
      <c r="G8373" s="946"/>
      <c r="H8373" s="1031"/>
      <c r="I8373" s="952"/>
    </row>
    <row r="8374" spans="2:9" ht="15.75">
      <c r="C8374" s="956" t="s">
        <v>926</v>
      </c>
      <c r="D8374" s="957"/>
      <c r="E8374" s="958"/>
      <c r="F8374" s="1069"/>
      <c r="G8374" s="957"/>
      <c r="H8374" s="1032"/>
      <c r="I8374" s="959">
        <f>+I8360</f>
        <v>3500</v>
      </c>
    </row>
    <row r="8375" spans="2:9" ht="15.75">
      <c r="C8375" s="956" t="s">
        <v>927</v>
      </c>
      <c r="D8375" s="957"/>
      <c r="E8375" s="958"/>
      <c r="F8375" s="1069"/>
      <c r="G8375" s="957"/>
      <c r="H8375" s="1032"/>
      <c r="I8375" s="959">
        <f>+I8364</f>
        <v>0</v>
      </c>
    </row>
    <row r="8376" spans="2:9" ht="15.75">
      <c r="C8376" s="956" t="s">
        <v>928</v>
      </c>
      <c r="D8376" s="957"/>
      <c r="E8376" s="958"/>
      <c r="F8376" s="1069"/>
      <c r="G8376" s="957"/>
      <c r="H8376" s="1032"/>
      <c r="I8376" s="959">
        <f>+I8368</f>
        <v>0</v>
      </c>
    </row>
    <row r="8377" spans="2:9" ht="15.75">
      <c r="C8377" s="956" t="s">
        <v>929</v>
      </c>
      <c r="D8377" s="957"/>
      <c r="E8377" s="958"/>
      <c r="F8377" s="1069"/>
      <c r="G8377" s="957"/>
      <c r="H8377" s="1032"/>
      <c r="I8377" s="959">
        <f>+I8372</f>
        <v>0</v>
      </c>
    </row>
    <row r="8378" spans="2:9" ht="15.75">
      <c r="C8378" s="949"/>
      <c r="D8378" s="946"/>
      <c r="E8378" s="947"/>
      <c r="F8378" s="1054"/>
      <c r="G8378" s="946"/>
      <c r="H8378" s="1031"/>
      <c r="I8378" s="948"/>
    </row>
    <row r="8379" spans="2:9" ht="15.75">
      <c r="C8379" s="951" t="s">
        <v>930</v>
      </c>
      <c r="D8379" s="960"/>
      <c r="E8379" s="975" t="str">
        <f>+E8356</f>
        <v>ud</v>
      </c>
      <c r="F8379" s="1070"/>
      <c r="G8379" s="960"/>
      <c r="H8379" s="1033"/>
      <c r="I8379" s="952">
        <f>SUM(I8374:I8377)</f>
        <v>3500</v>
      </c>
    </row>
    <row r="8380" spans="2:9" ht="15.75">
      <c r="C8380" s="951"/>
      <c r="D8380" s="960"/>
      <c r="E8380" s="943"/>
      <c r="F8380" s="1070"/>
      <c r="G8380" s="960"/>
      <c r="H8380" s="1033"/>
      <c r="I8380" s="952"/>
    </row>
    <row r="8381" spans="2:9" ht="15.75">
      <c r="B8381" s="1063">
        <v>15.3</v>
      </c>
      <c r="C8381" s="937" t="str">
        <f>+Presupuesto!B496</f>
        <v>Salida para GLP</v>
      </c>
      <c r="D8381" s="938"/>
      <c r="E8381" s="962" t="s">
        <v>1652</v>
      </c>
      <c r="F8381" s="1066"/>
      <c r="G8381" s="938"/>
      <c r="H8381" s="1029"/>
      <c r="I8381" s="940">
        <f>+I8404</f>
        <v>2790</v>
      </c>
    </row>
    <row r="8382" spans="2:9" ht="15.75">
      <c r="C8382" s="941" t="s">
        <v>908</v>
      </c>
      <c r="D8382" s="942" t="s">
        <v>9</v>
      </c>
      <c r="E8382" s="943" t="s">
        <v>10</v>
      </c>
      <c r="F8382" s="1067" t="s">
        <v>909</v>
      </c>
      <c r="G8382" s="942" t="s">
        <v>910</v>
      </c>
      <c r="H8382" s="1030" t="s">
        <v>911</v>
      </c>
      <c r="I8382" s="944" t="s">
        <v>912</v>
      </c>
    </row>
    <row r="8383" spans="2:9" ht="15.75">
      <c r="C8383" s="945" t="s">
        <v>913</v>
      </c>
      <c r="D8383" s="946"/>
      <c r="E8383" s="947"/>
      <c r="F8383" s="1054"/>
      <c r="G8383" s="946"/>
      <c r="H8383" s="1031"/>
      <c r="I8383" s="948"/>
    </row>
    <row r="8384" spans="2:9" ht="15.75">
      <c r="C8384" s="949" t="s">
        <v>1640</v>
      </c>
      <c r="D8384" s="946">
        <v>1</v>
      </c>
      <c r="E8384" s="947" t="str">
        <f>+VLOOKUP(C8384,'Basic (equilibrio) (2)'!B:D,2,FALSE)</f>
        <v>P.a</v>
      </c>
      <c r="F8384" s="1068">
        <f>'Basic (equilibrio) (2)'!$D$254</f>
        <v>2790</v>
      </c>
      <c r="G8384" s="946">
        <f>F8384-(F8384/1.18)</f>
        <v>425.59</v>
      </c>
      <c r="H8384" s="1031"/>
      <c r="I8384" s="948">
        <f>D8384*F8384</f>
        <v>2790</v>
      </c>
    </row>
    <row r="8385" spans="3:9" ht="15.75">
      <c r="C8385" s="951" t="s">
        <v>918</v>
      </c>
      <c r="D8385" s="946"/>
      <c r="E8385" s="947"/>
      <c r="F8385" s="1068"/>
      <c r="G8385" s="946"/>
      <c r="H8385" s="1031"/>
      <c r="I8385" s="952">
        <f>SUM(I8384:I8384)</f>
        <v>2790</v>
      </c>
    </row>
    <row r="8386" spans="3:9" ht="15.75">
      <c r="C8386" s="949"/>
      <c r="D8386" s="946"/>
      <c r="E8386" s="947"/>
      <c r="F8386" s="1068"/>
      <c r="G8386" s="946"/>
      <c r="H8386" s="1031"/>
      <c r="I8386" s="948"/>
    </row>
    <row r="8387" spans="3:9" ht="15.75">
      <c r="C8387" s="945" t="s">
        <v>919</v>
      </c>
      <c r="D8387" s="946"/>
      <c r="E8387" s="947"/>
      <c r="F8387" s="1068"/>
      <c r="G8387" s="946"/>
      <c r="H8387" s="1031"/>
      <c r="I8387" s="948"/>
    </row>
    <row r="8388" spans="3:9" ht="15.75">
      <c r="C8388" s="949" t="s">
        <v>924</v>
      </c>
      <c r="D8388" s="953"/>
      <c r="E8388" s="954" t="str">
        <f>+VLOOKUP(C8388,'Basic (equilibrio) (2)'!B:D,2,FALSE)</f>
        <v>n/a</v>
      </c>
      <c r="F8388" s="1068">
        <f>+VLOOKUP(C8388,'Basic (equilibrio) (2)'!B:D,3,FALSE)</f>
        <v>0</v>
      </c>
      <c r="G8388" s="946">
        <v>0</v>
      </c>
      <c r="H8388" s="1031"/>
      <c r="I8388" s="948">
        <f>(D8388*F8388)</f>
        <v>0</v>
      </c>
    </row>
    <row r="8389" spans="3:9" ht="15.75">
      <c r="C8389" s="951" t="s">
        <v>918</v>
      </c>
      <c r="D8389" s="946"/>
      <c r="E8389" s="947"/>
      <c r="F8389" s="1054"/>
      <c r="G8389" s="946"/>
      <c r="H8389" s="1031"/>
      <c r="I8389" s="952">
        <f>SUM(I8388:I8388)</f>
        <v>0</v>
      </c>
    </row>
    <row r="8390" spans="3:9" ht="15.75">
      <c r="C8390" s="949"/>
      <c r="D8390" s="946"/>
      <c r="E8390" s="947"/>
      <c r="F8390" s="1054"/>
      <c r="G8390" s="946"/>
      <c r="H8390" s="1031"/>
      <c r="I8390" s="948"/>
    </row>
    <row r="8391" spans="3:9" ht="15.75">
      <c r="C8391" s="945" t="s">
        <v>923</v>
      </c>
      <c r="D8391" s="946"/>
      <c r="E8391" s="947"/>
      <c r="F8391" s="1054"/>
      <c r="G8391" s="946"/>
      <c r="H8391" s="1031"/>
      <c r="I8391" s="948"/>
    </row>
    <row r="8392" spans="3:9" ht="15.75">
      <c r="C8392" s="949" t="s">
        <v>924</v>
      </c>
      <c r="D8392" s="946"/>
      <c r="E8392" s="947" t="str">
        <f>+VLOOKUP(C8392,'Basic (equilibrio) (2)'!B:D,2,FALSE)</f>
        <v>n/a</v>
      </c>
      <c r="F8392" s="1054">
        <f>+VLOOKUP(C8392,'Basic (equilibrio) (2)'!B:D,3,FALSE)</f>
        <v>0</v>
      </c>
      <c r="G8392" s="946">
        <f>F8392-(F8392/1.18)</f>
        <v>0</v>
      </c>
      <c r="H8392" s="1039"/>
      <c r="I8392" s="955">
        <f>D8392*F8392</f>
        <v>0</v>
      </c>
    </row>
    <row r="8393" spans="3:9" ht="15.75">
      <c r="C8393" s="951" t="s">
        <v>918</v>
      </c>
      <c r="D8393" s="946"/>
      <c r="E8393" s="947"/>
      <c r="F8393" s="1054"/>
      <c r="G8393" s="946"/>
      <c r="H8393" s="1031"/>
      <c r="I8393" s="952">
        <f>SUM(I8392:I8392)</f>
        <v>0</v>
      </c>
    </row>
    <row r="8394" spans="3:9" ht="15.75">
      <c r="C8394" s="949"/>
      <c r="D8394" s="946"/>
      <c r="E8394" s="947"/>
      <c r="F8394" s="1054"/>
      <c r="G8394" s="946"/>
      <c r="H8394" s="1031"/>
      <c r="I8394" s="948"/>
    </row>
    <row r="8395" spans="3:9" ht="15.75">
      <c r="C8395" s="945" t="s">
        <v>925</v>
      </c>
      <c r="D8395" s="946"/>
      <c r="E8395" s="947"/>
      <c r="F8395" s="1054"/>
      <c r="G8395" s="946"/>
      <c r="H8395" s="1031"/>
      <c r="I8395" s="948"/>
    </row>
    <row r="8396" spans="3:9" ht="15.75">
      <c r="C8396" s="949" t="s">
        <v>924</v>
      </c>
      <c r="D8396" s="946"/>
      <c r="E8396" s="947" t="str">
        <f>+VLOOKUP(C8396,'Basic (equilibrio) (2)'!B:D,2,FALSE)</f>
        <v>n/a</v>
      </c>
      <c r="F8396" s="1054">
        <f>+VLOOKUP(C8396,'Basic (equilibrio) (2)'!B:D,3,FALSE)</f>
        <v>0</v>
      </c>
      <c r="G8396" s="946"/>
      <c r="H8396" s="1031"/>
      <c r="I8396" s="948">
        <f>D8396*F8396</f>
        <v>0</v>
      </c>
    </row>
    <row r="8397" spans="3:9" ht="15.75">
      <c r="C8397" s="951" t="s">
        <v>918</v>
      </c>
      <c r="D8397" s="946"/>
      <c r="E8397" s="947"/>
      <c r="F8397" s="1054"/>
      <c r="G8397" s="946"/>
      <c r="H8397" s="1031"/>
      <c r="I8397" s="952">
        <f>SUM(I8396)</f>
        <v>0</v>
      </c>
    </row>
    <row r="8398" spans="3:9" ht="15.75">
      <c r="C8398" s="951"/>
      <c r="D8398" s="946"/>
      <c r="E8398" s="947"/>
      <c r="F8398" s="1054"/>
      <c r="G8398" s="946"/>
      <c r="H8398" s="1031"/>
      <c r="I8398" s="952"/>
    </row>
    <row r="8399" spans="3:9" ht="15.75">
      <c r="C8399" s="956" t="s">
        <v>926</v>
      </c>
      <c r="D8399" s="957"/>
      <c r="E8399" s="958"/>
      <c r="F8399" s="1069"/>
      <c r="G8399" s="957"/>
      <c r="H8399" s="1032"/>
      <c r="I8399" s="959">
        <f>+I8385</f>
        <v>2790</v>
      </c>
    </row>
    <row r="8400" spans="3:9" ht="15.75">
      <c r="C8400" s="956" t="s">
        <v>927</v>
      </c>
      <c r="D8400" s="957"/>
      <c r="E8400" s="958"/>
      <c r="F8400" s="1069"/>
      <c r="G8400" s="957"/>
      <c r="H8400" s="1032"/>
      <c r="I8400" s="959">
        <f>+I8389</f>
        <v>0</v>
      </c>
    </row>
    <row r="8401" spans="2:9" ht="15.75">
      <c r="C8401" s="956" t="s">
        <v>928</v>
      </c>
      <c r="D8401" s="957"/>
      <c r="E8401" s="958"/>
      <c r="F8401" s="1069"/>
      <c r="G8401" s="957"/>
      <c r="H8401" s="1032"/>
      <c r="I8401" s="959">
        <f>+I8393</f>
        <v>0</v>
      </c>
    </row>
    <row r="8402" spans="2:9" ht="15.75">
      <c r="C8402" s="956" t="s">
        <v>929</v>
      </c>
      <c r="D8402" s="957"/>
      <c r="E8402" s="958"/>
      <c r="F8402" s="1069"/>
      <c r="G8402" s="957"/>
      <c r="H8402" s="1032"/>
      <c r="I8402" s="959">
        <f>+I8397</f>
        <v>0</v>
      </c>
    </row>
    <row r="8403" spans="2:9" ht="15.75">
      <c r="C8403" s="949"/>
      <c r="D8403" s="946"/>
      <c r="E8403" s="947"/>
      <c r="F8403" s="1054"/>
      <c r="G8403" s="946"/>
      <c r="H8403" s="1031"/>
      <c r="I8403" s="948"/>
    </row>
    <row r="8404" spans="2:9" ht="15.75">
      <c r="C8404" s="951" t="s">
        <v>930</v>
      </c>
      <c r="D8404" s="960"/>
      <c r="E8404" s="975" t="str">
        <f>+E8381</f>
        <v>P.a.</v>
      </c>
      <c r="F8404" s="1070"/>
      <c r="G8404" s="960"/>
      <c r="H8404" s="1033"/>
      <c r="I8404" s="952">
        <f>SUM(I8399:I8402)</f>
        <v>2790</v>
      </c>
    </row>
    <row r="8405" spans="2:9" ht="15.75">
      <c r="C8405" s="951"/>
      <c r="D8405" s="960"/>
      <c r="E8405" s="943"/>
      <c r="F8405" s="1070"/>
      <c r="G8405" s="960"/>
      <c r="H8405" s="1033"/>
      <c r="I8405" s="952"/>
    </row>
    <row r="8406" spans="2:9" ht="15.75">
      <c r="B8406" s="1063">
        <v>15.4</v>
      </c>
      <c r="C8406" s="937" t="str">
        <f>+Presupuesto!B497</f>
        <v>Escudos</v>
      </c>
      <c r="D8406" s="938"/>
      <c r="E8406" s="962" t="s">
        <v>1652</v>
      </c>
      <c r="F8406" s="1066"/>
      <c r="G8406" s="938"/>
      <c r="H8406" s="1029"/>
      <c r="I8406" s="940">
        <f>+I8429</f>
        <v>7000</v>
      </c>
    </row>
    <row r="8407" spans="2:9" ht="15.75">
      <c r="C8407" s="941" t="s">
        <v>908</v>
      </c>
      <c r="D8407" s="942" t="s">
        <v>9</v>
      </c>
      <c r="E8407" s="943" t="s">
        <v>10</v>
      </c>
      <c r="F8407" s="1067" t="s">
        <v>909</v>
      </c>
      <c r="G8407" s="942" t="s">
        <v>910</v>
      </c>
      <c r="H8407" s="1030" t="s">
        <v>911</v>
      </c>
      <c r="I8407" s="944" t="s">
        <v>912</v>
      </c>
    </row>
    <row r="8408" spans="2:9" ht="15.75">
      <c r="C8408" s="945" t="s">
        <v>913</v>
      </c>
      <c r="D8408" s="946"/>
      <c r="E8408" s="947"/>
      <c r="F8408" s="1054"/>
      <c r="G8408" s="946"/>
      <c r="H8408" s="1031"/>
      <c r="I8408" s="948"/>
    </row>
    <row r="8409" spans="2:9" ht="15.75">
      <c r="C8409" s="949" t="s">
        <v>1643</v>
      </c>
      <c r="D8409" s="946">
        <v>1</v>
      </c>
      <c r="E8409" s="947" t="str">
        <f>+VLOOKUP(C8409,'Basic (equilibrio) (2)'!B:D,2,FALSE)</f>
        <v>P.a</v>
      </c>
      <c r="F8409" s="1068">
        <f>'Basic (equilibrio) (2)'!$D$257</f>
        <v>7000</v>
      </c>
      <c r="G8409" s="946">
        <f>F8409-(F8409/1.18)</f>
        <v>1067.8</v>
      </c>
      <c r="H8409" s="1031"/>
      <c r="I8409" s="948">
        <f>D8409*F8409</f>
        <v>7000</v>
      </c>
    </row>
    <row r="8410" spans="2:9" ht="15.75">
      <c r="C8410" s="951" t="s">
        <v>918</v>
      </c>
      <c r="D8410" s="946"/>
      <c r="E8410" s="947"/>
      <c r="F8410" s="1068"/>
      <c r="G8410" s="946"/>
      <c r="H8410" s="1031"/>
      <c r="I8410" s="952">
        <f>SUM(I8409:I8409)</f>
        <v>7000</v>
      </c>
    </row>
    <row r="8411" spans="2:9" ht="15.75">
      <c r="C8411" s="949"/>
      <c r="D8411" s="946"/>
      <c r="E8411" s="947"/>
      <c r="F8411" s="1068"/>
      <c r="G8411" s="946"/>
      <c r="H8411" s="1031"/>
      <c r="I8411" s="948"/>
    </row>
    <row r="8412" spans="2:9" ht="15.75">
      <c r="C8412" s="945" t="s">
        <v>919</v>
      </c>
      <c r="D8412" s="946"/>
      <c r="E8412" s="947"/>
      <c r="F8412" s="1068"/>
      <c r="G8412" s="946"/>
      <c r="H8412" s="1031"/>
      <c r="I8412" s="948"/>
    </row>
    <row r="8413" spans="2:9" ht="15.75">
      <c r="C8413" s="949" t="s">
        <v>924</v>
      </c>
      <c r="D8413" s="953"/>
      <c r="E8413" s="954" t="str">
        <f>+VLOOKUP(C8413,'Basic (equilibrio) (2)'!B:D,2,FALSE)</f>
        <v>n/a</v>
      </c>
      <c r="F8413" s="1068">
        <f>+VLOOKUP(C8413,'Basic (equilibrio) (2)'!B:D,3,FALSE)</f>
        <v>0</v>
      </c>
      <c r="G8413" s="946">
        <v>0</v>
      </c>
      <c r="H8413" s="1031"/>
      <c r="I8413" s="948">
        <f>(D8413*F8413)</f>
        <v>0</v>
      </c>
    </row>
    <row r="8414" spans="2:9" ht="15.75">
      <c r="C8414" s="951" t="s">
        <v>918</v>
      </c>
      <c r="D8414" s="946"/>
      <c r="E8414" s="947"/>
      <c r="F8414" s="1054"/>
      <c r="G8414" s="946"/>
      <c r="H8414" s="1031"/>
      <c r="I8414" s="952">
        <f>SUM(I8413:I8413)</f>
        <v>0</v>
      </c>
    </row>
    <row r="8415" spans="2:9" ht="15.75">
      <c r="C8415" s="949"/>
      <c r="D8415" s="946"/>
      <c r="E8415" s="947"/>
      <c r="F8415" s="1054"/>
      <c r="G8415" s="946"/>
      <c r="H8415" s="1031"/>
      <c r="I8415" s="948"/>
    </row>
    <row r="8416" spans="2:9" ht="15.75">
      <c r="C8416" s="945" t="s">
        <v>923</v>
      </c>
      <c r="D8416" s="946"/>
      <c r="E8416" s="947"/>
      <c r="F8416" s="1054"/>
      <c r="G8416" s="946"/>
      <c r="H8416" s="1031"/>
      <c r="I8416" s="948"/>
    </row>
    <row r="8417" spans="2:9" ht="15.75">
      <c r="C8417" s="949" t="s">
        <v>924</v>
      </c>
      <c r="D8417" s="946"/>
      <c r="E8417" s="947" t="str">
        <f>+VLOOKUP(C8417,'Basic (equilibrio) (2)'!B:D,2,FALSE)</f>
        <v>n/a</v>
      </c>
      <c r="F8417" s="1054">
        <f>+VLOOKUP(C8417,'Basic (equilibrio) (2)'!B:D,3,FALSE)</f>
        <v>0</v>
      </c>
      <c r="G8417" s="946">
        <f>F8417-(F8417/1.18)</f>
        <v>0</v>
      </c>
      <c r="H8417" s="1039"/>
      <c r="I8417" s="955">
        <f>D8417*F8417</f>
        <v>0</v>
      </c>
    </row>
    <row r="8418" spans="2:9" ht="15.75">
      <c r="C8418" s="951" t="s">
        <v>918</v>
      </c>
      <c r="D8418" s="946"/>
      <c r="E8418" s="947"/>
      <c r="F8418" s="1054"/>
      <c r="G8418" s="946"/>
      <c r="H8418" s="1031"/>
      <c r="I8418" s="952">
        <f>SUM(I8417:I8417)</f>
        <v>0</v>
      </c>
    </row>
    <row r="8419" spans="2:9" ht="15.75">
      <c r="C8419" s="949"/>
      <c r="D8419" s="946"/>
      <c r="E8419" s="947"/>
      <c r="F8419" s="1054"/>
      <c r="G8419" s="946"/>
      <c r="H8419" s="1031"/>
      <c r="I8419" s="948"/>
    </row>
    <row r="8420" spans="2:9" ht="15.75">
      <c r="C8420" s="945" t="s">
        <v>925</v>
      </c>
      <c r="D8420" s="946"/>
      <c r="E8420" s="947"/>
      <c r="F8420" s="1054"/>
      <c r="G8420" s="946"/>
      <c r="H8420" s="1031"/>
      <c r="I8420" s="948"/>
    </row>
    <row r="8421" spans="2:9" ht="15.75">
      <c r="C8421" s="949" t="s">
        <v>924</v>
      </c>
      <c r="D8421" s="946"/>
      <c r="E8421" s="947" t="str">
        <f>+VLOOKUP(C8421,'Basic (equilibrio) (2)'!B:D,2,FALSE)</f>
        <v>n/a</v>
      </c>
      <c r="F8421" s="1054">
        <f>+VLOOKUP(C8421,'Basic (equilibrio) (2)'!B:D,3,FALSE)</f>
        <v>0</v>
      </c>
      <c r="G8421" s="946"/>
      <c r="H8421" s="1031"/>
      <c r="I8421" s="948">
        <f>D8421*F8421</f>
        <v>0</v>
      </c>
    </row>
    <row r="8422" spans="2:9" ht="15.75">
      <c r="C8422" s="951" t="s">
        <v>918</v>
      </c>
      <c r="D8422" s="946"/>
      <c r="E8422" s="947"/>
      <c r="F8422" s="1054"/>
      <c r="G8422" s="946"/>
      <c r="H8422" s="1031"/>
      <c r="I8422" s="952">
        <f>SUM(I8421)</f>
        <v>0</v>
      </c>
    </row>
    <row r="8423" spans="2:9" ht="15.75">
      <c r="C8423" s="951"/>
      <c r="D8423" s="946"/>
      <c r="E8423" s="947"/>
      <c r="F8423" s="1054"/>
      <c r="G8423" s="946"/>
      <c r="H8423" s="1031"/>
      <c r="I8423" s="952"/>
    </row>
    <row r="8424" spans="2:9" ht="15.75">
      <c r="C8424" s="956" t="s">
        <v>926</v>
      </c>
      <c r="D8424" s="957"/>
      <c r="E8424" s="958"/>
      <c r="F8424" s="1069"/>
      <c r="G8424" s="957"/>
      <c r="H8424" s="1032"/>
      <c r="I8424" s="959">
        <f>+I8410</f>
        <v>7000</v>
      </c>
    </row>
    <row r="8425" spans="2:9" ht="15.75">
      <c r="C8425" s="956" t="s">
        <v>927</v>
      </c>
      <c r="D8425" s="957"/>
      <c r="E8425" s="958"/>
      <c r="F8425" s="1069"/>
      <c r="G8425" s="957"/>
      <c r="H8425" s="1032"/>
      <c r="I8425" s="959">
        <f>+I8414</f>
        <v>0</v>
      </c>
    </row>
    <row r="8426" spans="2:9" ht="15.75">
      <c r="C8426" s="956" t="s">
        <v>928</v>
      </c>
      <c r="D8426" s="957"/>
      <c r="E8426" s="958"/>
      <c r="F8426" s="1069"/>
      <c r="G8426" s="957"/>
      <c r="H8426" s="1032"/>
      <c r="I8426" s="959">
        <f>+I8418</f>
        <v>0</v>
      </c>
    </row>
    <row r="8427" spans="2:9" ht="15.75">
      <c r="C8427" s="956" t="s">
        <v>929</v>
      </c>
      <c r="D8427" s="957"/>
      <c r="E8427" s="958"/>
      <c r="F8427" s="1069"/>
      <c r="G8427" s="957"/>
      <c r="H8427" s="1032"/>
      <c r="I8427" s="959">
        <f>+I8422</f>
        <v>0</v>
      </c>
    </row>
    <row r="8428" spans="2:9" ht="15.75">
      <c r="C8428" s="949"/>
      <c r="D8428" s="946"/>
      <c r="E8428" s="947"/>
      <c r="F8428" s="1054"/>
      <c r="G8428" s="946"/>
      <c r="H8428" s="1031"/>
      <c r="I8428" s="948"/>
    </row>
    <row r="8429" spans="2:9" ht="15.75">
      <c r="C8429" s="951" t="s">
        <v>930</v>
      </c>
      <c r="D8429" s="960"/>
      <c r="E8429" s="975" t="str">
        <f>+E8406</f>
        <v>P.a.</v>
      </c>
      <c r="F8429" s="1070"/>
      <c r="G8429" s="960"/>
      <c r="H8429" s="1033"/>
      <c r="I8429" s="952">
        <f>SUM(I8424:I8427)</f>
        <v>7000</v>
      </c>
    </row>
    <row r="8430" spans="2:9" ht="15.75">
      <c r="C8430" s="951"/>
      <c r="D8430" s="960"/>
      <c r="E8430" s="943"/>
      <c r="F8430" s="1070"/>
      <c r="G8430" s="960"/>
      <c r="H8430" s="1033"/>
      <c r="I8430" s="952"/>
    </row>
    <row r="8431" spans="2:9" ht="15.75">
      <c r="B8431" s="1063">
        <v>15.5</v>
      </c>
      <c r="C8431" s="937" t="str">
        <f>+Presupuesto!B498</f>
        <v>Perfiles en fachada  frontal</v>
      </c>
      <c r="D8431" s="938"/>
      <c r="E8431" s="962" t="s">
        <v>1652</v>
      </c>
      <c r="F8431" s="1066"/>
      <c r="G8431" s="938"/>
      <c r="H8431" s="1029"/>
      <c r="I8431" s="940">
        <f>+I8454</f>
        <v>9000</v>
      </c>
    </row>
    <row r="8432" spans="2:9" ht="15.75">
      <c r="C8432" s="941" t="s">
        <v>908</v>
      </c>
      <c r="D8432" s="942" t="s">
        <v>9</v>
      </c>
      <c r="E8432" s="943" t="s">
        <v>10</v>
      </c>
      <c r="F8432" s="1067" t="s">
        <v>909</v>
      </c>
      <c r="G8432" s="942" t="s">
        <v>910</v>
      </c>
      <c r="H8432" s="1030" t="s">
        <v>911</v>
      </c>
      <c r="I8432" s="944" t="s">
        <v>912</v>
      </c>
    </row>
    <row r="8433" spans="3:9" ht="15.75">
      <c r="C8433" s="945" t="s">
        <v>913</v>
      </c>
      <c r="D8433" s="946"/>
      <c r="E8433" s="947"/>
      <c r="F8433" s="1054"/>
      <c r="G8433" s="946"/>
      <c r="H8433" s="1031"/>
      <c r="I8433" s="948"/>
    </row>
    <row r="8434" spans="3:9" ht="15.75">
      <c r="C8434" s="949" t="s">
        <v>1642</v>
      </c>
      <c r="D8434" s="946">
        <v>1</v>
      </c>
      <c r="E8434" s="947" t="str">
        <f>+VLOOKUP(C8434,'Basic (equilibrio) (2)'!B:D,2,FALSE)</f>
        <v>P.a</v>
      </c>
      <c r="F8434" s="1068">
        <f>'Basic (equilibrio) (2)'!$D$256</f>
        <v>9000</v>
      </c>
      <c r="G8434" s="946">
        <f>F8434-(F8434/1.18)</f>
        <v>1372.88</v>
      </c>
      <c r="H8434" s="1031"/>
      <c r="I8434" s="948">
        <f>D8434*F8434</f>
        <v>9000</v>
      </c>
    </row>
    <row r="8435" spans="3:9" ht="15.75">
      <c r="C8435" s="951" t="s">
        <v>918</v>
      </c>
      <c r="D8435" s="946"/>
      <c r="E8435" s="947"/>
      <c r="F8435" s="1068"/>
      <c r="G8435" s="946"/>
      <c r="H8435" s="1031"/>
      <c r="I8435" s="952">
        <f>SUM(I8434:I8434)</f>
        <v>9000</v>
      </c>
    </row>
    <row r="8436" spans="3:9" ht="15.75">
      <c r="C8436" s="949"/>
      <c r="D8436" s="946"/>
      <c r="E8436" s="947"/>
      <c r="F8436" s="1068"/>
      <c r="G8436" s="946"/>
      <c r="H8436" s="1031"/>
      <c r="I8436" s="948"/>
    </row>
    <row r="8437" spans="3:9" ht="15.75">
      <c r="C8437" s="945" t="s">
        <v>919</v>
      </c>
      <c r="D8437" s="946"/>
      <c r="E8437" s="947"/>
      <c r="F8437" s="1068"/>
      <c r="G8437" s="946"/>
      <c r="H8437" s="1031"/>
      <c r="I8437" s="948"/>
    </row>
    <row r="8438" spans="3:9" ht="15.75">
      <c r="C8438" s="949" t="s">
        <v>924</v>
      </c>
      <c r="D8438" s="953"/>
      <c r="E8438" s="954" t="str">
        <f>+VLOOKUP(C8438,'Basic (equilibrio) (2)'!B:D,2,FALSE)</f>
        <v>n/a</v>
      </c>
      <c r="F8438" s="1068">
        <f>+VLOOKUP(C8438,'Basic (equilibrio) (2)'!B:D,3,FALSE)</f>
        <v>0</v>
      </c>
      <c r="G8438" s="946">
        <v>0</v>
      </c>
      <c r="H8438" s="1031"/>
      <c r="I8438" s="948">
        <f>(D8438*F8438)</f>
        <v>0</v>
      </c>
    </row>
    <row r="8439" spans="3:9" ht="15.75">
      <c r="C8439" s="951" t="s">
        <v>918</v>
      </c>
      <c r="D8439" s="946"/>
      <c r="E8439" s="947"/>
      <c r="F8439" s="1054"/>
      <c r="G8439" s="946"/>
      <c r="H8439" s="1031"/>
      <c r="I8439" s="952">
        <f>SUM(I8438:I8438)</f>
        <v>0</v>
      </c>
    </row>
    <row r="8440" spans="3:9" ht="15.75">
      <c r="C8440" s="949"/>
      <c r="D8440" s="946"/>
      <c r="E8440" s="947"/>
      <c r="F8440" s="1054"/>
      <c r="G8440" s="946"/>
      <c r="H8440" s="1031"/>
      <c r="I8440" s="948"/>
    </row>
    <row r="8441" spans="3:9" ht="15.75">
      <c r="C8441" s="945" t="s">
        <v>923</v>
      </c>
      <c r="D8441" s="946"/>
      <c r="E8441" s="947"/>
      <c r="F8441" s="1054"/>
      <c r="G8441" s="946"/>
      <c r="H8441" s="1031"/>
      <c r="I8441" s="948"/>
    </row>
    <row r="8442" spans="3:9" ht="15.75">
      <c r="C8442" s="949" t="s">
        <v>924</v>
      </c>
      <c r="D8442" s="946"/>
      <c r="E8442" s="947" t="str">
        <f>+VLOOKUP(C8442,'Basic (equilibrio) (2)'!B:D,2,FALSE)</f>
        <v>n/a</v>
      </c>
      <c r="F8442" s="1054">
        <f>+VLOOKUP(C8442,'Basic (equilibrio) (2)'!B:D,3,FALSE)</f>
        <v>0</v>
      </c>
      <c r="G8442" s="946">
        <f>F8442-(F8442/1.18)</f>
        <v>0</v>
      </c>
      <c r="H8442" s="1039"/>
      <c r="I8442" s="955">
        <f>D8442*F8442</f>
        <v>0</v>
      </c>
    </row>
    <row r="8443" spans="3:9" ht="15.75">
      <c r="C8443" s="951" t="s">
        <v>918</v>
      </c>
      <c r="D8443" s="946"/>
      <c r="E8443" s="947"/>
      <c r="F8443" s="1054"/>
      <c r="G8443" s="946"/>
      <c r="H8443" s="1031"/>
      <c r="I8443" s="952">
        <f>SUM(I8442:I8442)</f>
        <v>0</v>
      </c>
    </row>
    <row r="8444" spans="3:9" ht="15.75">
      <c r="C8444" s="949"/>
      <c r="D8444" s="946"/>
      <c r="E8444" s="947"/>
      <c r="F8444" s="1054"/>
      <c r="G8444" s="946"/>
      <c r="H8444" s="1031"/>
      <c r="I8444" s="948"/>
    </row>
    <row r="8445" spans="3:9" ht="15.75">
      <c r="C8445" s="945" t="s">
        <v>925</v>
      </c>
      <c r="D8445" s="946"/>
      <c r="E8445" s="947"/>
      <c r="F8445" s="1054"/>
      <c r="G8445" s="946"/>
      <c r="H8445" s="1031"/>
      <c r="I8445" s="948"/>
    </row>
    <row r="8446" spans="3:9" ht="15.75">
      <c r="C8446" s="949" t="s">
        <v>924</v>
      </c>
      <c r="D8446" s="946"/>
      <c r="E8446" s="947" t="str">
        <f>+VLOOKUP(C8446,'Basic (equilibrio) (2)'!B:D,2,FALSE)</f>
        <v>n/a</v>
      </c>
      <c r="F8446" s="1054">
        <f>+VLOOKUP(C8446,'Basic (equilibrio) (2)'!B:D,3,FALSE)</f>
        <v>0</v>
      </c>
      <c r="G8446" s="946"/>
      <c r="H8446" s="1031"/>
      <c r="I8446" s="948">
        <f>D8446*F8446</f>
        <v>0</v>
      </c>
    </row>
    <row r="8447" spans="3:9" ht="15.75">
      <c r="C8447" s="951" t="s">
        <v>918</v>
      </c>
      <c r="D8447" s="946"/>
      <c r="E8447" s="947"/>
      <c r="F8447" s="1054"/>
      <c r="G8447" s="946"/>
      <c r="H8447" s="1031"/>
      <c r="I8447" s="952">
        <f>SUM(I8446)</f>
        <v>0</v>
      </c>
    </row>
    <row r="8448" spans="3:9" ht="15.75">
      <c r="C8448" s="951"/>
      <c r="D8448" s="946"/>
      <c r="E8448" s="947"/>
      <c r="F8448" s="1054"/>
      <c r="G8448" s="946"/>
      <c r="H8448" s="1031"/>
      <c r="I8448" s="952"/>
    </row>
    <row r="8449" spans="2:9" ht="15.75">
      <c r="C8449" s="956" t="s">
        <v>926</v>
      </c>
      <c r="D8449" s="957"/>
      <c r="E8449" s="958"/>
      <c r="F8449" s="1069"/>
      <c r="G8449" s="957"/>
      <c r="H8449" s="1032"/>
      <c r="I8449" s="959">
        <f>+I8435</f>
        <v>9000</v>
      </c>
    </row>
    <row r="8450" spans="2:9" ht="15.75">
      <c r="C8450" s="956" t="s">
        <v>927</v>
      </c>
      <c r="D8450" s="957"/>
      <c r="E8450" s="958"/>
      <c r="F8450" s="1069"/>
      <c r="G8450" s="957"/>
      <c r="H8450" s="1032"/>
      <c r="I8450" s="959">
        <f>+I8439</f>
        <v>0</v>
      </c>
    </row>
    <row r="8451" spans="2:9" ht="15.75">
      <c r="C8451" s="956" t="s">
        <v>928</v>
      </c>
      <c r="D8451" s="957"/>
      <c r="E8451" s="958"/>
      <c r="F8451" s="1069"/>
      <c r="G8451" s="957"/>
      <c r="H8451" s="1032"/>
      <c r="I8451" s="959">
        <f>+I8443</f>
        <v>0</v>
      </c>
    </row>
    <row r="8452" spans="2:9" ht="15.75">
      <c r="C8452" s="956" t="s">
        <v>929</v>
      </c>
      <c r="D8452" s="957"/>
      <c r="E8452" s="958"/>
      <c r="F8452" s="1069"/>
      <c r="G8452" s="957"/>
      <c r="H8452" s="1032"/>
      <c r="I8452" s="959">
        <f>+I8447</f>
        <v>0</v>
      </c>
    </row>
    <row r="8453" spans="2:9" ht="15.75">
      <c r="C8453" s="949"/>
      <c r="D8453" s="946"/>
      <c r="E8453" s="947"/>
      <c r="F8453" s="1054"/>
      <c r="G8453" s="946"/>
      <c r="H8453" s="1031"/>
      <c r="I8453" s="948"/>
    </row>
    <row r="8454" spans="2:9" ht="15.75">
      <c r="C8454" s="951" t="s">
        <v>930</v>
      </c>
      <c r="D8454" s="960"/>
      <c r="E8454" s="975" t="str">
        <f>+E8431</f>
        <v>P.a.</v>
      </c>
      <c r="F8454" s="1070"/>
      <c r="G8454" s="960"/>
      <c r="H8454" s="1033"/>
      <c r="I8454" s="952">
        <f>SUM(I8449:I8452)</f>
        <v>9000</v>
      </c>
    </row>
    <row r="8455" spans="2:9" ht="15.75">
      <c r="C8455" s="951"/>
      <c r="D8455" s="960"/>
      <c r="E8455" s="943"/>
      <c r="F8455" s="1070"/>
      <c r="G8455" s="960"/>
      <c r="H8455" s="1033"/>
      <c r="I8455" s="952"/>
    </row>
    <row r="8456" spans="2:9" ht="15.75">
      <c r="B8456" s="1063">
        <v>15.6</v>
      </c>
      <c r="C8456" s="937" t="str">
        <f>+Presupuesto!B499</f>
        <v>Carpintería metálica en cárceles (rejas de hierro)</v>
      </c>
      <c r="D8456" s="938"/>
      <c r="E8456" s="962" t="s">
        <v>1409</v>
      </c>
      <c r="F8456" s="1066"/>
      <c r="G8456" s="938"/>
      <c r="H8456" s="1029"/>
      <c r="I8456" s="940">
        <f>+I8479</f>
        <v>1600</v>
      </c>
    </row>
    <row r="8457" spans="2:9" ht="15.75">
      <c r="C8457" s="941" t="s">
        <v>908</v>
      </c>
      <c r="D8457" s="942" t="s">
        <v>9</v>
      </c>
      <c r="E8457" s="943" t="s">
        <v>10</v>
      </c>
      <c r="F8457" s="1067" t="s">
        <v>909</v>
      </c>
      <c r="G8457" s="942" t="s">
        <v>910</v>
      </c>
      <c r="H8457" s="1030" t="s">
        <v>911</v>
      </c>
      <c r="I8457" s="944" t="s">
        <v>912</v>
      </c>
    </row>
    <row r="8458" spans="2:9" ht="15.75">
      <c r="C8458" s="945" t="s">
        <v>913</v>
      </c>
      <c r="D8458" s="946"/>
      <c r="E8458" s="947"/>
      <c r="F8458" s="1054"/>
      <c r="G8458" s="946"/>
      <c r="H8458" s="1031"/>
      <c r="I8458" s="948"/>
    </row>
    <row r="8459" spans="2:9" ht="15.75">
      <c r="C8459" s="949" t="s">
        <v>1641</v>
      </c>
      <c r="D8459" s="946">
        <v>1</v>
      </c>
      <c r="E8459" s="947" t="str">
        <f>+VLOOKUP(C8459,'Basic (equilibrio) (2)'!B:D,2,FALSE)</f>
        <v>p2</v>
      </c>
      <c r="F8459" s="1068">
        <f>'Basic (equilibrio) (2)'!$D$255</f>
        <v>1600</v>
      </c>
      <c r="G8459" s="946">
        <f>F8459-(F8459/1.18)</f>
        <v>244.07</v>
      </c>
      <c r="H8459" s="1031"/>
      <c r="I8459" s="948">
        <f>D8459*F8459</f>
        <v>1600</v>
      </c>
    </row>
    <row r="8460" spans="2:9" ht="15.75">
      <c r="C8460" s="951" t="s">
        <v>918</v>
      </c>
      <c r="D8460" s="946"/>
      <c r="E8460" s="947"/>
      <c r="F8460" s="1068"/>
      <c r="G8460" s="946"/>
      <c r="H8460" s="1031"/>
      <c r="I8460" s="952">
        <f>SUM(I8459:I8459)</f>
        <v>1600</v>
      </c>
    </row>
    <row r="8461" spans="2:9" ht="15.75">
      <c r="C8461" s="949"/>
      <c r="D8461" s="946"/>
      <c r="E8461" s="947"/>
      <c r="F8461" s="1068"/>
      <c r="G8461" s="946"/>
      <c r="H8461" s="1031"/>
      <c r="I8461" s="948"/>
    </row>
    <row r="8462" spans="2:9" ht="15.75">
      <c r="C8462" s="945" t="s">
        <v>919</v>
      </c>
      <c r="D8462" s="946"/>
      <c r="E8462" s="947"/>
      <c r="F8462" s="1068"/>
      <c r="G8462" s="946"/>
      <c r="H8462" s="1031"/>
      <c r="I8462" s="948"/>
    </row>
    <row r="8463" spans="2:9" ht="15.75">
      <c r="C8463" s="949" t="s">
        <v>924</v>
      </c>
      <c r="D8463" s="953"/>
      <c r="E8463" s="954" t="str">
        <f>+VLOOKUP(C8463,'Basic (equilibrio) (2)'!B:D,2,FALSE)</f>
        <v>n/a</v>
      </c>
      <c r="F8463" s="1068">
        <f>+VLOOKUP(C8463,'Basic (equilibrio) (2)'!B:D,3,FALSE)</f>
        <v>0</v>
      </c>
      <c r="G8463" s="946">
        <v>0</v>
      </c>
      <c r="H8463" s="1031"/>
      <c r="I8463" s="948">
        <f>(D8463*F8463)</f>
        <v>0</v>
      </c>
    </row>
    <row r="8464" spans="2:9" ht="15.75">
      <c r="C8464" s="951" t="s">
        <v>918</v>
      </c>
      <c r="D8464" s="946"/>
      <c r="E8464" s="947"/>
      <c r="F8464" s="1054"/>
      <c r="G8464" s="946"/>
      <c r="H8464" s="1031"/>
      <c r="I8464" s="952">
        <f>SUM(I8463:I8463)</f>
        <v>0</v>
      </c>
    </row>
    <row r="8465" spans="3:9" ht="15.75">
      <c r="C8465" s="949"/>
      <c r="D8465" s="946"/>
      <c r="E8465" s="947"/>
      <c r="F8465" s="1054"/>
      <c r="G8465" s="946"/>
      <c r="H8465" s="1031"/>
      <c r="I8465" s="948"/>
    </row>
    <row r="8466" spans="3:9" ht="15.75">
      <c r="C8466" s="945" t="s">
        <v>923</v>
      </c>
      <c r="D8466" s="946"/>
      <c r="E8466" s="947"/>
      <c r="F8466" s="1054"/>
      <c r="G8466" s="946"/>
      <c r="H8466" s="1031"/>
      <c r="I8466" s="948"/>
    </row>
    <row r="8467" spans="3:9" ht="15.75">
      <c r="C8467" s="949" t="s">
        <v>924</v>
      </c>
      <c r="D8467" s="946"/>
      <c r="E8467" s="947" t="str">
        <f>+VLOOKUP(C8467,'Basic (equilibrio) (2)'!B:D,2,FALSE)</f>
        <v>n/a</v>
      </c>
      <c r="F8467" s="1054">
        <f>+VLOOKUP(C8467,'Basic (equilibrio) (2)'!B:D,3,FALSE)</f>
        <v>0</v>
      </c>
      <c r="G8467" s="946">
        <f>F8467-(F8467/1.18)</f>
        <v>0</v>
      </c>
      <c r="H8467" s="1039"/>
      <c r="I8467" s="955">
        <f>D8467*F8467</f>
        <v>0</v>
      </c>
    </row>
    <row r="8468" spans="3:9" ht="15.75">
      <c r="C8468" s="951" t="s">
        <v>918</v>
      </c>
      <c r="D8468" s="946"/>
      <c r="E8468" s="947"/>
      <c r="F8468" s="1054"/>
      <c r="G8468" s="946"/>
      <c r="H8468" s="1031"/>
      <c r="I8468" s="952">
        <f>SUM(I8467:I8467)</f>
        <v>0</v>
      </c>
    </row>
    <row r="8469" spans="3:9" ht="15.75">
      <c r="C8469" s="949"/>
      <c r="D8469" s="946"/>
      <c r="E8469" s="947"/>
      <c r="F8469" s="1054"/>
      <c r="G8469" s="946"/>
      <c r="H8469" s="1031"/>
      <c r="I8469" s="948"/>
    </row>
    <row r="8470" spans="3:9" ht="15.75">
      <c r="C8470" s="945" t="s">
        <v>925</v>
      </c>
      <c r="D8470" s="946"/>
      <c r="E8470" s="947"/>
      <c r="F8470" s="1054"/>
      <c r="G8470" s="946"/>
      <c r="H8470" s="1031"/>
      <c r="I8470" s="948"/>
    </row>
    <row r="8471" spans="3:9" ht="15.75">
      <c r="C8471" s="949" t="s">
        <v>924</v>
      </c>
      <c r="D8471" s="946"/>
      <c r="E8471" s="947" t="str">
        <f>+VLOOKUP(C8471,'Basic (equilibrio) (2)'!B:D,2,FALSE)</f>
        <v>n/a</v>
      </c>
      <c r="F8471" s="1054">
        <f>+VLOOKUP(C8471,'Basic (equilibrio) (2)'!B:D,3,FALSE)</f>
        <v>0</v>
      </c>
      <c r="G8471" s="946"/>
      <c r="H8471" s="1031"/>
      <c r="I8471" s="948">
        <f>D8471*F8471</f>
        <v>0</v>
      </c>
    </row>
    <row r="8472" spans="3:9" ht="15.75">
      <c r="C8472" s="951" t="s">
        <v>918</v>
      </c>
      <c r="D8472" s="946"/>
      <c r="E8472" s="947"/>
      <c r="F8472" s="1054"/>
      <c r="G8472" s="946"/>
      <c r="H8472" s="1031"/>
      <c r="I8472" s="952">
        <f>SUM(I8471)</f>
        <v>0</v>
      </c>
    </row>
    <row r="8473" spans="3:9" ht="15.75">
      <c r="C8473" s="951"/>
      <c r="D8473" s="946"/>
      <c r="E8473" s="947"/>
      <c r="F8473" s="1054"/>
      <c r="G8473" s="946"/>
      <c r="H8473" s="1031"/>
      <c r="I8473" s="952"/>
    </row>
    <row r="8474" spans="3:9" ht="15.75">
      <c r="C8474" s="956" t="s">
        <v>926</v>
      </c>
      <c r="D8474" s="957"/>
      <c r="E8474" s="958"/>
      <c r="F8474" s="1069"/>
      <c r="G8474" s="957"/>
      <c r="H8474" s="1032"/>
      <c r="I8474" s="959">
        <f>+I8460</f>
        <v>1600</v>
      </c>
    </row>
    <row r="8475" spans="3:9" ht="15.75">
      <c r="C8475" s="956" t="s">
        <v>927</v>
      </c>
      <c r="D8475" s="957"/>
      <c r="E8475" s="958"/>
      <c r="F8475" s="1069"/>
      <c r="G8475" s="957"/>
      <c r="H8475" s="1032"/>
      <c r="I8475" s="959">
        <f>+I8464</f>
        <v>0</v>
      </c>
    </row>
    <row r="8476" spans="3:9" ht="15.75">
      <c r="C8476" s="956" t="s">
        <v>928</v>
      </c>
      <c r="D8476" s="957"/>
      <c r="E8476" s="958"/>
      <c r="F8476" s="1069"/>
      <c r="G8476" s="957"/>
      <c r="H8476" s="1032"/>
      <c r="I8476" s="959">
        <f>+I8468</f>
        <v>0</v>
      </c>
    </row>
    <row r="8477" spans="3:9" ht="15.75">
      <c r="C8477" s="956" t="s">
        <v>929</v>
      </c>
      <c r="D8477" s="957"/>
      <c r="E8477" s="958"/>
      <c r="F8477" s="1069"/>
      <c r="G8477" s="957"/>
      <c r="H8477" s="1032"/>
      <c r="I8477" s="959">
        <f>+I8472</f>
        <v>0</v>
      </c>
    </row>
    <row r="8478" spans="3:9" ht="15.75">
      <c r="C8478" s="949"/>
      <c r="D8478" s="946"/>
      <c r="E8478" s="947"/>
      <c r="F8478" s="1054"/>
      <c r="G8478" s="946"/>
      <c r="H8478" s="1031"/>
      <c r="I8478" s="948"/>
    </row>
    <row r="8479" spans="3:9" ht="15.75">
      <c r="C8479" s="951" t="s">
        <v>930</v>
      </c>
      <c r="D8479" s="960"/>
      <c r="E8479" s="975" t="str">
        <f>+E8456</f>
        <v>p2</v>
      </c>
      <c r="F8479" s="1070"/>
      <c r="G8479" s="960"/>
      <c r="H8479" s="1033"/>
      <c r="I8479" s="952">
        <f>SUM(I8474:I8477)</f>
        <v>1600</v>
      </c>
    </row>
    <row r="8480" spans="3:9" ht="15.75">
      <c r="C8480" s="951"/>
      <c r="D8480" s="960"/>
      <c r="E8480" s="943"/>
      <c r="F8480" s="1070"/>
      <c r="G8480" s="960"/>
      <c r="H8480" s="1033"/>
      <c r="I8480" s="952"/>
    </row>
    <row r="8481" spans="2:9" ht="15.75">
      <c r="B8481" s="1063">
        <v>15.7</v>
      </c>
      <c r="C8481" s="937" t="str">
        <f>+Presupuesto!B500</f>
        <v>Limpieza final</v>
      </c>
      <c r="D8481" s="938"/>
      <c r="E8481" s="962" t="s">
        <v>140</v>
      </c>
      <c r="F8481" s="1066"/>
      <c r="G8481" s="938"/>
      <c r="H8481" s="1029"/>
      <c r="I8481" s="940">
        <f>+I8504</f>
        <v>3000</v>
      </c>
    </row>
    <row r="8482" spans="2:9" ht="15.75">
      <c r="C8482" s="941" t="s">
        <v>908</v>
      </c>
      <c r="D8482" s="942" t="s">
        <v>9</v>
      </c>
      <c r="E8482" s="943" t="s">
        <v>10</v>
      </c>
      <c r="F8482" s="1067" t="s">
        <v>909</v>
      </c>
      <c r="G8482" s="942" t="s">
        <v>910</v>
      </c>
      <c r="H8482" s="1030" t="s">
        <v>911</v>
      </c>
      <c r="I8482" s="944" t="s">
        <v>912</v>
      </c>
    </row>
    <row r="8483" spans="2:9" ht="15.75">
      <c r="C8483" s="945" t="s">
        <v>913</v>
      </c>
      <c r="D8483" s="946"/>
      <c r="E8483" s="947"/>
      <c r="F8483" s="1054"/>
      <c r="G8483" s="946"/>
      <c r="H8483" s="1031"/>
      <c r="I8483" s="948"/>
    </row>
    <row r="8484" spans="2:9" ht="15.75">
      <c r="C8484" s="949" t="s">
        <v>1653</v>
      </c>
      <c r="D8484" s="946">
        <v>1</v>
      </c>
      <c r="E8484" s="947" t="str">
        <f>+VLOOKUP(C8484,'Basic (equilibrio) (2)'!B:D,2,FALSE)</f>
        <v>p.a</v>
      </c>
      <c r="F8484" s="1068">
        <f>'Basic (equilibrio) (2)'!$D$264</f>
        <v>3000</v>
      </c>
      <c r="G8484" s="946">
        <f>F8484-(F8484/1.18)</f>
        <v>457.63</v>
      </c>
      <c r="H8484" s="1031"/>
      <c r="I8484" s="948">
        <f>D8484*F8484</f>
        <v>3000</v>
      </c>
    </row>
    <row r="8485" spans="2:9" ht="15.75">
      <c r="C8485" s="951" t="s">
        <v>918</v>
      </c>
      <c r="D8485" s="946"/>
      <c r="E8485" s="947"/>
      <c r="F8485" s="1068"/>
      <c r="G8485" s="946"/>
      <c r="H8485" s="1031"/>
      <c r="I8485" s="952">
        <f>SUM(I8484:I8484)</f>
        <v>3000</v>
      </c>
    </row>
    <row r="8486" spans="2:9" ht="15.75">
      <c r="C8486" s="949"/>
      <c r="D8486" s="946"/>
      <c r="E8486" s="947"/>
      <c r="F8486" s="1068"/>
      <c r="G8486" s="946"/>
      <c r="H8486" s="1031"/>
      <c r="I8486" s="948"/>
    </row>
    <row r="8487" spans="2:9" ht="15.75">
      <c r="C8487" s="945" t="s">
        <v>919</v>
      </c>
      <c r="D8487" s="946"/>
      <c r="E8487" s="947"/>
      <c r="F8487" s="1068"/>
      <c r="G8487" s="946"/>
      <c r="H8487" s="1031"/>
      <c r="I8487" s="948"/>
    </row>
    <row r="8488" spans="2:9" ht="15.75">
      <c r="C8488" s="949" t="s">
        <v>924</v>
      </c>
      <c r="D8488" s="953"/>
      <c r="E8488" s="954" t="str">
        <f>+VLOOKUP(C8488,'Basic (equilibrio) (2)'!B:D,2,FALSE)</f>
        <v>n/a</v>
      </c>
      <c r="F8488" s="1068">
        <f>+VLOOKUP(C8488,'Basic (equilibrio) (2)'!B:D,3,FALSE)</f>
        <v>0</v>
      </c>
      <c r="G8488" s="946">
        <v>0</v>
      </c>
      <c r="H8488" s="1031"/>
      <c r="I8488" s="948">
        <f>(D8488*F8488)</f>
        <v>0</v>
      </c>
    </row>
    <row r="8489" spans="2:9" ht="15.75">
      <c r="C8489" s="951" t="s">
        <v>918</v>
      </c>
      <c r="D8489" s="946"/>
      <c r="E8489" s="947"/>
      <c r="F8489" s="1054"/>
      <c r="G8489" s="946"/>
      <c r="H8489" s="1031"/>
      <c r="I8489" s="952">
        <f>SUM(I8488:I8488)</f>
        <v>0</v>
      </c>
    </row>
    <row r="8490" spans="2:9" ht="15.75">
      <c r="C8490" s="949"/>
      <c r="D8490" s="946"/>
      <c r="E8490" s="947"/>
      <c r="F8490" s="1054"/>
      <c r="G8490" s="946"/>
      <c r="H8490" s="1031"/>
      <c r="I8490" s="948"/>
    </row>
    <row r="8491" spans="2:9" ht="15.75">
      <c r="C8491" s="945" t="s">
        <v>923</v>
      </c>
      <c r="D8491" s="946"/>
      <c r="E8491" s="947"/>
      <c r="F8491" s="1054"/>
      <c r="G8491" s="946"/>
      <c r="H8491" s="1031"/>
      <c r="I8491" s="948"/>
    </row>
    <row r="8492" spans="2:9" ht="15.75">
      <c r="C8492" s="949" t="s">
        <v>924</v>
      </c>
      <c r="D8492" s="946"/>
      <c r="E8492" s="947" t="str">
        <f>+VLOOKUP(C8492,'Basic (equilibrio) (2)'!B:D,2,FALSE)</f>
        <v>n/a</v>
      </c>
      <c r="F8492" s="1054">
        <f>+VLOOKUP(C8492,'Basic (equilibrio) (2)'!B:D,3,FALSE)</f>
        <v>0</v>
      </c>
      <c r="G8492" s="946">
        <f>F8492-(F8492/1.18)</f>
        <v>0</v>
      </c>
      <c r="H8492" s="1039"/>
      <c r="I8492" s="955">
        <f>D8492*F8492</f>
        <v>0</v>
      </c>
    </row>
    <row r="8493" spans="2:9" ht="15.75">
      <c r="C8493" s="951" t="s">
        <v>918</v>
      </c>
      <c r="D8493" s="946"/>
      <c r="E8493" s="947"/>
      <c r="F8493" s="1054"/>
      <c r="G8493" s="946"/>
      <c r="H8493" s="1031"/>
      <c r="I8493" s="952">
        <f>SUM(I8492:I8492)</f>
        <v>0</v>
      </c>
    </row>
    <row r="8494" spans="2:9" ht="15.75">
      <c r="C8494" s="949"/>
      <c r="D8494" s="946"/>
      <c r="E8494" s="947"/>
      <c r="F8494" s="1054"/>
      <c r="G8494" s="946"/>
      <c r="H8494" s="1031"/>
      <c r="I8494" s="948"/>
    </row>
    <row r="8495" spans="2:9" ht="15.75">
      <c r="C8495" s="945" t="s">
        <v>925</v>
      </c>
      <c r="D8495" s="946"/>
      <c r="E8495" s="947"/>
      <c r="F8495" s="1054"/>
      <c r="G8495" s="946"/>
      <c r="H8495" s="1031"/>
      <c r="I8495" s="948"/>
    </row>
    <row r="8496" spans="2:9" ht="15.75">
      <c r="C8496" s="949" t="s">
        <v>924</v>
      </c>
      <c r="D8496" s="946"/>
      <c r="E8496" s="947" t="str">
        <f>+VLOOKUP(C8496,'Basic (equilibrio) (2)'!B:D,2,FALSE)</f>
        <v>n/a</v>
      </c>
      <c r="F8496" s="1054">
        <f>+VLOOKUP(C8496,'Basic (equilibrio) (2)'!B:D,3,FALSE)</f>
        <v>0</v>
      </c>
      <c r="G8496" s="946"/>
      <c r="H8496" s="1031"/>
      <c r="I8496" s="948">
        <f>D8496*F8496</f>
        <v>0</v>
      </c>
    </row>
    <row r="8497" spans="2:9" ht="15.75">
      <c r="C8497" s="951" t="s">
        <v>918</v>
      </c>
      <c r="D8497" s="946"/>
      <c r="E8497" s="947"/>
      <c r="F8497" s="1054"/>
      <c r="G8497" s="946"/>
      <c r="H8497" s="1031"/>
      <c r="I8497" s="952">
        <f>SUM(I8496)</f>
        <v>0</v>
      </c>
    </row>
    <row r="8498" spans="2:9" ht="15.75">
      <c r="C8498" s="951"/>
      <c r="D8498" s="946"/>
      <c r="E8498" s="947"/>
      <c r="F8498" s="1054"/>
      <c r="G8498" s="946"/>
      <c r="H8498" s="1031"/>
      <c r="I8498" s="952"/>
    </row>
    <row r="8499" spans="2:9" ht="15.75">
      <c r="C8499" s="956" t="s">
        <v>926</v>
      </c>
      <c r="D8499" s="957"/>
      <c r="E8499" s="958"/>
      <c r="F8499" s="1069"/>
      <c r="G8499" s="957"/>
      <c r="H8499" s="1032"/>
      <c r="I8499" s="959">
        <f>+I8485</f>
        <v>3000</v>
      </c>
    </row>
    <row r="8500" spans="2:9" ht="15.75">
      <c r="C8500" s="956" t="s">
        <v>927</v>
      </c>
      <c r="D8500" s="957"/>
      <c r="E8500" s="958"/>
      <c r="F8500" s="1069"/>
      <c r="G8500" s="957"/>
      <c r="H8500" s="1032"/>
      <c r="I8500" s="959">
        <f>+I8489</f>
        <v>0</v>
      </c>
    </row>
    <row r="8501" spans="2:9" ht="15.75">
      <c r="C8501" s="956" t="s">
        <v>928</v>
      </c>
      <c r="D8501" s="957"/>
      <c r="E8501" s="958"/>
      <c r="F8501" s="1069"/>
      <c r="G8501" s="957"/>
      <c r="H8501" s="1032"/>
      <c r="I8501" s="959">
        <f>+I8493</f>
        <v>0</v>
      </c>
    </row>
    <row r="8502" spans="2:9" ht="15.75">
      <c r="C8502" s="956" t="s">
        <v>929</v>
      </c>
      <c r="D8502" s="957"/>
      <c r="E8502" s="958"/>
      <c r="F8502" s="1069"/>
      <c r="G8502" s="957"/>
      <c r="H8502" s="1032"/>
      <c r="I8502" s="959">
        <f>+I8497</f>
        <v>0</v>
      </c>
    </row>
    <row r="8503" spans="2:9" ht="15.75">
      <c r="C8503" s="949"/>
      <c r="D8503" s="946"/>
      <c r="E8503" s="947"/>
      <c r="F8503" s="1054"/>
      <c r="G8503" s="946"/>
      <c r="H8503" s="1031"/>
      <c r="I8503" s="948"/>
    </row>
    <row r="8504" spans="2:9" ht="15.75">
      <c r="C8504" s="951" t="s">
        <v>930</v>
      </c>
      <c r="D8504" s="960"/>
      <c r="E8504" s="975" t="str">
        <f>+E8481</f>
        <v>P.A</v>
      </c>
      <c r="F8504" s="1070"/>
      <c r="G8504" s="960"/>
      <c r="H8504" s="1033"/>
      <c r="I8504" s="952">
        <f>SUM(I8499:I8502)</f>
        <v>3000</v>
      </c>
    </row>
    <row r="8505" spans="2:9" ht="15.75">
      <c r="C8505" s="951"/>
      <c r="D8505" s="960"/>
      <c r="E8505" s="943"/>
      <c r="F8505" s="1070"/>
      <c r="G8505" s="960"/>
      <c r="H8505" s="1033"/>
      <c r="I8505" s="952"/>
    </row>
    <row r="8506" spans="2:9" ht="17.25" customHeight="1">
      <c r="B8506" s="1435" t="s">
        <v>1654</v>
      </c>
      <c r="C8506" s="1435"/>
      <c r="D8506" s="1435"/>
      <c r="E8506" s="1435"/>
      <c r="F8506" s="1435"/>
      <c r="G8506" s="1435"/>
      <c r="H8506" s="1435"/>
      <c r="I8506" s="1436"/>
    </row>
    <row r="8507" spans="2:9" ht="15.75">
      <c r="C8507" s="951"/>
      <c r="D8507" s="960"/>
      <c r="E8507" s="943"/>
      <c r="F8507" s="1070"/>
      <c r="G8507" s="960"/>
      <c r="H8507" s="1033"/>
      <c r="I8507" s="952"/>
    </row>
    <row r="8508" spans="2:9" ht="15.75">
      <c r="B8508" s="1024">
        <v>1.1000000000000001</v>
      </c>
      <c r="C8508" s="937" t="str">
        <f>+Presupuesto!B506</f>
        <v>Replanteo y charrancha</v>
      </c>
      <c r="D8508" s="938"/>
      <c r="E8508" s="939" t="s">
        <v>20</v>
      </c>
      <c r="F8508" s="1066"/>
      <c r="G8508" s="938"/>
      <c r="H8508" s="1029"/>
      <c r="I8508" s="940">
        <f>+I8538</f>
        <v>162.29</v>
      </c>
    </row>
    <row r="8509" spans="2:9" ht="15.75">
      <c r="C8509" s="941" t="s">
        <v>908</v>
      </c>
      <c r="D8509" s="942" t="s">
        <v>9</v>
      </c>
      <c r="E8509" s="943" t="s">
        <v>10</v>
      </c>
      <c r="F8509" s="1067" t="s">
        <v>909</v>
      </c>
      <c r="G8509" s="942" t="s">
        <v>910</v>
      </c>
      <c r="H8509" s="1030" t="s">
        <v>911</v>
      </c>
      <c r="I8509" s="944" t="s">
        <v>912</v>
      </c>
    </row>
    <row r="8510" spans="2:9" ht="15.75">
      <c r="C8510" s="945" t="s">
        <v>913</v>
      </c>
      <c r="D8510" s="946"/>
      <c r="E8510" s="947"/>
      <c r="F8510" s="1054"/>
      <c r="G8510" s="946"/>
      <c r="H8510" s="1031"/>
      <c r="I8510" s="948"/>
    </row>
    <row r="8511" spans="2:9" ht="15.75">
      <c r="C8511" s="949" t="s">
        <v>914</v>
      </c>
      <c r="D8511" s="946">
        <f>33.94/28.83</f>
        <v>1.18</v>
      </c>
      <c r="E8511" s="947" t="str">
        <f>+VLOOKUP(C8511,'Basic (equilibrio) (2)'!B:D,2,FALSE)</f>
        <v>lb</v>
      </c>
      <c r="F8511" s="1068">
        <f>'Basic (equilibrio) (2)'!$D$326</f>
        <v>78.2</v>
      </c>
      <c r="G8511" s="946">
        <f>F8511-(F8511/1.18)</f>
        <v>11.93</v>
      </c>
      <c r="H8511" s="1031"/>
      <c r="I8511" s="948">
        <f>D8511*F8511</f>
        <v>92.28</v>
      </c>
    </row>
    <row r="8512" spans="2:9" ht="15.75">
      <c r="C8512" s="949" t="s">
        <v>915</v>
      </c>
      <c r="D8512" s="946">
        <f>22/28.83</f>
        <v>0.76</v>
      </c>
      <c r="E8512" s="950" t="str">
        <f>+VLOOKUP(C8512,'Basic (equilibrio) (2)'!B:D,2,FALSE)</f>
        <v>fda</v>
      </c>
      <c r="F8512" s="1068">
        <f>'Basic (equilibrio) (2)'!$D$327</f>
        <v>153.6</v>
      </c>
      <c r="G8512" s="946">
        <f>F8512-(F8512/1.18)</f>
        <v>23.43</v>
      </c>
      <c r="H8512" s="1031"/>
      <c r="I8512" s="948">
        <f>D8512*F8512</f>
        <v>116.74</v>
      </c>
    </row>
    <row r="8513" spans="3:9" ht="15.75">
      <c r="C8513" s="949" t="s">
        <v>916</v>
      </c>
      <c r="D8513" s="946">
        <f>160.42/28.83</f>
        <v>5.56</v>
      </c>
      <c r="E8513" s="947" t="str">
        <f>+VLOOKUP(C8513,'Basic (equilibrio) (2)'!B:D,2,FALSE)</f>
        <v>pt</v>
      </c>
      <c r="F8513" s="1068">
        <f>'Basic (equilibrio) (2)'!$D$194</f>
        <v>107.7</v>
      </c>
      <c r="G8513" s="946">
        <f>F8513-(F8513/1.18)</f>
        <v>16.43</v>
      </c>
      <c r="H8513" s="1031"/>
      <c r="I8513" s="948">
        <f>D8513*F8513</f>
        <v>598.80999999999995</v>
      </c>
    </row>
    <row r="8514" spans="3:9" ht="15.75">
      <c r="C8514" s="949" t="s">
        <v>917</v>
      </c>
      <c r="D8514" s="946">
        <f>3/28.83</f>
        <v>0.1</v>
      </c>
      <c r="E8514" s="950" t="str">
        <f>+VLOOKUP(C8514,'Basic (equilibrio) (2)'!B:D,2,FALSE)</f>
        <v>u</v>
      </c>
      <c r="F8514" s="1068">
        <f>'Basic (equilibrio) (2)'!$D$329</f>
        <v>139.19999999999999</v>
      </c>
      <c r="G8514" s="946">
        <f>F8514-(F8514/1.18)</f>
        <v>21.23</v>
      </c>
      <c r="H8514" s="1031"/>
      <c r="I8514" s="948">
        <f>D8514*F8514</f>
        <v>13.92</v>
      </c>
    </row>
    <row r="8515" spans="3:9" ht="15.75">
      <c r="C8515" s="951" t="s">
        <v>918</v>
      </c>
      <c r="D8515" s="946"/>
      <c r="E8515" s="947"/>
      <c r="F8515" s="1068"/>
      <c r="G8515" s="946"/>
      <c r="H8515" s="1031"/>
      <c r="I8515" s="952">
        <f>SUM(I8511:I8514)</f>
        <v>821.75</v>
      </c>
    </row>
    <row r="8516" spans="3:9" ht="15.75">
      <c r="C8516" s="949"/>
      <c r="D8516" s="946"/>
      <c r="E8516" s="947"/>
      <c r="F8516" s="1068"/>
      <c r="G8516" s="946"/>
      <c r="H8516" s="1031"/>
      <c r="I8516" s="948"/>
    </row>
    <row r="8517" spans="3:9" ht="15.75">
      <c r="C8517" s="945" t="s">
        <v>919</v>
      </c>
      <c r="D8517" s="946"/>
      <c r="E8517" s="947"/>
      <c r="F8517" s="1068"/>
      <c r="G8517" s="946"/>
      <c r="H8517" s="1031"/>
      <c r="I8517" s="948"/>
    </row>
    <row r="8518" spans="3:9" ht="15.75">
      <c r="C8518" s="949" t="s">
        <v>920</v>
      </c>
      <c r="D8518" s="953">
        <v>1</v>
      </c>
      <c r="E8518" s="954" t="str">
        <f>+VLOOKUP(C8518,'Basic (equilibrio) (2)'!B:D,2,FALSE)</f>
        <v>dia</v>
      </c>
      <c r="F8518" s="1068">
        <f>+'Basic (equilibrio) (2)'!$D$18</f>
        <v>28535.5</v>
      </c>
      <c r="G8518" s="946">
        <v>0</v>
      </c>
      <c r="H8518" s="1031"/>
      <c r="I8518" s="948">
        <f>D8518*F8518</f>
        <v>28535.5</v>
      </c>
    </row>
    <row r="8519" spans="3:9" ht="15.75">
      <c r="C8519" s="949" t="s">
        <v>921</v>
      </c>
      <c r="D8519" s="946">
        <v>1</v>
      </c>
      <c r="E8519" s="954" t="str">
        <f>+VLOOKUP(C8519,'Basic (equilibrio) (2)'!B:D,2,FALSE)</f>
        <v>dia</v>
      </c>
      <c r="F8519" s="1054">
        <f>'Basic (equilibrio) (2)'!$D$12</f>
        <v>1900</v>
      </c>
      <c r="G8519" s="946">
        <v>0</v>
      </c>
      <c r="H8519" s="1031"/>
      <c r="I8519" s="948">
        <f>D8519*F8519</f>
        <v>1900</v>
      </c>
    </row>
    <row r="8520" spans="3:9" ht="15.75">
      <c r="C8520" s="949" t="s">
        <v>922</v>
      </c>
      <c r="D8520" s="946">
        <v>1</v>
      </c>
      <c r="E8520" s="954" t="str">
        <f>+VLOOKUP(C8520,'Basic (equilibrio) (2)'!B:D,2,FALSE)</f>
        <v>dia</v>
      </c>
      <c r="F8520" s="1054">
        <f>'Basic (equilibrio) (2)'!$D$13</f>
        <v>1200</v>
      </c>
      <c r="G8520" s="946">
        <v>0</v>
      </c>
      <c r="H8520" s="1031"/>
      <c r="I8520" s="948">
        <f>D8520*F8520</f>
        <v>1200</v>
      </c>
    </row>
    <row r="8521" spans="3:9" ht="15.75">
      <c r="C8521" s="951" t="s">
        <v>918</v>
      </c>
      <c r="D8521" s="946"/>
      <c r="E8521" s="947"/>
      <c r="F8521" s="1054"/>
      <c r="G8521" s="946"/>
      <c r="H8521" s="1031"/>
      <c r="I8521" s="952">
        <f>SUM(I8518:I8520)</f>
        <v>31635.5</v>
      </c>
    </row>
    <row r="8522" spans="3:9" ht="15.75">
      <c r="C8522" s="949"/>
      <c r="D8522" s="946"/>
      <c r="E8522" s="947"/>
      <c r="F8522" s="1054"/>
      <c r="G8522" s="946"/>
      <c r="H8522" s="1031"/>
      <c r="I8522" s="948"/>
    </row>
    <row r="8523" spans="3:9" ht="15.75">
      <c r="C8523" s="945" t="s">
        <v>923</v>
      </c>
      <c r="D8523" s="946"/>
      <c r="E8523" s="947"/>
      <c r="F8523" s="1054"/>
      <c r="G8523" s="946"/>
      <c r="H8523" s="1031"/>
      <c r="I8523" s="948"/>
    </row>
    <row r="8524" spans="3:9" ht="15.75">
      <c r="C8524" s="949" t="s">
        <v>924</v>
      </c>
      <c r="D8524" s="946"/>
      <c r="E8524" s="947" t="str">
        <f>+VLOOKUP(C8524,'Basic (equilibrio) (2)'!B:D,2,FALSE)</f>
        <v>n/a</v>
      </c>
      <c r="F8524" s="1054">
        <f>+VLOOKUP(C8524,'Basic (equilibrio) (2)'!B:D,3,FALSE)</f>
        <v>0</v>
      </c>
      <c r="G8524" s="946">
        <f>F8524-(F8524/1.18)</f>
        <v>0</v>
      </c>
      <c r="H8524" s="1039"/>
      <c r="I8524" s="955">
        <f>D8524*F8524</f>
        <v>0</v>
      </c>
    </row>
    <row r="8525" spans="3:9" ht="15.75">
      <c r="C8525" s="951" t="s">
        <v>918</v>
      </c>
      <c r="D8525" s="946"/>
      <c r="E8525" s="947"/>
      <c r="F8525" s="1054"/>
      <c r="G8525" s="946"/>
      <c r="H8525" s="1031"/>
      <c r="I8525" s="952">
        <f>SUM(I8524)</f>
        <v>0</v>
      </c>
    </row>
    <row r="8526" spans="3:9" ht="15.75">
      <c r="C8526" s="949"/>
      <c r="D8526" s="946"/>
      <c r="E8526" s="947"/>
      <c r="F8526" s="1054"/>
      <c r="G8526" s="946"/>
      <c r="H8526" s="1031"/>
      <c r="I8526" s="948"/>
    </row>
    <row r="8527" spans="3:9" ht="15.75">
      <c r="C8527" s="945" t="s">
        <v>925</v>
      </c>
      <c r="D8527" s="946"/>
      <c r="E8527" s="947"/>
      <c r="F8527" s="1054"/>
      <c r="G8527" s="946"/>
      <c r="H8527" s="1031"/>
      <c r="I8527" s="948"/>
    </row>
    <row r="8528" spans="3:9" ht="15.75">
      <c r="C8528" s="949" t="s">
        <v>925</v>
      </c>
      <c r="D8528" s="946">
        <f>+I8515</f>
        <v>821.75</v>
      </c>
      <c r="E8528" s="947" t="str">
        <f>+VLOOKUP(C8528,'Basic (equilibrio) (2)'!B:D,2,FALSE)</f>
        <v>Pa</v>
      </c>
      <c r="F8528" s="1054">
        <f>+VLOOKUP(C8528,'Basic (equilibrio) (2)'!B:D,3,FALSE)</f>
        <v>0</v>
      </c>
      <c r="G8528" s="946">
        <f>F8528-(F8528/1.18)</f>
        <v>0</v>
      </c>
      <c r="H8528" s="1031"/>
      <c r="I8528" s="948">
        <f>D8528*F8528</f>
        <v>0</v>
      </c>
    </row>
    <row r="8529" spans="2:9" ht="15.75">
      <c r="C8529" s="951" t="s">
        <v>918</v>
      </c>
      <c r="D8529" s="946"/>
      <c r="E8529" s="947"/>
      <c r="F8529" s="1054"/>
      <c r="G8529" s="946"/>
      <c r="H8529" s="1031"/>
      <c r="I8529" s="952">
        <f>SUM(I8528)</f>
        <v>0</v>
      </c>
    </row>
    <row r="8530" spans="2:9" ht="15.75">
      <c r="C8530" s="951"/>
      <c r="D8530" s="946"/>
      <c r="E8530" s="947"/>
      <c r="F8530" s="1054"/>
      <c r="G8530" s="946"/>
      <c r="H8530" s="1031"/>
      <c r="I8530" s="952"/>
    </row>
    <row r="8531" spans="2:9" ht="15.75">
      <c r="C8531" s="956" t="s">
        <v>926</v>
      </c>
      <c r="D8531" s="957"/>
      <c r="E8531" s="958"/>
      <c r="F8531" s="1069"/>
      <c r="G8531" s="957"/>
      <c r="H8531" s="1032"/>
      <c r="I8531" s="959">
        <f>+I8515</f>
        <v>821.75</v>
      </c>
    </row>
    <row r="8532" spans="2:9" ht="15.75">
      <c r="C8532" s="956" t="s">
        <v>927</v>
      </c>
      <c r="D8532" s="957"/>
      <c r="E8532" s="958"/>
      <c r="F8532" s="1069"/>
      <c r="G8532" s="957"/>
      <c r="H8532" s="1032"/>
      <c r="I8532" s="959">
        <f>+I8521</f>
        <v>31635.5</v>
      </c>
    </row>
    <row r="8533" spans="2:9" ht="15.75">
      <c r="C8533" s="956" t="s">
        <v>928</v>
      </c>
      <c r="D8533" s="957"/>
      <c r="E8533" s="958"/>
      <c r="F8533" s="1069"/>
      <c r="G8533" s="957"/>
      <c r="H8533" s="1032"/>
      <c r="I8533" s="959">
        <f>+I8525</f>
        <v>0</v>
      </c>
    </row>
    <row r="8534" spans="2:9" ht="15.75">
      <c r="C8534" s="956" t="s">
        <v>929</v>
      </c>
      <c r="D8534" s="957"/>
      <c r="E8534" s="958"/>
      <c r="F8534" s="1069"/>
      <c r="G8534" s="957"/>
      <c r="H8534" s="1032"/>
      <c r="I8534" s="959">
        <f>+I8529</f>
        <v>0</v>
      </c>
    </row>
    <row r="8535" spans="2:9" ht="15.75">
      <c r="C8535" s="949"/>
      <c r="D8535" s="946"/>
      <c r="E8535" s="947"/>
      <c r="F8535" s="1054"/>
      <c r="G8535" s="946"/>
      <c r="H8535" s="1031"/>
      <c r="I8535" s="948"/>
    </row>
    <row r="8536" spans="2:9" ht="15.75">
      <c r="C8536" s="949"/>
      <c r="D8536" s="946"/>
      <c r="E8536" s="947"/>
      <c r="F8536" s="1054"/>
      <c r="G8536" s="946"/>
      <c r="H8536" s="1031"/>
      <c r="I8536" s="948"/>
    </row>
    <row r="8537" spans="2:9" ht="15.75">
      <c r="C8537" s="951" t="s">
        <v>930</v>
      </c>
      <c r="D8537" s="960">
        <v>200</v>
      </c>
      <c r="E8537" s="943" t="str">
        <f>+E8508</f>
        <v>M2</v>
      </c>
      <c r="F8537" s="1070"/>
      <c r="G8537" s="960"/>
      <c r="H8537" s="1033"/>
      <c r="I8537" s="952">
        <f>SUM(I8531:I8534)</f>
        <v>32457.25</v>
      </c>
    </row>
    <row r="8538" spans="2:9" ht="15.75">
      <c r="C8538" s="951"/>
      <c r="D8538" s="960"/>
      <c r="E8538" s="943" t="s">
        <v>1088</v>
      </c>
      <c r="F8538" s="1070"/>
      <c r="G8538" s="960"/>
      <c r="H8538" s="1033"/>
      <c r="I8538" s="952">
        <f>+I8537/D8537</f>
        <v>162.29</v>
      </c>
    </row>
    <row r="8539" spans="2:9" ht="47.25">
      <c r="B8539" s="1063">
        <v>2</v>
      </c>
      <c r="C8539" s="937" t="str">
        <f>+Presupuesto!B508</f>
        <v>MOVIMIENTO DE TIERRA A MANO (Incluye excavación de zapatas, reposición de material compactado y bote de material sobrante)</v>
      </c>
      <c r="D8539" s="938"/>
      <c r="E8539" s="962" t="s">
        <v>140</v>
      </c>
      <c r="F8539" s="1066"/>
      <c r="G8539" s="938"/>
      <c r="H8539" s="1029"/>
      <c r="I8539" s="940">
        <f>+I8562</f>
        <v>12000</v>
      </c>
    </row>
    <row r="8540" spans="2:9" ht="15.75">
      <c r="C8540" s="941" t="s">
        <v>908</v>
      </c>
      <c r="D8540" s="942" t="s">
        <v>9</v>
      </c>
      <c r="E8540" s="943" t="s">
        <v>10</v>
      </c>
      <c r="F8540" s="1067" t="s">
        <v>909</v>
      </c>
      <c r="G8540" s="942" t="s">
        <v>910</v>
      </c>
      <c r="H8540" s="1030" t="s">
        <v>911</v>
      </c>
      <c r="I8540" s="944" t="s">
        <v>912</v>
      </c>
    </row>
    <row r="8541" spans="2:9" ht="15.75">
      <c r="C8541" s="945" t="s">
        <v>913</v>
      </c>
      <c r="D8541" s="946"/>
      <c r="E8541" s="947"/>
      <c r="F8541" s="1054"/>
      <c r="G8541" s="946"/>
      <c r="H8541" s="1031"/>
      <c r="I8541" s="948"/>
    </row>
    <row r="8542" spans="2:9" ht="15.75">
      <c r="C8542" s="949" t="s">
        <v>1655</v>
      </c>
      <c r="D8542" s="946">
        <v>1</v>
      </c>
      <c r="E8542" s="947" t="str">
        <f>+VLOOKUP(C8542,'Basic (equilibrio) (2)'!B:D,2,FALSE)</f>
        <v>P.A</v>
      </c>
      <c r="F8542" s="1068">
        <f>'Basic (equilibrio) (2)'!$D$267</f>
        <v>12000</v>
      </c>
      <c r="G8542" s="946">
        <f>F8542-(F8542/1.18)</f>
        <v>1830.51</v>
      </c>
      <c r="H8542" s="1031"/>
      <c r="I8542" s="948">
        <f>D8542*F8542</f>
        <v>12000</v>
      </c>
    </row>
    <row r="8543" spans="2:9" ht="15.75">
      <c r="C8543" s="951" t="s">
        <v>918</v>
      </c>
      <c r="D8543" s="946"/>
      <c r="E8543" s="947"/>
      <c r="F8543" s="1068"/>
      <c r="G8543" s="946"/>
      <c r="H8543" s="1031"/>
      <c r="I8543" s="952">
        <f>SUM(I8542:I8542)</f>
        <v>12000</v>
      </c>
    </row>
    <row r="8544" spans="2:9" ht="15.75">
      <c r="C8544" s="949"/>
      <c r="D8544" s="946"/>
      <c r="E8544" s="947"/>
      <c r="F8544" s="1068"/>
      <c r="G8544" s="946"/>
      <c r="H8544" s="1031"/>
      <c r="I8544" s="948"/>
    </row>
    <row r="8545" spans="3:9" ht="15.75">
      <c r="C8545" s="945" t="s">
        <v>919</v>
      </c>
      <c r="D8545" s="946"/>
      <c r="E8545" s="947"/>
      <c r="F8545" s="1068"/>
      <c r="G8545" s="946"/>
      <c r="H8545" s="1031"/>
      <c r="I8545" s="948"/>
    </row>
    <row r="8546" spans="3:9" ht="15.75">
      <c r="C8546" s="949" t="s">
        <v>924</v>
      </c>
      <c r="D8546" s="953"/>
      <c r="E8546" s="954" t="str">
        <f>+VLOOKUP(C8546,'Basic (equilibrio) (2)'!B:D,2,FALSE)</f>
        <v>n/a</v>
      </c>
      <c r="F8546" s="1068">
        <f>+VLOOKUP(C8546,'Basic (equilibrio) (2)'!B:D,3,FALSE)</f>
        <v>0</v>
      </c>
      <c r="G8546" s="946">
        <v>0</v>
      </c>
      <c r="H8546" s="1031"/>
      <c r="I8546" s="948">
        <f>(D8546*F8546)</f>
        <v>0</v>
      </c>
    </row>
    <row r="8547" spans="3:9" ht="15.75">
      <c r="C8547" s="951" t="s">
        <v>918</v>
      </c>
      <c r="D8547" s="946"/>
      <c r="E8547" s="947"/>
      <c r="F8547" s="1054"/>
      <c r="G8547" s="946"/>
      <c r="H8547" s="1031"/>
      <c r="I8547" s="952">
        <f>SUM(I8546:I8546)</f>
        <v>0</v>
      </c>
    </row>
    <row r="8548" spans="3:9" ht="15.75">
      <c r="C8548" s="949"/>
      <c r="D8548" s="946"/>
      <c r="E8548" s="947"/>
      <c r="F8548" s="1054"/>
      <c r="G8548" s="946"/>
      <c r="H8548" s="1031"/>
      <c r="I8548" s="948"/>
    </row>
    <row r="8549" spans="3:9" ht="15.75">
      <c r="C8549" s="945" t="s">
        <v>923</v>
      </c>
      <c r="D8549" s="946"/>
      <c r="E8549" s="947"/>
      <c r="F8549" s="1054"/>
      <c r="G8549" s="946"/>
      <c r="H8549" s="1031"/>
      <c r="I8549" s="948"/>
    </row>
    <row r="8550" spans="3:9" ht="15.75">
      <c r="C8550" s="949" t="s">
        <v>924</v>
      </c>
      <c r="D8550" s="946"/>
      <c r="E8550" s="947" t="str">
        <f>+VLOOKUP(C8550,'Basic (equilibrio) (2)'!B:D,2,FALSE)</f>
        <v>n/a</v>
      </c>
      <c r="F8550" s="1054">
        <f>+VLOOKUP(C8550,'Basic (equilibrio) (2)'!B:D,3,FALSE)</f>
        <v>0</v>
      </c>
      <c r="G8550" s="946">
        <f>F8550-(F8550/1.18)</f>
        <v>0</v>
      </c>
      <c r="H8550" s="1039"/>
      <c r="I8550" s="955">
        <f>D8550*F8550</f>
        <v>0</v>
      </c>
    </row>
    <row r="8551" spans="3:9" ht="15.75">
      <c r="C8551" s="951" t="s">
        <v>918</v>
      </c>
      <c r="D8551" s="946"/>
      <c r="E8551" s="947"/>
      <c r="F8551" s="1054"/>
      <c r="G8551" s="946"/>
      <c r="H8551" s="1031"/>
      <c r="I8551" s="952">
        <f>SUM(I8550:I8550)</f>
        <v>0</v>
      </c>
    </row>
    <row r="8552" spans="3:9" ht="15.75">
      <c r="C8552" s="949"/>
      <c r="D8552" s="946"/>
      <c r="E8552" s="947"/>
      <c r="F8552" s="1054"/>
      <c r="G8552" s="946"/>
      <c r="H8552" s="1031"/>
      <c r="I8552" s="948"/>
    </row>
    <row r="8553" spans="3:9" ht="15.75">
      <c r="C8553" s="945" t="s">
        <v>925</v>
      </c>
      <c r="D8553" s="946"/>
      <c r="E8553" s="947"/>
      <c r="F8553" s="1054"/>
      <c r="G8553" s="946"/>
      <c r="H8553" s="1031"/>
      <c r="I8553" s="948"/>
    </row>
    <row r="8554" spans="3:9" ht="15.75">
      <c r="C8554" s="949" t="s">
        <v>924</v>
      </c>
      <c r="D8554" s="946"/>
      <c r="E8554" s="947" t="str">
        <f>+VLOOKUP(C8554,'Basic (equilibrio) (2)'!B:D,2,FALSE)</f>
        <v>n/a</v>
      </c>
      <c r="F8554" s="1054">
        <f>+VLOOKUP(C8554,'Basic (equilibrio) (2)'!B:D,3,FALSE)</f>
        <v>0</v>
      </c>
      <c r="G8554" s="946"/>
      <c r="H8554" s="1031"/>
      <c r="I8554" s="948">
        <f>D8554*F8554</f>
        <v>0</v>
      </c>
    </row>
    <row r="8555" spans="3:9" ht="15.75">
      <c r="C8555" s="951" t="s">
        <v>918</v>
      </c>
      <c r="D8555" s="946"/>
      <c r="E8555" s="947"/>
      <c r="F8555" s="1054"/>
      <c r="G8555" s="946"/>
      <c r="H8555" s="1031"/>
      <c r="I8555" s="952">
        <f>SUM(I8554)</f>
        <v>0</v>
      </c>
    </row>
    <row r="8556" spans="3:9" ht="15.75">
      <c r="C8556" s="951"/>
      <c r="D8556" s="946"/>
      <c r="E8556" s="947"/>
      <c r="F8556" s="1054"/>
      <c r="G8556" s="946"/>
      <c r="H8556" s="1031"/>
      <c r="I8556" s="952"/>
    </row>
    <row r="8557" spans="3:9" ht="15.75">
      <c r="C8557" s="956" t="s">
        <v>926</v>
      </c>
      <c r="D8557" s="957"/>
      <c r="E8557" s="958"/>
      <c r="F8557" s="1069"/>
      <c r="G8557" s="957"/>
      <c r="H8557" s="1032"/>
      <c r="I8557" s="959">
        <f>+I8543</f>
        <v>12000</v>
      </c>
    </row>
    <row r="8558" spans="3:9" ht="15.75">
      <c r="C8558" s="956" t="s">
        <v>927</v>
      </c>
      <c r="D8558" s="957"/>
      <c r="E8558" s="958"/>
      <c r="F8558" s="1069"/>
      <c r="G8558" s="957"/>
      <c r="H8558" s="1032"/>
      <c r="I8558" s="959">
        <f>+I8547</f>
        <v>0</v>
      </c>
    </row>
    <row r="8559" spans="3:9" ht="15.75">
      <c r="C8559" s="956" t="s">
        <v>928</v>
      </c>
      <c r="D8559" s="957"/>
      <c r="E8559" s="958"/>
      <c r="F8559" s="1069"/>
      <c r="G8559" s="957"/>
      <c r="H8559" s="1032"/>
      <c r="I8559" s="959">
        <f>+I8551</f>
        <v>0</v>
      </c>
    </row>
    <row r="8560" spans="3:9" ht="15.75">
      <c r="C8560" s="956" t="s">
        <v>929</v>
      </c>
      <c r="D8560" s="957"/>
      <c r="E8560" s="958"/>
      <c r="F8560" s="1069"/>
      <c r="G8560" s="957"/>
      <c r="H8560" s="1032"/>
      <c r="I8560" s="959">
        <f>+I8555</f>
        <v>0</v>
      </c>
    </row>
    <row r="8561" spans="2:9" ht="15.75">
      <c r="C8561" s="949"/>
      <c r="D8561" s="946"/>
      <c r="E8561" s="947"/>
      <c r="F8561" s="1054"/>
      <c r="G8561" s="946"/>
      <c r="H8561" s="1031"/>
      <c r="I8561" s="948"/>
    </row>
    <row r="8562" spans="2:9" ht="15.75">
      <c r="C8562" s="951" t="s">
        <v>930</v>
      </c>
      <c r="D8562" s="960"/>
      <c r="E8562" s="975" t="str">
        <f>+E8539</f>
        <v>P.A</v>
      </c>
      <c r="F8562" s="1070"/>
      <c r="G8562" s="960"/>
      <c r="H8562" s="1033"/>
      <c r="I8562" s="952">
        <f>SUM(I8557:I8560)</f>
        <v>12000</v>
      </c>
    </row>
    <row r="8563" spans="2:9" ht="15.75">
      <c r="C8563" s="951"/>
      <c r="D8563" s="960"/>
      <c r="E8563" s="943"/>
      <c r="F8563" s="1070"/>
      <c r="G8563" s="960"/>
      <c r="H8563" s="1033"/>
      <c r="I8563" s="952"/>
    </row>
    <row r="8564" spans="2:9" ht="15.75">
      <c r="B8564" s="1026">
        <v>3.1</v>
      </c>
      <c r="C8564" s="937" t="str">
        <f>+Presupuesto!B511</f>
        <v>Zapata de Muro (Incluye Zapata C1)- 0.85 qq/m³</v>
      </c>
      <c r="D8564" s="938"/>
      <c r="E8564" s="962" t="s">
        <v>22</v>
      </c>
      <c r="F8564" s="1066"/>
      <c r="G8564" s="938"/>
      <c r="H8564" s="1029"/>
      <c r="I8564" s="940">
        <f>I8590</f>
        <v>10867.31</v>
      </c>
    </row>
    <row r="8565" spans="2:9" ht="15.75">
      <c r="C8565" s="941" t="s">
        <v>908</v>
      </c>
      <c r="D8565" s="942" t="s">
        <v>9</v>
      </c>
      <c r="E8565" s="943" t="s">
        <v>10</v>
      </c>
      <c r="F8565" s="1067" t="s">
        <v>909</v>
      </c>
      <c r="G8565" s="942" t="s">
        <v>910</v>
      </c>
      <c r="H8565" s="1030" t="s">
        <v>911</v>
      </c>
      <c r="I8565" s="944" t="s">
        <v>912</v>
      </c>
    </row>
    <row r="8566" spans="2:9" ht="15.75">
      <c r="C8566" s="945" t="s">
        <v>913</v>
      </c>
      <c r="D8566" s="946"/>
      <c r="E8566" s="947"/>
      <c r="F8566" s="1054"/>
      <c r="G8566" s="946"/>
      <c r="H8566" s="1031"/>
      <c r="I8566" s="948"/>
    </row>
    <row r="8567" spans="2:9" ht="15.75">
      <c r="C8567" s="949" t="s">
        <v>994</v>
      </c>
      <c r="D8567" s="946">
        <v>1.02</v>
      </c>
      <c r="E8567" s="947" t="str">
        <f>+VLOOKUP(C8567,'Basic (equilibrio) (2)'!B:D,2,FALSE)</f>
        <v>m3</v>
      </c>
      <c r="F8567" s="1068">
        <f>'Basic (equilibrio) (2)'!$D$179</f>
        <v>7600</v>
      </c>
      <c r="G8567" s="946">
        <f>F8567-(F8567/1.18)</f>
        <v>1159.32</v>
      </c>
      <c r="H8567" s="1031"/>
      <c r="I8567" s="948">
        <f>D8567*F8567</f>
        <v>7752</v>
      </c>
    </row>
    <row r="8568" spans="2:9" ht="15.75">
      <c r="C8568" s="949" t="s">
        <v>1188</v>
      </c>
      <c r="D8568" s="946">
        <v>0.85</v>
      </c>
      <c r="E8568" s="947" t="str">
        <f>+VLOOKUP(C8568,'Basic (equilibrio) (2)'!B:D,2,FALSE)</f>
        <v>qq</v>
      </c>
      <c r="F8568" s="1068">
        <f>'Basic (equilibrio) (2)'!$D$183</f>
        <v>3600</v>
      </c>
      <c r="G8568" s="946">
        <f>F8568-(F8568/1.18)</f>
        <v>549.15</v>
      </c>
      <c r="H8568" s="1031"/>
      <c r="I8568" s="948">
        <f>D8568*F8568</f>
        <v>3060</v>
      </c>
    </row>
    <row r="8569" spans="2:9" ht="15.75">
      <c r="C8569" s="949" t="s">
        <v>1328</v>
      </c>
      <c r="D8569" s="946">
        <v>1.3</v>
      </c>
      <c r="E8569" s="947" t="str">
        <f>+VLOOKUP(C8569,'Basic (equilibrio) (2)'!B:D,2,FALSE)</f>
        <v>lb</v>
      </c>
      <c r="F8569" s="1068">
        <f>'Basic (equilibrio) (2)'!$D$334</f>
        <v>31.1</v>
      </c>
      <c r="G8569" s="946">
        <f>F8569-(F8569/1.18)</f>
        <v>4.74</v>
      </c>
      <c r="H8569" s="1031"/>
      <c r="I8569" s="948">
        <f>D8569*F8569</f>
        <v>40.43</v>
      </c>
    </row>
    <row r="8570" spans="2:9" ht="15.75">
      <c r="C8570" s="951" t="s">
        <v>918</v>
      </c>
      <c r="D8570" s="946"/>
      <c r="E8570" s="947"/>
      <c r="F8570" s="1068"/>
      <c r="G8570" s="946"/>
      <c r="H8570" s="1031"/>
      <c r="I8570" s="952">
        <f>SUM(I8567:I8569)</f>
        <v>10852.43</v>
      </c>
    </row>
    <row r="8571" spans="2:9" ht="15.75">
      <c r="C8571" s="949"/>
      <c r="D8571" s="946"/>
      <c r="E8571" s="947"/>
      <c r="F8571" s="1068"/>
      <c r="G8571" s="946"/>
      <c r="H8571" s="1031"/>
      <c r="I8571" s="948"/>
    </row>
    <row r="8572" spans="2:9" ht="15.75">
      <c r="C8572" s="945" t="s">
        <v>919</v>
      </c>
      <c r="D8572" s="946"/>
      <c r="E8572" s="947"/>
      <c r="F8572" s="1068"/>
      <c r="G8572" s="946"/>
      <c r="H8572" s="1031"/>
      <c r="I8572" s="948"/>
    </row>
    <row r="8573" spans="2:9" ht="15.75">
      <c r="C8573" s="949" t="s">
        <v>1067</v>
      </c>
      <c r="D8573" s="953">
        <v>8.33</v>
      </c>
      <c r="E8573" s="954" t="str">
        <f>+VLOOKUP(C8573,'Basic (equilibrio) (2)'!B:D,2,FALSE)</f>
        <v>ml</v>
      </c>
      <c r="F8573" s="1068">
        <f>'Basic (equilibrio) (2)'!$D$21</f>
        <v>125</v>
      </c>
      <c r="G8573" s="946">
        <v>0</v>
      </c>
      <c r="H8573" s="1031">
        <v>70</v>
      </c>
      <c r="I8573" s="948">
        <f>(D8573*F8573)/H8573</f>
        <v>14.88</v>
      </c>
    </row>
    <row r="8574" spans="2:9" ht="15.75">
      <c r="C8574" s="951" t="s">
        <v>918</v>
      </c>
      <c r="D8574" s="946"/>
      <c r="E8574" s="947"/>
      <c r="F8574" s="1054"/>
      <c r="G8574" s="946"/>
      <c r="H8574" s="1031"/>
      <c r="I8574" s="952">
        <f>SUM(I8573:I8573)</f>
        <v>14.88</v>
      </c>
    </row>
    <row r="8575" spans="2:9" ht="15.75">
      <c r="C8575" s="949"/>
      <c r="D8575" s="946"/>
      <c r="E8575" s="947"/>
      <c r="F8575" s="1054"/>
      <c r="G8575" s="946"/>
      <c r="H8575" s="1031"/>
      <c r="I8575" s="948"/>
    </row>
    <row r="8576" spans="2:9" ht="15.75">
      <c r="C8576" s="945" t="s">
        <v>923</v>
      </c>
      <c r="D8576" s="946"/>
      <c r="E8576" s="947"/>
      <c r="F8576" s="1054"/>
      <c r="G8576" s="946"/>
      <c r="H8576" s="1031"/>
      <c r="I8576" s="948"/>
    </row>
    <row r="8577" spans="2:9" ht="15.75">
      <c r="C8577" s="949" t="s">
        <v>924</v>
      </c>
      <c r="D8577" s="946"/>
      <c r="E8577" s="947" t="str">
        <f>+VLOOKUP(C8577,'Basic (equilibrio) (2)'!B:D,2,FALSE)</f>
        <v>n/a</v>
      </c>
      <c r="F8577" s="1054">
        <f>+VLOOKUP(C8577,'Basic (equilibrio) (2)'!B:D,3,FALSE)</f>
        <v>0</v>
      </c>
      <c r="G8577" s="946">
        <f>F8577-(F8577/1.18)</f>
        <v>0</v>
      </c>
      <c r="H8577" s="1039"/>
      <c r="I8577" s="955">
        <f>D8577*F8577</f>
        <v>0</v>
      </c>
    </row>
    <row r="8578" spans="2:9" ht="15.75">
      <c r="C8578" s="951" t="s">
        <v>918</v>
      </c>
      <c r="D8578" s="946"/>
      <c r="E8578" s="947"/>
      <c r="F8578" s="1054"/>
      <c r="G8578" s="946"/>
      <c r="H8578" s="1031"/>
      <c r="I8578" s="952">
        <f>SUM(I8577:I8577)</f>
        <v>0</v>
      </c>
    </row>
    <row r="8579" spans="2:9" ht="15.75">
      <c r="C8579" s="949"/>
      <c r="D8579" s="946"/>
      <c r="E8579" s="947"/>
      <c r="F8579" s="1054"/>
      <c r="G8579" s="946"/>
      <c r="H8579" s="1031"/>
      <c r="I8579" s="948"/>
    </row>
    <row r="8580" spans="2:9" ht="15.75">
      <c r="C8580" s="945" t="s">
        <v>925</v>
      </c>
      <c r="D8580" s="946"/>
      <c r="E8580" s="947"/>
      <c r="F8580" s="1054"/>
      <c r="G8580" s="946"/>
      <c r="H8580" s="1031"/>
      <c r="I8580" s="948"/>
    </row>
    <row r="8581" spans="2:9" ht="15.75">
      <c r="C8581" s="949" t="s">
        <v>924</v>
      </c>
      <c r="D8581" s="946"/>
      <c r="E8581" s="947" t="str">
        <f>+VLOOKUP(C8581,'Basic (equilibrio) (2)'!B:D,2,FALSE)</f>
        <v>n/a</v>
      </c>
      <c r="F8581" s="1054">
        <f>+VLOOKUP(C8581,'Basic (equilibrio) (2)'!B:D,3,FALSE)</f>
        <v>0</v>
      </c>
      <c r="G8581" s="946"/>
      <c r="H8581" s="1031"/>
      <c r="I8581" s="948">
        <f>D8581*F8581</f>
        <v>0</v>
      </c>
    </row>
    <row r="8582" spans="2:9" ht="15.75">
      <c r="C8582" s="951" t="s">
        <v>918</v>
      </c>
      <c r="D8582" s="946"/>
      <c r="E8582" s="947"/>
      <c r="F8582" s="1054"/>
      <c r="G8582" s="946"/>
      <c r="H8582" s="1031"/>
      <c r="I8582" s="952">
        <f>SUM(I8581)</f>
        <v>0</v>
      </c>
    </row>
    <row r="8583" spans="2:9" ht="15.75">
      <c r="C8583" s="951"/>
      <c r="D8583" s="946"/>
      <c r="E8583" s="947"/>
      <c r="F8583" s="1054"/>
      <c r="G8583" s="946"/>
      <c r="H8583" s="1031"/>
      <c r="I8583" s="952"/>
    </row>
    <row r="8584" spans="2:9" ht="15.75">
      <c r="C8584" s="956" t="s">
        <v>926</v>
      </c>
      <c r="D8584" s="957"/>
      <c r="E8584" s="958"/>
      <c r="F8584" s="1069"/>
      <c r="G8584" s="957"/>
      <c r="H8584" s="1032"/>
      <c r="I8584" s="959">
        <f>+I8570</f>
        <v>10852.43</v>
      </c>
    </row>
    <row r="8585" spans="2:9" ht="15.75">
      <c r="C8585" s="956" t="s">
        <v>927</v>
      </c>
      <c r="D8585" s="957"/>
      <c r="E8585" s="958"/>
      <c r="F8585" s="1069"/>
      <c r="G8585" s="957"/>
      <c r="H8585" s="1032"/>
      <c r="I8585" s="959">
        <f>+I8574</f>
        <v>14.88</v>
      </c>
    </row>
    <row r="8586" spans="2:9" ht="15.75">
      <c r="C8586" s="956" t="s">
        <v>928</v>
      </c>
      <c r="D8586" s="957"/>
      <c r="E8586" s="958"/>
      <c r="F8586" s="1069"/>
      <c r="G8586" s="957"/>
      <c r="H8586" s="1032"/>
      <c r="I8586" s="959">
        <f>+I8578</f>
        <v>0</v>
      </c>
    </row>
    <row r="8587" spans="2:9" ht="15.75">
      <c r="C8587" s="956" t="s">
        <v>929</v>
      </c>
      <c r="D8587" s="957"/>
      <c r="E8587" s="958"/>
      <c r="F8587" s="1069"/>
      <c r="G8587" s="957"/>
      <c r="H8587" s="1032"/>
      <c r="I8587" s="959">
        <f>+I8582</f>
        <v>0</v>
      </c>
    </row>
    <row r="8588" spans="2:9" ht="15.75">
      <c r="C8588" s="949"/>
      <c r="D8588" s="946"/>
      <c r="E8588" s="947"/>
      <c r="F8588" s="1054"/>
      <c r="G8588" s="946"/>
      <c r="H8588" s="1031"/>
      <c r="I8588" s="948"/>
    </row>
    <row r="8589" spans="2:9" ht="15.75">
      <c r="C8589" s="949"/>
      <c r="D8589" s="946"/>
      <c r="E8589" s="947"/>
      <c r="F8589" s="1054"/>
      <c r="G8589" s="946"/>
      <c r="H8589" s="1031"/>
      <c r="I8589" s="948"/>
    </row>
    <row r="8590" spans="2:9" ht="15.75">
      <c r="C8590" s="951" t="s">
        <v>930</v>
      </c>
      <c r="D8590" s="960"/>
      <c r="E8590" s="943" t="str">
        <f>+E8564</f>
        <v>M3</v>
      </c>
      <c r="F8590" s="1070"/>
      <c r="G8590" s="960"/>
      <c r="H8590" s="1033"/>
      <c r="I8590" s="952">
        <f>SUM(I8584:I8587)</f>
        <v>10867.31</v>
      </c>
    </row>
    <row r="8591" spans="2:9" ht="15.75">
      <c r="C8591" s="951"/>
      <c r="D8591" s="960"/>
      <c r="E8591" s="943"/>
      <c r="F8591" s="1070"/>
      <c r="G8591" s="960"/>
      <c r="H8591" s="1033"/>
      <c r="I8591" s="952"/>
    </row>
    <row r="8592" spans="2:9" ht="15.75">
      <c r="B8592" s="1026">
        <v>3.2</v>
      </c>
      <c r="C8592" s="937" t="str">
        <f>+Presupuesto!B512</f>
        <v>Viga de amarre B.N.P. (0.15m x 0.20m) - 3.71 qq/m³</v>
      </c>
      <c r="D8592" s="938"/>
      <c r="E8592" s="962" t="s">
        <v>22</v>
      </c>
      <c r="F8592" s="1066"/>
      <c r="G8592" s="938"/>
      <c r="H8592" s="1029"/>
      <c r="I8592" s="940">
        <f>I8619</f>
        <v>30343.439999999999</v>
      </c>
    </row>
    <row r="8593" spans="3:9" ht="15.75">
      <c r="C8593" s="941" t="s">
        <v>908</v>
      </c>
      <c r="D8593" s="942" t="s">
        <v>9</v>
      </c>
      <c r="E8593" s="943" t="s">
        <v>10</v>
      </c>
      <c r="F8593" s="1067" t="s">
        <v>909</v>
      </c>
      <c r="G8593" s="942" t="s">
        <v>910</v>
      </c>
      <c r="H8593" s="1030" t="s">
        <v>911</v>
      </c>
      <c r="I8593" s="944" t="s">
        <v>912</v>
      </c>
    </row>
    <row r="8594" spans="3:9" ht="15.75">
      <c r="C8594" s="945" t="s">
        <v>913</v>
      </c>
      <c r="D8594" s="946"/>
      <c r="E8594" s="947"/>
      <c r="F8594" s="1054"/>
      <c r="G8594" s="946"/>
      <c r="H8594" s="1031"/>
      <c r="I8594" s="948"/>
    </row>
    <row r="8595" spans="3:9" ht="15.75">
      <c r="C8595" s="949" t="s">
        <v>994</v>
      </c>
      <c r="D8595" s="946">
        <v>1.05</v>
      </c>
      <c r="E8595" s="947" t="str">
        <f>+VLOOKUP(C8595,'Basic (equilibrio) (2)'!B:D,2,FALSE)</f>
        <v>m3</v>
      </c>
      <c r="F8595" s="1068">
        <f>'Basic (equilibrio) (2)'!$D$179</f>
        <v>7600</v>
      </c>
      <c r="G8595" s="946">
        <f>F8595-(F8595/1.18)</f>
        <v>1159.32</v>
      </c>
      <c r="H8595" s="1031"/>
      <c r="I8595" s="948">
        <f>D8595*F8595</f>
        <v>7980</v>
      </c>
    </row>
    <row r="8596" spans="3:9" ht="15.75">
      <c r="C8596" s="949" t="s">
        <v>1188</v>
      </c>
      <c r="D8596" s="946">
        <v>3.71</v>
      </c>
      <c r="E8596" s="947" t="str">
        <f>+VLOOKUP(C8596,'Basic (equilibrio) (2)'!B:D,2,FALSE)</f>
        <v>qq</v>
      </c>
      <c r="F8596" s="1068">
        <f>'Basic (equilibrio) (2)'!$D$183</f>
        <v>3600</v>
      </c>
      <c r="G8596" s="946">
        <f>F8596-(F8596/1.18)</f>
        <v>549.15</v>
      </c>
      <c r="H8596" s="1031"/>
      <c r="I8596" s="948">
        <f>D8596*F8596</f>
        <v>13356</v>
      </c>
    </row>
    <row r="8597" spans="3:9" ht="15.75">
      <c r="C8597" s="949" t="s">
        <v>1328</v>
      </c>
      <c r="D8597" s="946">
        <v>5.56</v>
      </c>
      <c r="E8597" s="947" t="str">
        <f>+VLOOKUP(C8597,'Basic (equilibrio) (2)'!B:D,2,FALSE)</f>
        <v>lb</v>
      </c>
      <c r="F8597" s="1068">
        <f>'Basic (equilibrio) (2)'!$D$334</f>
        <v>31.1</v>
      </c>
      <c r="G8597" s="946">
        <f>F8597-(F8597/1.18)</f>
        <v>4.74</v>
      </c>
      <c r="H8597" s="1031"/>
      <c r="I8597" s="948">
        <f>D8597*F8597</f>
        <v>172.92</v>
      </c>
    </row>
    <row r="8598" spans="3:9" ht="15.75">
      <c r="C8598" s="949" t="s">
        <v>1072</v>
      </c>
      <c r="D8598" s="946">
        <v>25</v>
      </c>
      <c r="E8598" s="947" t="str">
        <f>+VLOOKUP(C8598,'Basic (equilibrio) (2)'!B:D,2,FALSE)</f>
        <v>ml</v>
      </c>
      <c r="F8598" s="1068">
        <f>'Basic (equilibrio) (2)'!$D$22</f>
        <v>351</v>
      </c>
      <c r="G8598" s="946">
        <f>F8598-(F8598/1.18)</f>
        <v>53.54</v>
      </c>
      <c r="H8598" s="1031"/>
      <c r="I8598" s="948">
        <f>D8598*F8598</f>
        <v>8775</v>
      </c>
    </row>
    <row r="8599" spans="3:9" ht="15.75">
      <c r="C8599" s="951" t="s">
        <v>918</v>
      </c>
      <c r="D8599" s="946"/>
      <c r="E8599" s="947"/>
      <c r="F8599" s="1068"/>
      <c r="G8599" s="946"/>
      <c r="H8599" s="1031"/>
      <c r="I8599" s="952">
        <f>SUM(I8595:I8598)</f>
        <v>30283.919999999998</v>
      </c>
    </row>
    <row r="8600" spans="3:9" ht="15.75">
      <c r="C8600" s="949"/>
      <c r="D8600" s="946"/>
      <c r="E8600" s="947"/>
      <c r="F8600" s="1068"/>
      <c r="G8600" s="946"/>
      <c r="H8600" s="1031"/>
      <c r="I8600" s="948"/>
    </row>
    <row r="8601" spans="3:9" ht="15.75">
      <c r="C8601" s="945" t="s">
        <v>919</v>
      </c>
      <c r="D8601" s="946"/>
      <c r="E8601" s="947"/>
      <c r="F8601" s="1068"/>
      <c r="G8601" s="946"/>
      <c r="H8601" s="1031"/>
      <c r="I8601" s="948"/>
    </row>
    <row r="8602" spans="3:9" ht="15.75">
      <c r="C8602" s="949" t="s">
        <v>1073</v>
      </c>
      <c r="D8602" s="953">
        <v>33.33</v>
      </c>
      <c r="E8602" s="954" t="str">
        <f>+VLOOKUP(C8602,'Basic (equilibrio) (2)'!B:D,2,FALSE)</f>
        <v>ml</v>
      </c>
      <c r="F8602" s="1068">
        <f>'Basic (equilibrio) (2)'!$D$25</f>
        <v>125</v>
      </c>
      <c r="G8602" s="946">
        <v>0</v>
      </c>
      <c r="H8602" s="1031">
        <v>70</v>
      </c>
      <c r="I8602" s="948">
        <f>(D8602*F8602)/H8602</f>
        <v>59.52</v>
      </c>
    </row>
    <row r="8603" spans="3:9" ht="15.75">
      <c r="C8603" s="951" t="s">
        <v>918</v>
      </c>
      <c r="D8603" s="946"/>
      <c r="E8603" s="947"/>
      <c r="F8603" s="1054"/>
      <c r="G8603" s="946"/>
      <c r="H8603" s="1031"/>
      <c r="I8603" s="952">
        <f>SUM(I8602:I8602)</f>
        <v>59.52</v>
      </c>
    </row>
    <row r="8604" spans="3:9" ht="15.75">
      <c r="C8604" s="949"/>
      <c r="D8604" s="946"/>
      <c r="E8604" s="947"/>
      <c r="F8604" s="1054"/>
      <c r="G8604" s="946"/>
      <c r="H8604" s="1031"/>
      <c r="I8604" s="948"/>
    </row>
    <row r="8605" spans="3:9" ht="15.75">
      <c r="C8605" s="945" t="s">
        <v>923</v>
      </c>
      <c r="D8605" s="946"/>
      <c r="E8605" s="947"/>
      <c r="F8605" s="1054"/>
      <c r="G8605" s="946"/>
      <c r="H8605" s="1031"/>
      <c r="I8605" s="948"/>
    </row>
    <row r="8606" spans="3:9" ht="15.75">
      <c r="C8606" s="949" t="s">
        <v>924</v>
      </c>
      <c r="D8606" s="946"/>
      <c r="E8606" s="947" t="str">
        <f>+VLOOKUP(C8606,'Basic (equilibrio) (2)'!B:D,2,FALSE)</f>
        <v>n/a</v>
      </c>
      <c r="F8606" s="1054">
        <f>+VLOOKUP(C8606,'Basic (equilibrio) (2)'!B:D,3,FALSE)</f>
        <v>0</v>
      </c>
      <c r="G8606" s="946">
        <f>F8606-(F8606/1.18)</f>
        <v>0</v>
      </c>
      <c r="H8606" s="1039"/>
      <c r="I8606" s="955">
        <f>D8606*F8606</f>
        <v>0</v>
      </c>
    </row>
    <row r="8607" spans="3:9" ht="15.75">
      <c r="C8607" s="951" t="s">
        <v>918</v>
      </c>
      <c r="D8607" s="946"/>
      <c r="E8607" s="947"/>
      <c r="F8607" s="1054"/>
      <c r="G8607" s="946"/>
      <c r="H8607" s="1031"/>
      <c r="I8607" s="952">
        <f>SUM(I8606:I8606)</f>
        <v>0</v>
      </c>
    </row>
    <row r="8608" spans="3:9" ht="15.75">
      <c r="C8608" s="949"/>
      <c r="D8608" s="946"/>
      <c r="E8608" s="947"/>
      <c r="F8608" s="1054"/>
      <c r="G8608" s="946"/>
      <c r="H8608" s="1031"/>
      <c r="I8608" s="948"/>
    </row>
    <row r="8609" spans="2:9" ht="15.75">
      <c r="C8609" s="945" t="s">
        <v>925</v>
      </c>
      <c r="D8609" s="946"/>
      <c r="E8609" s="947"/>
      <c r="F8609" s="1054"/>
      <c r="G8609" s="946"/>
      <c r="H8609" s="1031"/>
      <c r="I8609" s="948"/>
    </row>
    <row r="8610" spans="2:9" ht="15.75">
      <c r="C8610" s="949" t="s">
        <v>924</v>
      </c>
      <c r="D8610" s="946"/>
      <c r="E8610" s="947" t="str">
        <f>+VLOOKUP(C8610,'Basic (equilibrio) (2)'!B:D,2,FALSE)</f>
        <v>n/a</v>
      </c>
      <c r="F8610" s="1054">
        <f>+VLOOKUP(C8610,'Basic (equilibrio) (2)'!B:D,3,FALSE)</f>
        <v>0</v>
      </c>
      <c r="G8610" s="946"/>
      <c r="H8610" s="1031"/>
      <c r="I8610" s="948">
        <f>D8610*F8610</f>
        <v>0</v>
      </c>
    </row>
    <row r="8611" spans="2:9" ht="15.75">
      <c r="C8611" s="951" t="s">
        <v>918</v>
      </c>
      <c r="D8611" s="946"/>
      <c r="E8611" s="947"/>
      <c r="F8611" s="1054"/>
      <c r="G8611" s="946"/>
      <c r="H8611" s="1031"/>
      <c r="I8611" s="952">
        <f>SUM(I8610)</f>
        <v>0</v>
      </c>
    </row>
    <row r="8612" spans="2:9" ht="15.75">
      <c r="C8612" s="951"/>
      <c r="D8612" s="946"/>
      <c r="E8612" s="947"/>
      <c r="F8612" s="1054"/>
      <c r="G8612" s="946"/>
      <c r="H8612" s="1031"/>
      <c r="I8612" s="952"/>
    </row>
    <row r="8613" spans="2:9" ht="15.75">
      <c r="C8613" s="956" t="s">
        <v>926</v>
      </c>
      <c r="D8613" s="957"/>
      <c r="E8613" s="958"/>
      <c r="F8613" s="1069"/>
      <c r="G8613" s="957"/>
      <c r="H8613" s="1032"/>
      <c r="I8613" s="959">
        <f>+I8599</f>
        <v>30283.919999999998</v>
      </c>
    </row>
    <row r="8614" spans="2:9" ht="15.75">
      <c r="C8614" s="956" t="s">
        <v>927</v>
      </c>
      <c r="D8614" s="957"/>
      <c r="E8614" s="958"/>
      <c r="F8614" s="1069"/>
      <c r="G8614" s="957"/>
      <c r="H8614" s="1032"/>
      <c r="I8614" s="959">
        <f>+I8603</f>
        <v>59.52</v>
      </c>
    </row>
    <row r="8615" spans="2:9" ht="15.75">
      <c r="C8615" s="956" t="s">
        <v>928</v>
      </c>
      <c r="D8615" s="957"/>
      <c r="E8615" s="958"/>
      <c r="F8615" s="1069"/>
      <c r="G8615" s="957"/>
      <c r="H8615" s="1032"/>
      <c r="I8615" s="959">
        <f>+I8607</f>
        <v>0</v>
      </c>
    </row>
    <row r="8616" spans="2:9" ht="15.75">
      <c r="C8616" s="956" t="s">
        <v>929</v>
      </c>
      <c r="D8616" s="957"/>
      <c r="E8616" s="958"/>
      <c r="F8616" s="1069"/>
      <c r="G8616" s="957"/>
      <c r="H8616" s="1032"/>
      <c r="I8616" s="959">
        <f>+I8611</f>
        <v>0</v>
      </c>
    </row>
    <row r="8617" spans="2:9" ht="15.75">
      <c r="C8617" s="949"/>
      <c r="D8617" s="946"/>
      <c r="E8617" s="947"/>
      <c r="F8617" s="1054"/>
      <c r="G8617" s="946"/>
      <c r="H8617" s="1031"/>
      <c r="I8617" s="948"/>
    </row>
    <row r="8618" spans="2:9" ht="15.75">
      <c r="C8618" s="949"/>
      <c r="D8618" s="946"/>
      <c r="E8618" s="947"/>
      <c r="F8618" s="1054"/>
      <c r="G8618" s="946"/>
      <c r="H8618" s="1031"/>
      <c r="I8618" s="948"/>
    </row>
    <row r="8619" spans="2:9" ht="15.75">
      <c r="C8619" s="951" t="s">
        <v>930</v>
      </c>
      <c r="D8619" s="960"/>
      <c r="E8619" s="943" t="str">
        <f>+E8592</f>
        <v>M3</v>
      </c>
      <c r="F8619" s="1070"/>
      <c r="G8619" s="960"/>
      <c r="H8619" s="1033"/>
      <c r="I8619" s="952">
        <f>SUM(I8613:I8616)</f>
        <v>30343.439999999999</v>
      </c>
    </row>
    <row r="8620" spans="2:9" ht="15.75">
      <c r="C8620" s="951"/>
      <c r="D8620" s="960"/>
      <c r="E8620" s="943"/>
      <c r="F8620" s="1070"/>
      <c r="G8620" s="960"/>
      <c r="H8620" s="1033"/>
      <c r="I8620" s="952"/>
    </row>
    <row r="8621" spans="2:9" ht="31.5">
      <c r="B8621" s="1026">
        <v>3.3</v>
      </c>
      <c r="C8621" s="937" t="str">
        <f>+Presupuesto!B513</f>
        <v>Viga de amarre a Nivel de Techo (0.15m x 0.20m) - 3.37 qq/m³</v>
      </c>
      <c r="D8621" s="938"/>
      <c r="E8621" s="962" t="s">
        <v>22</v>
      </c>
      <c r="F8621" s="1066"/>
      <c r="G8621" s="938"/>
      <c r="H8621" s="1029"/>
      <c r="I8621" s="940">
        <f>I8648</f>
        <v>29119.439999999999</v>
      </c>
    </row>
    <row r="8622" spans="2:9" ht="15.75">
      <c r="C8622" s="941" t="s">
        <v>908</v>
      </c>
      <c r="D8622" s="942" t="s">
        <v>9</v>
      </c>
      <c r="E8622" s="943" t="s">
        <v>10</v>
      </c>
      <c r="F8622" s="1067" t="s">
        <v>909</v>
      </c>
      <c r="G8622" s="942" t="s">
        <v>910</v>
      </c>
      <c r="H8622" s="1030" t="s">
        <v>911</v>
      </c>
      <c r="I8622" s="944" t="s">
        <v>912</v>
      </c>
    </row>
    <row r="8623" spans="2:9" ht="15.75">
      <c r="C8623" s="945" t="s">
        <v>913</v>
      </c>
      <c r="D8623" s="946"/>
      <c r="E8623" s="947"/>
      <c r="F8623" s="1054"/>
      <c r="G8623" s="946"/>
      <c r="H8623" s="1031"/>
      <c r="I8623" s="948"/>
    </row>
    <row r="8624" spans="2:9" ht="15.75">
      <c r="C8624" s="949" t="s">
        <v>994</v>
      </c>
      <c r="D8624" s="946">
        <v>1.05</v>
      </c>
      <c r="E8624" s="947" t="str">
        <f>+VLOOKUP(C8624,'Basic (equilibrio) (2)'!B:D,2,FALSE)</f>
        <v>m3</v>
      </c>
      <c r="F8624" s="1068">
        <f>'Basic (equilibrio) (2)'!$D$179</f>
        <v>7600</v>
      </c>
      <c r="G8624" s="946">
        <f>F8624-(F8624/1.18)</f>
        <v>1159.32</v>
      </c>
      <c r="H8624" s="1031"/>
      <c r="I8624" s="948">
        <f>D8624*F8624</f>
        <v>7980</v>
      </c>
    </row>
    <row r="8625" spans="3:9" ht="15.75">
      <c r="C8625" s="949" t="s">
        <v>1188</v>
      </c>
      <c r="D8625" s="946">
        <v>3.37</v>
      </c>
      <c r="E8625" s="947" t="str">
        <f>+VLOOKUP(C8625,'Basic (equilibrio) (2)'!B:D,2,FALSE)</f>
        <v>qq</v>
      </c>
      <c r="F8625" s="1068">
        <f>'Basic (equilibrio) (2)'!$D$183</f>
        <v>3600</v>
      </c>
      <c r="G8625" s="946">
        <f>F8625-(F8625/1.18)</f>
        <v>549.15</v>
      </c>
      <c r="H8625" s="1031"/>
      <c r="I8625" s="948">
        <f>D8625*F8625</f>
        <v>12132</v>
      </c>
    </row>
    <row r="8626" spans="3:9" ht="15.75">
      <c r="C8626" s="949" t="s">
        <v>1328</v>
      </c>
      <c r="D8626" s="946">
        <v>5.56</v>
      </c>
      <c r="E8626" s="947" t="str">
        <f>+VLOOKUP(C8626,'Basic (equilibrio) (2)'!B:D,2,FALSE)</f>
        <v>lb</v>
      </c>
      <c r="F8626" s="1068">
        <f>'Basic (equilibrio) (2)'!$D$334</f>
        <v>31.1</v>
      </c>
      <c r="G8626" s="946">
        <f>F8626-(F8626/1.18)</f>
        <v>4.74</v>
      </c>
      <c r="H8626" s="1031"/>
      <c r="I8626" s="948">
        <f>D8626*F8626</f>
        <v>172.92</v>
      </c>
    </row>
    <row r="8627" spans="3:9" ht="15.75">
      <c r="C8627" s="949" t="s">
        <v>1072</v>
      </c>
      <c r="D8627" s="946">
        <v>25</v>
      </c>
      <c r="E8627" s="947" t="str">
        <f>+VLOOKUP(C8627,'Basic (equilibrio) (2)'!B:D,2,FALSE)</f>
        <v>ml</v>
      </c>
      <c r="F8627" s="1068">
        <f>'Basic (equilibrio) (2)'!$D$22</f>
        <v>351</v>
      </c>
      <c r="G8627" s="946">
        <f>F8627-(F8627/1.18)</f>
        <v>53.54</v>
      </c>
      <c r="H8627" s="1031"/>
      <c r="I8627" s="948">
        <f>D8627*F8627</f>
        <v>8775</v>
      </c>
    </row>
    <row r="8628" spans="3:9" ht="15.75">
      <c r="C8628" s="951" t="s">
        <v>918</v>
      </c>
      <c r="D8628" s="946"/>
      <c r="E8628" s="947"/>
      <c r="F8628" s="1068"/>
      <c r="G8628" s="946"/>
      <c r="H8628" s="1031"/>
      <c r="I8628" s="952">
        <f>SUM(I8624:I8627)</f>
        <v>29059.919999999998</v>
      </c>
    </row>
    <row r="8629" spans="3:9" ht="15.75">
      <c r="C8629" s="949"/>
      <c r="D8629" s="946"/>
      <c r="E8629" s="947"/>
      <c r="F8629" s="1068"/>
      <c r="G8629" s="946"/>
      <c r="H8629" s="1031"/>
      <c r="I8629" s="948"/>
    </row>
    <row r="8630" spans="3:9" ht="15.75">
      <c r="C8630" s="945" t="s">
        <v>919</v>
      </c>
      <c r="D8630" s="946"/>
      <c r="E8630" s="947"/>
      <c r="F8630" s="1068"/>
      <c r="G8630" s="946"/>
      <c r="H8630" s="1031"/>
      <c r="I8630" s="948"/>
    </row>
    <row r="8631" spans="3:9" ht="15.75">
      <c r="C8631" s="949" t="s">
        <v>1073</v>
      </c>
      <c r="D8631" s="953">
        <v>33.33</v>
      </c>
      <c r="E8631" s="954" t="str">
        <f>+VLOOKUP(C8631,'Basic (equilibrio) (2)'!B:D,2,FALSE)</f>
        <v>ml</v>
      </c>
      <c r="F8631" s="1068">
        <f>'Basic (equilibrio) (2)'!$D$25</f>
        <v>125</v>
      </c>
      <c r="G8631" s="946">
        <v>0</v>
      </c>
      <c r="H8631" s="1031">
        <v>70</v>
      </c>
      <c r="I8631" s="948">
        <f>(D8631*F8631)/H8631</f>
        <v>59.52</v>
      </c>
    </row>
    <row r="8632" spans="3:9" ht="15.75">
      <c r="C8632" s="951" t="s">
        <v>918</v>
      </c>
      <c r="D8632" s="946"/>
      <c r="E8632" s="947"/>
      <c r="F8632" s="1054"/>
      <c r="G8632" s="946"/>
      <c r="H8632" s="1031"/>
      <c r="I8632" s="952">
        <f>SUM(I8631:I8631)</f>
        <v>59.52</v>
      </c>
    </row>
    <row r="8633" spans="3:9" ht="15.75">
      <c r="C8633" s="949"/>
      <c r="D8633" s="946"/>
      <c r="E8633" s="947"/>
      <c r="F8633" s="1054"/>
      <c r="G8633" s="946"/>
      <c r="H8633" s="1031"/>
      <c r="I8633" s="948"/>
    </row>
    <row r="8634" spans="3:9" ht="15.75">
      <c r="C8634" s="945" t="s">
        <v>923</v>
      </c>
      <c r="D8634" s="946"/>
      <c r="E8634" s="947"/>
      <c r="F8634" s="1054"/>
      <c r="G8634" s="946"/>
      <c r="H8634" s="1031"/>
      <c r="I8634" s="948"/>
    </row>
    <row r="8635" spans="3:9" ht="15.75">
      <c r="C8635" s="949" t="s">
        <v>924</v>
      </c>
      <c r="D8635" s="946"/>
      <c r="E8635" s="947" t="str">
        <f>+VLOOKUP(C8635,'Basic (equilibrio) (2)'!B:D,2,FALSE)</f>
        <v>n/a</v>
      </c>
      <c r="F8635" s="1054">
        <f>+VLOOKUP(C8635,'Basic (equilibrio) (2)'!B:D,3,FALSE)</f>
        <v>0</v>
      </c>
      <c r="G8635" s="946">
        <f>F8635-(F8635/1.18)</f>
        <v>0</v>
      </c>
      <c r="H8635" s="1039"/>
      <c r="I8635" s="955">
        <f>D8635*F8635</f>
        <v>0</v>
      </c>
    </row>
    <row r="8636" spans="3:9" ht="15.75">
      <c r="C8636" s="951" t="s">
        <v>918</v>
      </c>
      <c r="D8636" s="946"/>
      <c r="E8636" s="947"/>
      <c r="F8636" s="1054"/>
      <c r="G8636" s="946"/>
      <c r="H8636" s="1031"/>
      <c r="I8636" s="952">
        <f>SUM(I8635:I8635)</f>
        <v>0</v>
      </c>
    </row>
    <row r="8637" spans="3:9" ht="15.75">
      <c r="C8637" s="949"/>
      <c r="D8637" s="946"/>
      <c r="E8637" s="947"/>
      <c r="F8637" s="1054"/>
      <c r="G8637" s="946"/>
      <c r="H8637" s="1031"/>
      <c r="I8637" s="948"/>
    </row>
    <row r="8638" spans="3:9" ht="15.75">
      <c r="C8638" s="945" t="s">
        <v>925</v>
      </c>
      <c r="D8638" s="946"/>
      <c r="E8638" s="947"/>
      <c r="F8638" s="1054"/>
      <c r="G8638" s="946"/>
      <c r="H8638" s="1031"/>
      <c r="I8638" s="948"/>
    </row>
    <row r="8639" spans="3:9" ht="15.75">
      <c r="C8639" s="949" t="s">
        <v>924</v>
      </c>
      <c r="D8639" s="946"/>
      <c r="E8639" s="947" t="str">
        <f>+VLOOKUP(C8639,'Basic (equilibrio) (2)'!B:D,2,FALSE)</f>
        <v>n/a</v>
      </c>
      <c r="F8639" s="1054">
        <f>+VLOOKUP(C8639,'Basic (equilibrio) (2)'!B:D,3,FALSE)</f>
        <v>0</v>
      </c>
      <c r="G8639" s="946"/>
      <c r="H8639" s="1031"/>
      <c r="I8639" s="948">
        <f>D8639*F8639</f>
        <v>0</v>
      </c>
    </row>
    <row r="8640" spans="3:9" ht="15.75">
      <c r="C8640" s="951" t="s">
        <v>918</v>
      </c>
      <c r="D8640" s="946"/>
      <c r="E8640" s="947"/>
      <c r="F8640" s="1054"/>
      <c r="G8640" s="946"/>
      <c r="H8640" s="1031"/>
      <c r="I8640" s="952">
        <f>SUM(I8639)</f>
        <v>0</v>
      </c>
    </row>
    <row r="8641" spans="2:9" ht="15.75">
      <c r="C8641" s="951"/>
      <c r="D8641" s="946"/>
      <c r="E8641" s="947"/>
      <c r="F8641" s="1054"/>
      <c r="G8641" s="946"/>
      <c r="H8641" s="1031"/>
      <c r="I8641" s="952"/>
    </row>
    <row r="8642" spans="2:9" ht="15.75">
      <c r="C8642" s="956" t="s">
        <v>926</v>
      </c>
      <c r="D8642" s="957"/>
      <c r="E8642" s="958"/>
      <c r="F8642" s="1069"/>
      <c r="G8642" s="957"/>
      <c r="H8642" s="1032"/>
      <c r="I8642" s="959">
        <f>+I8628</f>
        <v>29059.919999999998</v>
      </c>
    </row>
    <row r="8643" spans="2:9" ht="15.75">
      <c r="C8643" s="956" t="s">
        <v>927</v>
      </c>
      <c r="D8643" s="957"/>
      <c r="E8643" s="958"/>
      <c r="F8643" s="1069"/>
      <c r="G8643" s="957"/>
      <c r="H8643" s="1032"/>
      <c r="I8643" s="959">
        <f>+I8632</f>
        <v>59.52</v>
      </c>
    </row>
    <row r="8644" spans="2:9" ht="15.75">
      <c r="C8644" s="956" t="s">
        <v>928</v>
      </c>
      <c r="D8644" s="957"/>
      <c r="E8644" s="958"/>
      <c r="F8644" s="1069"/>
      <c r="G8644" s="957"/>
      <c r="H8644" s="1032"/>
      <c r="I8644" s="959">
        <f>+I8636</f>
        <v>0</v>
      </c>
    </row>
    <row r="8645" spans="2:9" ht="15.75">
      <c r="C8645" s="956" t="s">
        <v>929</v>
      </c>
      <c r="D8645" s="957"/>
      <c r="E8645" s="958"/>
      <c r="F8645" s="1069"/>
      <c r="G8645" s="957"/>
      <c r="H8645" s="1032"/>
      <c r="I8645" s="959">
        <f>+I8640</f>
        <v>0</v>
      </c>
    </row>
    <row r="8646" spans="2:9" ht="15.75">
      <c r="C8646" s="949"/>
      <c r="D8646" s="946"/>
      <c r="E8646" s="947"/>
      <c r="F8646" s="1054"/>
      <c r="G8646" s="946"/>
      <c r="H8646" s="1031"/>
      <c r="I8646" s="948"/>
    </row>
    <row r="8647" spans="2:9" ht="15.75">
      <c r="C8647" s="949"/>
      <c r="D8647" s="946"/>
      <c r="E8647" s="947"/>
      <c r="F8647" s="1054"/>
      <c r="G8647" s="946"/>
      <c r="H8647" s="1031"/>
      <c r="I8647" s="948"/>
    </row>
    <row r="8648" spans="2:9" ht="15.75">
      <c r="C8648" s="951" t="s">
        <v>930</v>
      </c>
      <c r="D8648" s="960"/>
      <c r="E8648" s="943" t="str">
        <f>+E8621</f>
        <v>M3</v>
      </c>
      <c r="F8648" s="1070"/>
      <c r="G8648" s="960"/>
      <c r="H8648" s="1033"/>
      <c r="I8648" s="952">
        <f>SUM(I8642:I8645)</f>
        <v>29119.439999999999</v>
      </c>
    </row>
    <row r="8649" spans="2:9" ht="15.75">
      <c r="C8649" s="951"/>
      <c r="D8649" s="960"/>
      <c r="E8649" s="943"/>
      <c r="F8649" s="1070"/>
      <c r="G8649" s="960"/>
      <c r="H8649" s="1033"/>
      <c r="I8649" s="952"/>
    </row>
    <row r="8650" spans="2:9" ht="15.75">
      <c r="B8650" s="1026">
        <v>3.4</v>
      </c>
      <c r="C8650" s="937" t="str">
        <f>+Presupuesto!B514</f>
        <v>Dintel D1 (0.15m x 0.30m)- 2.99 qq/m³</v>
      </c>
      <c r="D8650" s="938"/>
      <c r="E8650" s="962" t="s">
        <v>22</v>
      </c>
      <c r="F8650" s="1066"/>
      <c r="G8650" s="938"/>
      <c r="H8650" s="1029"/>
      <c r="I8650" s="940">
        <f>I8677</f>
        <v>27744.66</v>
      </c>
    </row>
    <row r="8651" spans="2:9" ht="15.75">
      <c r="C8651" s="941" t="s">
        <v>908</v>
      </c>
      <c r="D8651" s="942" t="s">
        <v>9</v>
      </c>
      <c r="E8651" s="943" t="s">
        <v>10</v>
      </c>
      <c r="F8651" s="1067" t="s">
        <v>909</v>
      </c>
      <c r="G8651" s="942" t="s">
        <v>910</v>
      </c>
      <c r="H8651" s="1030" t="s">
        <v>911</v>
      </c>
      <c r="I8651" s="944" t="s">
        <v>912</v>
      </c>
    </row>
    <row r="8652" spans="2:9" ht="15.75">
      <c r="C8652" s="945" t="s">
        <v>913</v>
      </c>
      <c r="D8652" s="946"/>
      <c r="E8652" s="947"/>
      <c r="F8652" s="1054"/>
      <c r="G8652" s="946"/>
      <c r="H8652" s="1031"/>
      <c r="I8652" s="948"/>
    </row>
    <row r="8653" spans="2:9" ht="15.75">
      <c r="C8653" s="949" t="s">
        <v>994</v>
      </c>
      <c r="D8653" s="946">
        <v>1.05</v>
      </c>
      <c r="E8653" s="947" t="str">
        <f>+VLOOKUP(C8653,'Basic (equilibrio) (2)'!B:D,2,FALSE)</f>
        <v>m3</v>
      </c>
      <c r="F8653" s="1068">
        <f>'Basic (equilibrio) (2)'!$D$179</f>
        <v>7600</v>
      </c>
      <c r="G8653" s="946">
        <f>F8653-(F8653/1.18)</f>
        <v>1159.32</v>
      </c>
      <c r="H8653" s="1031"/>
      <c r="I8653" s="948">
        <f>D8653*F8653</f>
        <v>7980</v>
      </c>
    </row>
    <row r="8654" spans="2:9" ht="15.75">
      <c r="C8654" s="949" t="s">
        <v>1188</v>
      </c>
      <c r="D8654" s="946">
        <v>2.99</v>
      </c>
      <c r="E8654" s="947" t="str">
        <f>+VLOOKUP(C8654,'Basic (equilibrio) (2)'!B:D,2,FALSE)</f>
        <v>qq</v>
      </c>
      <c r="F8654" s="1068">
        <f>'Basic (equilibrio) (2)'!$D$183</f>
        <v>3600</v>
      </c>
      <c r="G8654" s="946">
        <f>F8654-(F8654/1.18)</f>
        <v>549.15</v>
      </c>
      <c r="H8654" s="1031"/>
      <c r="I8654" s="948">
        <f>D8654*F8654</f>
        <v>10764</v>
      </c>
    </row>
    <row r="8655" spans="2:9" ht="15.75">
      <c r="C8655" s="949" t="s">
        <v>1328</v>
      </c>
      <c r="D8655" s="946">
        <f>+D8654*2</f>
        <v>5.98</v>
      </c>
      <c r="E8655" s="947" t="str">
        <f>+VLOOKUP(C8655,'Basic (equilibrio) (2)'!B:D,2,FALSE)</f>
        <v>lb</v>
      </c>
      <c r="F8655" s="1068">
        <f>'Basic (equilibrio) (2)'!$D$334</f>
        <v>31.1</v>
      </c>
      <c r="G8655" s="946">
        <f>F8655-(F8655/1.18)</f>
        <v>4.74</v>
      </c>
      <c r="H8655" s="1031"/>
      <c r="I8655" s="948">
        <f>D8655*F8655</f>
        <v>185.98</v>
      </c>
    </row>
    <row r="8656" spans="2:9" ht="15.75">
      <c r="C8656" s="949" t="s">
        <v>1072</v>
      </c>
      <c r="D8656" s="946">
        <v>25</v>
      </c>
      <c r="E8656" s="947" t="str">
        <f>+VLOOKUP(C8656,'Basic (equilibrio) (2)'!B:D,2,FALSE)</f>
        <v>ml</v>
      </c>
      <c r="F8656" s="1068">
        <f>'Basic (equilibrio) (2)'!$D$22</f>
        <v>351</v>
      </c>
      <c r="G8656" s="946">
        <f>F8656-(F8656/1.18)</f>
        <v>53.54</v>
      </c>
      <c r="H8656" s="1031"/>
      <c r="I8656" s="948">
        <f>D8656*F8656</f>
        <v>8775</v>
      </c>
    </row>
    <row r="8657" spans="3:9" ht="15.75">
      <c r="C8657" s="951" t="s">
        <v>918</v>
      </c>
      <c r="D8657" s="946"/>
      <c r="E8657" s="947"/>
      <c r="F8657" s="1068"/>
      <c r="G8657" s="946"/>
      <c r="H8657" s="1031"/>
      <c r="I8657" s="952">
        <f>SUM(I8653:I8656)</f>
        <v>27704.98</v>
      </c>
    </row>
    <row r="8658" spans="3:9" ht="15.75">
      <c r="C8658" s="949"/>
      <c r="D8658" s="946"/>
      <c r="E8658" s="947"/>
      <c r="F8658" s="1068"/>
      <c r="G8658" s="946"/>
      <c r="H8658" s="1031"/>
      <c r="I8658" s="948"/>
    </row>
    <row r="8659" spans="3:9" ht="15.75">
      <c r="C8659" s="945" t="s">
        <v>919</v>
      </c>
      <c r="D8659" s="946"/>
      <c r="E8659" s="947"/>
      <c r="F8659" s="1068"/>
      <c r="G8659" s="946"/>
      <c r="H8659" s="1031"/>
      <c r="I8659" s="948"/>
    </row>
    <row r="8660" spans="3:9" ht="15.75">
      <c r="C8660" s="949" t="s">
        <v>1073</v>
      </c>
      <c r="D8660" s="953">
        <v>22.22</v>
      </c>
      <c r="E8660" s="954" t="str">
        <f>+VLOOKUP(C8660,'Basic (equilibrio) (2)'!B:D,2,FALSE)</f>
        <v>ml</v>
      </c>
      <c r="F8660" s="1068">
        <f>'Basic (equilibrio) (2)'!$D$25</f>
        <v>125</v>
      </c>
      <c r="G8660" s="946">
        <v>0</v>
      </c>
      <c r="H8660" s="1031">
        <v>70</v>
      </c>
      <c r="I8660" s="948">
        <f>(D8660*F8660)/H8660</f>
        <v>39.68</v>
      </c>
    </row>
    <row r="8661" spans="3:9" ht="15.75">
      <c r="C8661" s="951" t="s">
        <v>918</v>
      </c>
      <c r="D8661" s="946"/>
      <c r="E8661" s="947"/>
      <c r="F8661" s="1054"/>
      <c r="G8661" s="946"/>
      <c r="H8661" s="1031"/>
      <c r="I8661" s="952">
        <f>SUM(I8660:I8660)</f>
        <v>39.68</v>
      </c>
    </row>
    <row r="8662" spans="3:9" ht="15.75">
      <c r="C8662" s="949"/>
      <c r="D8662" s="946"/>
      <c r="E8662" s="947"/>
      <c r="F8662" s="1054"/>
      <c r="G8662" s="946"/>
      <c r="H8662" s="1031"/>
      <c r="I8662" s="948"/>
    </row>
    <row r="8663" spans="3:9" ht="15.75">
      <c r="C8663" s="945" t="s">
        <v>923</v>
      </c>
      <c r="D8663" s="946"/>
      <c r="E8663" s="947"/>
      <c r="F8663" s="1054"/>
      <c r="G8663" s="946"/>
      <c r="H8663" s="1031"/>
      <c r="I8663" s="948"/>
    </row>
    <row r="8664" spans="3:9" ht="15.75">
      <c r="C8664" s="949" t="s">
        <v>924</v>
      </c>
      <c r="D8664" s="946"/>
      <c r="E8664" s="947" t="str">
        <f>+VLOOKUP(C8664,'Basic (equilibrio) (2)'!B:D,2,FALSE)</f>
        <v>n/a</v>
      </c>
      <c r="F8664" s="1054">
        <f>+VLOOKUP(C8664,'Basic (equilibrio) (2)'!B:D,3,FALSE)</f>
        <v>0</v>
      </c>
      <c r="G8664" s="946">
        <f>F8664-(F8664/1.18)</f>
        <v>0</v>
      </c>
      <c r="H8664" s="1039"/>
      <c r="I8664" s="955">
        <f>D8664*F8664</f>
        <v>0</v>
      </c>
    </row>
    <row r="8665" spans="3:9" ht="15.75">
      <c r="C8665" s="951" t="s">
        <v>918</v>
      </c>
      <c r="D8665" s="946"/>
      <c r="E8665" s="947"/>
      <c r="F8665" s="1054"/>
      <c r="G8665" s="946"/>
      <c r="H8665" s="1031"/>
      <c r="I8665" s="952">
        <f>SUM(I8664:I8664)</f>
        <v>0</v>
      </c>
    </row>
    <row r="8666" spans="3:9" ht="15.75">
      <c r="C8666" s="949"/>
      <c r="D8666" s="946"/>
      <c r="E8666" s="947"/>
      <c r="F8666" s="1054"/>
      <c r="G8666" s="946"/>
      <c r="H8666" s="1031"/>
      <c r="I8666" s="948"/>
    </row>
    <row r="8667" spans="3:9" ht="15.75">
      <c r="C8667" s="945" t="s">
        <v>925</v>
      </c>
      <c r="D8667" s="946"/>
      <c r="E8667" s="947"/>
      <c r="F8667" s="1054"/>
      <c r="G8667" s="946"/>
      <c r="H8667" s="1031"/>
      <c r="I8667" s="948"/>
    </row>
    <row r="8668" spans="3:9" ht="15.75">
      <c r="C8668" s="949" t="s">
        <v>924</v>
      </c>
      <c r="D8668" s="946"/>
      <c r="E8668" s="947" t="str">
        <f>+VLOOKUP(C8668,'Basic (equilibrio) (2)'!B:D,2,FALSE)</f>
        <v>n/a</v>
      </c>
      <c r="F8668" s="1054">
        <f>+VLOOKUP(C8668,'Basic (equilibrio) (2)'!B:D,3,FALSE)</f>
        <v>0</v>
      </c>
      <c r="G8668" s="946"/>
      <c r="H8668" s="1031"/>
      <c r="I8668" s="948">
        <f>D8668*F8668</f>
        <v>0</v>
      </c>
    </row>
    <row r="8669" spans="3:9" ht="15.75">
      <c r="C8669" s="951" t="s">
        <v>918</v>
      </c>
      <c r="D8669" s="946"/>
      <c r="E8669" s="947"/>
      <c r="F8669" s="1054"/>
      <c r="G8669" s="946"/>
      <c r="H8669" s="1031"/>
      <c r="I8669" s="952">
        <f>SUM(I8668)</f>
        <v>0</v>
      </c>
    </row>
    <row r="8670" spans="3:9" ht="15.75">
      <c r="C8670" s="951"/>
      <c r="D8670" s="946"/>
      <c r="E8670" s="947"/>
      <c r="F8670" s="1054"/>
      <c r="G8670" s="946"/>
      <c r="H8670" s="1031"/>
      <c r="I8670" s="952"/>
    </row>
    <row r="8671" spans="3:9" ht="15.75">
      <c r="C8671" s="956" t="s">
        <v>926</v>
      </c>
      <c r="D8671" s="957"/>
      <c r="E8671" s="958"/>
      <c r="F8671" s="1069"/>
      <c r="G8671" s="957"/>
      <c r="H8671" s="1032"/>
      <c r="I8671" s="959">
        <f>+I8657</f>
        <v>27704.98</v>
      </c>
    </row>
    <row r="8672" spans="3:9" ht="15.75">
      <c r="C8672" s="956" t="s">
        <v>927</v>
      </c>
      <c r="D8672" s="957"/>
      <c r="E8672" s="958"/>
      <c r="F8672" s="1069"/>
      <c r="G8672" s="957"/>
      <c r="H8672" s="1032"/>
      <c r="I8672" s="959">
        <f>+I8661</f>
        <v>39.68</v>
      </c>
    </row>
    <row r="8673" spans="2:9" ht="15.75">
      <c r="C8673" s="956" t="s">
        <v>928</v>
      </c>
      <c r="D8673" s="957"/>
      <c r="E8673" s="958"/>
      <c r="F8673" s="1069"/>
      <c r="G8673" s="957"/>
      <c r="H8673" s="1032"/>
      <c r="I8673" s="959">
        <f>+I8665</f>
        <v>0</v>
      </c>
    </row>
    <row r="8674" spans="2:9" ht="15.75">
      <c r="C8674" s="956" t="s">
        <v>929</v>
      </c>
      <c r="D8674" s="957"/>
      <c r="E8674" s="958"/>
      <c r="F8674" s="1069"/>
      <c r="G8674" s="957"/>
      <c r="H8674" s="1032"/>
      <c r="I8674" s="959">
        <f>+I8669</f>
        <v>0</v>
      </c>
    </row>
    <row r="8675" spans="2:9" ht="15.75">
      <c r="C8675" s="949"/>
      <c r="D8675" s="946"/>
      <c r="E8675" s="947"/>
      <c r="F8675" s="1054"/>
      <c r="G8675" s="946"/>
      <c r="H8675" s="1031"/>
      <c r="I8675" s="948"/>
    </row>
    <row r="8676" spans="2:9" ht="15.75">
      <c r="C8676" s="949"/>
      <c r="D8676" s="946"/>
      <c r="E8676" s="947"/>
      <c r="F8676" s="1054"/>
      <c r="G8676" s="946"/>
      <c r="H8676" s="1031"/>
      <c r="I8676" s="948"/>
    </row>
    <row r="8677" spans="2:9" ht="15.75">
      <c r="C8677" s="951" t="s">
        <v>930</v>
      </c>
      <c r="D8677" s="960"/>
      <c r="E8677" s="943" t="str">
        <f>+E8650</f>
        <v>M3</v>
      </c>
      <c r="F8677" s="1070"/>
      <c r="G8677" s="960"/>
      <c r="H8677" s="1033"/>
      <c r="I8677" s="952">
        <f>SUM(I8671:I8674)</f>
        <v>27744.66</v>
      </c>
    </row>
    <row r="8678" spans="2:9" ht="15.75">
      <c r="C8678" s="951"/>
      <c r="D8678" s="960"/>
      <c r="E8678" s="943"/>
      <c r="F8678" s="1070"/>
      <c r="G8678" s="960"/>
      <c r="H8678" s="1033"/>
      <c r="I8678" s="952"/>
    </row>
    <row r="8679" spans="2:9" ht="15.75">
      <c r="C8679" s="951"/>
      <c r="D8679" s="960"/>
      <c r="E8679" s="943"/>
      <c r="F8679" s="1070"/>
      <c r="G8679" s="960"/>
      <c r="H8679" s="1033"/>
      <c r="I8679" s="952"/>
    </row>
    <row r="8680" spans="2:9" ht="15.75">
      <c r="B8680" s="1026">
        <v>3.5</v>
      </c>
      <c r="C8680" s="937" t="str">
        <f>+Presupuesto!B515</f>
        <v>Viga Dintel D2 - 2.32 qq/m³</v>
      </c>
      <c r="D8680" s="938"/>
      <c r="E8680" s="962" t="s">
        <v>22</v>
      </c>
      <c r="F8680" s="1066"/>
      <c r="G8680" s="938"/>
      <c r="H8680" s="1029"/>
      <c r="I8680" s="940">
        <f>I8707</f>
        <v>25290.98</v>
      </c>
    </row>
    <row r="8681" spans="2:9" ht="15.75">
      <c r="C8681" s="941" t="s">
        <v>908</v>
      </c>
      <c r="D8681" s="942" t="s">
        <v>9</v>
      </c>
      <c r="E8681" s="943" t="s">
        <v>10</v>
      </c>
      <c r="F8681" s="1067" t="s">
        <v>909</v>
      </c>
      <c r="G8681" s="942" t="s">
        <v>910</v>
      </c>
      <c r="H8681" s="1030" t="s">
        <v>911</v>
      </c>
      <c r="I8681" s="944" t="s">
        <v>912</v>
      </c>
    </row>
    <row r="8682" spans="2:9" ht="15.75">
      <c r="C8682" s="945" t="s">
        <v>913</v>
      </c>
      <c r="D8682" s="946"/>
      <c r="E8682" s="947"/>
      <c r="F8682" s="1054"/>
      <c r="G8682" s="946"/>
      <c r="H8682" s="1031"/>
      <c r="I8682" s="948"/>
    </row>
    <row r="8683" spans="2:9" ht="15.75">
      <c r="C8683" s="949" t="s">
        <v>994</v>
      </c>
      <c r="D8683" s="946">
        <v>1.05</v>
      </c>
      <c r="E8683" s="947" t="str">
        <f>+VLOOKUP(C8683,'Basic (equilibrio) (2)'!B:D,2,FALSE)</f>
        <v>m3</v>
      </c>
      <c r="F8683" s="1068">
        <f>'Basic (equilibrio) (2)'!$D$179</f>
        <v>7600</v>
      </c>
      <c r="G8683" s="946">
        <f>F8683-(F8683/1.18)</f>
        <v>1159.32</v>
      </c>
      <c r="H8683" s="1031"/>
      <c r="I8683" s="948">
        <f>D8683*F8683</f>
        <v>7980</v>
      </c>
    </row>
    <row r="8684" spans="2:9" ht="15.75">
      <c r="C8684" s="949" t="s">
        <v>1188</v>
      </c>
      <c r="D8684" s="946">
        <v>2.3199999999999998</v>
      </c>
      <c r="E8684" s="947" t="str">
        <f>+VLOOKUP(C8684,'Basic (equilibrio) (2)'!B:D,2,FALSE)</f>
        <v>qq</v>
      </c>
      <c r="F8684" s="1068">
        <f>'Basic (equilibrio) (2)'!$D$183</f>
        <v>3600</v>
      </c>
      <c r="G8684" s="946">
        <f>F8684-(F8684/1.18)</f>
        <v>549.15</v>
      </c>
      <c r="H8684" s="1031"/>
      <c r="I8684" s="948">
        <f>D8684*F8684</f>
        <v>8352</v>
      </c>
    </row>
    <row r="8685" spans="2:9" ht="15.75">
      <c r="C8685" s="949" t="s">
        <v>1328</v>
      </c>
      <c r="D8685" s="946">
        <f>+D8684*2</f>
        <v>4.6399999999999997</v>
      </c>
      <c r="E8685" s="947" t="str">
        <f>+VLOOKUP(C8685,'Basic (equilibrio) (2)'!B:D,2,FALSE)</f>
        <v>lb</v>
      </c>
      <c r="F8685" s="1068">
        <f>'Basic (equilibrio) (2)'!$D$334</f>
        <v>31.1</v>
      </c>
      <c r="G8685" s="946">
        <f>F8685-(F8685/1.18)</f>
        <v>4.74</v>
      </c>
      <c r="H8685" s="1031"/>
      <c r="I8685" s="948">
        <f>D8685*F8685</f>
        <v>144.30000000000001</v>
      </c>
    </row>
    <row r="8686" spans="2:9" ht="15.75">
      <c r="C8686" s="949" t="s">
        <v>1072</v>
      </c>
      <c r="D8686" s="946">
        <v>25</v>
      </c>
      <c r="E8686" s="947" t="str">
        <f>+VLOOKUP(C8686,'Basic (equilibrio) (2)'!B:D,2,FALSE)</f>
        <v>ml</v>
      </c>
      <c r="F8686" s="1068">
        <f>'Basic (equilibrio) (2)'!$D$22</f>
        <v>351</v>
      </c>
      <c r="G8686" s="946">
        <f>F8686-(F8686/1.18)</f>
        <v>53.54</v>
      </c>
      <c r="H8686" s="1031"/>
      <c r="I8686" s="948">
        <f>D8686*F8686</f>
        <v>8775</v>
      </c>
    </row>
    <row r="8687" spans="2:9" ht="15.75">
      <c r="C8687" s="951" t="s">
        <v>918</v>
      </c>
      <c r="D8687" s="946"/>
      <c r="E8687" s="947"/>
      <c r="F8687" s="1068"/>
      <c r="G8687" s="946"/>
      <c r="H8687" s="1031"/>
      <c r="I8687" s="952">
        <f>SUM(I8683:I8686)</f>
        <v>25251.3</v>
      </c>
    </row>
    <row r="8688" spans="2:9" ht="15.75">
      <c r="C8688" s="949"/>
      <c r="D8688" s="946"/>
      <c r="E8688" s="947"/>
      <c r="F8688" s="1068"/>
      <c r="G8688" s="946"/>
      <c r="H8688" s="1031"/>
      <c r="I8688" s="948"/>
    </row>
    <row r="8689" spans="3:9" ht="15.75">
      <c r="C8689" s="945" t="s">
        <v>919</v>
      </c>
      <c r="D8689" s="946"/>
      <c r="E8689" s="947"/>
      <c r="F8689" s="1068"/>
      <c r="G8689" s="946"/>
      <c r="H8689" s="1031"/>
      <c r="I8689" s="948"/>
    </row>
    <row r="8690" spans="3:9" ht="15.75">
      <c r="C8690" s="949" t="s">
        <v>1073</v>
      </c>
      <c r="D8690" s="953">
        <v>22.22</v>
      </c>
      <c r="E8690" s="954" t="str">
        <f>+VLOOKUP(C8690,'Basic (equilibrio) (2)'!B:D,2,FALSE)</f>
        <v>ml</v>
      </c>
      <c r="F8690" s="1068">
        <f>'Basic (equilibrio) (2)'!$D$25</f>
        <v>125</v>
      </c>
      <c r="G8690" s="946">
        <v>0</v>
      </c>
      <c r="H8690" s="1031">
        <v>70</v>
      </c>
      <c r="I8690" s="948">
        <f>(D8690*F8690)/H8690</f>
        <v>39.68</v>
      </c>
    </row>
    <row r="8691" spans="3:9" ht="15.75">
      <c r="C8691" s="951" t="s">
        <v>918</v>
      </c>
      <c r="D8691" s="946"/>
      <c r="E8691" s="947"/>
      <c r="F8691" s="1054"/>
      <c r="G8691" s="946"/>
      <c r="H8691" s="1031"/>
      <c r="I8691" s="952">
        <f>SUM(I8690:I8690)</f>
        <v>39.68</v>
      </c>
    </row>
    <row r="8692" spans="3:9" ht="15.75">
      <c r="C8692" s="949"/>
      <c r="D8692" s="946"/>
      <c r="E8692" s="947"/>
      <c r="F8692" s="1054"/>
      <c r="G8692" s="946"/>
      <c r="H8692" s="1031"/>
      <c r="I8692" s="948"/>
    </row>
    <row r="8693" spans="3:9" ht="15.75">
      <c r="C8693" s="945" t="s">
        <v>923</v>
      </c>
      <c r="D8693" s="946"/>
      <c r="E8693" s="947"/>
      <c r="F8693" s="1054"/>
      <c r="G8693" s="946"/>
      <c r="H8693" s="1031"/>
      <c r="I8693" s="948"/>
    </row>
    <row r="8694" spans="3:9" ht="15.75">
      <c r="C8694" s="949" t="s">
        <v>924</v>
      </c>
      <c r="D8694" s="946"/>
      <c r="E8694" s="947" t="str">
        <f>+VLOOKUP(C8694,'Basic (equilibrio) (2)'!B:D,2,FALSE)</f>
        <v>n/a</v>
      </c>
      <c r="F8694" s="1054">
        <f>+VLOOKUP(C8694,'Basic (equilibrio) (2)'!B:D,3,FALSE)</f>
        <v>0</v>
      </c>
      <c r="G8694" s="946">
        <f>F8694-(F8694/1.18)</f>
        <v>0</v>
      </c>
      <c r="H8694" s="1039"/>
      <c r="I8694" s="955">
        <f>D8694*F8694</f>
        <v>0</v>
      </c>
    </row>
    <row r="8695" spans="3:9" ht="15.75">
      <c r="C8695" s="951" t="s">
        <v>918</v>
      </c>
      <c r="D8695" s="946"/>
      <c r="E8695" s="947"/>
      <c r="F8695" s="1054"/>
      <c r="G8695" s="946"/>
      <c r="H8695" s="1031"/>
      <c r="I8695" s="952">
        <f>SUM(I8694:I8694)</f>
        <v>0</v>
      </c>
    </row>
    <row r="8696" spans="3:9" ht="15.75">
      <c r="C8696" s="949"/>
      <c r="D8696" s="946"/>
      <c r="E8696" s="947"/>
      <c r="F8696" s="1054"/>
      <c r="G8696" s="946"/>
      <c r="H8696" s="1031"/>
      <c r="I8696" s="948"/>
    </row>
    <row r="8697" spans="3:9" ht="15.75">
      <c r="C8697" s="945" t="s">
        <v>925</v>
      </c>
      <c r="D8697" s="946"/>
      <c r="E8697" s="947"/>
      <c r="F8697" s="1054"/>
      <c r="G8697" s="946"/>
      <c r="H8697" s="1031"/>
      <c r="I8697" s="948"/>
    </row>
    <row r="8698" spans="3:9" ht="15.75">
      <c r="C8698" s="949" t="s">
        <v>924</v>
      </c>
      <c r="D8698" s="946"/>
      <c r="E8698" s="947" t="str">
        <f>+VLOOKUP(C8698,'Basic (equilibrio) (2)'!B:D,2,FALSE)</f>
        <v>n/a</v>
      </c>
      <c r="F8698" s="1054">
        <f>+VLOOKUP(C8698,'Basic (equilibrio) (2)'!B:D,3,FALSE)</f>
        <v>0</v>
      </c>
      <c r="G8698" s="946"/>
      <c r="H8698" s="1031"/>
      <c r="I8698" s="948">
        <f>D8698*F8698</f>
        <v>0</v>
      </c>
    </row>
    <row r="8699" spans="3:9" ht="15.75">
      <c r="C8699" s="951" t="s">
        <v>918</v>
      </c>
      <c r="D8699" s="946"/>
      <c r="E8699" s="947"/>
      <c r="F8699" s="1054"/>
      <c r="G8699" s="946"/>
      <c r="H8699" s="1031"/>
      <c r="I8699" s="952">
        <f>SUM(I8698)</f>
        <v>0</v>
      </c>
    </row>
    <row r="8700" spans="3:9" ht="15.75">
      <c r="C8700" s="951"/>
      <c r="D8700" s="946"/>
      <c r="E8700" s="947"/>
      <c r="F8700" s="1054"/>
      <c r="G8700" s="946"/>
      <c r="H8700" s="1031"/>
      <c r="I8700" s="952"/>
    </row>
    <row r="8701" spans="3:9" ht="15.75">
      <c r="C8701" s="956" t="s">
        <v>926</v>
      </c>
      <c r="D8701" s="957"/>
      <c r="E8701" s="958"/>
      <c r="F8701" s="1069"/>
      <c r="G8701" s="957"/>
      <c r="H8701" s="1032"/>
      <c r="I8701" s="959">
        <f>+I8687</f>
        <v>25251.3</v>
      </c>
    </row>
    <row r="8702" spans="3:9" ht="15.75">
      <c r="C8702" s="956" t="s">
        <v>927</v>
      </c>
      <c r="D8702" s="957"/>
      <c r="E8702" s="958"/>
      <c r="F8702" s="1069"/>
      <c r="G8702" s="957"/>
      <c r="H8702" s="1032"/>
      <c r="I8702" s="959">
        <f>+I8691</f>
        <v>39.68</v>
      </c>
    </row>
    <row r="8703" spans="3:9" ht="15.75">
      <c r="C8703" s="956" t="s">
        <v>928</v>
      </c>
      <c r="D8703" s="957"/>
      <c r="E8703" s="958"/>
      <c r="F8703" s="1069"/>
      <c r="G8703" s="957"/>
      <c r="H8703" s="1032"/>
      <c r="I8703" s="959">
        <f>+I8695</f>
        <v>0</v>
      </c>
    </row>
    <row r="8704" spans="3:9" ht="15.75">
      <c r="C8704" s="956" t="s">
        <v>929</v>
      </c>
      <c r="D8704" s="957"/>
      <c r="E8704" s="958"/>
      <c r="F8704" s="1069"/>
      <c r="G8704" s="957"/>
      <c r="H8704" s="1032"/>
      <c r="I8704" s="959">
        <f>+I8699</f>
        <v>0</v>
      </c>
    </row>
    <row r="8705" spans="2:9" ht="15.75">
      <c r="C8705" s="949"/>
      <c r="D8705" s="946"/>
      <c r="E8705" s="947"/>
      <c r="F8705" s="1054"/>
      <c r="G8705" s="946"/>
      <c r="H8705" s="1031"/>
      <c r="I8705" s="948"/>
    </row>
    <row r="8706" spans="2:9" ht="15.75">
      <c r="C8706" s="949"/>
      <c r="D8706" s="946"/>
      <c r="E8706" s="947"/>
      <c r="F8706" s="1054"/>
      <c r="G8706" s="946"/>
      <c r="H8706" s="1031"/>
      <c r="I8706" s="948"/>
    </row>
    <row r="8707" spans="2:9" ht="15.75">
      <c r="C8707" s="951" t="s">
        <v>930</v>
      </c>
      <c r="D8707" s="960"/>
      <c r="E8707" s="943" t="str">
        <f>+E8680</f>
        <v>M3</v>
      </c>
      <c r="F8707" s="1070"/>
      <c r="G8707" s="960"/>
      <c r="H8707" s="1033"/>
      <c r="I8707" s="952">
        <f>SUM(I8701:I8704)</f>
        <v>25290.98</v>
      </c>
    </row>
    <row r="8708" spans="2:9" ht="15.75">
      <c r="C8708" s="951"/>
      <c r="D8708" s="960"/>
      <c r="E8708" s="943"/>
      <c r="F8708" s="1070"/>
      <c r="G8708" s="960"/>
      <c r="H8708" s="1033"/>
      <c r="I8708" s="952"/>
    </row>
    <row r="8709" spans="2:9" ht="15.75">
      <c r="B8709" s="1026">
        <v>3.6</v>
      </c>
      <c r="C8709" s="937" t="str">
        <f>+Presupuesto!B516</f>
        <v>Columna (0.30m x0.15m) - 3.03 qq/m³</v>
      </c>
      <c r="D8709" s="938"/>
      <c r="E8709" s="962" t="s">
        <v>22</v>
      </c>
      <c r="F8709" s="1066"/>
      <c r="G8709" s="938"/>
      <c r="H8709" s="1029"/>
      <c r="I8709" s="940">
        <f>I8741</f>
        <v>52830.28</v>
      </c>
    </row>
    <row r="8710" spans="2:9" ht="15.75">
      <c r="C8710" s="941" t="s">
        <v>908</v>
      </c>
      <c r="D8710" s="942" t="s">
        <v>9</v>
      </c>
      <c r="E8710" s="943" t="s">
        <v>10</v>
      </c>
      <c r="F8710" s="1067" t="s">
        <v>909</v>
      </c>
      <c r="G8710" s="942" t="s">
        <v>910</v>
      </c>
      <c r="H8710" s="1030" t="s">
        <v>911</v>
      </c>
      <c r="I8710" s="944" t="s">
        <v>912</v>
      </c>
    </row>
    <row r="8711" spans="2:9" ht="15.75">
      <c r="C8711" s="945" t="s">
        <v>913</v>
      </c>
      <c r="D8711" s="946"/>
      <c r="E8711" s="947"/>
      <c r="F8711" s="1054"/>
      <c r="G8711" s="946"/>
      <c r="H8711" s="1031"/>
      <c r="I8711" s="948"/>
    </row>
    <row r="8712" spans="2:9" ht="15.75">
      <c r="C8712" s="949" t="s">
        <v>994</v>
      </c>
      <c r="D8712" s="946">
        <v>1.05</v>
      </c>
      <c r="E8712" s="947" t="str">
        <f>+VLOOKUP(C8712,'Basic (equilibrio) (2)'!B:D,2,FALSE)</f>
        <v>m3</v>
      </c>
      <c r="F8712" s="1068">
        <f>'Basic (equilibrio) (2)'!$D$179</f>
        <v>7600</v>
      </c>
      <c r="G8712" s="946">
        <f t="shared" ref="G8712:G8717" si="51">F8712-(F8712/1.18)</f>
        <v>1159.32</v>
      </c>
      <c r="H8712" s="1031"/>
      <c r="I8712" s="948">
        <f t="shared" ref="I8712:I8717" si="52">D8712*F8712</f>
        <v>7980</v>
      </c>
    </row>
    <row r="8713" spans="2:9" ht="15.75">
      <c r="C8713" s="949" t="s">
        <v>1188</v>
      </c>
      <c r="D8713" s="946">
        <v>3.03</v>
      </c>
      <c r="E8713" s="947" t="str">
        <f>+VLOOKUP(C8713,'Basic (equilibrio) (2)'!B:D,2,FALSE)</f>
        <v>qq</v>
      </c>
      <c r="F8713" s="1068">
        <f>'Basic (equilibrio) (2)'!$D$183</f>
        <v>3600</v>
      </c>
      <c r="G8713" s="946">
        <f t="shared" si="51"/>
        <v>549.15</v>
      </c>
      <c r="H8713" s="1031"/>
      <c r="I8713" s="948">
        <f t="shared" si="52"/>
        <v>10908</v>
      </c>
    </row>
    <row r="8714" spans="2:9" ht="15.75">
      <c r="C8714" s="949" t="s">
        <v>1212</v>
      </c>
      <c r="D8714" s="946">
        <f>+D8713*2</f>
        <v>6.06</v>
      </c>
      <c r="E8714" s="947" t="str">
        <f>+VLOOKUP(C8714,'Basic (equilibrio) (2)'!B:D,2,FALSE)</f>
        <v>lb</v>
      </c>
      <c r="F8714" s="1068">
        <f>'Basic (equilibrio) (2)'!$D$312</f>
        <v>26.5</v>
      </c>
      <c r="G8714" s="946">
        <f t="shared" si="51"/>
        <v>4.04</v>
      </c>
      <c r="H8714" s="1031"/>
      <c r="I8714" s="948">
        <f t="shared" si="52"/>
        <v>160.59</v>
      </c>
    </row>
    <row r="8715" spans="2:9" ht="15.75">
      <c r="C8715" s="949" t="s">
        <v>916</v>
      </c>
      <c r="D8715" s="946">
        <v>144</v>
      </c>
      <c r="E8715" s="947" t="str">
        <f>+VLOOKUP(C8715,'Basic (equilibrio) (2)'!B:D,2,FALSE)</f>
        <v>pt</v>
      </c>
      <c r="F8715" s="1068">
        <f>'Basic (equilibrio) (2)'!$D$194</f>
        <v>107.7</v>
      </c>
      <c r="G8715" s="946">
        <f t="shared" si="51"/>
        <v>16.43</v>
      </c>
      <c r="H8715" s="1031"/>
      <c r="I8715" s="948">
        <f t="shared" si="52"/>
        <v>15508.8</v>
      </c>
    </row>
    <row r="8716" spans="2:9" ht="15.75">
      <c r="C8716" s="949" t="s">
        <v>1194</v>
      </c>
      <c r="D8716" s="946">
        <v>23.09</v>
      </c>
      <c r="E8716" s="947" t="str">
        <f>+VLOOKUP(C8716,'Basic (equilibrio) (2)'!B:D,2,FALSE)</f>
        <v>lb</v>
      </c>
      <c r="F8716" s="1068">
        <f>'Basic (equilibrio) (2)'!$D$192</f>
        <v>78.2</v>
      </c>
      <c r="G8716" s="946">
        <f t="shared" si="51"/>
        <v>11.93</v>
      </c>
      <c r="H8716" s="1031"/>
      <c r="I8716" s="948">
        <f t="shared" si="52"/>
        <v>1805.64</v>
      </c>
    </row>
    <row r="8717" spans="2:9" ht="15.75">
      <c r="C8717" s="949" t="s">
        <v>1299</v>
      </c>
      <c r="D8717" s="946">
        <v>6.93</v>
      </c>
      <c r="E8717" s="947" t="str">
        <f>+VLOOKUP(C8717,'Basic (equilibrio) (2)'!B:D,2,FALSE)</f>
        <v>lb</v>
      </c>
      <c r="F8717" s="1068">
        <f>'Basic (equilibrio) (2)'!$D$335</f>
        <v>78.2</v>
      </c>
      <c r="G8717" s="946">
        <f t="shared" si="51"/>
        <v>11.93</v>
      </c>
      <c r="H8717" s="1031"/>
      <c r="I8717" s="948">
        <f t="shared" si="52"/>
        <v>541.92999999999995</v>
      </c>
    </row>
    <row r="8718" spans="2:9" ht="15.75">
      <c r="C8718" s="951" t="s">
        <v>918</v>
      </c>
      <c r="D8718" s="946"/>
      <c r="E8718" s="947"/>
      <c r="F8718" s="1068"/>
      <c r="G8718" s="946"/>
      <c r="H8718" s="1031"/>
      <c r="I8718" s="952">
        <f>SUM(I8712:I8717)</f>
        <v>36904.959999999999</v>
      </c>
    </row>
    <row r="8719" spans="2:9" ht="15.75">
      <c r="C8719" s="949"/>
      <c r="D8719" s="946"/>
      <c r="E8719" s="947"/>
      <c r="F8719" s="1068"/>
      <c r="G8719" s="946"/>
      <c r="H8719" s="1031"/>
      <c r="I8719" s="948"/>
    </row>
    <row r="8720" spans="2:9" ht="15.75">
      <c r="C8720" s="945" t="s">
        <v>919</v>
      </c>
      <c r="D8720" s="946"/>
      <c r="E8720" s="947"/>
      <c r="F8720" s="1068"/>
      <c r="G8720" s="946"/>
      <c r="H8720" s="1031"/>
      <c r="I8720" s="948"/>
    </row>
    <row r="8721" spans="3:9" ht="15.75">
      <c r="C8721" s="949" t="s">
        <v>1131</v>
      </c>
      <c r="D8721" s="953">
        <v>22.22</v>
      </c>
      <c r="E8721" s="954" t="str">
        <f>+VLOOKUP(C8721,'Basic (equilibrio) (2)'!B:D,2,FALSE)</f>
        <v>ml</v>
      </c>
      <c r="F8721" s="1068">
        <f>'Basic (equilibrio) (2)'!$D$48</f>
        <v>400</v>
      </c>
      <c r="G8721" s="946">
        <v>0</v>
      </c>
      <c r="H8721" s="1031"/>
      <c r="I8721" s="948">
        <f>(D8721*F8721)</f>
        <v>8888</v>
      </c>
    </row>
    <row r="8722" spans="3:9" ht="31.5">
      <c r="C8722" s="949" t="s">
        <v>1132</v>
      </c>
      <c r="D8722" s="946">
        <v>22.22</v>
      </c>
      <c r="E8722" s="947" t="str">
        <f>+VLOOKUP(C8722,'Basic (equilibrio) (2)'!B:D,2,FALSE)</f>
        <v>ml</v>
      </c>
      <c r="F8722" s="1068">
        <f>'Basic (equilibrio) (2)'!$D$49</f>
        <v>211</v>
      </c>
      <c r="G8722" s="946">
        <f>F8722-(F8722/1.18)</f>
        <v>32.19</v>
      </c>
      <c r="H8722" s="1031"/>
      <c r="I8722" s="948">
        <f>D8722*F8722</f>
        <v>4688.42</v>
      </c>
    </row>
    <row r="8723" spans="3:9" ht="15.75">
      <c r="C8723" s="949" t="s">
        <v>1117</v>
      </c>
      <c r="D8723" s="946">
        <v>9.52</v>
      </c>
      <c r="E8723" s="947" t="str">
        <f>+VLOOKUP(C8723,'Basic (equilibrio) (2)'!B:D,2,FALSE)</f>
        <v>m2</v>
      </c>
      <c r="F8723" s="1068">
        <f>'Basic (equilibrio) (2)'!$D$41</f>
        <v>25</v>
      </c>
      <c r="G8723" s="946">
        <f>F8723-(F8723/1.18)</f>
        <v>3.81</v>
      </c>
      <c r="H8723" s="1031"/>
      <c r="I8723" s="948">
        <f>D8723*F8723</f>
        <v>238</v>
      </c>
    </row>
    <row r="8724" spans="3:9" ht="15.75">
      <c r="C8724" s="949" t="s">
        <v>1118</v>
      </c>
      <c r="D8724" s="946">
        <v>22.22</v>
      </c>
      <c r="E8724" s="947" t="str">
        <f>+VLOOKUP(C8724,'Basic (equilibrio) (2)'!B:D,2,FALSE)</f>
        <v>m</v>
      </c>
      <c r="F8724" s="1068">
        <f>'Basic (equilibrio) (2)'!$D$42</f>
        <v>95</v>
      </c>
      <c r="G8724" s="946">
        <f>F8724-(F8724/1.18)</f>
        <v>14.49</v>
      </c>
      <c r="H8724" s="1031"/>
      <c r="I8724" s="948">
        <f>D8724*F8724</f>
        <v>2110.9</v>
      </c>
    </row>
    <row r="8725" spans="3:9" ht="15.75">
      <c r="C8725" s="951" t="s">
        <v>918</v>
      </c>
      <c r="D8725" s="946"/>
      <c r="E8725" s="947"/>
      <c r="F8725" s="1054"/>
      <c r="G8725" s="946"/>
      <c r="H8725" s="1031"/>
      <c r="I8725" s="952">
        <f>SUM(I8721:I8724)</f>
        <v>15925.32</v>
      </c>
    </row>
    <row r="8726" spans="3:9" ht="15.75">
      <c r="C8726" s="949"/>
      <c r="D8726" s="946"/>
      <c r="E8726" s="947"/>
      <c r="F8726" s="1054"/>
      <c r="G8726" s="946"/>
      <c r="H8726" s="1031"/>
      <c r="I8726" s="948"/>
    </row>
    <row r="8727" spans="3:9" ht="15.75">
      <c r="C8727" s="945" t="s">
        <v>923</v>
      </c>
      <c r="D8727" s="946"/>
      <c r="E8727" s="947"/>
      <c r="F8727" s="1054"/>
      <c r="G8727" s="946"/>
      <c r="H8727" s="1031"/>
      <c r="I8727" s="948"/>
    </row>
    <row r="8728" spans="3:9" ht="15.75">
      <c r="C8728" s="949" t="s">
        <v>924</v>
      </c>
      <c r="D8728" s="946"/>
      <c r="E8728" s="947" t="str">
        <f>+VLOOKUP(C8728,'Basic (equilibrio) (2)'!B:D,2,FALSE)</f>
        <v>n/a</v>
      </c>
      <c r="F8728" s="1054">
        <f>+VLOOKUP(C8728,'Basic (equilibrio) (2)'!B:D,3,FALSE)</f>
        <v>0</v>
      </c>
      <c r="G8728" s="946">
        <f>F8728-(F8728/1.18)</f>
        <v>0</v>
      </c>
      <c r="H8728" s="1039"/>
      <c r="I8728" s="955">
        <f>D8728*F8728</f>
        <v>0</v>
      </c>
    </row>
    <row r="8729" spans="3:9" ht="15.75">
      <c r="C8729" s="951" t="s">
        <v>918</v>
      </c>
      <c r="D8729" s="946"/>
      <c r="E8729" s="947"/>
      <c r="F8729" s="1054"/>
      <c r="G8729" s="946"/>
      <c r="H8729" s="1031"/>
      <c r="I8729" s="952">
        <f>SUM(I8728:I8728)</f>
        <v>0</v>
      </c>
    </row>
    <row r="8730" spans="3:9" ht="15.75">
      <c r="C8730" s="949"/>
      <c r="D8730" s="946"/>
      <c r="E8730" s="947"/>
      <c r="F8730" s="1054"/>
      <c r="G8730" s="946"/>
      <c r="H8730" s="1031"/>
      <c r="I8730" s="948"/>
    </row>
    <row r="8731" spans="3:9" ht="15.75">
      <c r="C8731" s="945" t="s">
        <v>925</v>
      </c>
      <c r="D8731" s="946"/>
      <c r="E8731" s="947"/>
      <c r="F8731" s="1054"/>
      <c r="G8731" s="946"/>
      <c r="H8731" s="1031"/>
      <c r="I8731" s="948"/>
    </row>
    <row r="8732" spans="3:9" ht="15.75">
      <c r="C8732" s="949" t="s">
        <v>924</v>
      </c>
      <c r="D8732" s="946"/>
      <c r="E8732" s="947" t="str">
        <f>+VLOOKUP(C8732,'Basic (equilibrio) (2)'!B:D,2,FALSE)</f>
        <v>n/a</v>
      </c>
      <c r="F8732" s="1054">
        <f>+VLOOKUP(C8732,'Basic (equilibrio) (2)'!B:D,3,FALSE)</f>
        <v>0</v>
      </c>
      <c r="G8732" s="946"/>
      <c r="H8732" s="1031"/>
      <c r="I8732" s="948">
        <f>D8732*F8732</f>
        <v>0</v>
      </c>
    </row>
    <row r="8733" spans="3:9" ht="15.75">
      <c r="C8733" s="951" t="s">
        <v>918</v>
      </c>
      <c r="D8733" s="946"/>
      <c r="E8733" s="947"/>
      <c r="F8733" s="1054"/>
      <c r="G8733" s="946"/>
      <c r="H8733" s="1031"/>
      <c r="I8733" s="952">
        <f>SUM(I8732)</f>
        <v>0</v>
      </c>
    </row>
    <row r="8734" spans="3:9" ht="15.75">
      <c r="C8734" s="951"/>
      <c r="D8734" s="946"/>
      <c r="E8734" s="947"/>
      <c r="F8734" s="1054"/>
      <c r="G8734" s="946"/>
      <c r="H8734" s="1031"/>
      <c r="I8734" s="952"/>
    </row>
    <row r="8735" spans="3:9" ht="15.75">
      <c r="C8735" s="956" t="s">
        <v>926</v>
      </c>
      <c r="D8735" s="957"/>
      <c r="E8735" s="958"/>
      <c r="F8735" s="1069"/>
      <c r="G8735" s="957"/>
      <c r="H8735" s="1032"/>
      <c r="I8735" s="959">
        <f>+I8718</f>
        <v>36904.959999999999</v>
      </c>
    </row>
    <row r="8736" spans="3:9" ht="15.75">
      <c r="C8736" s="956" t="s">
        <v>927</v>
      </c>
      <c r="D8736" s="957"/>
      <c r="E8736" s="958"/>
      <c r="F8736" s="1069"/>
      <c r="G8736" s="957"/>
      <c r="H8736" s="1032"/>
      <c r="I8736" s="959">
        <f>+I8725</f>
        <v>15925.32</v>
      </c>
    </row>
    <row r="8737" spans="2:9" ht="15.75">
      <c r="C8737" s="956" t="s">
        <v>928</v>
      </c>
      <c r="D8737" s="957"/>
      <c r="E8737" s="958"/>
      <c r="F8737" s="1069"/>
      <c r="G8737" s="957"/>
      <c r="H8737" s="1032"/>
      <c r="I8737" s="959">
        <f>+I8729</f>
        <v>0</v>
      </c>
    </row>
    <row r="8738" spans="2:9" ht="15.75">
      <c r="C8738" s="956" t="s">
        <v>929</v>
      </c>
      <c r="D8738" s="957"/>
      <c r="E8738" s="958"/>
      <c r="F8738" s="1069"/>
      <c r="G8738" s="957"/>
      <c r="H8738" s="1032"/>
      <c r="I8738" s="959">
        <f>+I8733</f>
        <v>0</v>
      </c>
    </row>
    <row r="8739" spans="2:9" ht="15.75">
      <c r="C8739" s="949"/>
      <c r="D8739" s="946"/>
      <c r="E8739" s="947"/>
      <c r="F8739" s="1054"/>
      <c r="G8739" s="946"/>
      <c r="H8739" s="1031"/>
      <c r="I8739" s="948"/>
    </row>
    <row r="8740" spans="2:9" ht="15.75">
      <c r="C8740" s="949"/>
      <c r="D8740" s="946"/>
      <c r="E8740" s="947"/>
      <c r="F8740" s="1054"/>
      <c r="G8740" s="946"/>
      <c r="H8740" s="1031"/>
      <c r="I8740" s="948"/>
    </row>
    <row r="8741" spans="2:9" ht="15.75">
      <c r="C8741" s="951" t="s">
        <v>930</v>
      </c>
      <c r="D8741" s="960"/>
      <c r="E8741" s="943" t="str">
        <f>+E8709</f>
        <v>M3</v>
      </c>
      <c r="F8741" s="1070"/>
      <c r="G8741" s="960"/>
      <c r="H8741" s="1033"/>
      <c r="I8741" s="952">
        <f>SUM(I8735:I8738)</f>
        <v>52830.28</v>
      </c>
    </row>
    <row r="8742" spans="2:9" ht="15.75">
      <c r="C8742" s="951"/>
      <c r="D8742" s="960"/>
      <c r="E8742" s="943"/>
      <c r="F8742" s="1070"/>
      <c r="G8742" s="960"/>
      <c r="H8742" s="1033"/>
      <c r="I8742" s="952"/>
    </row>
    <row r="8743" spans="2:9" ht="15.75">
      <c r="B8743" s="1026">
        <v>3.7</v>
      </c>
      <c r="C8743" s="937" t="str">
        <f>+Presupuesto!B517</f>
        <v>Losa de techo  0.12m - 1.34 qq/m³</v>
      </c>
      <c r="D8743" s="938"/>
      <c r="E8743" s="962" t="s">
        <v>22</v>
      </c>
      <c r="F8743" s="1066"/>
      <c r="G8743" s="938"/>
      <c r="H8743" s="1029"/>
      <c r="I8743" s="940">
        <f>I8775</f>
        <v>22426.18</v>
      </c>
    </row>
    <row r="8744" spans="2:9" ht="15.75">
      <c r="C8744" s="941" t="s">
        <v>908</v>
      </c>
      <c r="D8744" s="942" t="s">
        <v>9</v>
      </c>
      <c r="E8744" s="943" t="s">
        <v>10</v>
      </c>
      <c r="F8744" s="1067" t="s">
        <v>909</v>
      </c>
      <c r="G8744" s="942" t="s">
        <v>910</v>
      </c>
      <c r="H8744" s="1030" t="s">
        <v>911</v>
      </c>
      <c r="I8744" s="944" t="s">
        <v>912</v>
      </c>
    </row>
    <row r="8745" spans="2:9" ht="15.75">
      <c r="C8745" s="945" t="s">
        <v>913</v>
      </c>
      <c r="D8745" s="946"/>
      <c r="E8745" s="947"/>
      <c r="F8745" s="1054"/>
      <c r="G8745" s="946"/>
      <c r="H8745" s="1031"/>
      <c r="I8745" s="948"/>
    </row>
    <row r="8746" spans="2:9" ht="15.75">
      <c r="C8746" s="949" t="s">
        <v>994</v>
      </c>
      <c r="D8746" s="946">
        <v>1.05</v>
      </c>
      <c r="E8746" s="947" t="str">
        <f>+VLOOKUP(C8746,'Basic (equilibrio) (2)'!B:D,2,FALSE)</f>
        <v>m3</v>
      </c>
      <c r="F8746" s="1068">
        <f>'Basic (equilibrio) (2)'!$D$179</f>
        <v>7600</v>
      </c>
      <c r="G8746" s="946">
        <f t="shared" ref="G8746:G8751" si="53">F8746-(F8746/1.18)</f>
        <v>1159.32</v>
      </c>
      <c r="H8746" s="1031"/>
      <c r="I8746" s="948">
        <f t="shared" ref="I8746:I8751" si="54">D8746*F8746</f>
        <v>7980</v>
      </c>
    </row>
    <row r="8747" spans="2:9" ht="15.75">
      <c r="C8747" s="949" t="s">
        <v>1188</v>
      </c>
      <c r="D8747" s="946">
        <v>1.34</v>
      </c>
      <c r="E8747" s="947" t="str">
        <f>+VLOOKUP(C8747,'Basic (equilibrio) (2)'!B:D,2,FALSE)</f>
        <v>qq</v>
      </c>
      <c r="F8747" s="1068">
        <f>'Basic (equilibrio) (2)'!$D$183</f>
        <v>3600</v>
      </c>
      <c r="G8747" s="946">
        <f t="shared" si="53"/>
        <v>549.15</v>
      </c>
      <c r="H8747" s="1031"/>
      <c r="I8747" s="948">
        <f t="shared" si="54"/>
        <v>4824</v>
      </c>
    </row>
    <row r="8748" spans="2:9" ht="15.75">
      <c r="C8748" s="949" t="s">
        <v>1212</v>
      </c>
      <c r="D8748" s="946">
        <f>+D8747*2</f>
        <v>2.68</v>
      </c>
      <c r="E8748" s="947" t="str">
        <f>+VLOOKUP(C8748,'Basic (equilibrio) (2)'!B:D,2,FALSE)</f>
        <v>lb</v>
      </c>
      <c r="F8748" s="1068">
        <f>'Basic (equilibrio) (2)'!$D$312</f>
        <v>26.5</v>
      </c>
      <c r="G8748" s="946">
        <f t="shared" si="53"/>
        <v>4.04</v>
      </c>
      <c r="H8748" s="1031"/>
      <c r="I8748" s="948">
        <f t="shared" si="54"/>
        <v>71.02</v>
      </c>
    </row>
    <row r="8749" spans="2:9" ht="15.75">
      <c r="C8749" s="949" t="s">
        <v>916</v>
      </c>
      <c r="D8749" s="946">
        <v>56.95</v>
      </c>
      <c r="E8749" s="947" t="str">
        <f>+VLOOKUP(C8749,'Basic (equilibrio) (2)'!B:D,2,FALSE)</f>
        <v>pt</v>
      </c>
      <c r="F8749" s="1068">
        <f>'Basic (equilibrio) (2)'!$D$194</f>
        <v>107.7</v>
      </c>
      <c r="G8749" s="946">
        <f t="shared" si="53"/>
        <v>16.43</v>
      </c>
      <c r="H8749" s="1031"/>
      <c r="I8749" s="948">
        <f t="shared" si="54"/>
        <v>6133.52</v>
      </c>
    </row>
    <row r="8750" spans="2:9" ht="15.75">
      <c r="C8750" s="949" t="s">
        <v>1194</v>
      </c>
      <c r="D8750" s="946">
        <v>11.39</v>
      </c>
      <c r="E8750" s="947" t="str">
        <f>+VLOOKUP(C8750,'Basic (equilibrio) (2)'!B:D,2,FALSE)</f>
        <v>lb</v>
      </c>
      <c r="F8750" s="1068">
        <f>'Basic (equilibrio) (2)'!$D$192</f>
        <v>78.2</v>
      </c>
      <c r="G8750" s="946">
        <f t="shared" si="53"/>
        <v>11.93</v>
      </c>
      <c r="H8750" s="1031"/>
      <c r="I8750" s="948">
        <f t="shared" si="54"/>
        <v>890.7</v>
      </c>
    </row>
    <row r="8751" spans="2:9" ht="15.75">
      <c r="C8751" s="949" t="s">
        <v>1299</v>
      </c>
      <c r="D8751" s="946">
        <v>0.67</v>
      </c>
      <c r="E8751" s="947" t="str">
        <f>+VLOOKUP(C8751,'Basic (equilibrio) (2)'!B:D,2,FALSE)</f>
        <v>lb</v>
      </c>
      <c r="F8751" s="1068">
        <f>'Basic (equilibrio) (2)'!$D$335</f>
        <v>78.2</v>
      </c>
      <c r="G8751" s="946">
        <f t="shared" si="53"/>
        <v>11.93</v>
      </c>
      <c r="H8751" s="1031"/>
      <c r="I8751" s="948">
        <f t="shared" si="54"/>
        <v>52.39</v>
      </c>
    </row>
    <row r="8752" spans="2:9" ht="15.75">
      <c r="C8752" s="951" t="s">
        <v>918</v>
      </c>
      <c r="D8752" s="946"/>
      <c r="E8752" s="947"/>
      <c r="F8752" s="1068"/>
      <c r="G8752" s="946"/>
      <c r="H8752" s="1031"/>
      <c r="I8752" s="952">
        <f>SUM(I8746:I8751)</f>
        <v>19951.63</v>
      </c>
    </row>
    <row r="8753" spans="3:9" ht="15.75">
      <c r="C8753" s="949"/>
      <c r="D8753" s="946"/>
      <c r="E8753" s="947"/>
      <c r="F8753" s="1068"/>
      <c r="G8753" s="946"/>
      <c r="H8753" s="1031"/>
      <c r="I8753" s="948"/>
    </row>
    <row r="8754" spans="3:9" ht="15.75">
      <c r="C8754" s="945" t="s">
        <v>919</v>
      </c>
      <c r="D8754" s="946"/>
      <c r="E8754" s="947"/>
      <c r="F8754" s="1068"/>
      <c r="G8754" s="946"/>
      <c r="H8754" s="1031"/>
      <c r="I8754" s="948"/>
    </row>
    <row r="8755" spans="3:9" ht="31.5">
      <c r="C8755" s="949" t="s">
        <v>1119</v>
      </c>
      <c r="D8755" s="953">
        <v>8.35</v>
      </c>
      <c r="E8755" s="954" t="str">
        <f>+VLOOKUP(C8755,'Basic (equilibrio) (2)'!B:D,2,FALSE)</f>
        <v>m2</v>
      </c>
      <c r="F8755" s="1068">
        <f>'Basic (equilibrio) (2)'!$D$43</f>
        <v>143</v>
      </c>
      <c r="G8755" s="946">
        <f>F8755-(F8755/1.18)</f>
        <v>21.81</v>
      </c>
      <c r="H8755" s="1031"/>
      <c r="I8755" s="948">
        <f>(D8755*F8755)</f>
        <v>1194.05</v>
      </c>
    </row>
    <row r="8756" spans="3:9" ht="15.75">
      <c r="C8756" s="949" t="s">
        <v>1120</v>
      </c>
      <c r="D8756" s="946">
        <v>8.35</v>
      </c>
      <c r="E8756" s="947" t="str">
        <f>+VLOOKUP(C8756,'Basic (equilibrio) (2)'!B:D,2,FALSE)</f>
        <v>m2</v>
      </c>
      <c r="F8756" s="1068">
        <f>'Basic (equilibrio) (2)'!$D$44</f>
        <v>30</v>
      </c>
      <c r="G8756" s="946">
        <f>F8756-(F8756/1.18)</f>
        <v>4.58</v>
      </c>
      <c r="H8756" s="1031"/>
      <c r="I8756" s="948">
        <f>D8756*F8756</f>
        <v>250.5</v>
      </c>
    </row>
    <row r="8757" spans="3:9" ht="15.75">
      <c r="C8757" s="949" t="s">
        <v>1121</v>
      </c>
      <c r="D8757" s="946">
        <v>1.5</v>
      </c>
      <c r="E8757" s="947" t="str">
        <f>+VLOOKUP(C8757,'Basic (equilibrio) (2)'!B:D,2,FALSE)</f>
        <v>qq</v>
      </c>
      <c r="F8757" s="1068">
        <f>'Basic (equilibrio) (2)'!$D$45</f>
        <v>420</v>
      </c>
      <c r="G8757" s="946">
        <f>F8757-(F8757/1.18)</f>
        <v>64.069999999999993</v>
      </c>
      <c r="H8757" s="1031"/>
      <c r="I8757" s="948">
        <f>D8757*F8757</f>
        <v>630</v>
      </c>
    </row>
    <row r="8758" spans="3:9" ht="15.75">
      <c r="C8758" s="949" t="s">
        <v>1123</v>
      </c>
      <c r="D8758" s="946">
        <v>1</v>
      </c>
      <c r="E8758" s="947" t="str">
        <f>+VLOOKUP(C8758,'Basic (equilibrio) (2)'!B:D,2,FALSE)</f>
        <v>m3</v>
      </c>
      <c r="F8758" s="1068">
        <f>'Basic (equilibrio) (2)'!$D$46</f>
        <v>400</v>
      </c>
      <c r="G8758" s="946">
        <f>F8758-(F8758/1.18)</f>
        <v>61.02</v>
      </c>
      <c r="H8758" s="1031"/>
      <c r="I8758" s="948">
        <f>D8758*F8758</f>
        <v>400</v>
      </c>
    </row>
    <row r="8759" spans="3:9" ht="15.75">
      <c r="C8759" s="951" t="s">
        <v>918</v>
      </c>
      <c r="D8759" s="946"/>
      <c r="E8759" s="947"/>
      <c r="F8759" s="1054"/>
      <c r="G8759" s="946"/>
      <c r="H8759" s="1031"/>
      <c r="I8759" s="952">
        <f>SUM(I8755:I8758)</f>
        <v>2474.5500000000002</v>
      </c>
    </row>
    <row r="8760" spans="3:9" ht="15.75">
      <c r="C8760" s="949"/>
      <c r="D8760" s="946"/>
      <c r="E8760" s="947"/>
      <c r="F8760" s="1054"/>
      <c r="G8760" s="946"/>
      <c r="H8760" s="1031"/>
      <c r="I8760" s="948"/>
    </row>
    <row r="8761" spans="3:9" ht="15.75">
      <c r="C8761" s="945" t="s">
        <v>923</v>
      </c>
      <c r="D8761" s="946"/>
      <c r="E8761" s="947"/>
      <c r="F8761" s="1054"/>
      <c r="G8761" s="946"/>
      <c r="H8761" s="1031"/>
      <c r="I8761" s="948"/>
    </row>
    <row r="8762" spans="3:9" ht="15.75">
      <c r="C8762" s="949" t="s">
        <v>924</v>
      </c>
      <c r="D8762" s="946"/>
      <c r="E8762" s="947" t="str">
        <f>+VLOOKUP(C8762,'Basic (equilibrio) (2)'!B:D,2,FALSE)</f>
        <v>n/a</v>
      </c>
      <c r="F8762" s="1054">
        <f>+VLOOKUP(C8762,'Basic (equilibrio) (2)'!B:D,3,FALSE)</f>
        <v>0</v>
      </c>
      <c r="G8762" s="946">
        <f>F8762-(F8762/1.18)</f>
        <v>0</v>
      </c>
      <c r="H8762" s="1039"/>
      <c r="I8762" s="955">
        <f>D8762*F8762</f>
        <v>0</v>
      </c>
    </row>
    <row r="8763" spans="3:9" ht="15.75">
      <c r="C8763" s="951" t="s">
        <v>918</v>
      </c>
      <c r="D8763" s="946"/>
      <c r="E8763" s="947"/>
      <c r="F8763" s="1054"/>
      <c r="G8763" s="946"/>
      <c r="H8763" s="1031"/>
      <c r="I8763" s="952">
        <f>SUM(I8762:I8762)</f>
        <v>0</v>
      </c>
    </row>
    <row r="8764" spans="3:9" ht="15.75">
      <c r="C8764" s="949"/>
      <c r="D8764" s="946"/>
      <c r="E8764" s="947"/>
      <c r="F8764" s="1054"/>
      <c r="G8764" s="946"/>
      <c r="H8764" s="1031"/>
      <c r="I8764" s="948"/>
    </row>
    <row r="8765" spans="3:9" ht="15.75">
      <c r="C8765" s="945" t="s">
        <v>925</v>
      </c>
      <c r="D8765" s="946"/>
      <c r="E8765" s="947"/>
      <c r="F8765" s="1054"/>
      <c r="G8765" s="946"/>
      <c r="H8765" s="1031"/>
      <c r="I8765" s="948"/>
    </row>
    <row r="8766" spans="3:9" ht="15.75">
      <c r="C8766" s="949" t="s">
        <v>924</v>
      </c>
      <c r="D8766" s="946"/>
      <c r="E8766" s="947" t="str">
        <f>+VLOOKUP(C8766,'Basic (equilibrio) (2)'!B:D,2,FALSE)</f>
        <v>n/a</v>
      </c>
      <c r="F8766" s="1054">
        <f>+VLOOKUP(C8766,'Basic (equilibrio) (2)'!B:D,3,FALSE)</f>
        <v>0</v>
      </c>
      <c r="G8766" s="946"/>
      <c r="H8766" s="1031"/>
      <c r="I8766" s="948">
        <f>D8766*F8766</f>
        <v>0</v>
      </c>
    </row>
    <row r="8767" spans="3:9" ht="15.75">
      <c r="C8767" s="951" t="s">
        <v>918</v>
      </c>
      <c r="D8767" s="946"/>
      <c r="E8767" s="947"/>
      <c r="F8767" s="1054"/>
      <c r="G8767" s="946"/>
      <c r="H8767" s="1031"/>
      <c r="I8767" s="952">
        <f>SUM(I8766)</f>
        <v>0</v>
      </c>
    </row>
    <row r="8768" spans="3:9" ht="15.75">
      <c r="C8768" s="951"/>
      <c r="D8768" s="946"/>
      <c r="E8768" s="947"/>
      <c r="F8768" s="1054"/>
      <c r="G8768" s="946"/>
      <c r="H8768" s="1031"/>
      <c r="I8768" s="952"/>
    </row>
    <row r="8769" spans="2:9" ht="15.75">
      <c r="C8769" s="956" t="s">
        <v>926</v>
      </c>
      <c r="D8769" s="957"/>
      <c r="E8769" s="958"/>
      <c r="F8769" s="1069"/>
      <c r="G8769" s="957"/>
      <c r="H8769" s="1032"/>
      <c r="I8769" s="959">
        <f>+I8752</f>
        <v>19951.63</v>
      </c>
    </row>
    <row r="8770" spans="2:9" ht="15.75">
      <c r="C8770" s="956" t="s">
        <v>927</v>
      </c>
      <c r="D8770" s="957"/>
      <c r="E8770" s="958"/>
      <c r="F8770" s="1069"/>
      <c r="G8770" s="957"/>
      <c r="H8770" s="1032"/>
      <c r="I8770" s="959">
        <f>+I8759</f>
        <v>2474.5500000000002</v>
      </c>
    </row>
    <row r="8771" spans="2:9" ht="15.75">
      <c r="C8771" s="956" t="s">
        <v>928</v>
      </c>
      <c r="D8771" s="957"/>
      <c r="E8771" s="958"/>
      <c r="F8771" s="1069"/>
      <c r="G8771" s="957"/>
      <c r="H8771" s="1032"/>
      <c r="I8771" s="959">
        <f>+I8763</f>
        <v>0</v>
      </c>
    </row>
    <row r="8772" spans="2:9" ht="15.75">
      <c r="C8772" s="956" t="s">
        <v>929</v>
      </c>
      <c r="D8772" s="957"/>
      <c r="E8772" s="958"/>
      <c r="F8772" s="1069"/>
      <c r="G8772" s="957"/>
      <c r="H8772" s="1032"/>
      <c r="I8772" s="959">
        <f>+I8767</f>
        <v>0</v>
      </c>
    </row>
    <row r="8773" spans="2:9" ht="15.75">
      <c r="C8773" s="949"/>
      <c r="D8773" s="946"/>
      <c r="E8773" s="947"/>
      <c r="F8773" s="1054"/>
      <c r="G8773" s="946"/>
      <c r="H8773" s="1031"/>
      <c r="I8773" s="948"/>
    </row>
    <row r="8774" spans="2:9" ht="15.75">
      <c r="C8774" s="949"/>
      <c r="D8774" s="946"/>
      <c r="E8774" s="947"/>
      <c r="F8774" s="1054"/>
      <c r="G8774" s="946"/>
      <c r="H8774" s="1031"/>
      <c r="I8774" s="948"/>
    </row>
    <row r="8775" spans="2:9" ht="15.75">
      <c r="C8775" s="951" t="s">
        <v>930</v>
      </c>
      <c r="D8775" s="960"/>
      <c r="E8775" s="943" t="str">
        <f>+E8743</f>
        <v>M3</v>
      </c>
      <c r="F8775" s="1070"/>
      <c r="G8775" s="960"/>
      <c r="H8775" s="1033"/>
      <c r="I8775" s="952">
        <f>SUM(I8769:I8772)</f>
        <v>22426.18</v>
      </c>
    </row>
    <row r="8776" spans="2:9" ht="15.75">
      <c r="C8776" s="951"/>
      <c r="D8776" s="960"/>
      <c r="E8776" s="943"/>
      <c r="F8776" s="1070"/>
      <c r="G8776" s="960"/>
      <c r="H8776" s="1033"/>
      <c r="I8776" s="952"/>
    </row>
    <row r="8777" spans="2:9" ht="15.75">
      <c r="B8777" s="1026">
        <v>4.0999999999999996</v>
      </c>
      <c r="C8777" s="937" t="str">
        <f>+Presupuesto!B520</f>
        <v xml:space="preserve">De 6" B.N.P </v>
      </c>
      <c r="D8777" s="938"/>
      <c r="E8777" s="962" t="s">
        <v>20</v>
      </c>
      <c r="F8777" s="1066"/>
      <c r="G8777" s="938"/>
      <c r="H8777" s="1029"/>
      <c r="I8777" s="940">
        <f>I8808</f>
        <v>1379.06</v>
      </c>
    </row>
    <row r="8778" spans="2:9" ht="15.75">
      <c r="C8778" s="941" t="s">
        <v>908</v>
      </c>
      <c r="D8778" s="942" t="s">
        <v>9</v>
      </c>
      <c r="E8778" s="943" t="s">
        <v>10</v>
      </c>
      <c r="F8778" s="1067" t="s">
        <v>909</v>
      </c>
      <c r="G8778" s="942" t="s">
        <v>910</v>
      </c>
      <c r="H8778" s="1030" t="s">
        <v>911</v>
      </c>
      <c r="I8778" s="944" t="s">
        <v>912</v>
      </c>
    </row>
    <row r="8779" spans="2:9" ht="15.75">
      <c r="C8779" s="945" t="s">
        <v>913</v>
      </c>
      <c r="D8779" s="946"/>
      <c r="E8779" s="947"/>
      <c r="F8779" s="1054"/>
      <c r="G8779" s="946"/>
      <c r="H8779" s="1031"/>
      <c r="I8779" s="948"/>
    </row>
    <row r="8780" spans="2:9" ht="15.75">
      <c r="C8780" s="949" t="s">
        <v>1201</v>
      </c>
      <c r="D8780" s="946">
        <v>11.61</v>
      </c>
      <c r="E8780" s="947" t="str">
        <f>+VLOOKUP(C8780,'Basic (equilibrio) (2)'!B:D,2,FALSE)</f>
        <v>ud</v>
      </c>
      <c r="F8780" s="1068">
        <f>'Basic (equilibrio) (2)'!$D$300</f>
        <v>35</v>
      </c>
      <c r="G8780" s="946">
        <f t="shared" ref="G8780:G8785" si="55">F8780-(F8780/1.18)</f>
        <v>5.34</v>
      </c>
      <c r="H8780" s="1031"/>
      <c r="I8780" s="948">
        <f t="shared" ref="I8780:I8785" si="56">D8780*F8780</f>
        <v>406.35</v>
      </c>
    </row>
    <row r="8781" spans="2:9" ht="15.75">
      <c r="C8781" s="949" t="s">
        <v>1203</v>
      </c>
      <c r="D8781" s="946">
        <v>11.61</v>
      </c>
      <c r="E8781" s="947" t="str">
        <f>+VLOOKUP(C8781,'Basic (equilibrio) (2)'!B:D,2,FALSE)</f>
        <v>ud</v>
      </c>
      <c r="F8781" s="1068">
        <f>'Basic (equilibrio) (2)'!$D$303</f>
        <v>3.3</v>
      </c>
      <c r="G8781" s="946">
        <f t="shared" si="55"/>
        <v>0.5</v>
      </c>
      <c r="H8781" s="1031"/>
      <c r="I8781" s="948">
        <f t="shared" si="56"/>
        <v>38.31</v>
      </c>
    </row>
    <row r="8782" spans="2:9" ht="15.75">
      <c r="C8782" s="949" t="s">
        <v>1204</v>
      </c>
      <c r="D8782" s="946">
        <v>0.04</v>
      </c>
      <c r="E8782" s="947" t="str">
        <f>+VLOOKUP(C8782,'Basic (equilibrio) (2)'!B:D,2,FALSE)</f>
        <v>m3</v>
      </c>
      <c r="F8782" s="1068">
        <f>'Basic (equilibrio) (2)'!$D$307</f>
        <v>6174</v>
      </c>
      <c r="G8782" s="946">
        <f t="shared" si="55"/>
        <v>941.8</v>
      </c>
      <c r="H8782" s="1031"/>
      <c r="I8782" s="948">
        <f t="shared" si="56"/>
        <v>246.96</v>
      </c>
    </row>
    <row r="8783" spans="2:9" ht="15.75">
      <c r="C8783" s="949" t="s">
        <v>1205</v>
      </c>
      <c r="D8783" s="946">
        <v>0.04</v>
      </c>
      <c r="E8783" s="947" t="str">
        <f>+VLOOKUP(C8783,'Basic (equilibrio) (2)'!B:D,2,FALSE)</f>
        <v>m3</v>
      </c>
      <c r="F8783" s="1068">
        <f>'Basic (equilibrio) (2)'!$D$308</f>
        <v>5985</v>
      </c>
      <c r="G8783" s="946">
        <f t="shared" si="55"/>
        <v>912.97</v>
      </c>
      <c r="H8783" s="1031"/>
      <c r="I8783" s="948">
        <f t="shared" si="56"/>
        <v>239.4</v>
      </c>
    </row>
    <row r="8784" spans="2:9" ht="15.75">
      <c r="C8784" s="949" t="s">
        <v>1188</v>
      </c>
      <c r="D8784" s="946">
        <v>0.04</v>
      </c>
      <c r="E8784" s="947" t="str">
        <f>+VLOOKUP(C8784,'Basic (equilibrio) (2)'!B:D,2,FALSE)</f>
        <v>qq</v>
      </c>
      <c r="F8784" s="1068">
        <f>'Basic (equilibrio) (2)'!$D$183</f>
        <v>3600</v>
      </c>
      <c r="G8784" s="946">
        <f t="shared" si="55"/>
        <v>549.15</v>
      </c>
      <c r="H8784" s="1031"/>
      <c r="I8784" s="948">
        <f t="shared" si="56"/>
        <v>144</v>
      </c>
    </row>
    <row r="8785" spans="3:9" ht="15.75">
      <c r="C8785" s="949" t="s">
        <v>1328</v>
      </c>
      <c r="D8785" s="946">
        <v>7.0000000000000007E-2</v>
      </c>
      <c r="E8785" s="947" t="str">
        <f>+VLOOKUP(C8785,'Basic (equilibrio) (2)'!B:D,2,FALSE)</f>
        <v>lb</v>
      </c>
      <c r="F8785" s="1068">
        <f>'Basic (equilibrio) (2)'!$D$334</f>
        <v>31.1</v>
      </c>
      <c r="G8785" s="946">
        <f t="shared" si="55"/>
        <v>4.74</v>
      </c>
      <c r="H8785" s="1031"/>
      <c r="I8785" s="948">
        <f t="shared" si="56"/>
        <v>2.1800000000000002</v>
      </c>
    </row>
    <row r="8786" spans="3:9" ht="15.75">
      <c r="C8786" s="951" t="s">
        <v>918</v>
      </c>
      <c r="D8786" s="946"/>
      <c r="E8786" s="947"/>
      <c r="F8786" s="1068"/>
      <c r="G8786" s="946"/>
      <c r="H8786" s="1031"/>
      <c r="I8786" s="952">
        <f>SUM(I8780:I8785)</f>
        <v>1077.2</v>
      </c>
    </row>
    <row r="8787" spans="3:9" ht="15.75">
      <c r="C8787" s="949"/>
      <c r="D8787" s="946"/>
      <c r="E8787" s="947"/>
      <c r="F8787" s="1068"/>
      <c r="G8787" s="946"/>
      <c r="H8787" s="1031"/>
      <c r="I8787" s="948"/>
    </row>
    <row r="8788" spans="3:9" ht="15.75">
      <c r="C8788" s="945" t="s">
        <v>919</v>
      </c>
      <c r="D8788" s="946"/>
      <c r="E8788" s="947"/>
      <c r="F8788" s="1068"/>
      <c r="G8788" s="946"/>
      <c r="H8788" s="1031"/>
      <c r="I8788" s="948"/>
    </row>
    <row r="8789" spans="3:9" ht="15.75">
      <c r="C8789" s="949" t="s">
        <v>1074</v>
      </c>
      <c r="D8789" s="953">
        <v>11.61</v>
      </c>
      <c r="E8789" s="954" t="str">
        <f>+VLOOKUP(C8789,'Basic (equilibrio) (2)'!B:D,2,FALSE)</f>
        <v>ud</v>
      </c>
      <c r="F8789" s="1068">
        <f>'Basic (equilibrio) (2)'!$D$26</f>
        <v>1</v>
      </c>
      <c r="G8789" s="946">
        <v>0</v>
      </c>
      <c r="H8789" s="1031"/>
      <c r="I8789" s="948">
        <f>(D8789*F8789)</f>
        <v>11.61</v>
      </c>
    </row>
    <row r="8790" spans="3:9" ht="15.75">
      <c r="C8790" s="949" t="s">
        <v>1075</v>
      </c>
      <c r="D8790" s="953">
        <v>11.61</v>
      </c>
      <c r="E8790" s="954" t="str">
        <f>+VLOOKUP(C8790,'Basic (equilibrio) (2)'!B:D,2,FALSE)</f>
        <v>ud</v>
      </c>
      <c r="F8790" s="1068">
        <f>'Basic (equilibrio) (2)'!$D$27</f>
        <v>3</v>
      </c>
      <c r="G8790" s="946">
        <v>0</v>
      </c>
      <c r="H8790" s="1031"/>
      <c r="I8790" s="948">
        <f>(D8790*F8790)</f>
        <v>34.83</v>
      </c>
    </row>
    <row r="8791" spans="3:9" ht="15.75">
      <c r="C8791" s="949" t="s">
        <v>1077</v>
      </c>
      <c r="D8791" s="953">
        <v>11.61</v>
      </c>
      <c r="E8791" s="954" t="str">
        <f>+VLOOKUP(C8791,'Basic (equilibrio) (2)'!B:D,2,FALSE)</f>
        <v>ud</v>
      </c>
      <c r="F8791" s="1068">
        <f>'Basic (equilibrio) (2)'!$D$29</f>
        <v>22</v>
      </c>
      <c r="G8791" s="946">
        <v>0</v>
      </c>
      <c r="H8791" s="1031"/>
      <c r="I8791" s="948">
        <f>(D8791*F8791)</f>
        <v>255.42</v>
      </c>
    </row>
    <row r="8792" spans="3:9" ht="15.75">
      <c r="C8792" s="951" t="s">
        <v>918</v>
      </c>
      <c r="D8792" s="946"/>
      <c r="E8792" s="947"/>
      <c r="F8792" s="1054"/>
      <c r="G8792" s="946"/>
      <c r="H8792" s="1031"/>
      <c r="I8792" s="952">
        <f>SUM(I8789:I8791)</f>
        <v>301.86</v>
      </c>
    </row>
    <row r="8793" spans="3:9" ht="15.75">
      <c r="C8793" s="949"/>
      <c r="D8793" s="946"/>
      <c r="E8793" s="947"/>
      <c r="F8793" s="1054"/>
      <c r="G8793" s="946"/>
      <c r="H8793" s="1031"/>
      <c r="I8793" s="948"/>
    </row>
    <row r="8794" spans="3:9" ht="15.75">
      <c r="C8794" s="945" t="s">
        <v>923</v>
      </c>
      <c r="D8794" s="946"/>
      <c r="E8794" s="947"/>
      <c r="F8794" s="1054"/>
      <c r="G8794" s="946"/>
      <c r="H8794" s="1031"/>
      <c r="I8794" s="948"/>
    </row>
    <row r="8795" spans="3:9" ht="15.75">
      <c r="C8795" s="949" t="s">
        <v>924</v>
      </c>
      <c r="D8795" s="946"/>
      <c r="E8795" s="947" t="str">
        <f>+VLOOKUP(C8795,'Basic (equilibrio) (2)'!B:D,2,FALSE)</f>
        <v>n/a</v>
      </c>
      <c r="F8795" s="1054">
        <f>+VLOOKUP(C8795,'Basic (equilibrio) (2)'!B:D,3,FALSE)</f>
        <v>0</v>
      </c>
      <c r="G8795" s="946">
        <f>F8795-(F8795/1.18)</f>
        <v>0</v>
      </c>
      <c r="H8795" s="1039"/>
      <c r="I8795" s="955">
        <f>D8795*F8795</f>
        <v>0</v>
      </c>
    </row>
    <row r="8796" spans="3:9" ht="15.75">
      <c r="C8796" s="951" t="s">
        <v>918</v>
      </c>
      <c r="D8796" s="946"/>
      <c r="E8796" s="947"/>
      <c r="F8796" s="1054"/>
      <c r="G8796" s="946"/>
      <c r="H8796" s="1031"/>
      <c r="I8796" s="952">
        <f>SUM(I8795:I8795)</f>
        <v>0</v>
      </c>
    </row>
    <row r="8797" spans="3:9" ht="15.75">
      <c r="C8797" s="949"/>
      <c r="D8797" s="946"/>
      <c r="E8797" s="947"/>
      <c r="F8797" s="1054"/>
      <c r="G8797" s="946"/>
      <c r="H8797" s="1031"/>
      <c r="I8797" s="948"/>
    </row>
    <row r="8798" spans="3:9" ht="15.75">
      <c r="C8798" s="945" t="s">
        <v>925</v>
      </c>
      <c r="D8798" s="946"/>
      <c r="E8798" s="947"/>
      <c r="F8798" s="1054"/>
      <c r="G8798" s="946"/>
      <c r="H8798" s="1031"/>
      <c r="I8798" s="948"/>
    </row>
    <row r="8799" spans="3:9" ht="15.75">
      <c r="C8799" s="949" t="s">
        <v>924</v>
      </c>
      <c r="D8799" s="946"/>
      <c r="E8799" s="947" t="str">
        <f>+VLOOKUP(C8799,'Basic (equilibrio) (2)'!B:D,2,FALSE)</f>
        <v>n/a</v>
      </c>
      <c r="F8799" s="1054">
        <f>+VLOOKUP(C8799,'Basic (equilibrio) (2)'!B:D,3,FALSE)</f>
        <v>0</v>
      </c>
      <c r="G8799" s="946"/>
      <c r="H8799" s="1031"/>
      <c r="I8799" s="948">
        <f>D8799*F8799</f>
        <v>0</v>
      </c>
    </row>
    <row r="8800" spans="3:9" ht="15.75">
      <c r="C8800" s="951" t="s">
        <v>918</v>
      </c>
      <c r="D8800" s="946"/>
      <c r="E8800" s="947"/>
      <c r="F8800" s="1054"/>
      <c r="G8800" s="946"/>
      <c r="H8800" s="1031"/>
      <c r="I8800" s="952">
        <f>SUM(I8799)</f>
        <v>0</v>
      </c>
    </row>
    <row r="8801" spans="2:9" ht="15.75">
      <c r="C8801" s="951"/>
      <c r="D8801" s="946"/>
      <c r="E8801" s="947"/>
      <c r="F8801" s="1054"/>
      <c r="G8801" s="946"/>
      <c r="H8801" s="1031"/>
      <c r="I8801" s="952"/>
    </row>
    <row r="8802" spans="2:9" ht="15.75">
      <c r="C8802" s="956" t="s">
        <v>926</v>
      </c>
      <c r="D8802" s="957"/>
      <c r="E8802" s="958"/>
      <c r="F8802" s="1069"/>
      <c r="G8802" s="957"/>
      <c r="H8802" s="1032"/>
      <c r="I8802" s="959">
        <f>+I8786</f>
        <v>1077.2</v>
      </c>
    </row>
    <row r="8803" spans="2:9" ht="15.75">
      <c r="C8803" s="956" t="s">
        <v>927</v>
      </c>
      <c r="D8803" s="957"/>
      <c r="E8803" s="958"/>
      <c r="F8803" s="1069"/>
      <c r="G8803" s="957"/>
      <c r="H8803" s="1032"/>
      <c r="I8803" s="959">
        <f>+I8792</f>
        <v>301.86</v>
      </c>
    </row>
    <row r="8804" spans="2:9" ht="15.75">
      <c r="C8804" s="956" t="s">
        <v>928</v>
      </c>
      <c r="D8804" s="957"/>
      <c r="E8804" s="958"/>
      <c r="F8804" s="1069"/>
      <c r="G8804" s="957"/>
      <c r="H8804" s="1032"/>
      <c r="I8804" s="959">
        <f>+I8796</f>
        <v>0</v>
      </c>
    </row>
    <row r="8805" spans="2:9" ht="15.75">
      <c r="C8805" s="956" t="s">
        <v>929</v>
      </c>
      <c r="D8805" s="957"/>
      <c r="E8805" s="958"/>
      <c r="F8805" s="1069"/>
      <c r="G8805" s="957"/>
      <c r="H8805" s="1032"/>
      <c r="I8805" s="959">
        <f>+I8800</f>
        <v>0</v>
      </c>
    </row>
    <row r="8806" spans="2:9" ht="15.75">
      <c r="C8806" s="949"/>
      <c r="D8806" s="946"/>
      <c r="E8806" s="947"/>
      <c r="F8806" s="1054"/>
      <c r="G8806" s="946"/>
      <c r="H8806" s="1031"/>
      <c r="I8806" s="948"/>
    </row>
    <row r="8807" spans="2:9" ht="15.75">
      <c r="C8807" s="949"/>
      <c r="D8807" s="946"/>
      <c r="E8807" s="947"/>
      <c r="F8807" s="1054"/>
      <c r="G8807" s="946"/>
      <c r="H8807" s="1031"/>
      <c r="I8807" s="948"/>
    </row>
    <row r="8808" spans="2:9" ht="15.75">
      <c r="C8808" s="951" t="s">
        <v>930</v>
      </c>
      <c r="D8808" s="960"/>
      <c r="E8808" s="943" t="str">
        <f>+E8777</f>
        <v>M2</v>
      </c>
      <c r="F8808" s="1070"/>
      <c r="G8808" s="960"/>
      <c r="H8808" s="1033"/>
      <c r="I8808" s="952">
        <f>SUM(I8802:I8805)</f>
        <v>1379.06</v>
      </c>
    </row>
    <row r="8809" spans="2:9" ht="15.75">
      <c r="C8809" s="951"/>
      <c r="D8809" s="960"/>
      <c r="E8809" s="943"/>
      <c r="F8809" s="1070"/>
      <c r="G8809" s="960"/>
      <c r="H8809" s="1033"/>
      <c r="I8809" s="952"/>
    </row>
    <row r="8810" spans="2:9" ht="15.75">
      <c r="B8810" s="1026">
        <v>4.2</v>
      </c>
      <c r="C8810" s="937" t="str">
        <f>+Presupuesto!B521</f>
        <v>De 6" S.N.P</v>
      </c>
      <c r="D8810" s="938"/>
      <c r="E8810" s="962" t="s">
        <v>20</v>
      </c>
      <c r="F8810" s="1066"/>
      <c r="G8810" s="938"/>
      <c r="H8810" s="1029"/>
      <c r="I8810" s="940">
        <f>I8841</f>
        <v>1523.06</v>
      </c>
    </row>
    <row r="8811" spans="2:9" ht="15.75">
      <c r="C8811" s="941" t="s">
        <v>908</v>
      </c>
      <c r="D8811" s="942" t="s">
        <v>9</v>
      </c>
      <c r="E8811" s="943" t="s">
        <v>10</v>
      </c>
      <c r="F8811" s="1067" t="s">
        <v>909</v>
      </c>
      <c r="G8811" s="942" t="s">
        <v>910</v>
      </c>
      <c r="H8811" s="1030" t="s">
        <v>911</v>
      </c>
      <c r="I8811" s="944" t="s">
        <v>912</v>
      </c>
    </row>
    <row r="8812" spans="2:9" ht="15.75">
      <c r="C8812" s="945" t="s">
        <v>913</v>
      </c>
      <c r="D8812" s="946"/>
      <c r="E8812" s="947"/>
      <c r="F8812" s="1054"/>
      <c r="G8812" s="946"/>
      <c r="H8812" s="1031"/>
      <c r="I8812" s="948"/>
    </row>
    <row r="8813" spans="2:9" ht="15.75">
      <c r="C8813" s="949" t="s">
        <v>1201</v>
      </c>
      <c r="D8813" s="946">
        <v>11.61</v>
      </c>
      <c r="E8813" s="947" t="str">
        <f>+VLOOKUP(C8813,'Basic (equilibrio) (2)'!B:D,2,FALSE)</f>
        <v>ud</v>
      </c>
      <c r="F8813" s="1068">
        <f>'Basic (equilibrio) (2)'!$D$300</f>
        <v>35</v>
      </c>
      <c r="G8813" s="946">
        <f t="shared" ref="G8813:G8818" si="57">F8813-(F8813/1.18)</f>
        <v>5.34</v>
      </c>
      <c r="H8813" s="1031"/>
      <c r="I8813" s="948">
        <f t="shared" ref="I8813:I8818" si="58">D8813*F8813</f>
        <v>406.35</v>
      </c>
    </row>
    <row r="8814" spans="2:9" ht="15.75">
      <c r="C8814" s="949" t="s">
        <v>1203</v>
      </c>
      <c r="D8814" s="946">
        <v>11.61</v>
      </c>
      <c r="E8814" s="947" t="str">
        <f>+VLOOKUP(C8814,'Basic (equilibrio) (2)'!B:D,2,FALSE)</f>
        <v>ud</v>
      </c>
      <c r="F8814" s="1068">
        <f>'Basic (equilibrio) (2)'!$D$303</f>
        <v>3.3</v>
      </c>
      <c r="G8814" s="946">
        <f t="shared" si="57"/>
        <v>0.5</v>
      </c>
      <c r="H8814" s="1031"/>
      <c r="I8814" s="948">
        <f t="shared" si="58"/>
        <v>38.31</v>
      </c>
    </row>
    <row r="8815" spans="2:9" ht="15.75">
      <c r="C8815" s="949" t="s">
        <v>1204</v>
      </c>
      <c r="D8815" s="946">
        <v>0.04</v>
      </c>
      <c r="E8815" s="947" t="str">
        <f>+VLOOKUP(C8815,'Basic (equilibrio) (2)'!B:D,2,FALSE)</f>
        <v>m3</v>
      </c>
      <c r="F8815" s="1068">
        <f>'Basic (equilibrio) (2)'!$D$307</f>
        <v>6174</v>
      </c>
      <c r="G8815" s="946">
        <f t="shared" si="57"/>
        <v>941.8</v>
      </c>
      <c r="H8815" s="1031"/>
      <c r="I8815" s="948">
        <f t="shared" si="58"/>
        <v>246.96</v>
      </c>
    </row>
    <row r="8816" spans="2:9" ht="15.75">
      <c r="C8816" s="949" t="s">
        <v>1205</v>
      </c>
      <c r="D8816" s="946">
        <v>0.04</v>
      </c>
      <c r="E8816" s="947" t="str">
        <f>+VLOOKUP(C8816,'Basic (equilibrio) (2)'!B:D,2,FALSE)</f>
        <v>m3</v>
      </c>
      <c r="F8816" s="1068">
        <f>'Basic (equilibrio) (2)'!$D$308</f>
        <v>5985</v>
      </c>
      <c r="G8816" s="946">
        <f t="shared" si="57"/>
        <v>912.97</v>
      </c>
      <c r="H8816" s="1031"/>
      <c r="I8816" s="948">
        <f t="shared" si="58"/>
        <v>239.4</v>
      </c>
    </row>
    <row r="8817" spans="3:9" ht="15.75">
      <c r="C8817" s="949" t="s">
        <v>1188</v>
      </c>
      <c r="D8817" s="946">
        <v>0.08</v>
      </c>
      <c r="E8817" s="947" t="str">
        <f>+VLOOKUP(C8817,'Basic (equilibrio) (2)'!B:D,2,FALSE)</f>
        <v>qq</v>
      </c>
      <c r="F8817" s="1068">
        <f>'Basic (equilibrio) (2)'!$D$183</f>
        <v>3600</v>
      </c>
      <c r="G8817" s="946">
        <f t="shared" si="57"/>
        <v>549.15</v>
      </c>
      <c r="H8817" s="1031"/>
      <c r="I8817" s="948">
        <f t="shared" si="58"/>
        <v>288</v>
      </c>
    </row>
    <row r="8818" spans="3:9" ht="15.75">
      <c r="C8818" s="949" t="s">
        <v>1328</v>
      </c>
      <c r="D8818" s="946">
        <v>7.0000000000000007E-2</v>
      </c>
      <c r="E8818" s="947" t="str">
        <f>+VLOOKUP(C8818,'Basic (equilibrio) (2)'!B:D,2,FALSE)</f>
        <v>lb</v>
      </c>
      <c r="F8818" s="1068">
        <f>'Basic (equilibrio) (2)'!$D$334</f>
        <v>31.1</v>
      </c>
      <c r="G8818" s="946">
        <f t="shared" si="57"/>
        <v>4.74</v>
      </c>
      <c r="H8818" s="1031"/>
      <c r="I8818" s="948">
        <f t="shared" si="58"/>
        <v>2.1800000000000002</v>
      </c>
    </row>
    <row r="8819" spans="3:9" ht="15.75">
      <c r="C8819" s="951" t="s">
        <v>918</v>
      </c>
      <c r="D8819" s="946"/>
      <c r="E8819" s="947"/>
      <c r="F8819" s="1068"/>
      <c r="G8819" s="946"/>
      <c r="H8819" s="1031"/>
      <c r="I8819" s="952">
        <f>SUM(I8813:I8818)</f>
        <v>1221.2</v>
      </c>
    </row>
    <row r="8820" spans="3:9" ht="15.75">
      <c r="C8820" s="949"/>
      <c r="D8820" s="946"/>
      <c r="E8820" s="947"/>
      <c r="F8820" s="1068"/>
      <c r="G8820" s="946"/>
      <c r="H8820" s="1031"/>
      <c r="I8820" s="948"/>
    </row>
    <row r="8821" spans="3:9" ht="15.75">
      <c r="C8821" s="945" t="s">
        <v>919</v>
      </c>
      <c r="D8821" s="946"/>
      <c r="E8821" s="947"/>
      <c r="F8821" s="1068"/>
      <c r="G8821" s="946"/>
      <c r="H8821" s="1031"/>
      <c r="I8821" s="948"/>
    </row>
    <row r="8822" spans="3:9" ht="15.75">
      <c r="C8822" s="949" t="s">
        <v>1074</v>
      </c>
      <c r="D8822" s="953">
        <v>11.61</v>
      </c>
      <c r="E8822" s="954" t="str">
        <f>+VLOOKUP(C8822,'Basic (equilibrio) (2)'!B:D,2,FALSE)</f>
        <v>ud</v>
      </c>
      <c r="F8822" s="1068">
        <f>'Basic (equilibrio) (2)'!$D$26</f>
        <v>1</v>
      </c>
      <c r="G8822" s="946">
        <v>0</v>
      </c>
      <c r="H8822" s="1031"/>
      <c r="I8822" s="948">
        <f>(D8822*F8822)</f>
        <v>11.61</v>
      </c>
    </row>
    <row r="8823" spans="3:9" ht="15.75">
      <c r="C8823" s="949" t="s">
        <v>1075</v>
      </c>
      <c r="D8823" s="953">
        <v>11.61</v>
      </c>
      <c r="E8823" s="954" t="str">
        <f>+VLOOKUP(C8823,'Basic (equilibrio) (2)'!B:D,2,FALSE)</f>
        <v>ud</v>
      </c>
      <c r="F8823" s="1068">
        <f>'Basic (equilibrio) (2)'!$D$27</f>
        <v>3</v>
      </c>
      <c r="G8823" s="946">
        <v>0</v>
      </c>
      <c r="H8823" s="1031"/>
      <c r="I8823" s="948">
        <f>(D8823*F8823)</f>
        <v>34.83</v>
      </c>
    </row>
    <row r="8824" spans="3:9" ht="15.75">
      <c r="C8824" s="949" t="s">
        <v>1077</v>
      </c>
      <c r="D8824" s="953">
        <v>11.61</v>
      </c>
      <c r="E8824" s="954" t="str">
        <f>+VLOOKUP(C8824,'Basic (equilibrio) (2)'!B:D,2,FALSE)</f>
        <v>ud</v>
      </c>
      <c r="F8824" s="1068">
        <f>'Basic (equilibrio) (2)'!$D$29</f>
        <v>22</v>
      </c>
      <c r="G8824" s="946">
        <v>0</v>
      </c>
      <c r="H8824" s="1031"/>
      <c r="I8824" s="948">
        <f>(D8824*F8824)</f>
        <v>255.42</v>
      </c>
    </row>
    <row r="8825" spans="3:9" ht="15.75">
      <c r="C8825" s="951" t="s">
        <v>918</v>
      </c>
      <c r="D8825" s="946"/>
      <c r="E8825" s="947"/>
      <c r="F8825" s="1054"/>
      <c r="G8825" s="946"/>
      <c r="H8825" s="1031"/>
      <c r="I8825" s="952">
        <f>SUM(I8822:I8824)</f>
        <v>301.86</v>
      </c>
    </row>
    <row r="8826" spans="3:9" ht="15.75">
      <c r="C8826" s="949"/>
      <c r="D8826" s="946"/>
      <c r="E8826" s="947"/>
      <c r="F8826" s="1054"/>
      <c r="G8826" s="946"/>
      <c r="H8826" s="1031"/>
      <c r="I8826" s="948"/>
    </row>
    <row r="8827" spans="3:9" ht="15.75">
      <c r="C8827" s="945" t="s">
        <v>923</v>
      </c>
      <c r="D8827" s="946"/>
      <c r="E8827" s="947"/>
      <c r="F8827" s="1054"/>
      <c r="G8827" s="946"/>
      <c r="H8827" s="1031"/>
      <c r="I8827" s="948"/>
    </row>
    <row r="8828" spans="3:9" ht="15.75">
      <c r="C8828" s="949" t="s">
        <v>924</v>
      </c>
      <c r="D8828" s="946"/>
      <c r="E8828" s="947" t="str">
        <f>+VLOOKUP(C8828,'Basic (equilibrio) (2)'!B:D,2,FALSE)</f>
        <v>n/a</v>
      </c>
      <c r="F8828" s="1054">
        <f>+VLOOKUP(C8828,'Basic (equilibrio) (2)'!B:D,3,FALSE)</f>
        <v>0</v>
      </c>
      <c r="G8828" s="946">
        <f>F8828-(F8828/1.18)</f>
        <v>0</v>
      </c>
      <c r="H8828" s="1039"/>
      <c r="I8828" s="955">
        <f>D8828*F8828</f>
        <v>0</v>
      </c>
    </row>
    <row r="8829" spans="3:9" ht="15.75">
      <c r="C8829" s="951" t="s">
        <v>918</v>
      </c>
      <c r="D8829" s="946"/>
      <c r="E8829" s="947"/>
      <c r="F8829" s="1054"/>
      <c r="G8829" s="946"/>
      <c r="H8829" s="1031"/>
      <c r="I8829" s="952">
        <f>SUM(I8828:I8828)</f>
        <v>0</v>
      </c>
    </row>
    <row r="8830" spans="3:9" ht="15.75">
      <c r="C8830" s="949"/>
      <c r="D8830" s="946"/>
      <c r="E8830" s="947"/>
      <c r="F8830" s="1054"/>
      <c r="G8830" s="946"/>
      <c r="H8830" s="1031"/>
      <c r="I8830" s="948"/>
    </row>
    <row r="8831" spans="3:9" ht="15.75">
      <c r="C8831" s="945" t="s">
        <v>925</v>
      </c>
      <c r="D8831" s="946"/>
      <c r="E8831" s="947"/>
      <c r="F8831" s="1054"/>
      <c r="G8831" s="946"/>
      <c r="H8831" s="1031"/>
      <c r="I8831" s="948"/>
    </row>
    <row r="8832" spans="3:9" ht="15.75">
      <c r="C8832" s="949" t="s">
        <v>924</v>
      </c>
      <c r="D8832" s="946"/>
      <c r="E8832" s="947" t="str">
        <f>+VLOOKUP(C8832,'Basic (equilibrio) (2)'!B:D,2,FALSE)</f>
        <v>n/a</v>
      </c>
      <c r="F8832" s="1054">
        <f>+VLOOKUP(C8832,'Basic (equilibrio) (2)'!B:D,3,FALSE)</f>
        <v>0</v>
      </c>
      <c r="G8832" s="946"/>
      <c r="H8832" s="1031"/>
      <c r="I8832" s="948">
        <f>D8832*F8832</f>
        <v>0</v>
      </c>
    </row>
    <row r="8833" spans="2:9" ht="15.75">
      <c r="C8833" s="951" t="s">
        <v>918</v>
      </c>
      <c r="D8833" s="946"/>
      <c r="E8833" s="947"/>
      <c r="F8833" s="1054"/>
      <c r="G8833" s="946"/>
      <c r="H8833" s="1031"/>
      <c r="I8833" s="952">
        <f>SUM(I8832)</f>
        <v>0</v>
      </c>
    </row>
    <row r="8834" spans="2:9" ht="15.75">
      <c r="C8834" s="951"/>
      <c r="D8834" s="946"/>
      <c r="E8834" s="947"/>
      <c r="F8834" s="1054"/>
      <c r="G8834" s="946"/>
      <c r="H8834" s="1031"/>
      <c r="I8834" s="952"/>
    </row>
    <row r="8835" spans="2:9" ht="15.75">
      <c r="C8835" s="956" t="s">
        <v>926</v>
      </c>
      <c r="D8835" s="957"/>
      <c r="E8835" s="958"/>
      <c r="F8835" s="1069"/>
      <c r="G8835" s="957"/>
      <c r="H8835" s="1032"/>
      <c r="I8835" s="959">
        <f>+I8819</f>
        <v>1221.2</v>
      </c>
    </row>
    <row r="8836" spans="2:9" ht="15.75">
      <c r="C8836" s="956" t="s">
        <v>927</v>
      </c>
      <c r="D8836" s="957"/>
      <c r="E8836" s="958"/>
      <c r="F8836" s="1069"/>
      <c r="G8836" s="957"/>
      <c r="H8836" s="1032"/>
      <c r="I8836" s="959">
        <f>+I8825</f>
        <v>301.86</v>
      </c>
    </row>
    <row r="8837" spans="2:9" ht="15.75">
      <c r="C8837" s="956" t="s">
        <v>928</v>
      </c>
      <c r="D8837" s="957"/>
      <c r="E8837" s="958"/>
      <c r="F8837" s="1069"/>
      <c r="G8837" s="957"/>
      <c r="H8837" s="1032"/>
      <c r="I8837" s="959">
        <f>+I8829</f>
        <v>0</v>
      </c>
    </row>
    <row r="8838" spans="2:9" ht="15.75">
      <c r="C8838" s="956" t="s">
        <v>929</v>
      </c>
      <c r="D8838" s="957"/>
      <c r="E8838" s="958"/>
      <c r="F8838" s="1069"/>
      <c r="G8838" s="957"/>
      <c r="H8838" s="1032"/>
      <c r="I8838" s="959">
        <f>+I8833</f>
        <v>0</v>
      </c>
    </row>
    <row r="8839" spans="2:9" ht="15.75">
      <c r="C8839" s="949"/>
      <c r="D8839" s="946"/>
      <c r="E8839" s="947"/>
      <c r="F8839" s="1054"/>
      <c r="G8839" s="946"/>
      <c r="H8839" s="1031"/>
      <c r="I8839" s="948"/>
    </row>
    <row r="8840" spans="2:9" ht="15.75">
      <c r="C8840" s="949"/>
      <c r="D8840" s="946"/>
      <c r="E8840" s="947"/>
      <c r="F8840" s="1054"/>
      <c r="G8840" s="946"/>
      <c r="H8840" s="1031"/>
      <c r="I8840" s="948"/>
    </row>
    <row r="8841" spans="2:9" ht="15.75">
      <c r="C8841" s="951" t="s">
        <v>930</v>
      </c>
      <c r="D8841" s="960"/>
      <c r="E8841" s="943" t="str">
        <f>+E8810</f>
        <v>M2</v>
      </c>
      <c r="F8841" s="1070"/>
      <c r="G8841" s="960"/>
      <c r="H8841" s="1033"/>
      <c r="I8841" s="952">
        <f>SUM(I8835:I8838)</f>
        <v>1523.06</v>
      </c>
    </row>
    <row r="8842" spans="2:9" ht="15.75">
      <c r="C8842" s="951"/>
      <c r="D8842" s="960"/>
      <c r="E8842" s="943"/>
      <c r="F8842" s="1070"/>
      <c r="G8842" s="960"/>
      <c r="H8842" s="1033"/>
      <c r="I8842" s="952"/>
    </row>
    <row r="8843" spans="2:9" ht="15.75">
      <c r="B8843" s="1026">
        <v>5.0999999999999996</v>
      </c>
      <c r="C8843" s="937" t="str">
        <f>+Presupuesto!B524</f>
        <v>Fraguache</v>
      </c>
      <c r="D8843" s="938"/>
      <c r="E8843" s="962" t="s">
        <v>20</v>
      </c>
      <c r="F8843" s="1066"/>
      <c r="G8843" s="938"/>
      <c r="H8843" s="1029"/>
      <c r="I8843" s="940">
        <f>I8867</f>
        <v>101.1</v>
      </c>
    </row>
    <row r="8844" spans="2:9" ht="15.75">
      <c r="C8844" s="941" t="s">
        <v>908</v>
      </c>
      <c r="D8844" s="942" t="s">
        <v>9</v>
      </c>
      <c r="E8844" s="943" t="s">
        <v>10</v>
      </c>
      <c r="F8844" s="1067" t="s">
        <v>909</v>
      </c>
      <c r="G8844" s="942" t="s">
        <v>910</v>
      </c>
      <c r="H8844" s="1030" t="s">
        <v>911</v>
      </c>
      <c r="I8844" s="944" t="s">
        <v>912</v>
      </c>
    </row>
    <row r="8845" spans="2:9" ht="15.75">
      <c r="C8845" s="945" t="s">
        <v>913</v>
      </c>
      <c r="D8845" s="946"/>
      <c r="E8845" s="947"/>
      <c r="F8845" s="1054"/>
      <c r="G8845" s="946"/>
      <c r="H8845" s="1031"/>
      <c r="I8845" s="948"/>
    </row>
    <row r="8846" spans="2:9" ht="15.75">
      <c r="C8846" s="949" t="s">
        <v>958</v>
      </c>
      <c r="D8846" s="946">
        <v>0.01</v>
      </c>
      <c r="E8846" s="947" t="str">
        <f>+VLOOKUP(C8846,'Basic (equilibrio) (2)'!B:D,2,FALSE)</f>
        <v>m3</v>
      </c>
      <c r="F8846" s="1068">
        <f>'Basic (equilibrio) (2)'!$D$309</f>
        <v>6820</v>
      </c>
      <c r="G8846" s="946">
        <f>F8846-(F8846/1.18)</f>
        <v>1040.3399999999999</v>
      </c>
      <c r="H8846" s="1031"/>
      <c r="I8846" s="948">
        <f>D8846*F8846</f>
        <v>68.2</v>
      </c>
    </row>
    <row r="8847" spans="2:9" ht="15.75">
      <c r="C8847" s="949" t="s">
        <v>1206</v>
      </c>
      <c r="D8847" s="946">
        <v>0.03</v>
      </c>
      <c r="E8847" s="947" t="str">
        <f>+VLOOKUP(C8847,'Basic (equilibrio) (2)'!B:D,2,FALSE)</f>
        <v>pt</v>
      </c>
      <c r="F8847" s="1068">
        <f>'Basic (equilibrio) (2)'!$D$310</f>
        <v>230</v>
      </c>
      <c r="G8847" s="946">
        <f>F8847-(F8847/1.18)</f>
        <v>35.08</v>
      </c>
      <c r="H8847" s="1031"/>
      <c r="I8847" s="948">
        <f>D8847*F8847</f>
        <v>6.9</v>
      </c>
    </row>
    <row r="8848" spans="2:9" ht="15.75">
      <c r="C8848" s="951" t="s">
        <v>918</v>
      </c>
      <c r="D8848" s="946"/>
      <c r="E8848" s="947"/>
      <c r="F8848" s="1068"/>
      <c r="G8848" s="946"/>
      <c r="H8848" s="1031"/>
      <c r="I8848" s="952">
        <f>SUM(I8846:I8847)</f>
        <v>75.099999999999994</v>
      </c>
    </row>
    <row r="8849" spans="3:9" ht="15.75">
      <c r="C8849" s="949"/>
      <c r="D8849" s="946"/>
      <c r="E8849" s="947"/>
      <c r="F8849" s="1068"/>
      <c r="G8849" s="946"/>
      <c r="H8849" s="1031"/>
      <c r="I8849" s="948"/>
    </row>
    <row r="8850" spans="3:9" ht="15.75">
      <c r="C8850" s="945" t="s">
        <v>919</v>
      </c>
      <c r="D8850" s="946"/>
      <c r="E8850" s="947"/>
      <c r="F8850" s="1068"/>
      <c r="G8850" s="946"/>
      <c r="H8850" s="1031"/>
      <c r="I8850" s="948"/>
    </row>
    <row r="8851" spans="3:9" ht="15.75">
      <c r="C8851" s="949" t="s">
        <v>1080</v>
      </c>
      <c r="D8851" s="953">
        <v>1</v>
      </c>
      <c r="E8851" s="954" t="str">
        <f>+VLOOKUP(C8851,'Basic (equilibrio) (2)'!B:D,2,FALSE)</f>
        <v>m2</v>
      </c>
      <c r="F8851" s="1068">
        <f>'Basic (equilibrio) (2)'!$D$32</f>
        <v>26</v>
      </c>
      <c r="G8851" s="946">
        <v>0</v>
      </c>
      <c r="H8851" s="1031"/>
      <c r="I8851" s="948">
        <f>(D8851*F8851)</f>
        <v>26</v>
      </c>
    </row>
    <row r="8852" spans="3:9" ht="15.75">
      <c r="C8852" s="951" t="s">
        <v>918</v>
      </c>
      <c r="D8852" s="946"/>
      <c r="E8852" s="947"/>
      <c r="F8852" s="1054"/>
      <c r="G8852" s="946"/>
      <c r="H8852" s="1031"/>
      <c r="I8852" s="952">
        <f>SUM(I8851:I8851)</f>
        <v>26</v>
      </c>
    </row>
    <row r="8853" spans="3:9" ht="15.75">
      <c r="C8853" s="949"/>
      <c r="D8853" s="946"/>
      <c r="E8853" s="947"/>
      <c r="F8853" s="1054"/>
      <c r="G8853" s="946"/>
      <c r="H8853" s="1031"/>
      <c r="I8853" s="948"/>
    </row>
    <row r="8854" spans="3:9" ht="15.75">
      <c r="C8854" s="945" t="s">
        <v>923</v>
      </c>
      <c r="D8854" s="946"/>
      <c r="E8854" s="947"/>
      <c r="F8854" s="1054"/>
      <c r="G8854" s="946"/>
      <c r="H8854" s="1031"/>
      <c r="I8854" s="948"/>
    </row>
    <row r="8855" spans="3:9" ht="15.75">
      <c r="C8855" s="949" t="s">
        <v>924</v>
      </c>
      <c r="D8855" s="946"/>
      <c r="E8855" s="947" t="str">
        <f>+VLOOKUP(C8855,'Basic (equilibrio) (2)'!B:D,2,FALSE)</f>
        <v>n/a</v>
      </c>
      <c r="F8855" s="1054">
        <f>+VLOOKUP(C8855,'Basic (equilibrio) (2)'!B:D,3,FALSE)</f>
        <v>0</v>
      </c>
      <c r="G8855" s="946">
        <f>F8855-(F8855/1.18)</f>
        <v>0</v>
      </c>
      <c r="H8855" s="1039"/>
      <c r="I8855" s="955">
        <f>D8855*F8855</f>
        <v>0</v>
      </c>
    </row>
    <row r="8856" spans="3:9" ht="15.75">
      <c r="C8856" s="951" t="s">
        <v>918</v>
      </c>
      <c r="D8856" s="946"/>
      <c r="E8856" s="947"/>
      <c r="F8856" s="1054"/>
      <c r="G8856" s="946"/>
      <c r="H8856" s="1031"/>
      <c r="I8856" s="952">
        <f>SUM(I8855:I8855)</f>
        <v>0</v>
      </c>
    </row>
    <row r="8857" spans="3:9" ht="15.75">
      <c r="C8857" s="949"/>
      <c r="D8857" s="946"/>
      <c r="E8857" s="947"/>
      <c r="F8857" s="1054"/>
      <c r="G8857" s="946"/>
      <c r="H8857" s="1031"/>
      <c r="I8857" s="948"/>
    </row>
    <row r="8858" spans="3:9" ht="15.75">
      <c r="C8858" s="945" t="s">
        <v>925</v>
      </c>
      <c r="D8858" s="946"/>
      <c r="E8858" s="947"/>
      <c r="F8858" s="1054"/>
      <c r="G8858" s="946"/>
      <c r="H8858" s="1031"/>
      <c r="I8858" s="948"/>
    </row>
    <row r="8859" spans="3:9" ht="15.75">
      <c r="C8859" s="949" t="s">
        <v>924</v>
      </c>
      <c r="D8859" s="946"/>
      <c r="E8859" s="947" t="str">
        <f>+VLOOKUP(C8859,'Basic (equilibrio) (2)'!B:D,2,FALSE)</f>
        <v>n/a</v>
      </c>
      <c r="F8859" s="1054">
        <f>+VLOOKUP(C8859,'Basic (equilibrio) (2)'!B:D,3,FALSE)</f>
        <v>0</v>
      </c>
      <c r="G8859" s="946"/>
      <c r="H8859" s="1031"/>
      <c r="I8859" s="948">
        <f>D8859*F8859</f>
        <v>0</v>
      </c>
    </row>
    <row r="8860" spans="3:9" ht="15.75">
      <c r="C8860" s="951" t="s">
        <v>918</v>
      </c>
      <c r="D8860" s="946"/>
      <c r="E8860" s="947"/>
      <c r="F8860" s="1054"/>
      <c r="G8860" s="946"/>
      <c r="H8860" s="1031"/>
      <c r="I8860" s="952">
        <f>SUM(I8859)</f>
        <v>0</v>
      </c>
    </row>
    <row r="8861" spans="3:9" ht="15.75">
      <c r="C8861" s="951"/>
      <c r="D8861" s="946"/>
      <c r="E8861" s="947"/>
      <c r="F8861" s="1054"/>
      <c r="G8861" s="946"/>
      <c r="H8861" s="1031"/>
      <c r="I8861" s="952"/>
    </row>
    <row r="8862" spans="3:9" ht="15.75">
      <c r="C8862" s="956" t="s">
        <v>926</v>
      </c>
      <c r="D8862" s="957"/>
      <c r="E8862" s="958"/>
      <c r="F8862" s="1069"/>
      <c r="G8862" s="957"/>
      <c r="H8862" s="1032"/>
      <c r="I8862" s="959">
        <f>+I8848</f>
        <v>75.099999999999994</v>
      </c>
    </row>
    <row r="8863" spans="3:9" ht="15.75">
      <c r="C8863" s="956" t="s">
        <v>927</v>
      </c>
      <c r="D8863" s="957"/>
      <c r="E8863" s="958"/>
      <c r="F8863" s="1069"/>
      <c r="G8863" s="957"/>
      <c r="H8863" s="1032"/>
      <c r="I8863" s="959">
        <f>+I8852</f>
        <v>26</v>
      </c>
    </row>
    <row r="8864" spans="3:9" ht="15.75">
      <c r="C8864" s="956" t="s">
        <v>928</v>
      </c>
      <c r="D8864" s="957"/>
      <c r="E8864" s="958"/>
      <c r="F8864" s="1069"/>
      <c r="G8864" s="957"/>
      <c r="H8864" s="1032"/>
      <c r="I8864" s="959">
        <f>+I8856</f>
        <v>0</v>
      </c>
    </row>
    <row r="8865" spans="2:9" ht="15.75">
      <c r="C8865" s="956" t="s">
        <v>929</v>
      </c>
      <c r="D8865" s="957"/>
      <c r="E8865" s="958"/>
      <c r="F8865" s="1069"/>
      <c r="G8865" s="957"/>
      <c r="H8865" s="1032"/>
      <c r="I8865" s="959">
        <f>+I8860</f>
        <v>0</v>
      </c>
    </row>
    <row r="8866" spans="2:9" ht="15.75">
      <c r="C8866" s="949"/>
      <c r="D8866" s="946"/>
      <c r="E8866" s="947"/>
      <c r="F8866" s="1054"/>
      <c r="G8866" s="946"/>
      <c r="H8866" s="1031"/>
      <c r="I8866" s="948"/>
    </row>
    <row r="8867" spans="2:9" ht="15.75">
      <c r="C8867" s="951" t="s">
        <v>930</v>
      </c>
      <c r="D8867" s="960"/>
      <c r="E8867" s="943" t="str">
        <f>+E8843</f>
        <v>M2</v>
      </c>
      <c r="F8867" s="1070"/>
      <c r="G8867" s="960"/>
      <c r="H8867" s="1033"/>
      <c r="I8867" s="952">
        <f>SUM(I8862:I8865)</f>
        <v>101.1</v>
      </c>
    </row>
    <row r="8868" spans="2:9" ht="15.75">
      <c r="C8868" s="951"/>
      <c r="D8868" s="960"/>
      <c r="E8868" s="943"/>
      <c r="F8868" s="1070"/>
      <c r="G8868" s="960"/>
      <c r="H8868" s="1033"/>
      <c r="I8868" s="952"/>
    </row>
    <row r="8869" spans="2:9" ht="15.75">
      <c r="B8869" s="1026">
        <v>5.2</v>
      </c>
      <c r="C8869" s="937" t="str">
        <f>+Presupuesto!B525</f>
        <v xml:space="preserve">Pañete interior </v>
      </c>
      <c r="D8869" s="938"/>
      <c r="E8869" s="962" t="s">
        <v>20</v>
      </c>
      <c r="F8869" s="1066"/>
      <c r="G8869" s="938"/>
      <c r="H8869" s="1029"/>
      <c r="I8869" s="940">
        <f>I8894</f>
        <v>453.5</v>
      </c>
    </row>
    <row r="8870" spans="2:9" ht="15.75">
      <c r="C8870" s="941" t="s">
        <v>908</v>
      </c>
      <c r="D8870" s="942" t="s">
        <v>9</v>
      </c>
      <c r="E8870" s="943" t="s">
        <v>10</v>
      </c>
      <c r="F8870" s="1067" t="s">
        <v>909</v>
      </c>
      <c r="G8870" s="942" t="s">
        <v>910</v>
      </c>
      <c r="H8870" s="1030" t="s">
        <v>911</v>
      </c>
      <c r="I8870" s="944" t="s">
        <v>912</v>
      </c>
    </row>
    <row r="8871" spans="2:9" ht="15.75">
      <c r="C8871" s="945" t="s">
        <v>913</v>
      </c>
      <c r="D8871" s="946"/>
      <c r="E8871" s="947"/>
      <c r="F8871" s="1054"/>
      <c r="G8871" s="946"/>
      <c r="H8871" s="1031"/>
      <c r="I8871" s="948"/>
    </row>
    <row r="8872" spans="2:9" ht="15.75">
      <c r="C8872" s="949" t="s">
        <v>958</v>
      </c>
      <c r="D8872" s="946">
        <v>0.03</v>
      </c>
      <c r="E8872" s="947" t="str">
        <f>+VLOOKUP(C8872,'Basic (equilibrio) (2)'!B:D,2,FALSE)</f>
        <v>m3</v>
      </c>
      <c r="F8872" s="1068">
        <f>'Basic (equilibrio) (2)'!$D$309</f>
        <v>6820</v>
      </c>
      <c r="G8872" s="946">
        <f>F8872-(F8872/1.18)</f>
        <v>1040.3399999999999</v>
      </c>
      <c r="H8872" s="1031"/>
      <c r="I8872" s="948">
        <f>D8872*F8872</f>
        <v>204.6</v>
      </c>
    </row>
    <row r="8873" spans="2:9" ht="15.75">
      <c r="C8873" s="949" t="s">
        <v>1206</v>
      </c>
      <c r="D8873" s="946">
        <v>0.03</v>
      </c>
      <c r="E8873" s="947" t="str">
        <f>+VLOOKUP(C8873,'Basic (equilibrio) (2)'!B:D,2,FALSE)</f>
        <v>pt</v>
      </c>
      <c r="F8873" s="1068">
        <f>'Basic (equilibrio) (2)'!$D$310</f>
        <v>230</v>
      </c>
      <c r="G8873" s="946">
        <f>F8873-(F8873/1.18)</f>
        <v>35.08</v>
      </c>
      <c r="H8873" s="1031"/>
      <c r="I8873" s="948">
        <f>D8873*F8873</f>
        <v>6.9</v>
      </c>
    </row>
    <row r="8874" spans="2:9" ht="15.75">
      <c r="C8874" s="949" t="s">
        <v>1079</v>
      </c>
      <c r="D8874" s="946">
        <v>1</v>
      </c>
      <c r="E8874" s="947" t="str">
        <f>+VLOOKUP(C8874,'Basic (equilibrio) (2)'!B:D,2,FALSE)</f>
        <v>m2</v>
      </c>
      <c r="F8874" s="1068">
        <f>'Basic (equilibrio) (2)'!$D$31</f>
        <v>52</v>
      </c>
      <c r="G8874" s="946">
        <f>F8874-(F8874/1.18)</f>
        <v>7.93</v>
      </c>
      <c r="H8874" s="1031"/>
      <c r="I8874" s="948">
        <f>D8874*F8874</f>
        <v>52</v>
      </c>
    </row>
    <row r="8875" spans="2:9" ht="15.75">
      <c r="C8875" s="951" t="s">
        <v>918</v>
      </c>
      <c r="D8875" s="946"/>
      <c r="E8875" s="947"/>
      <c r="F8875" s="1068"/>
      <c r="G8875" s="946"/>
      <c r="H8875" s="1031"/>
      <c r="I8875" s="952">
        <f>SUM(I8872:I8874)</f>
        <v>263.5</v>
      </c>
    </row>
    <row r="8876" spans="2:9" ht="15.75">
      <c r="C8876" s="949"/>
      <c r="D8876" s="946"/>
      <c r="E8876" s="947"/>
      <c r="F8876" s="1068"/>
      <c r="G8876" s="946"/>
      <c r="H8876" s="1031"/>
      <c r="I8876" s="948"/>
    </row>
    <row r="8877" spans="2:9" ht="15.75">
      <c r="C8877" s="945" t="s">
        <v>919</v>
      </c>
      <c r="D8877" s="946"/>
      <c r="E8877" s="947"/>
      <c r="F8877" s="1068"/>
      <c r="G8877" s="946"/>
      <c r="H8877" s="1031"/>
      <c r="I8877" s="948"/>
    </row>
    <row r="8878" spans="2:9" ht="15.75">
      <c r="C8878" s="949" t="s">
        <v>1078</v>
      </c>
      <c r="D8878" s="953">
        <v>1</v>
      </c>
      <c r="E8878" s="954" t="str">
        <f>+VLOOKUP(C8878,'Basic (equilibrio) (2)'!B:D,2,FALSE)</f>
        <v>m2</v>
      </c>
      <c r="F8878" s="1068">
        <f>'Basic (equilibrio) (2)'!$D$30</f>
        <v>190</v>
      </c>
      <c r="G8878" s="946">
        <v>0</v>
      </c>
      <c r="H8878" s="1031"/>
      <c r="I8878" s="948">
        <f>(D8878*F8878)</f>
        <v>190</v>
      </c>
    </row>
    <row r="8879" spans="2:9" ht="15.75">
      <c r="C8879" s="951" t="s">
        <v>918</v>
      </c>
      <c r="D8879" s="946"/>
      <c r="E8879" s="947"/>
      <c r="F8879" s="1054"/>
      <c r="G8879" s="946"/>
      <c r="H8879" s="1031"/>
      <c r="I8879" s="952">
        <f>SUM(I8878:I8878)</f>
        <v>190</v>
      </c>
    </row>
    <row r="8880" spans="2:9" ht="15.75">
      <c r="C8880" s="949"/>
      <c r="D8880" s="946"/>
      <c r="E8880" s="947"/>
      <c r="F8880" s="1054"/>
      <c r="G8880" s="946"/>
      <c r="H8880" s="1031"/>
      <c r="I8880" s="948"/>
    </row>
    <row r="8881" spans="2:9" ht="15.75">
      <c r="C8881" s="945" t="s">
        <v>923</v>
      </c>
      <c r="D8881" s="946"/>
      <c r="E8881" s="947"/>
      <c r="F8881" s="1054"/>
      <c r="G8881" s="946"/>
      <c r="H8881" s="1031"/>
      <c r="I8881" s="948"/>
    </row>
    <row r="8882" spans="2:9" ht="15.75">
      <c r="C8882" s="949" t="s">
        <v>924</v>
      </c>
      <c r="D8882" s="946"/>
      <c r="E8882" s="947" t="str">
        <f>+VLOOKUP(C8882,'Basic (equilibrio) (2)'!B:D,2,FALSE)</f>
        <v>n/a</v>
      </c>
      <c r="F8882" s="1054">
        <f>+VLOOKUP(C8882,'Basic (equilibrio) (2)'!B:D,3,FALSE)</f>
        <v>0</v>
      </c>
      <c r="G8882" s="946">
        <f>F8882-(F8882/1.18)</f>
        <v>0</v>
      </c>
      <c r="H8882" s="1039"/>
      <c r="I8882" s="955">
        <f>D8882*F8882</f>
        <v>0</v>
      </c>
    </row>
    <row r="8883" spans="2:9" ht="15.75">
      <c r="C8883" s="951" t="s">
        <v>918</v>
      </c>
      <c r="D8883" s="946"/>
      <c r="E8883" s="947"/>
      <c r="F8883" s="1054"/>
      <c r="G8883" s="946"/>
      <c r="H8883" s="1031"/>
      <c r="I8883" s="952">
        <f>SUM(I8882:I8882)</f>
        <v>0</v>
      </c>
    </row>
    <row r="8884" spans="2:9" ht="15.75">
      <c r="C8884" s="949"/>
      <c r="D8884" s="946"/>
      <c r="E8884" s="947"/>
      <c r="F8884" s="1054"/>
      <c r="G8884" s="946"/>
      <c r="H8884" s="1031"/>
      <c r="I8884" s="948"/>
    </row>
    <row r="8885" spans="2:9" ht="15.75">
      <c r="C8885" s="945" t="s">
        <v>925</v>
      </c>
      <c r="D8885" s="946"/>
      <c r="E8885" s="947"/>
      <c r="F8885" s="1054"/>
      <c r="G8885" s="946"/>
      <c r="H8885" s="1031"/>
      <c r="I8885" s="948"/>
    </row>
    <row r="8886" spans="2:9" ht="15.75">
      <c r="C8886" s="949" t="s">
        <v>924</v>
      </c>
      <c r="D8886" s="946"/>
      <c r="E8886" s="947" t="str">
        <f>+VLOOKUP(C8886,'Basic (equilibrio) (2)'!B:D,2,FALSE)</f>
        <v>n/a</v>
      </c>
      <c r="F8886" s="1054">
        <f>+VLOOKUP(C8886,'Basic (equilibrio) (2)'!B:D,3,FALSE)</f>
        <v>0</v>
      </c>
      <c r="G8886" s="946"/>
      <c r="H8886" s="1031"/>
      <c r="I8886" s="948">
        <f>D8886*F8886</f>
        <v>0</v>
      </c>
    </row>
    <row r="8887" spans="2:9" ht="15.75">
      <c r="C8887" s="951" t="s">
        <v>918</v>
      </c>
      <c r="D8887" s="946"/>
      <c r="E8887" s="947"/>
      <c r="F8887" s="1054"/>
      <c r="G8887" s="946"/>
      <c r="H8887" s="1031"/>
      <c r="I8887" s="952">
        <f>SUM(I8886)</f>
        <v>0</v>
      </c>
    </row>
    <row r="8888" spans="2:9" ht="15.75">
      <c r="C8888" s="951"/>
      <c r="D8888" s="946"/>
      <c r="E8888" s="947"/>
      <c r="F8888" s="1054"/>
      <c r="G8888" s="946"/>
      <c r="H8888" s="1031"/>
      <c r="I8888" s="952"/>
    </row>
    <row r="8889" spans="2:9" ht="15.75">
      <c r="C8889" s="956" t="s">
        <v>926</v>
      </c>
      <c r="D8889" s="957"/>
      <c r="E8889" s="958"/>
      <c r="F8889" s="1069"/>
      <c r="G8889" s="957"/>
      <c r="H8889" s="1032"/>
      <c r="I8889" s="959">
        <f>+I8875</f>
        <v>263.5</v>
      </c>
    </row>
    <row r="8890" spans="2:9" ht="15.75">
      <c r="C8890" s="956" t="s">
        <v>927</v>
      </c>
      <c r="D8890" s="957"/>
      <c r="E8890" s="958"/>
      <c r="F8890" s="1069"/>
      <c r="G8890" s="957"/>
      <c r="H8890" s="1032"/>
      <c r="I8890" s="959">
        <f>+I8879</f>
        <v>190</v>
      </c>
    </row>
    <row r="8891" spans="2:9" ht="15.75">
      <c r="C8891" s="956" t="s">
        <v>928</v>
      </c>
      <c r="D8891" s="957"/>
      <c r="E8891" s="958"/>
      <c r="F8891" s="1069"/>
      <c r="G8891" s="957"/>
      <c r="H8891" s="1032"/>
      <c r="I8891" s="959">
        <f>+I8883</f>
        <v>0</v>
      </c>
    </row>
    <row r="8892" spans="2:9" ht="15.75">
      <c r="C8892" s="956" t="s">
        <v>929</v>
      </c>
      <c r="D8892" s="957"/>
      <c r="E8892" s="958"/>
      <c r="F8892" s="1069"/>
      <c r="G8892" s="957"/>
      <c r="H8892" s="1032"/>
      <c r="I8892" s="959">
        <f>+I8887</f>
        <v>0</v>
      </c>
    </row>
    <row r="8893" spans="2:9" ht="15.75">
      <c r="C8893" s="949"/>
      <c r="D8893" s="946"/>
      <c r="E8893" s="947"/>
      <c r="F8893" s="1054"/>
      <c r="G8893" s="946"/>
      <c r="H8893" s="1031"/>
      <c r="I8893" s="948"/>
    </row>
    <row r="8894" spans="2:9" ht="15.75">
      <c r="C8894" s="951" t="s">
        <v>930</v>
      </c>
      <c r="D8894" s="960"/>
      <c r="E8894" s="943" t="str">
        <f>+E8869</f>
        <v>M2</v>
      </c>
      <c r="F8894" s="1070"/>
      <c r="G8894" s="960"/>
      <c r="H8894" s="1033"/>
      <c r="I8894" s="952">
        <f>SUM(I8889:I8892)</f>
        <v>453.5</v>
      </c>
    </row>
    <row r="8895" spans="2:9" ht="15.75">
      <c r="C8895" s="951"/>
      <c r="D8895" s="960"/>
      <c r="E8895" s="943"/>
      <c r="F8895" s="1070"/>
      <c r="G8895" s="960"/>
      <c r="H8895" s="1033"/>
      <c r="I8895" s="952"/>
    </row>
    <row r="8896" spans="2:9" ht="15.75">
      <c r="B8896" s="1026">
        <v>5.3</v>
      </c>
      <c r="C8896" s="937" t="str">
        <f>+Presupuesto!B526</f>
        <v>Pañete exterior</v>
      </c>
      <c r="D8896" s="938"/>
      <c r="E8896" s="962" t="s">
        <v>20</v>
      </c>
      <c r="F8896" s="1066"/>
      <c r="G8896" s="938"/>
      <c r="H8896" s="1029"/>
      <c r="I8896" s="940">
        <f>I8921</f>
        <v>453.5</v>
      </c>
    </row>
    <row r="8897" spans="3:9" ht="15.75">
      <c r="C8897" s="941" t="s">
        <v>908</v>
      </c>
      <c r="D8897" s="942" t="s">
        <v>9</v>
      </c>
      <c r="E8897" s="943" t="s">
        <v>10</v>
      </c>
      <c r="F8897" s="1067" t="s">
        <v>909</v>
      </c>
      <c r="G8897" s="942" t="s">
        <v>910</v>
      </c>
      <c r="H8897" s="1030" t="s">
        <v>911</v>
      </c>
      <c r="I8897" s="944" t="s">
        <v>912</v>
      </c>
    </row>
    <row r="8898" spans="3:9" ht="15.75">
      <c r="C8898" s="945" t="s">
        <v>913</v>
      </c>
      <c r="D8898" s="946"/>
      <c r="E8898" s="947"/>
      <c r="F8898" s="1054"/>
      <c r="G8898" s="946"/>
      <c r="H8898" s="1031"/>
      <c r="I8898" s="948"/>
    </row>
    <row r="8899" spans="3:9" ht="15.75">
      <c r="C8899" s="949" t="s">
        <v>958</v>
      </c>
      <c r="D8899" s="946">
        <v>0.03</v>
      </c>
      <c r="E8899" s="947" t="str">
        <f>+VLOOKUP(C8899,'Basic (equilibrio) (2)'!B:D,2,FALSE)</f>
        <v>m3</v>
      </c>
      <c r="F8899" s="1068">
        <f>'Basic (equilibrio) (2)'!$D$309</f>
        <v>6820</v>
      </c>
      <c r="G8899" s="946">
        <f>F8899-(F8899/1.18)</f>
        <v>1040.3399999999999</v>
      </c>
      <c r="H8899" s="1031"/>
      <c r="I8899" s="948">
        <f>D8899*F8899</f>
        <v>204.6</v>
      </c>
    </row>
    <row r="8900" spans="3:9" ht="15.75">
      <c r="C8900" s="949" t="s">
        <v>1206</v>
      </c>
      <c r="D8900" s="946">
        <v>0.03</v>
      </c>
      <c r="E8900" s="947" t="str">
        <f>+VLOOKUP(C8900,'Basic (equilibrio) (2)'!B:D,2,FALSE)</f>
        <v>pt</v>
      </c>
      <c r="F8900" s="1068">
        <f>'Basic (equilibrio) (2)'!$D$310</f>
        <v>230</v>
      </c>
      <c r="G8900" s="946">
        <f>F8900-(F8900/1.18)</f>
        <v>35.08</v>
      </c>
      <c r="H8900" s="1031"/>
      <c r="I8900" s="948">
        <f>D8900*F8900</f>
        <v>6.9</v>
      </c>
    </row>
    <row r="8901" spans="3:9" ht="15.75">
      <c r="C8901" s="949" t="s">
        <v>1079</v>
      </c>
      <c r="D8901" s="946">
        <v>1</v>
      </c>
      <c r="E8901" s="947" t="str">
        <f>+VLOOKUP(C8901,'Basic (equilibrio) (2)'!B:D,2,FALSE)</f>
        <v>m2</v>
      </c>
      <c r="F8901" s="1068">
        <f>'Basic (equilibrio) (2)'!$D$31</f>
        <v>52</v>
      </c>
      <c r="G8901" s="946">
        <f>F8901-(F8901/1.18)</f>
        <v>7.93</v>
      </c>
      <c r="H8901" s="1031"/>
      <c r="I8901" s="948">
        <f>D8901*F8901</f>
        <v>52</v>
      </c>
    </row>
    <row r="8902" spans="3:9" ht="15.75">
      <c r="C8902" s="951" t="s">
        <v>918</v>
      </c>
      <c r="D8902" s="946"/>
      <c r="E8902" s="947"/>
      <c r="F8902" s="1068"/>
      <c r="G8902" s="946"/>
      <c r="H8902" s="1031"/>
      <c r="I8902" s="952">
        <f>SUM(I8899:I8901)</f>
        <v>263.5</v>
      </c>
    </row>
    <row r="8903" spans="3:9" ht="15.75">
      <c r="C8903" s="949"/>
      <c r="D8903" s="946"/>
      <c r="E8903" s="947"/>
      <c r="F8903" s="1068"/>
      <c r="G8903" s="946"/>
      <c r="H8903" s="1031"/>
      <c r="I8903" s="948"/>
    </row>
    <row r="8904" spans="3:9" ht="15.75">
      <c r="C8904" s="945" t="s">
        <v>919</v>
      </c>
      <c r="D8904" s="946"/>
      <c r="E8904" s="947"/>
      <c r="F8904" s="1068"/>
      <c r="G8904" s="946"/>
      <c r="H8904" s="1031"/>
      <c r="I8904" s="948"/>
    </row>
    <row r="8905" spans="3:9" ht="15.75">
      <c r="C8905" s="949" t="s">
        <v>1078</v>
      </c>
      <c r="D8905" s="953">
        <v>1</v>
      </c>
      <c r="E8905" s="954" t="str">
        <f>+VLOOKUP(C8905,'Basic (equilibrio) (2)'!B:D,2,FALSE)</f>
        <v>m2</v>
      </c>
      <c r="F8905" s="1068">
        <f>'Basic (equilibrio) (2)'!$D$30</f>
        <v>190</v>
      </c>
      <c r="G8905" s="946">
        <v>0</v>
      </c>
      <c r="H8905" s="1031"/>
      <c r="I8905" s="948">
        <f>(D8905*F8905)</f>
        <v>190</v>
      </c>
    </row>
    <row r="8906" spans="3:9" ht="15.75">
      <c r="C8906" s="951" t="s">
        <v>918</v>
      </c>
      <c r="D8906" s="946"/>
      <c r="E8906" s="947"/>
      <c r="F8906" s="1054"/>
      <c r="G8906" s="946"/>
      <c r="H8906" s="1031"/>
      <c r="I8906" s="952">
        <f>SUM(I8905:I8905)</f>
        <v>190</v>
      </c>
    </row>
    <row r="8907" spans="3:9" ht="15.75">
      <c r="C8907" s="949"/>
      <c r="D8907" s="946"/>
      <c r="E8907" s="947"/>
      <c r="F8907" s="1054"/>
      <c r="G8907" s="946"/>
      <c r="H8907" s="1031"/>
      <c r="I8907" s="948"/>
    </row>
    <row r="8908" spans="3:9" ht="15.75">
      <c r="C8908" s="945" t="s">
        <v>923</v>
      </c>
      <c r="D8908" s="946"/>
      <c r="E8908" s="947"/>
      <c r="F8908" s="1054"/>
      <c r="G8908" s="946"/>
      <c r="H8908" s="1031"/>
      <c r="I8908" s="948"/>
    </row>
    <row r="8909" spans="3:9" ht="15.75">
      <c r="C8909" s="949" t="s">
        <v>924</v>
      </c>
      <c r="D8909" s="946"/>
      <c r="E8909" s="947" t="str">
        <f>+VLOOKUP(C8909,'Basic (equilibrio) (2)'!B:D,2,FALSE)</f>
        <v>n/a</v>
      </c>
      <c r="F8909" s="1054">
        <f>+VLOOKUP(C8909,'Basic (equilibrio) (2)'!B:D,3,FALSE)</f>
        <v>0</v>
      </c>
      <c r="G8909" s="946">
        <f>F8909-(F8909/1.18)</f>
        <v>0</v>
      </c>
      <c r="H8909" s="1039"/>
      <c r="I8909" s="955">
        <f>D8909*F8909</f>
        <v>0</v>
      </c>
    </row>
    <row r="8910" spans="3:9" ht="15.75">
      <c r="C8910" s="951" t="s">
        <v>918</v>
      </c>
      <c r="D8910" s="946"/>
      <c r="E8910" s="947"/>
      <c r="F8910" s="1054"/>
      <c r="G8910" s="946"/>
      <c r="H8910" s="1031"/>
      <c r="I8910" s="952">
        <f>SUM(I8909:I8909)</f>
        <v>0</v>
      </c>
    </row>
    <row r="8911" spans="3:9" ht="15.75">
      <c r="C8911" s="949"/>
      <c r="D8911" s="946"/>
      <c r="E8911" s="947"/>
      <c r="F8911" s="1054"/>
      <c r="G8911" s="946"/>
      <c r="H8911" s="1031"/>
      <c r="I8911" s="948"/>
    </row>
    <row r="8912" spans="3:9" ht="15.75">
      <c r="C8912" s="945" t="s">
        <v>925</v>
      </c>
      <c r="D8912" s="946"/>
      <c r="E8912" s="947"/>
      <c r="F8912" s="1054"/>
      <c r="G8912" s="946"/>
      <c r="H8912" s="1031"/>
      <c r="I8912" s="948"/>
    </row>
    <row r="8913" spans="2:9" ht="15.75">
      <c r="C8913" s="949" t="s">
        <v>924</v>
      </c>
      <c r="D8913" s="946"/>
      <c r="E8913" s="947" t="str">
        <f>+VLOOKUP(C8913,'Basic (equilibrio) (2)'!B:D,2,FALSE)</f>
        <v>n/a</v>
      </c>
      <c r="F8913" s="1054">
        <f>+VLOOKUP(C8913,'Basic (equilibrio) (2)'!B:D,3,FALSE)</f>
        <v>0</v>
      </c>
      <c r="G8913" s="946"/>
      <c r="H8913" s="1031"/>
      <c r="I8913" s="948">
        <f>D8913*F8913</f>
        <v>0</v>
      </c>
    </row>
    <row r="8914" spans="2:9" ht="15.75">
      <c r="C8914" s="951" t="s">
        <v>918</v>
      </c>
      <c r="D8914" s="946"/>
      <c r="E8914" s="947"/>
      <c r="F8914" s="1054"/>
      <c r="G8914" s="946"/>
      <c r="H8914" s="1031"/>
      <c r="I8914" s="952">
        <f>SUM(I8913)</f>
        <v>0</v>
      </c>
    </row>
    <row r="8915" spans="2:9" ht="15.75">
      <c r="C8915" s="951"/>
      <c r="D8915" s="946"/>
      <c r="E8915" s="947"/>
      <c r="F8915" s="1054"/>
      <c r="G8915" s="946"/>
      <c r="H8915" s="1031"/>
      <c r="I8915" s="952"/>
    </row>
    <row r="8916" spans="2:9" ht="15.75">
      <c r="C8916" s="956" t="s">
        <v>926</v>
      </c>
      <c r="D8916" s="957"/>
      <c r="E8916" s="958"/>
      <c r="F8916" s="1069"/>
      <c r="G8916" s="957"/>
      <c r="H8916" s="1032"/>
      <c r="I8916" s="959">
        <f>+I8902</f>
        <v>263.5</v>
      </c>
    </row>
    <row r="8917" spans="2:9" ht="15.75">
      <c r="C8917" s="956" t="s">
        <v>927</v>
      </c>
      <c r="D8917" s="957"/>
      <c r="E8917" s="958"/>
      <c r="F8917" s="1069"/>
      <c r="G8917" s="957"/>
      <c r="H8917" s="1032"/>
      <c r="I8917" s="959">
        <f>+I8906</f>
        <v>190</v>
      </c>
    </row>
    <row r="8918" spans="2:9" ht="15.75">
      <c r="C8918" s="956" t="s">
        <v>928</v>
      </c>
      <c r="D8918" s="957"/>
      <c r="E8918" s="958"/>
      <c r="F8918" s="1069"/>
      <c r="G8918" s="957"/>
      <c r="H8918" s="1032"/>
      <c r="I8918" s="959">
        <f>+I8910</f>
        <v>0</v>
      </c>
    </row>
    <row r="8919" spans="2:9" ht="15.75">
      <c r="C8919" s="956" t="s">
        <v>929</v>
      </c>
      <c r="D8919" s="957"/>
      <c r="E8919" s="958"/>
      <c r="F8919" s="1069"/>
      <c r="G8919" s="957"/>
      <c r="H8919" s="1032"/>
      <c r="I8919" s="959">
        <f>+I8914</f>
        <v>0</v>
      </c>
    </row>
    <row r="8920" spans="2:9" ht="15.75">
      <c r="C8920" s="949"/>
      <c r="D8920" s="946"/>
      <c r="E8920" s="947"/>
      <c r="F8920" s="1054"/>
      <c r="G8920" s="946"/>
      <c r="H8920" s="1031"/>
      <c r="I8920" s="948"/>
    </row>
    <row r="8921" spans="2:9" ht="15.75">
      <c r="C8921" s="951" t="s">
        <v>930</v>
      </c>
      <c r="D8921" s="960"/>
      <c r="E8921" s="943" t="str">
        <f>+E8896</f>
        <v>M2</v>
      </c>
      <c r="F8921" s="1070"/>
      <c r="G8921" s="960"/>
      <c r="H8921" s="1033"/>
      <c r="I8921" s="952">
        <f>SUM(I8916:I8919)</f>
        <v>453.5</v>
      </c>
    </row>
    <row r="8922" spans="2:9" ht="15.75">
      <c r="C8922" s="951"/>
      <c r="D8922" s="960"/>
      <c r="E8922" s="943"/>
      <c r="F8922" s="1070"/>
      <c r="G8922" s="960"/>
      <c r="H8922" s="1033"/>
      <c r="I8922" s="952"/>
    </row>
    <row r="8923" spans="2:9" ht="15.75">
      <c r="B8923" s="1063">
        <v>5.4</v>
      </c>
      <c r="C8923" s="937" t="str">
        <f>+Presupuesto!B527</f>
        <v xml:space="preserve">Fino de techo </v>
      </c>
      <c r="D8923" s="938"/>
      <c r="E8923" s="962" t="s">
        <v>1000</v>
      </c>
      <c r="F8923" s="1066"/>
      <c r="G8923" s="938"/>
      <c r="H8923" s="1029"/>
      <c r="I8923" s="940">
        <f>I8952</f>
        <v>542.22</v>
      </c>
    </row>
    <row r="8924" spans="2:9" ht="15.75">
      <c r="C8924" s="941" t="s">
        <v>908</v>
      </c>
      <c r="D8924" s="942" t="s">
        <v>9</v>
      </c>
      <c r="E8924" s="943" t="s">
        <v>10</v>
      </c>
      <c r="F8924" s="1067" t="s">
        <v>909</v>
      </c>
      <c r="G8924" s="942" t="s">
        <v>910</v>
      </c>
      <c r="H8924" s="1030" t="s">
        <v>911</v>
      </c>
      <c r="I8924" s="944" t="s">
        <v>912</v>
      </c>
    </row>
    <row r="8925" spans="2:9" ht="15.75">
      <c r="C8925" s="945" t="s">
        <v>913</v>
      </c>
      <c r="D8925" s="946"/>
      <c r="E8925" s="947"/>
      <c r="F8925" s="1054"/>
      <c r="G8925" s="946"/>
      <c r="H8925" s="1031"/>
      <c r="I8925" s="948"/>
    </row>
    <row r="8926" spans="2:9" ht="15.75">
      <c r="C8926" s="949" t="s">
        <v>1003</v>
      </c>
      <c r="D8926" s="946">
        <v>0.57999999999999996</v>
      </c>
      <c r="E8926" s="947" t="str">
        <f>+VLOOKUP(C8926,'Basic (equilibrio) (2)'!B:D,2,FALSE)</f>
        <v>fda</v>
      </c>
      <c r="F8926" s="1068">
        <f>'Basic (equilibrio) (2)'!$D$298</f>
        <v>480</v>
      </c>
      <c r="G8926" s="946">
        <f>F8926-(F8926/1.18)</f>
        <v>73.22</v>
      </c>
      <c r="H8926" s="1031"/>
      <c r="I8926" s="948">
        <f>D8926*F8926</f>
        <v>278.39999999999998</v>
      </c>
    </row>
    <row r="8927" spans="2:9" ht="15.75">
      <c r="C8927" s="949" t="s">
        <v>1002</v>
      </c>
      <c r="D8927" s="946">
        <v>0.05</v>
      </c>
      <c r="E8927" s="947" t="str">
        <f>+VLOOKUP(C8927,'Basic (equilibrio) (2)'!B:D,2,FALSE)</f>
        <v>m3e</v>
      </c>
      <c r="F8927" s="1068">
        <f>'Basic (equilibrio) (2)'!$D$181</f>
        <v>1800</v>
      </c>
      <c r="G8927" s="946">
        <f>F8927-(F8927/1.18)</f>
        <v>274.58</v>
      </c>
      <c r="H8927" s="1031"/>
      <c r="I8927" s="948">
        <f>D8927*F8927</f>
        <v>90</v>
      </c>
    </row>
    <row r="8928" spans="2:9" ht="15.75">
      <c r="C8928" s="949" t="s">
        <v>1004</v>
      </c>
      <c r="D8928" s="946">
        <v>3.05</v>
      </c>
      <c r="E8928" s="947" t="str">
        <f>+VLOOKUP(C8928,'Basic (equilibrio) (2)'!B:D,2,FALSE)</f>
        <v>gl</v>
      </c>
      <c r="F8928" s="1068">
        <f>'Basic (equilibrio) (2)'!$D$191</f>
        <v>1</v>
      </c>
      <c r="G8928" s="946">
        <f>F8928-(F8928/1.18)</f>
        <v>0.15</v>
      </c>
      <c r="H8928" s="1031"/>
      <c r="I8928" s="948">
        <f>D8928*F8928</f>
        <v>3.05</v>
      </c>
    </row>
    <row r="8929" spans="3:9" ht="15.75">
      <c r="C8929" s="949" t="s">
        <v>916</v>
      </c>
      <c r="D8929" s="946">
        <v>0.1</v>
      </c>
      <c r="E8929" s="947" t="str">
        <f>+VLOOKUP(C8929,'Basic (equilibrio) (2)'!B:D,2,FALSE)</f>
        <v>pt</v>
      </c>
      <c r="F8929" s="1068">
        <f>'Basic (equilibrio) (2)'!$D$194</f>
        <v>107.7</v>
      </c>
      <c r="G8929" s="946">
        <f>F8929-(F8929/1.18)</f>
        <v>16.43</v>
      </c>
      <c r="H8929" s="1031"/>
      <c r="I8929" s="948">
        <f>D8929*F8929</f>
        <v>10.77</v>
      </c>
    </row>
    <row r="8930" spans="3:9" ht="15.75">
      <c r="C8930" s="951" t="s">
        <v>918</v>
      </c>
      <c r="D8930" s="946"/>
      <c r="E8930" s="947"/>
      <c r="F8930" s="1068"/>
      <c r="G8930" s="946"/>
      <c r="H8930" s="1031"/>
      <c r="I8930" s="952">
        <f>SUM(I8926:I8929)</f>
        <v>382.22</v>
      </c>
    </row>
    <row r="8931" spans="3:9" ht="15.75">
      <c r="C8931" s="949"/>
      <c r="D8931" s="946"/>
      <c r="E8931" s="947"/>
      <c r="F8931" s="1068"/>
      <c r="G8931" s="946"/>
      <c r="H8931" s="1031"/>
      <c r="I8931" s="948"/>
    </row>
    <row r="8932" spans="3:9" ht="15.75">
      <c r="C8932" s="945" t="s">
        <v>919</v>
      </c>
      <c r="D8932" s="946"/>
      <c r="E8932" s="947"/>
      <c r="F8932" s="1068"/>
      <c r="G8932" s="946"/>
      <c r="H8932" s="1031"/>
      <c r="I8932" s="948"/>
    </row>
    <row r="8933" spans="3:9" ht="15.75">
      <c r="C8933" s="949" t="s">
        <v>1029</v>
      </c>
      <c r="D8933" s="953">
        <v>0.05</v>
      </c>
      <c r="E8933" s="954" t="str">
        <f>+VLOOKUP(C8933,'Basic (equilibrio) (2)'!B:D,2,FALSE)</f>
        <v>dia</v>
      </c>
      <c r="F8933" s="1068">
        <f>'Basic (equilibrio) (2)'!$D$16</f>
        <v>900</v>
      </c>
      <c r="G8933" s="946">
        <v>0</v>
      </c>
      <c r="H8933" s="1031"/>
      <c r="I8933" s="948">
        <f t="shared" ref="I8933:I8935" si="59">(D8933*F8933)</f>
        <v>45</v>
      </c>
    </row>
    <row r="8934" spans="3:9" ht="15.75">
      <c r="C8934" s="949" t="s">
        <v>1108</v>
      </c>
      <c r="D8934" s="953">
        <v>1</v>
      </c>
      <c r="E8934" s="954" t="str">
        <f>+VLOOKUP(C8934,'Basic (equilibrio) (2)'!B:D,2,FALSE)</f>
        <v>P.a</v>
      </c>
      <c r="F8934" s="1068">
        <f>'Basic (equilibrio) (2)'!$D$39</f>
        <v>12</v>
      </c>
      <c r="G8934" s="946">
        <v>0</v>
      </c>
      <c r="H8934" s="1031"/>
      <c r="I8934" s="948">
        <f t="shared" si="59"/>
        <v>12</v>
      </c>
    </row>
    <row r="8935" spans="3:9" ht="15.75">
      <c r="C8935" s="949" t="s">
        <v>1107</v>
      </c>
      <c r="D8935" s="953">
        <v>1</v>
      </c>
      <c r="E8935" s="954" t="str">
        <f>+VLOOKUP(C8935,'Basic (equilibrio) (2)'!B:D,2,FALSE)</f>
        <v>m2</v>
      </c>
      <c r="F8935" s="1068">
        <f>'Basic (equilibrio) (2)'!$D$38</f>
        <v>103</v>
      </c>
      <c r="G8935" s="946">
        <v>0</v>
      </c>
      <c r="H8935" s="1031"/>
      <c r="I8935" s="948">
        <f t="shared" si="59"/>
        <v>103</v>
      </c>
    </row>
    <row r="8936" spans="3:9" ht="15.75">
      <c r="C8936" s="951" t="s">
        <v>918</v>
      </c>
      <c r="D8936" s="946"/>
      <c r="E8936" s="947"/>
      <c r="F8936" s="1054"/>
      <c r="G8936" s="946"/>
      <c r="H8936" s="1031"/>
      <c r="I8936" s="952">
        <f>SUM(I8933:I8935)</f>
        <v>160</v>
      </c>
    </row>
    <row r="8937" spans="3:9" ht="15.75">
      <c r="C8937" s="949"/>
      <c r="D8937" s="946"/>
      <c r="E8937" s="947"/>
      <c r="F8937" s="1054"/>
      <c r="G8937" s="946"/>
      <c r="H8937" s="1031"/>
      <c r="I8937" s="948"/>
    </row>
    <row r="8938" spans="3:9" ht="15.75">
      <c r="C8938" s="945" t="s">
        <v>923</v>
      </c>
      <c r="D8938" s="946"/>
      <c r="E8938" s="947"/>
      <c r="F8938" s="1054"/>
      <c r="G8938" s="946"/>
      <c r="H8938" s="1031"/>
      <c r="I8938" s="948"/>
    </row>
    <row r="8939" spans="3:9" ht="15.75">
      <c r="C8939" s="949" t="s">
        <v>924</v>
      </c>
      <c r="D8939" s="946"/>
      <c r="E8939" s="947" t="str">
        <f>+VLOOKUP(C8939,'Basic (equilibrio) (2)'!B:D,2,FALSE)</f>
        <v>n/a</v>
      </c>
      <c r="F8939" s="1054">
        <f>+VLOOKUP(C8939,'Basic (equilibrio) (2)'!B:D,3,FALSE)</f>
        <v>0</v>
      </c>
      <c r="G8939" s="946">
        <f>F8939-(F8939/1.18)</f>
        <v>0</v>
      </c>
      <c r="H8939" s="1039"/>
      <c r="I8939" s="955">
        <f>D8939*F8939</f>
        <v>0</v>
      </c>
    </row>
    <row r="8940" spans="3:9" ht="15.75">
      <c r="C8940" s="951" t="s">
        <v>918</v>
      </c>
      <c r="D8940" s="946"/>
      <c r="E8940" s="947"/>
      <c r="F8940" s="1054"/>
      <c r="G8940" s="946"/>
      <c r="H8940" s="1031"/>
      <c r="I8940" s="952">
        <f>SUM(I8939:I8939)</f>
        <v>0</v>
      </c>
    </row>
    <row r="8941" spans="3:9" ht="15.75">
      <c r="C8941" s="949"/>
      <c r="D8941" s="946"/>
      <c r="E8941" s="947"/>
      <c r="F8941" s="1054"/>
      <c r="G8941" s="946"/>
      <c r="H8941" s="1031"/>
      <c r="I8941" s="948"/>
    </row>
    <row r="8942" spans="3:9" ht="15.75">
      <c r="C8942" s="945" t="s">
        <v>925</v>
      </c>
      <c r="D8942" s="946"/>
      <c r="E8942" s="947"/>
      <c r="F8942" s="1054"/>
      <c r="G8942" s="946"/>
      <c r="H8942" s="1031"/>
      <c r="I8942" s="948"/>
    </row>
    <row r="8943" spans="3:9" ht="15.75">
      <c r="C8943" s="949" t="s">
        <v>924</v>
      </c>
      <c r="D8943" s="946"/>
      <c r="E8943" s="947" t="str">
        <f>+VLOOKUP(C8943,'Basic (equilibrio) (2)'!B:D,2,FALSE)</f>
        <v>n/a</v>
      </c>
      <c r="F8943" s="1054">
        <f>+VLOOKUP(C8943,'Basic (equilibrio) (2)'!B:D,3,FALSE)</f>
        <v>0</v>
      </c>
      <c r="G8943" s="946"/>
      <c r="H8943" s="1031"/>
      <c r="I8943" s="948">
        <f>D8943*F8943</f>
        <v>0</v>
      </c>
    </row>
    <row r="8944" spans="3:9" ht="15.75">
      <c r="C8944" s="951" t="s">
        <v>918</v>
      </c>
      <c r="D8944" s="946"/>
      <c r="E8944" s="947"/>
      <c r="F8944" s="1054"/>
      <c r="G8944" s="946"/>
      <c r="H8944" s="1031"/>
      <c r="I8944" s="952">
        <f>SUM(I8943)</f>
        <v>0</v>
      </c>
    </row>
    <row r="8945" spans="2:9" ht="15.75">
      <c r="C8945" s="951"/>
      <c r="D8945" s="946"/>
      <c r="E8945" s="947"/>
      <c r="F8945" s="1054"/>
      <c r="G8945" s="946"/>
      <c r="H8945" s="1031"/>
      <c r="I8945" s="952"/>
    </row>
    <row r="8946" spans="2:9" ht="15.75">
      <c r="C8946" s="956" t="s">
        <v>926</v>
      </c>
      <c r="D8946" s="957"/>
      <c r="E8946" s="958"/>
      <c r="F8946" s="1069"/>
      <c r="G8946" s="957"/>
      <c r="H8946" s="1032"/>
      <c r="I8946" s="959">
        <f>+I8930</f>
        <v>382.22</v>
      </c>
    </row>
    <row r="8947" spans="2:9" ht="15.75">
      <c r="C8947" s="956" t="s">
        <v>927</v>
      </c>
      <c r="D8947" s="957"/>
      <c r="E8947" s="958"/>
      <c r="F8947" s="1069"/>
      <c r="G8947" s="957"/>
      <c r="H8947" s="1032"/>
      <c r="I8947" s="959">
        <f>+I8936</f>
        <v>160</v>
      </c>
    </row>
    <row r="8948" spans="2:9" ht="15.75">
      <c r="C8948" s="956" t="s">
        <v>928</v>
      </c>
      <c r="D8948" s="957"/>
      <c r="E8948" s="958"/>
      <c r="F8948" s="1069"/>
      <c r="G8948" s="957"/>
      <c r="H8948" s="1032"/>
      <c r="I8948" s="959">
        <f>+I8940</f>
        <v>0</v>
      </c>
    </row>
    <row r="8949" spans="2:9" ht="15.75">
      <c r="C8949" s="956" t="s">
        <v>929</v>
      </c>
      <c r="D8949" s="957"/>
      <c r="E8949" s="958"/>
      <c r="F8949" s="1069"/>
      <c r="G8949" s="957"/>
      <c r="H8949" s="1032"/>
      <c r="I8949" s="959">
        <f>+I8944</f>
        <v>0</v>
      </c>
    </row>
    <row r="8950" spans="2:9" ht="15.75">
      <c r="C8950" s="949"/>
      <c r="D8950" s="946"/>
      <c r="E8950" s="947"/>
      <c r="F8950" s="1054"/>
      <c r="G8950" s="946"/>
      <c r="H8950" s="1031"/>
      <c r="I8950" s="948"/>
    </row>
    <row r="8951" spans="2:9" ht="15.75">
      <c r="C8951" s="949"/>
      <c r="D8951" s="946"/>
      <c r="E8951" s="947"/>
      <c r="F8951" s="1054"/>
      <c r="G8951" s="946"/>
      <c r="H8951" s="1031"/>
      <c r="I8951" s="948"/>
    </row>
    <row r="8952" spans="2:9" ht="15.75">
      <c r="C8952" s="951" t="s">
        <v>930</v>
      </c>
      <c r="D8952" s="960"/>
      <c r="E8952" s="943" t="str">
        <f>+E8923</f>
        <v>m2</v>
      </c>
      <c r="F8952" s="1070"/>
      <c r="G8952" s="960"/>
      <c r="H8952" s="1033"/>
      <c r="I8952" s="952">
        <f>SUM(I8946:I8949)</f>
        <v>542.22</v>
      </c>
    </row>
    <row r="8953" spans="2:9" ht="15.75">
      <c r="C8953" s="951"/>
      <c r="D8953" s="960"/>
      <c r="E8953" s="943"/>
      <c r="F8953" s="1070"/>
      <c r="G8953" s="960"/>
      <c r="H8953" s="1033"/>
      <c r="I8953" s="952"/>
    </row>
    <row r="8954" spans="2:9" ht="15.75">
      <c r="B8954" s="1026">
        <v>5.6</v>
      </c>
      <c r="C8954" s="937" t="str">
        <f>+Presupuesto!B528:B528</f>
        <v>Cantos</v>
      </c>
      <c r="D8954" s="938"/>
      <c r="E8954" s="962" t="s">
        <v>15</v>
      </c>
      <c r="F8954" s="1066"/>
      <c r="G8954" s="938"/>
      <c r="H8954" s="1029"/>
      <c r="I8954" s="940">
        <f>I8978</f>
        <v>158.5</v>
      </c>
    </row>
    <row r="8955" spans="2:9" ht="15.75">
      <c r="C8955" s="941" t="s">
        <v>908</v>
      </c>
      <c r="D8955" s="942" t="s">
        <v>9</v>
      </c>
      <c r="E8955" s="943" t="s">
        <v>10</v>
      </c>
      <c r="F8955" s="1067" t="s">
        <v>909</v>
      </c>
      <c r="G8955" s="942" t="s">
        <v>910</v>
      </c>
      <c r="H8955" s="1030" t="s">
        <v>911</v>
      </c>
      <c r="I8955" s="944" t="s">
        <v>912</v>
      </c>
    </row>
    <row r="8956" spans="2:9" ht="15.75">
      <c r="C8956" s="945" t="s">
        <v>913</v>
      </c>
      <c r="D8956" s="946"/>
      <c r="E8956" s="947"/>
      <c r="F8956" s="1054"/>
      <c r="G8956" s="946"/>
      <c r="H8956" s="1031"/>
      <c r="I8956" s="948"/>
    </row>
    <row r="8957" spans="2:9" ht="15.75">
      <c r="C8957" s="949" t="s">
        <v>958</v>
      </c>
      <c r="D8957" s="946">
        <v>0.01</v>
      </c>
      <c r="E8957" s="947" t="str">
        <f>+VLOOKUP(C8957,'Basic (equilibrio) (2)'!B:D,2,FALSE)</f>
        <v>m3</v>
      </c>
      <c r="F8957" s="1068">
        <f>'Basic (equilibrio) (2)'!$D$309</f>
        <v>6820</v>
      </c>
      <c r="G8957" s="946">
        <f>F8957-(F8957/1.18)</f>
        <v>1040.3399999999999</v>
      </c>
      <c r="H8957" s="1031"/>
      <c r="I8957" s="948">
        <f>D8957*F8957</f>
        <v>68.2</v>
      </c>
    </row>
    <row r="8958" spans="2:9" ht="15.75">
      <c r="C8958" s="949" t="s">
        <v>1206</v>
      </c>
      <c r="D8958" s="946">
        <v>0.11</v>
      </c>
      <c r="E8958" s="947" t="str">
        <f>+VLOOKUP(C8958,'Basic (equilibrio) (2)'!B:D,2,FALSE)</f>
        <v>pt</v>
      </c>
      <c r="F8958" s="1068">
        <f>'Basic (equilibrio) (2)'!$D$310</f>
        <v>230</v>
      </c>
      <c r="G8958" s="946">
        <f>F8958-(F8958/1.18)</f>
        <v>35.08</v>
      </c>
      <c r="H8958" s="1031"/>
      <c r="I8958" s="948">
        <f>D8958*F8958</f>
        <v>25.3</v>
      </c>
    </row>
    <row r="8959" spans="2:9" ht="15.75">
      <c r="C8959" s="951" t="s">
        <v>918</v>
      </c>
      <c r="D8959" s="946"/>
      <c r="E8959" s="947"/>
      <c r="F8959" s="1068"/>
      <c r="G8959" s="946"/>
      <c r="H8959" s="1031"/>
      <c r="I8959" s="952">
        <f>SUM(I8957:I8958)</f>
        <v>93.5</v>
      </c>
    </row>
    <row r="8960" spans="2:9" ht="15.75">
      <c r="C8960" s="949"/>
      <c r="D8960" s="946"/>
      <c r="E8960" s="947"/>
      <c r="F8960" s="1068"/>
      <c r="G8960" s="946"/>
      <c r="H8960" s="1031"/>
      <c r="I8960" s="948"/>
    </row>
    <row r="8961" spans="3:9" ht="15.75">
      <c r="C8961" s="945" t="s">
        <v>919</v>
      </c>
      <c r="D8961" s="946"/>
      <c r="E8961" s="947"/>
      <c r="F8961" s="1068"/>
      <c r="G8961" s="946"/>
      <c r="H8961" s="1031"/>
      <c r="I8961" s="948"/>
    </row>
    <row r="8962" spans="3:9" ht="15.75">
      <c r="C8962" s="949" t="s">
        <v>1081</v>
      </c>
      <c r="D8962" s="953">
        <v>1</v>
      </c>
      <c r="E8962" s="954" t="str">
        <f>+VLOOKUP(C8962,'Basic (equilibrio) (2)'!B:D,2,FALSE)</f>
        <v>ml</v>
      </c>
      <c r="F8962" s="1068">
        <f>'Basic (equilibrio) (2)'!$D$33</f>
        <v>65</v>
      </c>
      <c r="G8962" s="946">
        <v>0</v>
      </c>
      <c r="H8962" s="1031"/>
      <c r="I8962" s="948">
        <f>(D8962*F8962)</f>
        <v>65</v>
      </c>
    </row>
    <row r="8963" spans="3:9" ht="15.75">
      <c r="C8963" s="951" t="s">
        <v>918</v>
      </c>
      <c r="D8963" s="946"/>
      <c r="E8963" s="947"/>
      <c r="F8963" s="1054"/>
      <c r="G8963" s="946"/>
      <c r="H8963" s="1031"/>
      <c r="I8963" s="952">
        <f>SUM(I8962:I8962)</f>
        <v>65</v>
      </c>
    </row>
    <row r="8964" spans="3:9" ht="15.75">
      <c r="C8964" s="949"/>
      <c r="D8964" s="946"/>
      <c r="E8964" s="947"/>
      <c r="F8964" s="1054"/>
      <c r="G8964" s="946"/>
      <c r="H8964" s="1031"/>
      <c r="I8964" s="948"/>
    </row>
    <row r="8965" spans="3:9" ht="15.75">
      <c r="C8965" s="945" t="s">
        <v>923</v>
      </c>
      <c r="D8965" s="946"/>
      <c r="E8965" s="947"/>
      <c r="F8965" s="1054"/>
      <c r="G8965" s="946"/>
      <c r="H8965" s="1031"/>
      <c r="I8965" s="948"/>
    </row>
    <row r="8966" spans="3:9" ht="15.75">
      <c r="C8966" s="949" t="s">
        <v>924</v>
      </c>
      <c r="D8966" s="946"/>
      <c r="E8966" s="947" t="str">
        <f>+VLOOKUP(C8966,'Basic (equilibrio) (2)'!B:D,2,FALSE)</f>
        <v>n/a</v>
      </c>
      <c r="F8966" s="1054">
        <f>+VLOOKUP(C8966,'Basic (equilibrio) (2)'!B:D,3,FALSE)</f>
        <v>0</v>
      </c>
      <c r="G8966" s="946">
        <f>F8966-(F8966/1.18)</f>
        <v>0</v>
      </c>
      <c r="H8966" s="1039"/>
      <c r="I8966" s="955">
        <f>D8966*F8966</f>
        <v>0</v>
      </c>
    </row>
    <row r="8967" spans="3:9" ht="15.75">
      <c r="C8967" s="951" t="s">
        <v>918</v>
      </c>
      <c r="D8967" s="946"/>
      <c r="E8967" s="947"/>
      <c r="F8967" s="1054"/>
      <c r="G8967" s="946"/>
      <c r="H8967" s="1031"/>
      <c r="I8967" s="952">
        <f>SUM(I8966:I8966)</f>
        <v>0</v>
      </c>
    </row>
    <row r="8968" spans="3:9" ht="15.75">
      <c r="C8968" s="949"/>
      <c r="D8968" s="946"/>
      <c r="E8968" s="947"/>
      <c r="F8968" s="1054"/>
      <c r="G8968" s="946"/>
      <c r="H8968" s="1031"/>
      <c r="I8968" s="948"/>
    </row>
    <row r="8969" spans="3:9" ht="15.75">
      <c r="C8969" s="945" t="s">
        <v>925</v>
      </c>
      <c r="D8969" s="946"/>
      <c r="E8969" s="947"/>
      <c r="F8969" s="1054"/>
      <c r="G8969" s="946"/>
      <c r="H8969" s="1031"/>
      <c r="I8969" s="948"/>
    </row>
    <row r="8970" spans="3:9" ht="15.75">
      <c r="C8970" s="949" t="s">
        <v>924</v>
      </c>
      <c r="D8970" s="946"/>
      <c r="E8970" s="947" t="str">
        <f>+VLOOKUP(C8970,'Basic (equilibrio) (2)'!B:D,2,FALSE)</f>
        <v>n/a</v>
      </c>
      <c r="F8970" s="1054">
        <f>+VLOOKUP(C8970,'Basic (equilibrio) (2)'!B:D,3,FALSE)</f>
        <v>0</v>
      </c>
      <c r="G8970" s="946"/>
      <c r="H8970" s="1031"/>
      <c r="I8970" s="948">
        <f>D8970*F8970</f>
        <v>0</v>
      </c>
    </row>
    <row r="8971" spans="3:9" ht="15.75">
      <c r="C8971" s="951" t="s">
        <v>918</v>
      </c>
      <c r="D8971" s="946"/>
      <c r="E8971" s="947"/>
      <c r="F8971" s="1054"/>
      <c r="G8971" s="946"/>
      <c r="H8971" s="1031"/>
      <c r="I8971" s="952">
        <f>SUM(I8970)</f>
        <v>0</v>
      </c>
    </row>
    <row r="8972" spans="3:9" ht="15.75">
      <c r="C8972" s="951"/>
      <c r="D8972" s="946"/>
      <c r="E8972" s="947"/>
      <c r="F8972" s="1054"/>
      <c r="G8972" s="946"/>
      <c r="H8972" s="1031"/>
      <c r="I8972" s="952"/>
    </row>
    <row r="8973" spans="3:9" ht="15.75">
      <c r="C8973" s="956" t="s">
        <v>926</v>
      </c>
      <c r="D8973" s="957"/>
      <c r="E8973" s="958"/>
      <c r="F8973" s="1069"/>
      <c r="G8973" s="957"/>
      <c r="H8973" s="1032"/>
      <c r="I8973" s="959">
        <f>+I8959</f>
        <v>93.5</v>
      </c>
    </row>
    <row r="8974" spans="3:9" ht="15.75">
      <c r="C8974" s="956" t="s">
        <v>927</v>
      </c>
      <c r="D8974" s="957"/>
      <c r="E8974" s="958"/>
      <c r="F8974" s="1069"/>
      <c r="G8974" s="957"/>
      <c r="H8974" s="1032"/>
      <c r="I8974" s="959">
        <f>+I8963</f>
        <v>65</v>
      </c>
    </row>
    <row r="8975" spans="3:9" ht="15.75">
      <c r="C8975" s="956" t="s">
        <v>928</v>
      </c>
      <c r="D8975" s="957"/>
      <c r="E8975" s="958"/>
      <c r="F8975" s="1069"/>
      <c r="G8975" s="957"/>
      <c r="H8975" s="1032"/>
      <c r="I8975" s="959">
        <f>+I8967</f>
        <v>0</v>
      </c>
    </row>
    <row r="8976" spans="3:9" ht="15.75">
      <c r="C8976" s="956" t="s">
        <v>929</v>
      </c>
      <c r="D8976" s="957"/>
      <c r="E8976" s="958"/>
      <c r="F8976" s="1069"/>
      <c r="G8976" s="957"/>
      <c r="H8976" s="1032"/>
      <c r="I8976" s="959">
        <f>+I8971</f>
        <v>0</v>
      </c>
    </row>
    <row r="8977" spans="2:9" ht="15.75">
      <c r="C8977" s="949"/>
      <c r="D8977" s="946"/>
      <c r="E8977" s="947"/>
      <c r="F8977" s="1054"/>
      <c r="G8977" s="946"/>
      <c r="H8977" s="1031"/>
      <c r="I8977" s="948"/>
    </row>
    <row r="8978" spans="2:9" ht="15.75">
      <c r="C8978" s="951" t="s">
        <v>930</v>
      </c>
      <c r="D8978" s="960"/>
      <c r="E8978" s="943" t="str">
        <f>+E8954</f>
        <v>M</v>
      </c>
      <c r="F8978" s="1070"/>
      <c r="G8978" s="960"/>
      <c r="H8978" s="1033"/>
      <c r="I8978" s="952">
        <f>SUM(I8973:I8976)</f>
        <v>158.5</v>
      </c>
    </row>
    <row r="8979" spans="2:9" ht="15.75">
      <c r="C8979" s="951"/>
      <c r="D8979" s="960"/>
      <c r="E8979" s="943"/>
      <c r="F8979" s="1070"/>
      <c r="G8979" s="960"/>
      <c r="H8979" s="1033"/>
      <c r="I8979" s="952"/>
    </row>
    <row r="8980" spans="2:9" ht="15.75">
      <c r="B8980" s="1026">
        <v>5.7</v>
      </c>
      <c r="C8980" s="937" t="str">
        <f>+Presupuesto!B529</f>
        <v>Antepecho</v>
      </c>
      <c r="D8980" s="938"/>
      <c r="E8980" s="962" t="s">
        <v>1045</v>
      </c>
      <c r="F8980" s="1066"/>
      <c r="G8980" s="938"/>
      <c r="H8980" s="1029"/>
      <c r="I8980" s="940">
        <f>+I9012</f>
        <v>336.93</v>
      </c>
    </row>
    <row r="8981" spans="2:9" ht="15.75">
      <c r="C8981" s="941" t="s">
        <v>908</v>
      </c>
      <c r="D8981" s="942" t="s">
        <v>9</v>
      </c>
      <c r="E8981" s="943" t="s">
        <v>10</v>
      </c>
      <c r="F8981" s="1067" t="s">
        <v>909</v>
      </c>
      <c r="G8981" s="942" t="s">
        <v>910</v>
      </c>
      <c r="H8981" s="1030" t="s">
        <v>911</v>
      </c>
      <c r="I8981" s="944" t="s">
        <v>912</v>
      </c>
    </row>
    <row r="8982" spans="2:9" ht="15.75">
      <c r="C8982" s="945" t="s">
        <v>913</v>
      </c>
      <c r="D8982" s="946"/>
      <c r="E8982" s="947"/>
      <c r="F8982" s="1054"/>
      <c r="G8982" s="946"/>
      <c r="H8982" s="1031"/>
      <c r="I8982" s="948"/>
    </row>
    <row r="8983" spans="2:9" ht="15.75">
      <c r="C8983" s="949" t="s">
        <v>1578</v>
      </c>
      <c r="D8983" s="946">
        <v>11.61</v>
      </c>
      <c r="E8983" s="947" t="str">
        <f>+VLOOKUP(C8983,'Basic (equilibrio) (2)'!B:D,2,FALSE)</f>
        <v>ud</v>
      </c>
      <c r="F8983" s="1068">
        <f>'Basic (equilibrio) (2)'!$D$301</f>
        <v>33.299999999999997</v>
      </c>
      <c r="G8983" s="946">
        <f t="shared" ref="G8983:G8988" si="60">F8983-(F8983/1.18)</f>
        <v>5.08</v>
      </c>
      <c r="H8983" s="1031"/>
      <c r="I8983" s="948">
        <f t="shared" ref="I8983:I8988" si="61">D8983*F8983</f>
        <v>386.61</v>
      </c>
    </row>
    <row r="8984" spans="2:9" ht="15.75">
      <c r="C8984" s="949" t="s">
        <v>1579</v>
      </c>
      <c r="D8984" s="946">
        <v>11.61</v>
      </c>
      <c r="E8984" s="947" t="str">
        <f>+VLOOKUP(C8984,'Basic (equilibrio) (2)'!B:D,2,FALSE)</f>
        <v>ud</v>
      </c>
      <c r="F8984" s="1068">
        <f>'Basic (equilibrio) (2)'!$D$304</f>
        <v>2.2999999999999998</v>
      </c>
      <c r="G8984" s="946">
        <f t="shared" si="60"/>
        <v>0.35</v>
      </c>
      <c r="H8984" s="1031"/>
      <c r="I8984" s="948">
        <f t="shared" si="61"/>
        <v>26.7</v>
      </c>
    </row>
    <row r="8985" spans="2:9" ht="15.75">
      <c r="C8985" s="949" t="s">
        <v>1204</v>
      </c>
      <c r="D8985" s="946">
        <v>0.04</v>
      </c>
      <c r="E8985" s="947" t="str">
        <f>+VLOOKUP(C8985,'Basic (equilibrio) (2)'!B:D,2,FALSE)</f>
        <v>m3</v>
      </c>
      <c r="F8985" s="1068">
        <f>'Basic (equilibrio) (2)'!$D$307</f>
        <v>6174</v>
      </c>
      <c r="G8985" s="946">
        <f t="shared" si="60"/>
        <v>941.8</v>
      </c>
      <c r="H8985" s="1031"/>
      <c r="I8985" s="948">
        <f t="shared" si="61"/>
        <v>246.96</v>
      </c>
    </row>
    <row r="8986" spans="2:9" ht="15.75">
      <c r="C8986" s="949" t="s">
        <v>1205</v>
      </c>
      <c r="D8986" s="946">
        <v>0.04</v>
      </c>
      <c r="E8986" s="947" t="str">
        <f>+VLOOKUP(C8986,'Basic (equilibrio) (2)'!B:D,2,FALSE)</f>
        <v>m3</v>
      </c>
      <c r="F8986" s="1068">
        <f>'Basic (equilibrio) (2)'!$D$308</f>
        <v>5985</v>
      </c>
      <c r="G8986" s="946">
        <f t="shared" si="60"/>
        <v>912.97</v>
      </c>
      <c r="H8986" s="1031"/>
      <c r="I8986" s="948">
        <f t="shared" si="61"/>
        <v>239.4</v>
      </c>
    </row>
    <row r="8987" spans="2:9" ht="15.75">
      <c r="C8987" s="949" t="s">
        <v>1188</v>
      </c>
      <c r="D8987" s="946">
        <v>0.04</v>
      </c>
      <c r="E8987" s="947" t="str">
        <f>+VLOOKUP(C8987,'Basic (equilibrio) (2)'!B:D,2,FALSE)</f>
        <v>qq</v>
      </c>
      <c r="F8987" s="1068">
        <f>'Basic (equilibrio) (2)'!$D$183</f>
        <v>3600</v>
      </c>
      <c r="G8987" s="946">
        <f t="shared" si="60"/>
        <v>549.15</v>
      </c>
      <c r="H8987" s="1031"/>
      <c r="I8987" s="948">
        <f t="shared" si="61"/>
        <v>144</v>
      </c>
    </row>
    <row r="8988" spans="2:9" ht="15.75">
      <c r="C8988" s="949" t="s">
        <v>1328</v>
      </c>
      <c r="D8988" s="946">
        <v>7.0000000000000007E-2</v>
      </c>
      <c r="E8988" s="947" t="str">
        <f>+VLOOKUP(C8988,'Basic (equilibrio) (2)'!B:D,2,FALSE)</f>
        <v>lb</v>
      </c>
      <c r="F8988" s="1068">
        <f>'Basic (equilibrio) (2)'!$D$334</f>
        <v>31.1</v>
      </c>
      <c r="G8988" s="946">
        <f t="shared" si="60"/>
        <v>4.74</v>
      </c>
      <c r="H8988" s="1031"/>
      <c r="I8988" s="948">
        <f t="shared" si="61"/>
        <v>2.1800000000000002</v>
      </c>
    </row>
    <row r="8989" spans="2:9" ht="15.75">
      <c r="C8989" s="951" t="s">
        <v>918</v>
      </c>
      <c r="D8989" s="946"/>
      <c r="E8989" s="947"/>
      <c r="F8989" s="1068"/>
      <c r="G8989" s="946"/>
      <c r="H8989" s="1031"/>
      <c r="I8989" s="952">
        <f>SUM(I8983:I8988)</f>
        <v>1045.8499999999999</v>
      </c>
    </row>
    <row r="8990" spans="2:9" ht="15.75">
      <c r="C8990" s="949"/>
      <c r="D8990" s="946"/>
      <c r="E8990" s="947"/>
      <c r="F8990" s="1068"/>
      <c r="G8990" s="946"/>
      <c r="H8990" s="1031"/>
      <c r="I8990" s="948"/>
    </row>
    <row r="8991" spans="2:9" ht="15.75">
      <c r="C8991" s="945" t="s">
        <v>919</v>
      </c>
      <c r="D8991" s="946"/>
      <c r="E8991" s="947"/>
      <c r="F8991" s="1068"/>
      <c r="G8991" s="946"/>
      <c r="H8991" s="1031"/>
      <c r="I8991" s="948"/>
    </row>
    <row r="8992" spans="2:9" ht="15.75">
      <c r="C8992" s="949" t="s">
        <v>1074</v>
      </c>
      <c r="D8992" s="953">
        <v>11.61</v>
      </c>
      <c r="E8992" s="954" t="str">
        <f>+VLOOKUP(C8992,'Basic (equilibrio) (2)'!B:D,2,FALSE)</f>
        <v>ud</v>
      </c>
      <c r="F8992" s="1068">
        <f>'Basic (equilibrio) (2)'!$D$26</f>
        <v>1</v>
      </c>
      <c r="G8992" s="946">
        <v>0</v>
      </c>
      <c r="H8992" s="1031"/>
      <c r="I8992" s="948">
        <f>(D8992*F8992)</f>
        <v>11.61</v>
      </c>
    </row>
    <row r="8993" spans="3:9" ht="15.75">
      <c r="C8993" s="949" t="s">
        <v>1075</v>
      </c>
      <c r="D8993" s="953">
        <v>11.61</v>
      </c>
      <c r="E8993" s="954" t="str">
        <f>+VLOOKUP(C8993,'Basic (equilibrio) (2)'!B:D,2,FALSE)</f>
        <v>ud</v>
      </c>
      <c r="F8993" s="1068">
        <f>'Basic (equilibrio) (2)'!$D$27</f>
        <v>3</v>
      </c>
      <c r="G8993" s="946">
        <v>0</v>
      </c>
      <c r="H8993" s="1031"/>
      <c r="I8993" s="948">
        <f>(D8993*F8993)</f>
        <v>34.83</v>
      </c>
    </row>
    <row r="8994" spans="3:9" ht="15.75">
      <c r="C8994" s="949" t="s">
        <v>1077</v>
      </c>
      <c r="D8994" s="953">
        <v>11.61</v>
      </c>
      <c r="E8994" s="954" t="str">
        <f>+VLOOKUP(C8994,'Basic (equilibrio) (2)'!B:D,2,FALSE)</f>
        <v>ud</v>
      </c>
      <c r="F8994" s="1068">
        <f>'Basic (equilibrio) (2)'!$D$29</f>
        <v>22</v>
      </c>
      <c r="G8994" s="946">
        <v>0</v>
      </c>
      <c r="H8994" s="1031"/>
      <c r="I8994" s="948">
        <f>(D8994*F8994)</f>
        <v>255.42</v>
      </c>
    </row>
    <row r="8995" spans="3:9" ht="15.75">
      <c r="C8995" s="951" t="s">
        <v>918</v>
      </c>
      <c r="D8995" s="946"/>
      <c r="E8995" s="947"/>
      <c r="F8995" s="1054"/>
      <c r="G8995" s="946"/>
      <c r="H8995" s="1031"/>
      <c r="I8995" s="952">
        <f>SUM(I8992:I8994)</f>
        <v>301.86</v>
      </c>
    </row>
    <row r="8996" spans="3:9" ht="15.75">
      <c r="C8996" s="949"/>
      <c r="D8996" s="946"/>
      <c r="E8996" s="947"/>
      <c r="F8996" s="1054"/>
      <c r="G8996" s="946"/>
      <c r="H8996" s="1031"/>
      <c r="I8996" s="948"/>
    </row>
    <row r="8997" spans="3:9" ht="15.75">
      <c r="C8997" s="945" t="s">
        <v>923</v>
      </c>
      <c r="D8997" s="946"/>
      <c r="E8997" s="947"/>
      <c r="F8997" s="1054"/>
      <c r="G8997" s="946"/>
      <c r="H8997" s="1031"/>
      <c r="I8997" s="948"/>
    </row>
    <row r="8998" spans="3:9" ht="15.75">
      <c r="C8998" s="949" t="s">
        <v>924</v>
      </c>
      <c r="D8998" s="946"/>
      <c r="E8998" s="947" t="str">
        <f>+VLOOKUP(C8998,'Basic (equilibrio) (2)'!B:D,2,FALSE)</f>
        <v>n/a</v>
      </c>
      <c r="F8998" s="1054">
        <f>+VLOOKUP(C8998,'Basic (equilibrio) (2)'!B:D,3,FALSE)</f>
        <v>0</v>
      </c>
      <c r="G8998" s="946">
        <f>F8998-(F8998/1.18)</f>
        <v>0</v>
      </c>
      <c r="H8998" s="1039"/>
      <c r="I8998" s="955">
        <f>D8998*F8998</f>
        <v>0</v>
      </c>
    </row>
    <row r="8999" spans="3:9" ht="15.75">
      <c r="C8999" s="951" t="s">
        <v>918</v>
      </c>
      <c r="D8999" s="946"/>
      <c r="E8999" s="947"/>
      <c r="F8999" s="1054"/>
      <c r="G8999" s="946"/>
      <c r="H8999" s="1031"/>
      <c r="I8999" s="952">
        <f>SUM(I8998:I8998)</f>
        <v>0</v>
      </c>
    </row>
    <row r="9000" spans="3:9" ht="15.75">
      <c r="C9000" s="949"/>
      <c r="D9000" s="946"/>
      <c r="E9000" s="947"/>
      <c r="F9000" s="1054"/>
      <c r="G9000" s="946"/>
      <c r="H9000" s="1031"/>
      <c r="I9000" s="948"/>
    </row>
    <row r="9001" spans="3:9" ht="15.75">
      <c r="C9001" s="945" t="s">
        <v>925</v>
      </c>
      <c r="D9001" s="946"/>
      <c r="E9001" s="947"/>
      <c r="F9001" s="1054"/>
      <c r="G9001" s="946"/>
      <c r="H9001" s="1031"/>
      <c r="I9001" s="948"/>
    </row>
    <row r="9002" spans="3:9" ht="15.75">
      <c r="C9002" s="949" t="s">
        <v>924</v>
      </c>
      <c r="D9002" s="946"/>
      <c r="E9002" s="947" t="str">
        <f>+VLOOKUP(C9002,'Basic (equilibrio) (2)'!B:D,2,FALSE)</f>
        <v>n/a</v>
      </c>
      <c r="F9002" s="1054">
        <f>+VLOOKUP(C9002,'Basic (equilibrio) (2)'!B:D,3,FALSE)</f>
        <v>0</v>
      </c>
      <c r="G9002" s="946"/>
      <c r="H9002" s="1031"/>
      <c r="I9002" s="948">
        <f>D9002*F9002</f>
        <v>0</v>
      </c>
    </row>
    <row r="9003" spans="3:9" ht="15.75">
      <c r="C9003" s="951" t="s">
        <v>918</v>
      </c>
      <c r="D9003" s="946"/>
      <c r="E9003" s="947"/>
      <c r="F9003" s="1054"/>
      <c r="G9003" s="946"/>
      <c r="H9003" s="1031"/>
      <c r="I9003" s="952">
        <f>SUM(I9002)</f>
        <v>0</v>
      </c>
    </row>
    <row r="9004" spans="3:9" ht="15.75">
      <c r="C9004" s="951"/>
      <c r="D9004" s="946"/>
      <c r="E9004" s="947"/>
      <c r="F9004" s="1054"/>
      <c r="G9004" s="946"/>
      <c r="H9004" s="1031"/>
      <c r="I9004" s="952"/>
    </row>
    <row r="9005" spans="3:9" ht="15.75">
      <c r="C9005" s="956" t="s">
        <v>926</v>
      </c>
      <c r="D9005" s="957"/>
      <c r="E9005" s="958"/>
      <c r="F9005" s="1069"/>
      <c r="G9005" s="957"/>
      <c r="H9005" s="1032"/>
      <c r="I9005" s="959">
        <f>+I8989</f>
        <v>1045.8499999999999</v>
      </c>
    </row>
    <row r="9006" spans="3:9" ht="15.75">
      <c r="C9006" s="956" t="s">
        <v>927</v>
      </c>
      <c r="D9006" s="957"/>
      <c r="E9006" s="958"/>
      <c r="F9006" s="1069"/>
      <c r="G9006" s="957"/>
      <c r="H9006" s="1032"/>
      <c r="I9006" s="959">
        <f>+I8995</f>
        <v>301.86</v>
      </c>
    </row>
    <row r="9007" spans="3:9" ht="15.75">
      <c r="C9007" s="956" t="s">
        <v>928</v>
      </c>
      <c r="D9007" s="957"/>
      <c r="E9007" s="958"/>
      <c r="F9007" s="1069"/>
      <c r="G9007" s="957"/>
      <c r="H9007" s="1032"/>
      <c r="I9007" s="959">
        <f>+I8999</f>
        <v>0</v>
      </c>
    </row>
    <row r="9008" spans="3:9" ht="15.75">
      <c r="C9008" s="956" t="s">
        <v>929</v>
      </c>
      <c r="D9008" s="957"/>
      <c r="E9008" s="958"/>
      <c r="F9008" s="1069"/>
      <c r="G9008" s="957"/>
      <c r="H9008" s="1032"/>
      <c r="I9008" s="959">
        <f>+I9003</f>
        <v>0</v>
      </c>
    </row>
    <row r="9009" spans="2:9" ht="15.75">
      <c r="C9009" s="949"/>
      <c r="D9009" s="946"/>
      <c r="E9009" s="947"/>
      <c r="F9009" s="1054"/>
      <c r="G9009" s="946"/>
      <c r="H9009" s="1031"/>
      <c r="I9009" s="948"/>
    </row>
    <row r="9010" spans="2:9" ht="15.75">
      <c r="C9010" s="949"/>
      <c r="D9010" s="946"/>
      <c r="E9010" s="947"/>
      <c r="F9010" s="1054"/>
      <c r="G9010" s="946"/>
      <c r="H9010" s="1031"/>
      <c r="I9010" s="948"/>
    </row>
    <row r="9011" spans="2:9" ht="15.75">
      <c r="C9011" s="951" t="s">
        <v>930</v>
      </c>
      <c r="D9011" s="960">
        <v>4</v>
      </c>
      <c r="E9011" s="943" t="s">
        <v>1656</v>
      </c>
      <c r="F9011" s="1070"/>
      <c r="G9011" s="960"/>
      <c r="H9011" s="1033"/>
      <c r="I9011" s="952">
        <f>SUM(I9005:I9008)</f>
        <v>1347.71</v>
      </c>
    </row>
    <row r="9012" spans="2:9" ht="15.75">
      <c r="C9012" s="951"/>
      <c r="D9012" s="960"/>
      <c r="E9012" s="943" t="s">
        <v>1045</v>
      </c>
      <c r="F9012" s="1070"/>
      <c r="G9012" s="960"/>
      <c r="H9012" s="1033"/>
      <c r="I9012" s="952">
        <f>+I9011/D9011</f>
        <v>336.93</v>
      </c>
    </row>
    <row r="9013" spans="2:9" ht="15.75">
      <c r="C9013" s="951"/>
      <c r="D9013" s="960"/>
      <c r="E9013" s="943"/>
      <c r="F9013" s="1070"/>
      <c r="G9013" s="960"/>
      <c r="H9013" s="1033"/>
      <c r="I9013" s="952"/>
    </row>
    <row r="9014" spans="2:9" ht="15.75">
      <c r="B9014" s="1063">
        <v>5.8</v>
      </c>
      <c r="C9014" s="937" t="str">
        <f>+Presupuesto!B530</f>
        <v>Zabaleta en techo</v>
      </c>
      <c r="D9014" s="938"/>
      <c r="E9014" s="962" t="s">
        <v>1088</v>
      </c>
      <c r="F9014" s="1066"/>
      <c r="G9014" s="938"/>
      <c r="H9014" s="1029"/>
      <c r="I9014" s="940">
        <f>I9042</f>
        <v>131.75</v>
      </c>
    </row>
    <row r="9015" spans="2:9" ht="15.75">
      <c r="C9015" s="941" t="s">
        <v>908</v>
      </c>
      <c r="D9015" s="942" t="s">
        <v>9</v>
      </c>
      <c r="E9015" s="943" t="s">
        <v>10</v>
      </c>
      <c r="F9015" s="1067" t="s">
        <v>909</v>
      </c>
      <c r="G9015" s="942" t="s">
        <v>910</v>
      </c>
      <c r="H9015" s="1030" t="s">
        <v>911</v>
      </c>
      <c r="I9015" s="944" t="s">
        <v>912</v>
      </c>
    </row>
    <row r="9016" spans="2:9" ht="15.75">
      <c r="C9016" s="945" t="s">
        <v>913</v>
      </c>
      <c r="D9016" s="946"/>
      <c r="E9016" s="947"/>
      <c r="F9016" s="1054"/>
      <c r="G9016" s="946"/>
      <c r="H9016" s="1031"/>
      <c r="I9016" s="948"/>
    </row>
    <row r="9017" spans="2:9" ht="15.75">
      <c r="C9017" s="949" t="s">
        <v>1003</v>
      </c>
      <c r="D9017" s="946">
        <v>0.09</v>
      </c>
      <c r="E9017" s="947" t="str">
        <f>+VLOOKUP(C9017,'Basic (equilibrio) (2)'!B:D,2,FALSE)</f>
        <v>fda</v>
      </c>
      <c r="F9017" s="1068">
        <f>'Basic (equilibrio) (2)'!$D$298</f>
        <v>480</v>
      </c>
      <c r="G9017" s="946">
        <f>F9017-(F9017/1.18)</f>
        <v>73.22</v>
      </c>
      <c r="H9017" s="1031"/>
      <c r="I9017" s="948">
        <f>D9017*F9017</f>
        <v>43.2</v>
      </c>
    </row>
    <row r="9018" spans="2:9" ht="15.75">
      <c r="C9018" s="949" t="s">
        <v>1002</v>
      </c>
      <c r="D9018" s="946">
        <v>0.01</v>
      </c>
      <c r="E9018" s="947" t="str">
        <f>+VLOOKUP(C9018,'Basic (equilibrio) (2)'!B:D,2,FALSE)</f>
        <v>m3e</v>
      </c>
      <c r="F9018" s="1068">
        <f>'Basic (equilibrio) (2)'!$D$181</f>
        <v>1800</v>
      </c>
      <c r="G9018" s="946">
        <f>F9018-(F9018/1.18)</f>
        <v>274.58</v>
      </c>
      <c r="H9018" s="1031"/>
      <c r="I9018" s="948">
        <f>D9018*F9018</f>
        <v>18</v>
      </c>
    </row>
    <row r="9019" spans="2:9" ht="15.75">
      <c r="C9019" s="949" t="s">
        <v>1004</v>
      </c>
      <c r="D9019" s="946">
        <v>0.55000000000000004</v>
      </c>
      <c r="E9019" s="947" t="str">
        <f>+VLOOKUP(C9019,'Basic (equilibrio) (2)'!B:D,2,FALSE)</f>
        <v>gl</v>
      </c>
      <c r="F9019" s="1068">
        <f>'Basic (equilibrio) (2)'!$D$191</f>
        <v>1</v>
      </c>
      <c r="G9019" s="946">
        <f>F9019-(F9019/1.18)</f>
        <v>0.15</v>
      </c>
      <c r="H9019" s="1031"/>
      <c r="I9019" s="948">
        <f>D9019*F9019</f>
        <v>0.55000000000000004</v>
      </c>
    </row>
    <row r="9020" spans="2:9" ht="15.75">
      <c r="C9020" s="951" t="s">
        <v>918</v>
      </c>
      <c r="D9020" s="946"/>
      <c r="E9020" s="947"/>
      <c r="F9020" s="1068"/>
      <c r="G9020" s="946"/>
      <c r="H9020" s="1031"/>
      <c r="I9020" s="952">
        <f>SUM(I9017:I9019)</f>
        <v>61.75</v>
      </c>
    </row>
    <row r="9021" spans="2:9" ht="15.75">
      <c r="C9021" s="949"/>
      <c r="D9021" s="946"/>
      <c r="E9021" s="947"/>
      <c r="F9021" s="1068"/>
      <c r="G9021" s="946"/>
      <c r="H9021" s="1031"/>
      <c r="I9021" s="948"/>
    </row>
    <row r="9022" spans="2:9" ht="15.75">
      <c r="C9022" s="945" t="s">
        <v>919</v>
      </c>
      <c r="D9022" s="946"/>
      <c r="E9022" s="947"/>
      <c r="F9022" s="1068"/>
      <c r="G9022" s="946"/>
      <c r="H9022" s="1031"/>
      <c r="I9022" s="948"/>
    </row>
    <row r="9023" spans="2:9" ht="15.75">
      <c r="C9023" s="949" t="s">
        <v>1029</v>
      </c>
      <c r="D9023" s="953">
        <v>0.01</v>
      </c>
      <c r="E9023" s="954" t="str">
        <f>+VLOOKUP(C9023,'Basic (equilibrio) (2)'!B:D,2,FALSE)</f>
        <v>dia</v>
      </c>
      <c r="F9023" s="1068">
        <f>'Basic (equilibrio) (2)'!$D$16</f>
        <v>900</v>
      </c>
      <c r="G9023" s="946">
        <v>0</v>
      </c>
      <c r="H9023" s="1031"/>
      <c r="I9023" s="948">
        <f>(D9023*F9023)</f>
        <v>9</v>
      </c>
    </row>
    <row r="9024" spans="2:9" ht="15.75">
      <c r="C9024" s="949" t="s">
        <v>1112</v>
      </c>
      <c r="D9024" s="953">
        <v>1</v>
      </c>
      <c r="E9024" s="954" t="str">
        <f>+VLOOKUP(C9024,'Basic (equilibrio) (2)'!B:D,2,FALSE)</f>
        <v>ml</v>
      </c>
      <c r="F9024" s="1068">
        <f>'Basic (equilibrio) (2)'!$D$36</f>
        <v>49</v>
      </c>
      <c r="G9024" s="946">
        <v>0</v>
      </c>
      <c r="H9024" s="1031"/>
      <c r="I9024" s="948">
        <f t="shared" ref="I9024:I9025" si="62">(D9024*F9024)</f>
        <v>49</v>
      </c>
    </row>
    <row r="9025" spans="3:9" ht="15.75">
      <c r="C9025" s="949" t="s">
        <v>1108</v>
      </c>
      <c r="D9025" s="953">
        <v>1</v>
      </c>
      <c r="E9025" s="954" t="str">
        <f>+VLOOKUP(C9025,'Basic (equilibrio) (2)'!B:D,2,FALSE)</f>
        <v>P.a</v>
      </c>
      <c r="F9025" s="1068">
        <f>'Basic (equilibrio) (2)'!$D$39</f>
        <v>12</v>
      </c>
      <c r="G9025" s="946">
        <v>0</v>
      </c>
      <c r="H9025" s="1031"/>
      <c r="I9025" s="948">
        <f t="shared" si="62"/>
        <v>12</v>
      </c>
    </row>
    <row r="9026" spans="3:9" ht="15.75">
      <c r="C9026" s="951" t="s">
        <v>918</v>
      </c>
      <c r="D9026" s="946"/>
      <c r="E9026" s="947"/>
      <c r="F9026" s="1054"/>
      <c r="G9026" s="946"/>
      <c r="H9026" s="1031"/>
      <c r="I9026" s="952">
        <f>SUM(I9023:I9025)</f>
        <v>70</v>
      </c>
    </row>
    <row r="9027" spans="3:9" ht="15.75">
      <c r="C9027" s="949"/>
      <c r="D9027" s="946"/>
      <c r="E9027" s="947"/>
      <c r="F9027" s="1054"/>
      <c r="G9027" s="946"/>
      <c r="H9027" s="1031"/>
      <c r="I9027" s="948"/>
    </row>
    <row r="9028" spans="3:9" ht="15.75">
      <c r="C9028" s="945" t="s">
        <v>923</v>
      </c>
      <c r="D9028" s="946"/>
      <c r="E9028" s="947"/>
      <c r="F9028" s="1054"/>
      <c r="G9028" s="946"/>
      <c r="H9028" s="1031"/>
      <c r="I9028" s="948"/>
    </row>
    <row r="9029" spans="3:9" ht="15.75">
      <c r="C9029" s="949" t="s">
        <v>924</v>
      </c>
      <c r="D9029" s="946"/>
      <c r="E9029" s="947" t="str">
        <f>+VLOOKUP(C9029,'Basic (equilibrio) (2)'!B:D,2,FALSE)</f>
        <v>n/a</v>
      </c>
      <c r="F9029" s="1054">
        <f>+VLOOKUP(C9029,'Basic (equilibrio) (2)'!B:D,3,FALSE)</f>
        <v>0</v>
      </c>
      <c r="G9029" s="946">
        <f>F9029-(F9029/1.18)</f>
        <v>0</v>
      </c>
      <c r="H9029" s="1039"/>
      <c r="I9029" s="955">
        <f>D9029*F9029</f>
        <v>0</v>
      </c>
    </row>
    <row r="9030" spans="3:9" ht="15.75">
      <c r="C9030" s="951" t="s">
        <v>918</v>
      </c>
      <c r="D9030" s="946"/>
      <c r="E9030" s="947"/>
      <c r="F9030" s="1054"/>
      <c r="G9030" s="946"/>
      <c r="H9030" s="1031"/>
      <c r="I9030" s="952">
        <f>SUM(I9029:I9029)</f>
        <v>0</v>
      </c>
    </row>
    <row r="9031" spans="3:9" ht="15.75">
      <c r="C9031" s="949"/>
      <c r="D9031" s="946"/>
      <c r="E9031" s="947"/>
      <c r="F9031" s="1054"/>
      <c r="G9031" s="946"/>
      <c r="H9031" s="1031"/>
      <c r="I9031" s="948"/>
    </row>
    <row r="9032" spans="3:9" ht="15.75">
      <c r="C9032" s="945" t="s">
        <v>925</v>
      </c>
      <c r="D9032" s="946"/>
      <c r="E9032" s="947"/>
      <c r="F9032" s="1054"/>
      <c r="G9032" s="946"/>
      <c r="H9032" s="1031"/>
      <c r="I9032" s="948"/>
    </row>
    <row r="9033" spans="3:9" ht="15.75">
      <c r="C9033" s="949" t="s">
        <v>924</v>
      </c>
      <c r="D9033" s="946"/>
      <c r="E9033" s="947" t="str">
        <f>+VLOOKUP(C9033,'Basic (equilibrio) (2)'!B:D,2,FALSE)</f>
        <v>n/a</v>
      </c>
      <c r="F9033" s="1054">
        <f>+VLOOKUP(C9033,'Basic (equilibrio) (2)'!B:D,3,FALSE)</f>
        <v>0</v>
      </c>
      <c r="G9033" s="946"/>
      <c r="H9033" s="1031"/>
      <c r="I9033" s="948">
        <f>D9033*F9033</f>
        <v>0</v>
      </c>
    </row>
    <row r="9034" spans="3:9" ht="15.75">
      <c r="C9034" s="951" t="s">
        <v>918</v>
      </c>
      <c r="D9034" s="946"/>
      <c r="E9034" s="947"/>
      <c r="F9034" s="1054"/>
      <c r="G9034" s="946"/>
      <c r="H9034" s="1031"/>
      <c r="I9034" s="952">
        <f>SUM(I9033)</f>
        <v>0</v>
      </c>
    </row>
    <row r="9035" spans="3:9" ht="15.75">
      <c r="C9035" s="951"/>
      <c r="D9035" s="946"/>
      <c r="E9035" s="947"/>
      <c r="F9035" s="1054"/>
      <c r="G9035" s="946"/>
      <c r="H9035" s="1031"/>
      <c r="I9035" s="952"/>
    </row>
    <row r="9036" spans="3:9" ht="15.75">
      <c r="C9036" s="956" t="s">
        <v>926</v>
      </c>
      <c r="D9036" s="957"/>
      <c r="E9036" s="958"/>
      <c r="F9036" s="1069"/>
      <c r="G9036" s="957"/>
      <c r="H9036" s="1032"/>
      <c r="I9036" s="959">
        <f>+I9020</f>
        <v>61.75</v>
      </c>
    </row>
    <row r="9037" spans="3:9" ht="15.75">
      <c r="C9037" s="956" t="s">
        <v>927</v>
      </c>
      <c r="D9037" s="957"/>
      <c r="E9037" s="958"/>
      <c r="F9037" s="1069"/>
      <c r="G9037" s="957"/>
      <c r="H9037" s="1032"/>
      <c r="I9037" s="959">
        <f>+I9026</f>
        <v>70</v>
      </c>
    </row>
    <row r="9038" spans="3:9" ht="15.75">
      <c r="C9038" s="956" t="s">
        <v>928</v>
      </c>
      <c r="D9038" s="957"/>
      <c r="E9038" s="958"/>
      <c r="F9038" s="1069"/>
      <c r="G9038" s="957"/>
      <c r="H9038" s="1032"/>
      <c r="I9038" s="959">
        <f>+I9030</f>
        <v>0</v>
      </c>
    </row>
    <row r="9039" spans="3:9" ht="15.75">
      <c r="C9039" s="956" t="s">
        <v>929</v>
      </c>
      <c r="D9039" s="957"/>
      <c r="E9039" s="958"/>
      <c r="F9039" s="1069"/>
      <c r="G9039" s="957"/>
      <c r="H9039" s="1032"/>
      <c r="I9039" s="959">
        <f>+I9034</f>
        <v>0</v>
      </c>
    </row>
    <row r="9040" spans="3:9" ht="15.75">
      <c r="C9040" s="949"/>
      <c r="D9040" s="946"/>
      <c r="E9040" s="947"/>
      <c r="F9040" s="1054"/>
      <c r="G9040" s="946"/>
      <c r="H9040" s="1031"/>
      <c r="I9040" s="948"/>
    </row>
    <row r="9041" spans="2:9" ht="15.75">
      <c r="C9041" s="949"/>
      <c r="D9041" s="946"/>
      <c r="E9041" s="947"/>
      <c r="F9041" s="1054"/>
      <c r="G9041" s="946"/>
      <c r="H9041" s="1031"/>
      <c r="I9041" s="948"/>
    </row>
    <row r="9042" spans="2:9" ht="15.75">
      <c r="C9042" s="951" t="s">
        <v>930</v>
      </c>
      <c r="D9042" s="960"/>
      <c r="E9042" s="943" t="str">
        <f>+E9014</f>
        <v>m</v>
      </c>
      <c r="F9042" s="1070"/>
      <c r="G9042" s="960"/>
      <c r="H9042" s="1033"/>
      <c r="I9042" s="952">
        <f>SUM(I9036:I9039)</f>
        <v>131.75</v>
      </c>
    </row>
    <row r="9043" spans="2:9" ht="15.75">
      <c r="C9043" s="951"/>
      <c r="D9043" s="960"/>
      <c r="E9043" s="943"/>
      <c r="F9043" s="1070"/>
      <c r="G9043" s="960"/>
      <c r="H9043" s="1033"/>
      <c r="I9043" s="952"/>
    </row>
    <row r="9044" spans="2:9" ht="15.75">
      <c r="B9044" s="1026">
        <v>5.8</v>
      </c>
      <c r="C9044" s="937" t="str">
        <f>+Presupuesto!B531</f>
        <v>Gotero de ranurado</v>
      </c>
      <c r="D9044" s="938"/>
      <c r="E9044" s="962" t="s">
        <v>15</v>
      </c>
      <c r="F9044" s="1066"/>
      <c r="G9044" s="938"/>
      <c r="H9044" s="1029"/>
      <c r="I9044" s="940">
        <f>I9068</f>
        <v>158.5</v>
      </c>
    </row>
    <row r="9045" spans="2:9" ht="15.75">
      <c r="C9045" s="941" t="s">
        <v>908</v>
      </c>
      <c r="D9045" s="942" t="s">
        <v>9</v>
      </c>
      <c r="E9045" s="943" t="s">
        <v>10</v>
      </c>
      <c r="F9045" s="1067" t="s">
        <v>909</v>
      </c>
      <c r="G9045" s="942" t="s">
        <v>910</v>
      </c>
      <c r="H9045" s="1030" t="s">
        <v>911</v>
      </c>
      <c r="I9045" s="944" t="s">
        <v>912</v>
      </c>
    </row>
    <row r="9046" spans="2:9" ht="15.75">
      <c r="C9046" s="945" t="s">
        <v>913</v>
      </c>
      <c r="D9046" s="946"/>
      <c r="E9046" s="947"/>
      <c r="F9046" s="1054"/>
      <c r="G9046" s="946"/>
      <c r="H9046" s="1031"/>
      <c r="I9046" s="948"/>
    </row>
    <row r="9047" spans="2:9" ht="15.75">
      <c r="C9047" s="949" t="s">
        <v>958</v>
      </c>
      <c r="D9047" s="946">
        <v>0.01</v>
      </c>
      <c r="E9047" s="947" t="str">
        <f>+VLOOKUP(C9047,'Basic (equilibrio) (2)'!B:D,2,FALSE)</f>
        <v>m3</v>
      </c>
      <c r="F9047" s="1068">
        <f>'Basic (equilibrio) (2)'!$D$309</f>
        <v>6820</v>
      </c>
      <c r="G9047" s="946">
        <f>F9047-(F9047/1.18)</f>
        <v>1040.3399999999999</v>
      </c>
      <c r="H9047" s="1031"/>
      <c r="I9047" s="948">
        <f>D9047*F9047</f>
        <v>68.2</v>
      </c>
    </row>
    <row r="9048" spans="2:9" ht="15.75">
      <c r="C9048" s="949" t="s">
        <v>1206</v>
      </c>
      <c r="D9048" s="946">
        <v>0.11</v>
      </c>
      <c r="E9048" s="947" t="str">
        <f>+VLOOKUP(C9048,'Basic (equilibrio) (2)'!B:D,2,FALSE)</f>
        <v>pt</v>
      </c>
      <c r="F9048" s="1068">
        <f>'Basic (equilibrio) (2)'!$D$310</f>
        <v>230</v>
      </c>
      <c r="G9048" s="946">
        <f>F9048-(F9048/1.18)</f>
        <v>35.08</v>
      </c>
      <c r="H9048" s="1031"/>
      <c r="I9048" s="948">
        <f>D9048*F9048</f>
        <v>25.3</v>
      </c>
    </row>
    <row r="9049" spans="2:9" ht="15.75">
      <c r="C9049" s="951" t="s">
        <v>918</v>
      </c>
      <c r="D9049" s="946"/>
      <c r="E9049" s="947"/>
      <c r="F9049" s="1068"/>
      <c r="G9049" s="946"/>
      <c r="H9049" s="1031"/>
      <c r="I9049" s="952">
        <f>SUM(I9047:I9048)</f>
        <v>93.5</v>
      </c>
    </row>
    <row r="9050" spans="2:9" ht="15.75">
      <c r="C9050" s="949"/>
      <c r="D9050" s="946"/>
      <c r="E9050" s="947"/>
      <c r="F9050" s="1068"/>
      <c r="G9050" s="946"/>
      <c r="H9050" s="1031"/>
      <c r="I9050" s="948"/>
    </row>
    <row r="9051" spans="2:9" ht="15.75">
      <c r="C9051" s="945" t="s">
        <v>919</v>
      </c>
      <c r="D9051" s="946"/>
      <c r="E9051" s="947"/>
      <c r="F9051" s="1068"/>
      <c r="G9051" s="946"/>
      <c r="H9051" s="1031"/>
      <c r="I9051" s="948"/>
    </row>
    <row r="9052" spans="2:9" ht="15.75">
      <c r="C9052" s="949" t="s">
        <v>1564</v>
      </c>
      <c r="D9052" s="953">
        <v>1</v>
      </c>
      <c r="E9052" s="954" t="str">
        <f>+VLOOKUP(C9052,'Basic (equilibrio) (2)'!B:D,2,FALSE)</f>
        <v>m</v>
      </c>
      <c r="F9052" s="1068">
        <f>'Basic (equilibrio) (2)'!$D$57</f>
        <v>65</v>
      </c>
      <c r="G9052" s="946">
        <v>0</v>
      </c>
      <c r="H9052" s="1031"/>
      <c r="I9052" s="948">
        <f>(D9052*F9052)</f>
        <v>65</v>
      </c>
    </row>
    <row r="9053" spans="2:9" ht="15.75">
      <c r="C9053" s="951" t="s">
        <v>918</v>
      </c>
      <c r="D9053" s="946"/>
      <c r="E9053" s="947"/>
      <c r="F9053" s="1054"/>
      <c r="G9053" s="946"/>
      <c r="H9053" s="1031"/>
      <c r="I9053" s="952">
        <f>SUM(I9052:I9052)</f>
        <v>65</v>
      </c>
    </row>
    <row r="9054" spans="2:9" ht="15.75">
      <c r="C9054" s="949"/>
      <c r="D9054" s="946"/>
      <c r="E9054" s="947"/>
      <c r="F9054" s="1054"/>
      <c r="G9054" s="946"/>
      <c r="H9054" s="1031"/>
      <c r="I9054" s="948"/>
    </row>
    <row r="9055" spans="2:9" ht="15.75">
      <c r="C9055" s="945" t="s">
        <v>923</v>
      </c>
      <c r="D9055" s="946"/>
      <c r="E9055" s="947"/>
      <c r="F9055" s="1054"/>
      <c r="G9055" s="946"/>
      <c r="H9055" s="1031"/>
      <c r="I9055" s="948"/>
    </row>
    <row r="9056" spans="2:9" ht="15.75">
      <c r="C9056" s="949" t="s">
        <v>924</v>
      </c>
      <c r="D9056" s="946"/>
      <c r="E9056" s="947" t="str">
        <f>+VLOOKUP(C9056,'Basic (equilibrio) (2)'!B:D,2,FALSE)</f>
        <v>n/a</v>
      </c>
      <c r="F9056" s="1054">
        <f>+VLOOKUP(C9056,'Basic (equilibrio) (2)'!B:D,3,FALSE)</f>
        <v>0</v>
      </c>
      <c r="G9056" s="946">
        <f>F9056-(F9056/1.18)</f>
        <v>0</v>
      </c>
      <c r="H9056" s="1039"/>
      <c r="I9056" s="955">
        <f>D9056*F9056</f>
        <v>0</v>
      </c>
    </row>
    <row r="9057" spans="2:9" ht="15.75">
      <c r="C9057" s="951" t="s">
        <v>918</v>
      </c>
      <c r="D9057" s="946"/>
      <c r="E9057" s="947"/>
      <c r="F9057" s="1054"/>
      <c r="G9057" s="946"/>
      <c r="H9057" s="1031"/>
      <c r="I9057" s="952">
        <f>SUM(I9056:I9056)</f>
        <v>0</v>
      </c>
    </row>
    <row r="9058" spans="2:9" ht="15.75">
      <c r="C9058" s="949"/>
      <c r="D9058" s="946"/>
      <c r="E9058" s="947"/>
      <c r="F9058" s="1054"/>
      <c r="G9058" s="946"/>
      <c r="H9058" s="1031"/>
      <c r="I9058" s="948"/>
    </row>
    <row r="9059" spans="2:9" ht="15.75">
      <c r="C9059" s="945" t="s">
        <v>925</v>
      </c>
      <c r="D9059" s="946"/>
      <c r="E9059" s="947"/>
      <c r="F9059" s="1054"/>
      <c r="G9059" s="946"/>
      <c r="H9059" s="1031"/>
      <c r="I9059" s="948"/>
    </row>
    <row r="9060" spans="2:9" ht="15.75">
      <c r="C9060" s="949" t="s">
        <v>924</v>
      </c>
      <c r="D9060" s="946"/>
      <c r="E9060" s="947" t="str">
        <f>+VLOOKUP(C9060,'Basic (equilibrio) (2)'!B:D,2,FALSE)</f>
        <v>n/a</v>
      </c>
      <c r="F9060" s="1054">
        <f>+VLOOKUP(C9060,'Basic (equilibrio) (2)'!B:D,3,FALSE)</f>
        <v>0</v>
      </c>
      <c r="G9060" s="946"/>
      <c r="H9060" s="1031"/>
      <c r="I9060" s="948">
        <f>D9060*F9060</f>
        <v>0</v>
      </c>
    </row>
    <row r="9061" spans="2:9" ht="15.75">
      <c r="C9061" s="951" t="s">
        <v>918</v>
      </c>
      <c r="D9061" s="946"/>
      <c r="E9061" s="947"/>
      <c r="F9061" s="1054"/>
      <c r="G9061" s="946"/>
      <c r="H9061" s="1031"/>
      <c r="I9061" s="952">
        <f>SUM(I9060)</f>
        <v>0</v>
      </c>
    </row>
    <row r="9062" spans="2:9" ht="15.75">
      <c r="C9062" s="951"/>
      <c r="D9062" s="946"/>
      <c r="E9062" s="947"/>
      <c r="F9062" s="1054"/>
      <c r="G9062" s="946"/>
      <c r="H9062" s="1031"/>
      <c r="I9062" s="952"/>
    </row>
    <row r="9063" spans="2:9" ht="15.75">
      <c r="C9063" s="956" t="s">
        <v>926</v>
      </c>
      <c r="D9063" s="957"/>
      <c r="E9063" s="958"/>
      <c r="F9063" s="1069"/>
      <c r="G9063" s="957"/>
      <c r="H9063" s="1032"/>
      <c r="I9063" s="959">
        <f>+I9049</f>
        <v>93.5</v>
      </c>
    </row>
    <row r="9064" spans="2:9" ht="15.75">
      <c r="C9064" s="956" t="s">
        <v>927</v>
      </c>
      <c r="D9064" s="957"/>
      <c r="E9064" s="958"/>
      <c r="F9064" s="1069"/>
      <c r="G9064" s="957"/>
      <c r="H9064" s="1032"/>
      <c r="I9064" s="959">
        <f>+I9053</f>
        <v>65</v>
      </c>
    </row>
    <row r="9065" spans="2:9" ht="15.75">
      <c r="C9065" s="956" t="s">
        <v>928</v>
      </c>
      <c r="D9065" s="957"/>
      <c r="E9065" s="958"/>
      <c r="F9065" s="1069"/>
      <c r="G9065" s="957"/>
      <c r="H9065" s="1032"/>
      <c r="I9065" s="959">
        <f>+I9057</f>
        <v>0</v>
      </c>
    </row>
    <row r="9066" spans="2:9" ht="15.75">
      <c r="C9066" s="956" t="s">
        <v>929</v>
      </c>
      <c r="D9066" s="957"/>
      <c r="E9066" s="958"/>
      <c r="F9066" s="1069"/>
      <c r="G9066" s="957"/>
      <c r="H9066" s="1032"/>
      <c r="I9066" s="959">
        <f>+I9061</f>
        <v>0</v>
      </c>
    </row>
    <row r="9067" spans="2:9" ht="15.75">
      <c r="C9067" s="949"/>
      <c r="D9067" s="946"/>
      <c r="E9067" s="947"/>
      <c r="F9067" s="1054"/>
      <c r="G9067" s="946"/>
      <c r="H9067" s="1031"/>
      <c r="I9067" s="948"/>
    </row>
    <row r="9068" spans="2:9" ht="15.75">
      <c r="C9068" s="951" t="s">
        <v>930</v>
      </c>
      <c r="D9068" s="960"/>
      <c r="E9068" s="943" t="str">
        <f>+E9044</f>
        <v>M</v>
      </c>
      <c r="F9068" s="1070"/>
      <c r="G9068" s="960"/>
      <c r="H9068" s="1033"/>
      <c r="I9068" s="952">
        <f>SUM(I9063:I9066)</f>
        <v>158.5</v>
      </c>
    </row>
    <row r="9069" spans="2:9" ht="15.75">
      <c r="C9069" s="951"/>
      <c r="D9069" s="960"/>
      <c r="E9069" s="943"/>
      <c r="F9069" s="1070"/>
      <c r="G9069" s="960"/>
      <c r="H9069" s="1033"/>
      <c r="I9069" s="952"/>
    </row>
    <row r="9070" spans="2:9" ht="15.75">
      <c r="B9070" s="1026">
        <v>5.8</v>
      </c>
      <c r="C9070" s="937" t="str">
        <f>+Presupuesto!B532</f>
        <v>Impermeabilizante en techo (tipo sellador)</v>
      </c>
      <c r="D9070" s="938"/>
      <c r="E9070" s="962" t="s">
        <v>20</v>
      </c>
      <c r="F9070" s="1066"/>
      <c r="G9070" s="938"/>
      <c r="H9070" s="1029"/>
      <c r="I9070" s="940">
        <f>+I9094</f>
        <v>419.4</v>
      </c>
    </row>
    <row r="9071" spans="2:9" ht="15.75">
      <c r="C9071" s="941" t="s">
        <v>908</v>
      </c>
      <c r="D9071" s="942" t="s">
        <v>9</v>
      </c>
      <c r="E9071" s="943" t="s">
        <v>10</v>
      </c>
      <c r="F9071" s="1067" t="s">
        <v>909</v>
      </c>
      <c r="G9071" s="942" t="s">
        <v>910</v>
      </c>
      <c r="H9071" s="1030" t="s">
        <v>911</v>
      </c>
      <c r="I9071" s="944" t="s">
        <v>912</v>
      </c>
    </row>
    <row r="9072" spans="2:9" ht="15.75">
      <c r="C9072" s="945" t="s">
        <v>913</v>
      </c>
      <c r="D9072" s="946"/>
      <c r="E9072" s="947"/>
      <c r="F9072" s="1054"/>
      <c r="G9072" s="946"/>
      <c r="H9072" s="1031"/>
      <c r="I9072" s="948"/>
    </row>
    <row r="9073" spans="3:9" ht="15.75">
      <c r="C9073" s="949" t="s">
        <v>1573</v>
      </c>
      <c r="D9073" s="946">
        <v>0.16</v>
      </c>
      <c r="E9073" s="947" t="s">
        <v>1183</v>
      </c>
      <c r="F9073" s="1068">
        <f>'Basic (equilibrio) (2)'!$D$457</f>
        <v>2200</v>
      </c>
      <c r="G9073" s="946">
        <f>F9073-(F9073/1.18)</f>
        <v>335.59</v>
      </c>
      <c r="H9073" s="1031"/>
      <c r="I9073" s="948">
        <f>D9073*F9073</f>
        <v>352</v>
      </c>
    </row>
    <row r="9074" spans="3:9" ht="15.75">
      <c r="C9074" s="949" t="s">
        <v>1209</v>
      </c>
      <c r="D9074" s="946">
        <v>82</v>
      </c>
      <c r="E9074" s="947" t="s">
        <v>1025</v>
      </c>
      <c r="F9074" s="1068">
        <v>0.2</v>
      </c>
      <c r="G9074" s="946">
        <f>F9074-(F9074/1.18)</f>
        <v>0.03</v>
      </c>
      <c r="H9074" s="1031"/>
      <c r="I9074" s="948">
        <f>D9074*F9074</f>
        <v>16.399999999999999</v>
      </c>
    </row>
    <row r="9075" spans="3:9" ht="15.75">
      <c r="C9075" s="951" t="s">
        <v>918</v>
      </c>
      <c r="D9075" s="946"/>
      <c r="E9075" s="947"/>
      <c r="F9075" s="1068"/>
      <c r="G9075" s="946"/>
      <c r="H9075" s="1031"/>
      <c r="I9075" s="952">
        <f>SUM(I9073:I9074)</f>
        <v>368.4</v>
      </c>
    </row>
    <row r="9076" spans="3:9" ht="15.75">
      <c r="C9076" s="949"/>
      <c r="D9076" s="946"/>
      <c r="E9076" s="947"/>
      <c r="F9076" s="1068"/>
      <c r="G9076" s="946"/>
      <c r="H9076" s="1031"/>
      <c r="I9076" s="948"/>
    </row>
    <row r="9077" spans="3:9" ht="15.75">
      <c r="C9077" s="945" t="s">
        <v>919</v>
      </c>
      <c r="D9077" s="946"/>
      <c r="E9077" s="947"/>
      <c r="F9077" s="1068"/>
      <c r="G9077" s="946"/>
      <c r="H9077" s="1031"/>
      <c r="I9077" s="948"/>
    </row>
    <row r="9078" spans="3:9" ht="15.75">
      <c r="C9078" s="949" t="s">
        <v>1101</v>
      </c>
      <c r="D9078" s="953">
        <v>1</v>
      </c>
      <c r="E9078" s="954" t="str">
        <f>+VLOOKUP(C9078,'Basic (equilibrio) (2)'!B:D,2,FALSE)</f>
        <v>m2</v>
      </c>
      <c r="F9078" s="1068">
        <f>'Basic (equilibrio) (2)'!$D$37</f>
        <v>51</v>
      </c>
      <c r="G9078" s="946">
        <v>0</v>
      </c>
      <c r="H9078" s="1031"/>
      <c r="I9078" s="948">
        <f>(D9078*F9078)</f>
        <v>51</v>
      </c>
    </row>
    <row r="9079" spans="3:9" ht="15.75">
      <c r="C9079" s="951" t="s">
        <v>918</v>
      </c>
      <c r="D9079" s="946"/>
      <c r="E9079" s="947"/>
      <c r="F9079" s="1054"/>
      <c r="G9079" s="946"/>
      <c r="H9079" s="1031"/>
      <c r="I9079" s="952">
        <f>SUM(I9078:I9078)</f>
        <v>51</v>
      </c>
    </row>
    <row r="9080" spans="3:9" ht="15.75">
      <c r="C9080" s="949"/>
      <c r="D9080" s="946"/>
      <c r="E9080" s="947"/>
      <c r="F9080" s="1054"/>
      <c r="G9080" s="946"/>
      <c r="H9080" s="1031"/>
      <c r="I9080" s="948"/>
    </row>
    <row r="9081" spans="3:9" ht="15.75">
      <c r="C9081" s="945" t="s">
        <v>923</v>
      </c>
      <c r="D9081" s="946"/>
      <c r="E9081" s="947"/>
      <c r="F9081" s="1054"/>
      <c r="G9081" s="946"/>
      <c r="H9081" s="1031"/>
      <c r="I9081" s="948"/>
    </row>
    <row r="9082" spans="3:9" ht="15.75">
      <c r="C9082" s="949" t="s">
        <v>924</v>
      </c>
      <c r="D9082" s="946"/>
      <c r="E9082" s="947" t="str">
        <f>+VLOOKUP(C9082,'Basic (equilibrio) (2)'!B:D,2,FALSE)</f>
        <v>n/a</v>
      </c>
      <c r="F9082" s="1054">
        <f>+VLOOKUP(C9082,'Basic (equilibrio) (2)'!B:D,3,FALSE)</f>
        <v>0</v>
      </c>
      <c r="G9082" s="946">
        <f>F9082-(F9082/1.18)</f>
        <v>0</v>
      </c>
      <c r="H9082" s="1039"/>
      <c r="I9082" s="955">
        <f>D9082*F9082</f>
        <v>0</v>
      </c>
    </row>
    <row r="9083" spans="3:9" ht="15.75">
      <c r="C9083" s="951" t="s">
        <v>918</v>
      </c>
      <c r="D9083" s="946"/>
      <c r="E9083" s="947"/>
      <c r="F9083" s="1054"/>
      <c r="G9083" s="946"/>
      <c r="H9083" s="1031"/>
      <c r="I9083" s="952">
        <f>SUM(I9082:I9082)</f>
        <v>0</v>
      </c>
    </row>
    <row r="9084" spans="3:9" ht="15.75">
      <c r="C9084" s="949"/>
      <c r="D9084" s="946"/>
      <c r="E9084" s="947"/>
      <c r="F9084" s="1054"/>
      <c r="G9084" s="946"/>
      <c r="H9084" s="1031"/>
      <c r="I9084" s="948"/>
    </row>
    <row r="9085" spans="3:9" ht="15.75">
      <c r="C9085" s="945" t="s">
        <v>925</v>
      </c>
      <c r="D9085" s="946"/>
      <c r="E9085" s="947"/>
      <c r="F9085" s="1054"/>
      <c r="G9085" s="946"/>
      <c r="H9085" s="1031"/>
      <c r="I9085" s="948"/>
    </row>
    <row r="9086" spans="3:9" ht="15.75">
      <c r="C9086" s="949" t="s">
        <v>924</v>
      </c>
      <c r="D9086" s="946"/>
      <c r="E9086" s="947" t="str">
        <f>+VLOOKUP(C9086,'Basic (equilibrio) (2)'!B:D,2,FALSE)</f>
        <v>n/a</v>
      </c>
      <c r="F9086" s="1054">
        <f>+VLOOKUP(C9086,'Basic (equilibrio) (2)'!B:D,3,FALSE)</f>
        <v>0</v>
      </c>
      <c r="G9086" s="946"/>
      <c r="H9086" s="1031"/>
      <c r="I9086" s="948">
        <f>D9086*F9086</f>
        <v>0</v>
      </c>
    </row>
    <row r="9087" spans="3:9" ht="15.75">
      <c r="C9087" s="951" t="s">
        <v>918</v>
      </c>
      <c r="D9087" s="946"/>
      <c r="E9087" s="947"/>
      <c r="F9087" s="1054"/>
      <c r="G9087" s="946"/>
      <c r="H9087" s="1031"/>
      <c r="I9087" s="952">
        <f>SUM(I9086)</f>
        <v>0</v>
      </c>
    </row>
    <row r="9088" spans="3:9" ht="15.75">
      <c r="C9088" s="951"/>
      <c r="D9088" s="946"/>
      <c r="E9088" s="947"/>
      <c r="F9088" s="1054"/>
      <c r="G9088" s="946"/>
      <c r="H9088" s="1031"/>
      <c r="I9088" s="952"/>
    </row>
    <row r="9089" spans="2:9" ht="15.75">
      <c r="C9089" s="956" t="s">
        <v>926</v>
      </c>
      <c r="D9089" s="957"/>
      <c r="E9089" s="958"/>
      <c r="F9089" s="1069"/>
      <c r="G9089" s="957"/>
      <c r="H9089" s="1032"/>
      <c r="I9089" s="959">
        <f>+I9075</f>
        <v>368.4</v>
      </c>
    </row>
    <row r="9090" spans="2:9" ht="15.75">
      <c r="C9090" s="956" t="s">
        <v>927</v>
      </c>
      <c r="D9090" s="957"/>
      <c r="E9090" s="958"/>
      <c r="F9090" s="1069"/>
      <c r="G9090" s="957"/>
      <c r="H9090" s="1032"/>
      <c r="I9090" s="959">
        <f>+I9079</f>
        <v>51</v>
      </c>
    </row>
    <row r="9091" spans="2:9" ht="15.75">
      <c r="C9091" s="956" t="s">
        <v>928</v>
      </c>
      <c r="D9091" s="957"/>
      <c r="E9091" s="958"/>
      <c r="F9091" s="1069"/>
      <c r="G9091" s="957"/>
      <c r="H9091" s="1032"/>
      <c r="I9091" s="959">
        <f>+I9083</f>
        <v>0</v>
      </c>
    </row>
    <row r="9092" spans="2:9" ht="15.75">
      <c r="C9092" s="956" t="s">
        <v>929</v>
      </c>
      <c r="D9092" s="957"/>
      <c r="E9092" s="958"/>
      <c r="F9092" s="1069"/>
      <c r="G9092" s="957"/>
      <c r="H9092" s="1032"/>
      <c r="I9092" s="959">
        <f>+I9087</f>
        <v>0</v>
      </c>
    </row>
    <row r="9093" spans="2:9" ht="15.75">
      <c r="C9093" s="949"/>
      <c r="D9093" s="946"/>
      <c r="E9093" s="947"/>
      <c r="F9093" s="1054"/>
      <c r="G9093" s="946"/>
      <c r="H9093" s="1031"/>
      <c r="I9093" s="948"/>
    </row>
    <row r="9094" spans="2:9" ht="15.75">
      <c r="C9094" s="951" t="s">
        <v>930</v>
      </c>
      <c r="D9094" s="960"/>
      <c r="E9094" s="975" t="str">
        <f>+E9070</f>
        <v>M2</v>
      </c>
      <c r="F9094" s="1070"/>
      <c r="G9094" s="960"/>
      <c r="H9094" s="1033"/>
      <c r="I9094" s="952">
        <f>SUM(I9089:I9092)</f>
        <v>419.4</v>
      </c>
    </row>
    <row r="9095" spans="2:9" ht="15.75">
      <c r="C9095" s="951"/>
      <c r="D9095" s="960"/>
      <c r="E9095" s="943"/>
      <c r="F9095" s="1070"/>
      <c r="G9095" s="960"/>
      <c r="H9095" s="1033"/>
      <c r="I9095" s="952"/>
    </row>
    <row r="9096" spans="2:9" ht="15.75">
      <c r="B9096" s="1026">
        <v>5.8</v>
      </c>
      <c r="C9096" s="937" t="str">
        <f>+Presupuesto!B533</f>
        <v>Cerámica  baño</v>
      </c>
      <c r="D9096" s="938"/>
      <c r="E9096" s="962" t="s">
        <v>1000</v>
      </c>
      <c r="F9096" s="1066"/>
      <c r="G9096" s="938"/>
      <c r="H9096" s="1029"/>
      <c r="I9096" s="940">
        <f>+I9119</f>
        <v>1887</v>
      </c>
    </row>
    <row r="9097" spans="2:9" ht="15.75">
      <c r="C9097" s="941" t="s">
        <v>908</v>
      </c>
      <c r="D9097" s="942" t="s">
        <v>9</v>
      </c>
      <c r="E9097" s="943" t="s">
        <v>10</v>
      </c>
      <c r="F9097" s="1067" t="s">
        <v>909</v>
      </c>
      <c r="G9097" s="942" t="s">
        <v>910</v>
      </c>
      <c r="H9097" s="1030" t="s">
        <v>911</v>
      </c>
      <c r="I9097" s="944" t="s">
        <v>912</v>
      </c>
    </row>
    <row r="9098" spans="2:9" ht="15.75">
      <c r="C9098" s="945" t="s">
        <v>913</v>
      </c>
      <c r="D9098" s="946"/>
      <c r="E9098" s="947"/>
      <c r="F9098" s="1054"/>
      <c r="G9098" s="946"/>
      <c r="H9098" s="1031"/>
      <c r="I9098" s="948"/>
    </row>
    <row r="9099" spans="2:9" ht="15.75">
      <c r="C9099" s="949" t="s">
        <v>1595</v>
      </c>
      <c r="D9099" s="946">
        <v>1.02</v>
      </c>
      <c r="E9099" s="947" t="str">
        <f>+VLOOKUP(C9099,'Basic (equilibrio) (2)'!B:D,2,FALSE)</f>
        <v>m2</v>
      </c>
      <c r="F9099" s="1068">
        <f>'Basic (equilibrio) (2)'!$D$202</f>
        <v>1850</v>
      </c>
      <c r="G9099" s="946">
        <f>F9099-(F9099/1.18)</f>
        <v>282.2</v>
      </c>
      <c r="H9099" s="1031"/>
      <c r="I9099" s="948">
        <f>D9099*F9099</f>
        <v>1887</v>
      </c>
    </row>
    <row r="9100" spans="2:9" ht="15.75">
      <c r="C9100" s="951" t="s">
        <v>918</v>
      </c>
      <c r="D9100" s="946"/>
      <c r="E9100" s="947"/>
      <c r="F9100" s="1068"/>
      <c r="G9100" s="946"/>
      <c r="H9100" s="1031"/>
      <c r="I9100" s="952">
        <f>SUM(I9099:I9099)</f>
        <v>1887</v>
      </c>
    </row>
    <row r="9101" spans="2:9" ht="15.75">
      <c r="C9101" s="949"/>
      <c r="D9101" s="946"/>
      <c r="E9101" s="947"/>
      <c r="F9101" s="1068"/>
      <c r="G9101" s="946"/>
      <c r="H9101" s="1031"/>
      <c r="I9101" s="948"/>
    </row>
    <row r="9102" spans="2:9" ht="15.75">
      <c r="C9102" s="945" t="s">
        <v>919</v>
      </c>
      <c r="D9102" s="946"/>
      <c r="E9102" s="947"/>
      <c r="F9102" s="1068"/>
      <c r="G9102" s="946"/>
      <c r="H9102" s="1031"/>
      <c r="I9102" s="948"/>
    </row>
    <row r="9103" spans="2:9" ht="15.75">
      <c r="C9103" s="949" t="s">
        <v>924</v>
      </c>
      <c r="D9103" s="953"/>
      <c r="E9103" s="954" t="str">
        <f>+VLOOKUP(C9103,'Basic (equilibrio) (2)'!B:D,2,FALSE)</f>
        <v>n/a</v>
      </c>
      <c r="F9103" s="1068">
        <f>+VLOOKUP(C9103,'Basic (equilibrio) (2)'!B:D,3,FALSE)</f>
        <v>0</v>
      </c>
      <c r="G9103" s="946">
        <v>0</v>
      </c>
      <c r="H9103" s="1031"/>
      <c r="I9103" s="948">
        <f>(D9103*F9103)</f>
        <v>0</v>
      </c>
    </row>
    <row r="9104" spans="2:9" ht="15.75">
      <c r="C9104" s="951" t="s">
        <v>918</v>
      </c>
      <c r="D9104" s="946"/>
      <c r="E9104" s="947"/>
      <c r="F9104" s="1054"/>
      <c r="G9104" s="946"/>
      <c r="H9104" s="1031"/>
      <c r="I9104" s="952">
        <f>SUM(I9103:I9103)</f>
        <v>0</v>
      </c>
    </row>
    <row r="9105" spans="3:9" ht="15.75">
      <c r="C9105" s="949"/>
      <c r="D9105" s="946"/>
      <c r="E9105" s="947"/>
      <c r="F9105" s="1054"/>
      <c r="G9105" s="946"/>
      <c r="H9105" s="1031"/>
      <c r="I9105" s="948"/>
    </row>
    <row r="9106" spans="3:9" ht="15.75">
      <c r="C9106" s="945" t="s">
        <v>923</v>
      </c>
      <c r="D9106" s="946"/>
      <c r="E9106" s="947"/>
      <c r="F9106" s="1054"/>
      <c r="G9106" s="946"/>
      <c r="H9106" s="1031"/>
      <c r="I9106" s="948"/>
    </row>
    <row r="9107" spans="3:9" ht="15.75">
      <c r="C9107" s="949" t="s">
        <v>924</v>
      </c>
      <c r="D9107" s="946"/>
      <c r="E9107" s="947" t="str">
        <f>+VLOOKUP(C9107,'Basic (equilibrio) (2)'!B:D,2,FALSE)</f>
        <v>n/a</v>
      </c>
      <c r="F9107" s="1054">
        <f>+VLOOKUP(C9107,'Basic (equilibrio) (2)'!B:D,3,FALSE)</f>
        <v>0</v>
      </c>
      <c r="G9107" s="946">
        <f>F9107-(F9107/1.18)</f>
        <v>0</v>
      </c>
      <c r="H9107" s="1039"/>
      <c r="I9107" s="955">
        <f>D9107*F9107</f>
        <v>0</v>
      </c>
    </row>
    <row r="9108" spans="3:9" ht="15.75">
      <c r="C9108" s="951" t="s">
        <v>918</v>
      </c>
      <c r="D9108" s="946"/>
      <c r="E9108" s="947"/>
      <c r="F9108" s="1054"/>
      <c r="G9108" s="946"/>
      <c r="H9108" s="1031"/>
      <c r="I9108" s="952">
        <f>SUM(I9107:I9107)</f>
        <v>0</v>
      </c>
    </row>
    <row r="9109" spans="3:9" ht="15.75">
      <c r="C9109" s="949"/>
      <c r="D9109" s="946"/>
      <c r="E9109" s="947"/>
      <c r="F9109" s="1054"/>
      <c r="G9109" s="946"/>
      <c r="H9109" s="1031"/>
      <c r="I9109" s="948"/>
    </row>
    <row r="9110" spans="3:9" ht="15.75">
      <c r="C9110" s="945" t="s">
        <v>925</v>
      </c>
      <c r="D9110" s="946"/>
      <c r="E9110" s="947"/>
      <c r="F9110" s="1054"/>
      <c r="G9110" s="946"/>
      <c r="H9110" s="1031"/>
      <c r="I9110" s="948"/>
    </row>
    <row r="9111" spans="3:9" ht="15.75">
      <c r="C9111" s="949" t="s">
        <v>924</v>
      </c>
      <c r="D9111" s="946"/>
      <c r="E9111" s="947" t="str">
        <f>+VLOOKUP(C9111,'Basic (equilibrio) (2)'!B:D,2,FALSE)</f>
        <v>n/a</v>
      </c>
      <c r="F9111" s="1054">
        <f>+VLOOKUP(C9111,'Basic (equilibrio) (2)'!B:D,3,FALSE)</f>
        <v>0</v>
      </c>
      <c r="G9111" s="946"/>
      <c r="H9111" s="1031"/>
      <c r="I9111" s="948">
        <f>D9111*F9111</f>
        <v>0</v>
      </c>
    </row>
    <row r="9112" spans="3:9" ht="15.75">
      <c r="C9112" s="951" t="s">
        <v>918</v>
      </c>
      <c r="D9112" s="946"/>
      <c r="E9112" s="947"/>
      <c r="F9112" s="1054"/>
      <c r="G9112" s="946"/>
      <c r="H9112" s="1031"/>
      <c r="I9112" s="952">
        <f>SUM(I9111)</f>
        <v>0</v>
      </c>
    </row>
    <row r="9113" spans="3:9" ht="15.75">
      <c r="C9113" s="951"/>
      <c r="D9113" s="946"/>
      <c r="E9113" s="947"/>
      <c r="F9113" s="1054"/>
      <c r="G9113" s="946"/>
      <c r="H9113" s="1031"/>
      <c r="I9113" s="952"/>
    </row>
    <row r="9114" spans="3:9" ht="15.75">
      <c r="C9114" s="956" t="s">
        <v>926</v>
      </c>
      <c r="D9114" s="957"/>
      <c r="E9114" s="958"/>
      <c r="F9114" s="1069"/>
      <c r="G9114" s="957"/>
      <c r="H9114" s="1032"/>
      <c r="I9114" s="959">
        <f>+I9100</f>
        <v>1887</v>
      </c>
    </row>
    <row r="9115" spans="3:9" ht="15.75">
      <c r="C9115" s="956" t="s">
        <v>927</v>
      </c>
      <c r="D9115" s="957"/>
      <c r="E9115" s="958"/>
      <c r="F9115" s="1069"/>
      <c r="G9115" s="957"/>
      <c r="H9115" s="1032"/>
      <c r="I9115" s="959">
        <f>+I9104</f>
        <v>0</v>
      </c>
    </row>
    <row r="9116" spans="3:9" ht="15.75">
      <c r="C9116" s="956" t="s">
        <v>928</v>
      </c>
      <c r="D9116" s="957"/>
      <c r="E9116" s="958"/>
      <c r="F9116" s="1069"/>
      <c r="G9116" s="957"/>
      <c r="H9116" s="1032"/>
      <c r="I9116" s="959">
        <f>+I9108</f>
        <v>0</v>
      </c>
    </row>
    <row r="9117" spans="3:9" ht="15.75">
      <c r="C9117" s="956" t="s">
        <v>929</v>
      </c>
      <c r="D9117" s="957"/>
      <c r="E9117" s="958"/>
      <c r="F9117" s="1069"/>
      <c r="G9117" s="957"/>
      <c r="H9117" s="1032"/>
      <c r="I9117" s="959">
        <f>+I9112</f>
        <v>0</v>
      </c>
    </row>
    <row r="9118" spans="3:9" ht="15.75">
      <c r="C9118" s="949"/>
      <c r="D9118" s="946"/>
      <c r="E9118" s="947"/>
      <c r="F9118" s="1054"/>
      <c r="G9118" s="946"/>
      <c r="H9118" s="1031"/>
      <c r="I9118" s="948"/>
    </row>
    <row r="9119" spans="3:9" ht="15.75">
      <c r="C9119" s="951" t="s">
        <v>930</v>
      </c>
      <c r="D9119" s="960"/>
      <c r="E9119" s="975" t="str">
        <f>+E9096</f>
        <v>m2</v>
      </c>
      <c r="F9119" s="1070"/>
      <c r="G9119" s="960"/>
      <c r="H9119" s="1033"/>
      <c r="I9119" s="952">
        <f>SUM(I9114:I9117)</f>
        <v>1887</v>
      </c>
    </row>
    <row r="9120" spans="3:9" ht="15.75">
      <c r="C9120" s="951"/>
      <c r="D9120" s="960"/>
      <c r="E9120" s="943"/>
      <c r="F9120" s="1070"/>
      <c r="G9120" s="960"/>
      <c r="H9120" s="1033"/>
      <c r="I9120" s="952"/>
    </row>
    <row r="9121" spans="2:9" ht="15.75">
      <c r="B9121" s="1026">
        <v>5.5</v>
      </c>
      <c r="C9121" s="937" t="str">
        <f>+Presupuesto!B534</f>
        <v>Pintura general acrílica (incluye base blanca)</v>
      </c>
      <c r="D9121" s="938"/>
      <c r="E9121" s="962" t="s">
        <v>20</v>
      </c>
      <c r="F9121" s="1066"/>
      <c r="G9121" s="938"/>
      <c r="H9121" s="1029"/>
      <c r="I9121" s="940">
        <f>+I9146</f>
        <v>245.56</v>
      </c>
    </row>
    <row r="9122" spans="2:9" ht="15.75">
      <c r="C9122" s="941" t="s">
        <v>908</v>
      </c>
      <c r="D9122" s="942" t="s">
        <v>9</v>
      </c>
      <c r="E9122" s="943" t="s">
        <v>10</v>
      </c>
      <c r="F9122" s="1067" t="s">
        <v>909</v>
      </c>
      <c r="G9122" s="942" t="s">
        <v>910</v>
      </c>
      <c r="H9122" s="1030" t="s">
        <v>911</v>
      </c>
      <c r="I9122" s="944" t="s">
        <v>912</v>
      </c>
    </row>
    <row r="9123" spans="2:9" ht="15.75">
      <c r="C9123" s="945" t="s">
        <v>913</v>
      </c>
      <c r="D9123" s="946"/>
      <c r="E9123" s="947"/>
      <c r="F9123" s="1054"/>
      <c r="G9123" s="946"/>
      <c r="H9123" s="1031"/>
      <c r="I9123" s="948"/>
    </row>
    <row r="9124" spans="2:9" ht="15.75">
      <c r="C9124" s="949" t="s">
        <v>1208</v>
      </c>
      <c r="D9124" s="946">
        <v>0.16</v>
      </c>
      <c r="E9124" s="947" t="s">
        <v>1183</v>
      </c>
      <c r="F9124" s="1068">
        <f>'Basic (equilibrio) (2)'!$D$311</f>
        <v>963.5</v>
      </c>
      <c r="G9124" s="946">
        <f>F9124-(F9124/1.18)</f>
        <v>146.97</v>
      </c>
      <c r="H9124" s="1031"/>
      <c r="I9124" s="948">
        <f>D9124*F9124</f>
        <v>154.16</v>
      </c>
    </row>
    <row r="9125" spans="2:9" ht="15.75">
      <c r="C9125" s="949" t="s">
        <v>1209</v>
      </c>
      <c r="D9125" s="946">
        <v>82</v>
      </c>
      <c r="E9125" s="947" t="s">
        <v>1025</v>
      </c>
      <c r="F9125" s="1068">
        <v>0.2</v>
      </c>
      <c r="G9125" s="946">
        <f>F9125-(F9125/1.18)</f>
        <v>0.03</v>
      </c>
      <c r="H9125" s="1031"/>
      <c r="I9125" s="948">
        <f>D9125*F9125</f>
        <v>16.399999999999999</v>
      </c>
    </row>
    <row r="9126" spans="2:9" ht="15.75">
      <c r="C9126" s="951" t="s">
        <v>918</v>
      </c>
      <c r="D9126" s="946"/>
      <c r="E9126" s="947"/>
      <c r="F9126" s="1068"/>
      <c r="G9126" s="946"/>
      <c r="H9126" s="1031"/>
      <c r="I9126" s="952">
        <f>SUM(I9124:I9125)</f>
        <v>170.56</v>
      </c>
    </row>
    <row r="9127" spans="2:9" ht="15.75">
      <c r="C9127" s="949"/>
      <c r="D9127" s="946"/>
      <c r="E9127" s="947"/>
      <c r="F9127" s="1068"/>
      <c r="G9127" s="946"/>
      <c r="H9127" s="1031"/>
      <c r="I9127" s="948"/>
    </row>
    <row r="9128" spans="2:9" ht="15.75">
      <c r="C9128" s="945" t="s">
        <v>919</v>
      </c>
      <c r="D9128" s="946"/>
      <c r="E9128" s="947"/>
      <c r="F9128" s="1068"/>
      <c r="G9128" s="946"/>
      <c r="H9128" s="1031"/>
      <c r="I9128" s="948"/>
    </row>
    <row r="9129" spans="2:9" ht="15.75">
      <c r="C9129" s="949" t="s">
        <v>1083</v>
      </c>
      <c r="D9129" s="953">
        <v>1</v>
      </c>
      <c r="E9129" s="954" t="str">
        <f>+VLOOKUP(C9129,'Basic (equilibrio) (2)'!B:D,2,FALSE)</f>
        <v>m2</v>
      </c>
      <c r="F9129" s="1068">
        <f>'Basic (equilibrio) (2)'!$D$34</f>
        <v>10</v>
      </c>
      <c r="G9129" s="946">
        <v>0</v>
      </c>
      <c r="H9129" s="1031"/>
      <c r="I9129" s="948">
        <f>(D9129*F9129)</f>
        <v>10</v>
      </c>
    </row>
    <row r="9130" spans="2:9" ht="15.75">
      <c r="C9130" s="949" t="s">
        <v>1084</v>
      </c>
      <c r="D9130" s="953">
        <v>1</v>
      </c>
      <c r="E9130" s="954" t="str">
        <f>+VLOOKUP(C9130,'Basic (equilibrio) (2)'!B:D,2,FALSE)</f>
        <v>m2</v>
      </c>
      <c r="F9130" s="1068">
        <f>'Basic (equilibrio) (2)'!$D$35</f>
        <v>65</v>
      </c>
      <c r="G9130" s="946">
        <v>0</v>
      </c>
      <c r="H9130" s="1031"/>
      <c r="I9130" s="948">
        <f>(D9130*F9130)</f>
        <v>65</v>
      </c>
    </row>
    <row r="9131" spans="2:9" ht="15.75">
      <c r="C9131" s="951" t="s">
        <v>918</v>
      </c>
      <c r="D9131" s="946"/>
      <c r="E9131" s="947"/>
      <c r="F9131" s="1054"/>
      <c r="G9131" s="946"/>
      <c r="H9131" s="1031"/>
      <c r="I9131" s="952">
        <f>SUM(I9129:I9130)</f>
        <v>75</v>
      </c>
    </row>
    <row r="9132" spans="2:9" ht="15.75">
      <c r="C9132" s="949"/>
      <c r="D9132" s="946"/>
      <c r="E9132" s="947"/>
      <c r="F9132" s="1054"/>
      <c r="G9132" s="946"/>
      <c r="H9132" s="1031"/>
      <c r="I9132" s="948"/>
    </row>
    <row r="9133" spans="2:9" ht="15.75">
      <c r="C9133" s="945" t="s">
        <v>923</v>
      </c>
      <c r="D9133" s="946"/>
      <c r="E9133" s="947"/>
      <c r="F9133" s="1054"/>
      <c r="G9133" s="946"/>
      <c r="H9133" s="1031"/>
      <c r="I9133" s="948"/>
    </row>
    <row r="9134" spans="2:9" ht="15.75">
      <c r="C9134" s="949" t="s">
        <v>924</v>
      </c>
      <c r="D9134" s="946"/>
      <c r="E9134" s="947" t="str">
        <f>+VLOOKUP(C9134,'Basic (equilibrio) (2)'!B:D,2,FALSE)</f>
        <v>n/a</v>
      </c>
      <c r="F9134" s="1054">
        <f>+VLOOKUP(C9134,'Basic (equilibrio) (2)'!B:D,3,FALSE)</f>
        <v>0</v>
      </c>
      <c r="G9134" s="946">
        <f>F9134-(F9134/1.18)</f>
        <v>0</v>
      </c>
      <c r="H9134" s="1039"/>
      <c r="I9134" s="955">
        <f>D9134*F9134</f>
        <v>0</v>
      </c>
    </row>
    <row r="9135" spans="2:9" ht="15.75">
      <c r="C9135" s="951" t="s">
        <v>918</v>
      </c>
      <c r="D9135" s="946"/>
      <c r="E9135" s="947"/>
      <c r="F9135" s="1054"/>
      <c r="G9135" s="946"/>
      <c r="H9135" s="1031"/>
      <c r="I9135" s="952">
        <f>SUM(I9134:I9134)</f>
        <v>0</v>
      </c>
    </row>
    <row r="9136" spans="2:9" ht="15.75">
      <c r="C9136" s="949"/>
      <c r="D9136" s="946"/>
      <c r="E9136" s="947"/>
      <c r="F9136" s="1054"/>
      <c r="G9136" s="946"/>
      <c r="H9136" s="1031"/>
      <c r="I9136" s="948"/>
    </row>
    <row r="9137" spans="2:9" ht="15.75">
      <c r="C9137" s="945" t="s">
        <v>925</v>
      </c>
      <c r="D9137" s="946"/>
      <c r="E9137" s="947"/>
      <c r="F9137" s="1054"/>
      <c r="G9137" s="946"/>
      <c r="H9137" s="1031"/>
      <c r="I9137" s="948"/>
    </row>
    <row r="9138" spans="2:9" ht="15.75">
      <c r="C9138" s="949" t="s">
        <v>924</v>
      </c>
      <c r="D9138" s="946"/>
      <c r="E9138" s="947" t="str">
        <f>+VLOOKUP(C9138,'Basic (equilibrio) (2)'!B:D,2,FALSE)</f>
        <v>n/a</v>
      </c>
      <c r="F9138" s="1054">
        <f>+VLOOKUP(C9138,'Basic (equilibrio) (2)'!B:D,3,FALSE)</f>
        <v>0</v>
      </c>
      <c r="G9138" s="946"/>
      <c r="H9138" s="1031"/>
      <c r="I9138" s="948">
        <f>D9138*F9138</f>
        <v>0</v>
      </c>
    </row>
    <row r="9139" spans="2:9" ht="15.75">
      <c r="C9139" s="951" t="s">
        <v>918</v>
      </c>
      <c r="D9139" s="946"/>
      <c r="E9139" s="947"/>
      <c r="F9139" s="1054"/>
      <c r="G9139" s="946"/>
      <c r="H9139" s="1031"/>
      <c r="I9139" s="952">
        <f>SUM(I9138)</f>
        <v>0</v>
      </c>
    </row>
    <row r="9140" spans="2:9" ht="15.75">
      <c r="C9140" s="951"/>
      <c r="D9140" s="946"/>
      <c r="E9140" s="947"/>
      <c r="F9140" s="1054"/>
      <c r="G9140" s="946"/>
      <c r="H9140" s="1031"/>
      <c r="I9140" s="952"/>
    </row>
    <row r="9141" spans="2:9" ht="15.75">
      <c r="C9141" s="956" t="s">
        <v>926</v>
      </c>
      <c r="D9141" s="957"/>
      <c r="E9141" s="958"/>
      <c r="F9141" s="1069"/>
      <c r="G9141" s="957"/>
      <c r="H9141" s="1032"/>
      <c r="I9141" s="959">
        <f>+I9126</f>
        <v>170.56</v>
      </c>
    </row>
    <row r="9142" spans="2:9" ht="15.75">
      <c r="C9142" s="956" t="s">
        <v>927</v>
      </c>
      <c r="D9142" s="957"/>
      <c r="E9142" s="958"/>
      <c r="F9142" s="1069"/>
      <c r="G9142" s="957"/>
      <c r="H9142" s="1032"/>
      <c r="I9142" s="959">
        <f>+I9131</f>
        <v>75</v>
      </c>
    </row>
    <row r="9143" spans="2:9" ht="15.75">
      <c r="C9143" s="956" t="s">
        <v>928</v>
      </c>
      <c r="D9143" s="957"/>
      <c r="E9143" s="958"/>
      <c r="F9143" s="1069"/>
      <c r="G9143" s="957"/>
      <c r="H9143" s="1032"/>
      <c r="I9143" s="959">
        <f>+I9135</f>
        <v>0</v>
      </c>
    </row>
    <row r="9144" spans="2:9" ht="15.75">
      <c r="C9144" s="956" t="s">
        <v>929</v>
      </c>
      <c r="D9144" s="957"/>
      <c r="E9144" s="958"/>
      <c r="F9144" s="1069"/>
      <c r="G9144" s="957"/>
      <c r="H9144" s="1032"/>
      <c r="I9144" s="959">
        <f>+I9139</f>
        <v>0</v>
      </c>
    </row>
    <row r="9145" spans="2:9" ht="15.75">
      <c r="C9145" s="949"/>
      <c r="D9145" s="946"/>
      <c r="E9145" s="947"/>
      <c r="F9145" s="1054"/>
      <c r="G9145" s="946"/>
      <c r="H9145" s="1031"/>
      <c r="I9145" s="948"/>
    </row>
    <row r="9146" spans="2:9" ht="15.75">
      <c r="C9146" s="951" t="s">
        <v>930</v>
      </c>
      <c r="D9146" s="960"/>
      <c r="E9146" s="975" t="str">
        <f>+E9121</f>
        <v>M2</v>
      </c>
      <c r="F9146" s="1070"/>
      <c r="G9146" s="960"/>
      <c r="H9146" s="1033"/>
      <c r="I9146" s="952">
        <f>SUM(I9141:I9144)</f>
        <v>245.56</v>
      </c>
    </row>
    <row r="9147" spans="2:9" ht="15.75">
      <c r="C9147" s="951"/>
      <c r="D9147" s="960"/>
      <c r="E9147" s="943"/>
      <c r="F9147" s="1070"/>
      <c r="G9147" s="960"/>
      <c r="H9147" s="1033"/>
      <c r="I9147" s="952"/>
    </row>
    <row r="9148" spans="2:9" ht="31.5">
      <c r="B9148" s="1024">
        <v>6</v>
      </c>
      <c r="C9148" s="937" t="str">
        <f>+Presupuesto!B536</f>
        <v>Pisos de hormigón con malla electosoldada D2.30x D2.30 (pulido)</v>
      </c>
      <c r="D9148" s="938"/>
      <c r="E9148" s="939" t="s">
        <v>1000</v>
      </c>
      <c r="F9148" s="1066"/>
      <c r="G9148" s="938"/>
      <c r="H9148" s="1029"/>
      <c r="I9148" s="940">
        <f>+I9178</f>
        <v>1045.04</v>
      </c>
    </row>
    <row r="9149" spans="2:9" ht="15.75">
      <c r="C9149" s="941" t="s">
        <v>908</v>
      </c>
      <c r="D9149" s="942" t="s">
        <v>9</v>
      </c>
      <c r="E9149" s="943" t="s">
        <v>10</v>
      </c>
      <c r="F9149" s="1067" t="s">
        <v>909</v>
      </c>
      <c r="G9149" s="942" t="s">
        <v>910</v>
      </c>
      <c r="H9149" s="1030" t="s">
        <v>911</v>
      </c>
      <c r="I9149" s="944" t="s">
        <v>912</v>
      </c>
    </row>
    <row r="9150" spans="2:9" ht="15.75">
      <c r="C9150" s="945" t="s">
        <v>913</v>
      </c>
      <c r="D9150" s="946"/>
      <c r="E9150" s="947"/>
      <c r="F9150" s="1054"/>
      <c r="G9150" s="946"/>
      <c r="H9150" s="1031"/>
      <c r="I9150" s="948"/>
    </row>
    <row r="9151" spans="2:9" ht="15.75">
      <c r="C9151" s="949" t="s">
        <v>994</v>
      </c>
      <c r="D9151" s="946">
        <v>1.02</v>
      </c>
      <c r="E9151" s="950" t="str">
        <f>+VLOOKUP(C9151,[49]BASICS!B:E,2,FALSE)</f>
        <v>m3</v>
      </c>
      <c r="F9151" s="1068">
        <f>'Basic (equilibrio) (2)'!$D$179</f>
        <v>7600</v>
      </c>
      <c r="G9151" s="946">
        <f>F9151-(F9151/1.18)</f>
        <v>1159.32</v>
      </c>
      <c r="H9151" s="1031"/>
      <c r="I9151" s="948">
        <f>D9151*F9151</f>
        <v>7752</v>
      </c>
    </row>
    <row r="9152" spans="2:9" ht="15.75">
      <c r="C9152" s="949" t="s">
        <v>956</v>
      </c>
      <c r="D9152" s="946">
        <v>0.11</v>
      </c>
      <c r="E9152" s="950" t="str">
        <f>+VLOOKUP(C9152,[49]BASICS!B:E,2,FALSE)</f>
        <v>rollo</v>
      </c>
      <c r="F9152" s="1068">
        <f>'Basic (equilibrio) (2)'!$D$330</f>
        <v>22294</v>
      </c>
      <c r="G9152" s="946">
        <f>F9152-(F9152/1.18)</f>
        <v>3400.78</v>
      </c>
      <c r="H9152" s="1031"/>
      <c r="I9152" s="948">
        <f>D9152*F9152</f>
        <v>2452.34</v>
      </c>
    </row>
    <row r="9153" spans="3:9" ht="15.75">
      <c r="C9153" s="949" t="s">
        <v>1066</v>
      </c>
      <c r="D9153" s="946">
        <v>1.07</v>
      </c>
      <c r="E9153" s="950" t="str">
        <f>+VLOOKUP(C9153,[49]BASICS!B:E,2,FALSE)</f>
        <v>ml</v>
      </c>
      <c r="F9153" s="1068">
        <f>'Basic (equilibrio) (2)'!$D$20</f>
        <v>144</v>
      </c>
      <c r="G9153" s="946">
        <f>F9153-(F9153/1.18)</f>
        <v>21.97</v>
      </c>
      <c r="H9153" s="1031"/>
      <c r="I9153" s="948">
        <f>D9153*F9153</f>
        <v>154.08000000000001</v>
      </c>
    </row>
    <row r="9154" spans="3:9" ht="15.75">
      <c r="C9154" s="949" t="s">
        <v>1521</v>
      </c>
      <c r="D9154" s="1054">
        <v>0.1</v>
      </c>
      <c r="E9154" s="950" t="str">
        <f>+VLOOKUP(C9154,'Basic (equilibrio) (2)'!B:D,2,FALSE)</f>
        <v>und</v>
      </c>
      <c r="F9154" s="1068">
        <f>'Basic (equilibrio) (2)'!$D$165</f>
        <v>900</v>
      </c>
      <c r="G9154" s="946">
        <f>F9154-(F9154/1.18)</f>
        <v>137.29</v>
      </c>
      <c r="H9154" s="1031"/>
      <c r="I9154" s="948">
        <f>D9154*F9154</f>
        <v>90</v>
      </c>
    </row>
    <row r="9155" spans="3:9" ht="15.75">
      <c r="C9155" s="951" t="s">
        <v>918</v>
      </c>
      <c r="D9155" s="946"/>
      <c r="E9155" s="947"/>
      <c r="F9155" s="1068"/>
      <c r="G9155" s="946"/>
      <c r="H9155" s="1031"/>
      <c r="I9155" s="952">
        <f>SUM(I9151:I9154)</f>
        <v>10448.42</v>
      </c>
    </row>
    <row r="9156" spans="3:9" ht="15.75">
      <c r="C9156" s="949"/>
      <c r="D9156" s="946"/>
      <c r="E9156" s="947"/>
      <c r="F9156" s="1068"/>
      <c r="G9156" s="946"/>
      <c r="H9156" s="1031"/>
      <c r="I9156" s="948"/>
    </row>
    <row r="9157" spans="3:9" ht="15.75">
      <c r="C9157" s="945" t="s">
        <v>919</v>
      </c>
      <c r="D9157" s="946"/>
      <c r="E9157" s="947"/>
      <c r="F9157" s="1068"/>
      <c r="G9157" s="946"/>
      <c r="H9157" s="1031"/>
      <c r="I9157" s="948"/>
    </row>
    <row r="9158" spans="3:9" ht="15.75">
      <c r="C9158" s="949" t="s">
        <v>924</v>
      </c>
      <c r="D9158" s="953"/>
      <c r="E9158" s="954" t="str">
        <f>+VLOOKUP(C9158,'Basic (equilibrio) (2)'!B:D,2,FALSE)</f>
        <v>n/a</v>
      </c>
      <c r="F9158" s="1068">
        <f>+VLOOKUP(C9158,'Basic (equilibrio) (2)'!B:D,3,FALSE)</f>
        <v>0</v>
      </c>
      <c r="G9158" s="946">
        <v>0</v>
      </c>
      <c r="H9158" s="1031"/>
      <c r="I9158" s="948">
        <f>D9158*F9158</f>
        <v>0</v>
      </c>
    </row>
    <row r="9159" spans="3:9" ht="15.75">
      <c r="C9159" s="951" t="s">
        <v>918</v>
      </c>
      <c r="D9159" s="946"/>
      <c r="E9159" s="947"/>
      <c r="F9159" s="1054"/>
      <c r="G9159" s="946"/>
      <c r="H9159" s="1031"/>
      <c r="I9159" s="952">
        <f>SUM(I9158:I9158)</f>
        <v>0</v>
      </c>
    </row>
    <row r="9160" spans="3:9" ht="15.75">
      <c r="C9160" s="949"/>
      <c r="D9160" s="946"/>
      <c r="E9160" s="947"/>
      <c r="F9160" s="1054"/>
      <c r="G9160" s="946"/>
      <c r="H9160" s="1031"/>
      <c r="I9160" s="948"/>
    </row>
    <row r="9161" spans="3:9" ht="15.75">
      <c r="C9161" s="945" t="s">
        <v>923</v>
      </c>
      <c r="D9161" s="946"/>
      <c r="E9161" s="947"/>
      <c r="F9161" s="1054"/>
      <c r="G9161" s="946"/>
      <c r="H9161" s="1031"/>
      <c r="I9161" s="948"/>
    </row>
    <row r="9162" spans="3:9" ht="15.75">
      <c r="C9162" s="949" t="s">
        <v>961</v>
      </c>
      <c r="D9162" s="946">
        <v>0.01</v>
      </c>
      <c r="E9162" s="947" t="str">
        <f>+VLOOKUP(C9162,'Basic (equilibrio) (2)'!B:D,2,FALSE)</f>
        <v>m2</v>
      </c>
      <c r="F9162" s="1054">
        <f>'Basic (equilibrio) (2)'!$D$47</f>
        <v>86.2</v>
      </c>
      <c r="G9162" s="946">
        <f>F9162-(F9162/1.18)</f>
        <v>13.15</v>
      </c>
      <c r="H9162" s="1039"/>
      <c r="I9162" s="955">
        <f>D9162*F9162</f>
        <v>0.86</v>
      </c>
    </row>
    <row r="9163" spans="3:9" ht="15.75">
      <c r="C9163" s="949" t="s">
        <v>1064</v>
      </c>
      <c r="D9163" s="946">
        <v>0.01</v>
      </c>
      <c r="E9163" s="947" t="str">
        <f>+VLOOKUP(C9163,'Basic (equilibrio) (2)'!B:D,2,FALSE)</f>
        <v>m2</v>
      </c>
      <c r="F9163" s="1054">
        <f>'Basic (equilibrio) (2)'!$D$19</f>
        <v>114</v>
      </c>
      <c r="G9163" s="946">
        <f>F9163-(F9163/1.18)</f>
        <v>17.39</v>
      </c>
      <c r="H9163" s="1039"/>
      <c r="I9163" s="955">
        <f>D9163*F9163</f>
        <v>1.1399999999999999</v>
      </c>
    </row>
    <row r="9164" spans="3:9" ht="15.75">
      <c r="C9164" s="951" t="s">
        <v>918</v>
      </c>
      <c r="D9164" s="946"/>
      <c r="E9164" s="947"/>
      <c r="F9164" s="1054"/>
      <c r="G9164" s="946"/>
      <c r="H9164" s="1031"/>
      <c r="I9164" s="952">
        <f>SUM(I9162:I9163)</f>
        <v>2</v>
      </c>
    </row>
    <row r="9165" spans="3:9" ht="15.75">
      <c r="C9165" s="949"/>
      <c r="D9165" s="946"/>
      <c r="E9165" s="947"/>
      <c r="F9165" s="1054"/>
      <c r="G9165" s="946"/>
      <c r="H9165" s="1031"/>
      <c r="I9165" s="948"/>
    </row>
    <row r="9166" spans="3:9" ht="15.75">
      <c r="C9166" s="945" t="s">
        <v>925</v>
      </c>
      <c r="D9166" s="946"/>
      <c r="E9166" s="947"/>
      <c r="F9166" s="1054"/>
      <c r="G9166" s="946"/>
      <c r="H9166" s="1031"/>
      <c r="I9166" s="948"/>
    </row>
    <row r="9167" spans="3:9" ht="15.75">
      <c r="C9167" s="949" t="s">
        <v>924</v>
      </c>
      <c r="D9167" s="946"/>
      <c r="E9167" s="947" t="str">
        <f>VLOOKUP(C9167,[50]BASICS!B:D,2,FALSE)</f>
        <v>n/a</v>
      </c>
      <c r="F9167" s="1054">
        <f>+VLOOKUP(C9167,[49]BASICS!B:E,3,FALSE)</f>
        <v>0</v>
      </c>
      <c r="G9167" s="946">
        <f>F9167-(F9167/1.18)</f>
        <v>0</v>
      </c>
      <c r="H9167" s="1031"/>
      <c r="I9167" s="948">
        <f>D9167*F9167</f>
        <v>0</v>
      </c>
    </row>
    <row r="9168" spans="3:9" ht="15.75">
      <c r="C9168" s="951" t="s">
        <v>918</v>
      </c>
      <c r="D9168" s="946"/>
      <c r="E9168" s="947"/>
      <c r="F9168" s="1054"/>
      <c r="G9168" s="946"/>
      <c r="H9168" s="1031"/>
      <c r="I9168" s="952">
        <f>SUM(I9167)</f>
        <v>0</v>
      </c>
    </row>
    <row r="9169" spans="2:9" ht="15.75">
      <c r="C9169" s="951"/>
      <c r="D9169" s="946"/>
      <c r="E9169" s="947"/>
      <c r="F9169" s="1054"/>
      <c r="G9169" s="946"/>
      <c r="H9169" s="1031"/>
      <c r="I9169" s="952"/>
    </row>
    <row r="9170" spans="2:9" ht="15.75">
      <c r="C9170" s="956" t="s">
        <v>926</v>
      </c>
      <c r="D9170" s="957"/>
      <c r="E9170" s="958"/>
      <c r="F9170" s="1069"/>
      <c r="G9170" s="957"/>
      <c r="H9170" s="1032"/>
      <c r="I9170" s="959">
        <f>+I9155</f>
        <v>10448.42</v>
      </c>
    </row>
    <row r="9171" spans="2:9" ht="15.75">
      <c r="C9171" s="956" t="s">
        <v>927</v>
      </c>
      <c r="D9171" s="957"/>
      <c r="E9171" s="958"/>
      <c r="F9171" s="1069"/>
      <c r="G9171" s="957"/>
      <c r="H9171" s="1032"/>
      <c r="I9171" s="959">
        <f>+I9159</f>
        <v>0</v>
      </c>
    </row>
    <row r="9172" spans="2:9" ht="15.75">
      <c r="C9172" s="956" t="s">
        <v>928</v>
      </c>
      <c r="D9172" s="957"/>
      <c r="E9172" s="958"/>
      <c r="F9172" s="1069"/>
      <c r="G9172" s="957"/>
      <c r="H9172" s="1032"/>
      <c r="I9172" s="959">
        <f>+I9164</f>
        <v>2</v>
      </c>
    </row>
    <row r="9173" spans="2:9" ht="15.75">
      <c r="C9173" s="956" t="s">
        <v>929</v>
      </c>
      <c r="D9173" s="957"/>
      <c r="E9173" s="958"/>
      <c r="F9173" s="1069"/>
      <c r="G9173" s="957"/>
      <c r="H9173" s="1032"/>
      <c r="I9173" s="959">
        <f>+I9168</f>
        <v>0</v>
      </c>
    </row>
    <row r="9174" spans="2:9" ht="15.75">
      <c r="C9174" s="949"/>
      <c r="D9174" s="946"/>
      <c r="E9174" s="947"/>
      <c r="F9174" s="1054"/>
      <c r="G9174" s="946"/>
      <c r="H9174" s="1031"/>
      <c r="I9174" s="948"/>
    </row>
    <row r="9175" spans="2:9" ht="15.75">
      <c r="C9175" s="949"/>
      <c r="D9175" s="946"/>
      <c r="E9175" s="947"/>
      <c r="F9175" s="1054"/>
      <c r="G9175" s="946"/>
      <c r="H9175" s="1031"/>
      <c r="I9175" s="948"/>
    </row>
    <row r="9176" spans="2:9" ht="15.75">
      <c r="C9176" s="951" t="s">
        <v>930</v>
      </c>
      <c r="D9176" s="960"/>
      <c r="E9176" s="943" t="str">
        <f>+E9148</f>
        <v>m2</v>
      </c>
      <c r="F9176" s="1070"/>
      <c r="G9176" s="960"/>
      <c r="H9176" s="1033"/>
      <c r="I9176" s="952">
        <f>SUM(I9170:I9173)</f>
        <v>10450.42</v>
      </c>
    </row>
    <row r="9177" spans="2:9" ht="15.75">
      <c r="C9177" s="951"/>
      <c r="D9177" s="960">
        <f>1/0.1</f>
        <v>10</v>
      </c>
      <c r="E9177" s="943" t="s">
        <v>999</v>
      </c>
      <c r="F9177" s="1070"/>
      <c r="G9177" s="960"/>
      <c r="H9177" s="1033"/>
      <c r="I9177" s="952"/>
    </row>
    <row r="9178" spans="2:9" ht="15.75">
      <c r="C9178" s="951"/>
      <c r="D9178" s="960"/>
      <c r="E9178" s="943" t="s">
        <v>1000</v>
      </c>
      <c r="F9178" s="1070"/>
      <c r="G9178" s="960"/>
      <c r="H9178" s="1033"/>
      <c r="I9178" s="952">
        <f>+I9176/D9177</f>
        <v>1045.04</v>
      </c>
    </row>
    <row r="9179" spans="2:9" ht="15.75">
      <c r="C9179" s="951"/>
      <c r="D9179" s="960"/>
      <c r="E9179" s="943"/>
      <c r="F9179" s="1070"/>
      <c r="G9179" s="960"/>
      <c r="H9179" s="1033"/>
      <c r="I9179" s="952"/>
    </row>
    <row r="9180" spans="2:9" ht="15.75">
      <c r="B9180" s="1026">
        <v>7</v>
      </c>
      <c r="C9180" s="937" t="str">
        <f>+Presupuesto!B538</f>
        <v>Acera perimetral de 0.80mt</v>
      </c>
      <c r="D9180" s="938"/>
      <c r="E9180" s="962" t="s">
        <v>1000</v>
      </c>
      <c r="F9180" s="1066"/>
      <c r="G9180" s="938"/>
      <c r="H9180" s="1029"/>
      <c r="I9180" s="940">
        <f>+I9207</f>
        <v>1393.22</v>
      </c>
    </row>
    <row r="9181" spans="2:9" ht="15.75">
      <c r="C9181" s="941" t="s">
        <v>908</v>
      </c>
      <c r="D9181" s="942" t="s">
        <v>9</v>
      </c>
      <c r="E9181" s="943" t="s">
        <v>10</v>
      </c>
      <c r="F9181" s="1067" t="s">
        <v>909</v>
      </c>
      <c r="G9181" s="942" t="s">
        <v>910</v>
      </c>
      <c r="H9181" s="1030" t="s">
        <v>911</v>
      </c>
      <c r="I9181" s="944" t="s">
        <v>912</v>
      </c>
    </row>
    <row r="9182" spans="2:9" ht="15.75">
      <c r="C9182" s="945" t="s">
        <v>913</v>
      </c>
      <c r="D9182" s="946"/>
      <c r="E9182" s="947"/>
      <c r="F9182" s="1054"/>
      <c r="G9182" s="946"/>
      <c r="H9182" s="1031"/>
      <c r="I9182" s="948"/>
    </row>
    <row r="9183" spans="2:9" ht="15.75">
      <c r="C9183" s="949" t="s">
        <v>956</v>
      </c>
      <c r="D9183" s="946">
        <v>1</v>
      </c>
      <c r="E9183" s="947" t="str">
        <f>+VLOOKUP(C9183,'Basic (equilibrio) (2)'!B:D,2,FALSE)</f>
        <v>rollo</v>
      </c>
      <c r="F9183" s="1068">
        <f>'Basic (equilibrio) (2)'!$D$330</f>
        <v>22294</v>
      </c>
      <c r="G9183" s="946">
        <f>F9183-(F9183/1.18)</f>
        <v>3400.78</v>
      </c>
      <c r="H9183" s="1031">
        <v>96</v>
      </c>
      <c r="I9183" s="948">
        <f>D9183*F9183/H9183</f>
        <v>232.23</v>
      </c>
    </row>
    <row r="9184" spans="2:9" ht="15.75">
      <c r="C9184" s="949" t="s">
        <v>957</v>
      </c>
      <c r="D9184" s="946">
        <v>0.11</v>
      </c>
      <c r="E9184" s="947" t="str">
        <f>+VLOOKUP(C9184,'Basic (equilibrio) (2)'!B:D,2,FALSE)</f>
        <v>m3</v>
      </c>
      <c r="F9184" s="1068">
        <f>'Basic (equilibrio) (2)'!$D$178</f>
        <v>7900</v>
      </c>
      <c r="G9184" s="946">
        <f>F9184-(F9184/1.18)</f>
        <v>1205.08</v>
      </c>
      <c r="H9184" s="1031"/>
      <c r="I9184" s="948">
        <f>D9184*F9184</f>
        <v>869</v>
      </c>
    </row>
    <row r="9185" spans="3:9" ht="15.75">
      <c r="C9185" s="949" t="s">
        <v>958</v>
      </c>
      <c r="D9185" s="946">
        <v>0.02</v>
      </c>
      <c r="E9185" s="947" t="str">
        <f>+VLOOKUP(C9185,'Basic (equilibrio) (2)'!B:D,2,FALSE)</f>
        <v>m3</v>
      </c>
      <c r="F9185" s="1068">
        <f>'Basic (equilibrio) (2)'!$D$309</f>
        <v>6820</v>
      </c>
      <c r="G9185" s="946">
        <f>F9185-(F9185/1.18)</f>
        <v>1040.3399999999999</v>
      </c>
      <c r="H9185" s="1031"/>
      <c r="I9185" s="948">
        <f>D9185*F9185</f>
        <v>136.4</v>
      </c>
    </row>
    <row r="9186" spans="3:9" ht="15.75">
      <c r="C9186" s="949" t="s">
        <v>916</v>
      </c>
      <c r="D9186" s="946">
        <v>0.18</v>
      </c>
      <c r="E9186" s="947" t="str">
        <f>+VLOOKUP(C9186,'Basic (equilibrio) (2)'!B:D,2,FALSE)</f>
        <v>pt</v>
      </c>
      <c r="F9186" s="1068">
        <f>'Basic (equilibrio) (2)'!$D$194</f>
        <v>107.7</v>
      </c>
      <c r="G9186" s="946">
        <f>F9186-(F9186/1.18)</f>
        <v>16.43</v>
      </c>
      <c r="H9186" s="1031"/>
      <c r="I9186" s="948">
        <f>D9186*F9186</f>
        <v>19.39</v>
      </c>
    </row>
    <row r="9187" spans="3:9" ht="15.75">
      <c r="C9187" s="951" t="s">
        <v>918</v>
      </c>
      <c r="D9187" s="946"/>
      <c r="E9187" s="947"/>
      <c r="F9187" s="1068"/>
      <c r="G9187" s="946"/>
      <c r="H9187" s="1031"/>
      <c r="I9187" s="952">
        <f>SUM(I9183:I9186)</f>
        <v>1257.02</v>
      </c>
    </row>
    <row r="9188" spans="3:9" ht="15.75">
      <c r="C9188" s="949"/>
      <c r="D9188" s="946"/>
      <c r="E9188" s="947"/>
      <c r="F9188" s="1068"/>
      <c r="G9188" s="946"/>
      <c r="H9188" s="1031"/>
      <c r="I9188" s="948"/>
    </row>
    <row r="9189" spans="3:9" ht="15.75">
      <c r="C9189" s="945" t="s">
        <v>919</v>
      </c>
      <c r="D9189" s="946"/>
      <c r="E9189" s="947"/>
      <c r="F9189" s="1068"/>
      <c r="G9189" s="946"/>
      <c r="H9189" s="1031"/>
      <c r="I9189" s="948"/>
    </row>
    <row r="9190" spans="3:9" ht="15.75">
      <c r="C9190" s="949" t="s">
        <v>959</v>
      </c>
      <c r="D9190" s="953">
        <v>1</v>
      </c>
      <c r="E9190" s="954" t="str">
        <f>+VLOOKUP(C9190,'Basic (equilibrio) (2)'!B:D,2,FALSE)</f>
        <v>m2</v>
      </c>
      <c r="F9190" s="1068">
        <f>'Basic (equilibrio) (2)'!$D$17</f>
        <v>50</v>
      </c>
      <c r="G9190" s="946">
        <v>0</v>
      </c>
      <c r="H9190" s="1031"/>
      <c r="I9190" s="948">
        <f>(D9190*F9190)</f>
        <v>50</v>
      </c>
    </row>
    <row r="9191" spans="3:9" ht="15.75">
      <c r="C9191" s="949" t="s">
        <v>961</v>
      </c>
      <c r="D9191" s="946">
        <v>1</v>
      </c>
      <c r="E9191" s="947" t="str">
        <f>+VLOOKUP(C9191,'Basic (equilibrio) (2)'!B:D,2,FALSE)</f>
        <v>m2</v>
      </c>
      <c r="F9191" s="1068">
        <f>'Basic (equilibrio) (2)'!$D$47</f>
        <v>86.2</v>
      </c>
      <c r="G9191" s="946">
        <f>F9191-(F9191/1.18)</f>
        <v>13.15</v>
      </c>
      <c r="H9191" s="1031"/>
      <c r="I9191" s="948">
        <f>D9191*F9191</f>
        <v>86.2</v>
      </c>
    </row>
    <row r="9192" spans="3:9" ht="15.75">
      <c r="C9192" s="951" t="s">
        <v>918</v>
      </c>
      <c r="D9192" s="946"/>
      <c r="E9192" s="947"/>
      <c r="F9192" s="1054"/>
      <c r="G9192" s="946"/>
      <c r="H9192" s="1031"/>
      <c r="I9192" s="952">
        <f>SUM(I9190:I9191)</f>
        <v>136.19999999999999</v>
      </c>
    </row>
    <row r="9193" spans="3:9" ht="15.75">
      <c r="C9193" s="949"/>
      <c r="D9193" s="946"/>
      <c r="E9193" s="947"/>
      <c r="F9193" s="1054"/>
      <c r="G9193" s="946"/>
      <c r="H9193" s="1031"/>
      <c r="I9193" s="948"/>
    </row>
    <row r="9194" spans="3:9" ht="15.75">
      <c r="C9194" s="945" t="s">
        <v>923</v>
      </c>
      <c r="D9194" s="946"/>
      <c r="E9194" s="947"/>
      <c r="F9194" s="1054"/>
      <c r="G9194" s="946"/>
      <c r="H9194" s="1031"/>
      <c r="I9194" s="948"/>
    </row>
    <row r="9195" spans="3:9" ht="15.75">
      <c r="C9195" s="949" t="s">
        <v>924</v>
      </c>
      <c r="D9195" s="946"/>
      <c r="E9195" s="947" t="str">
        <f>+VLOOKUP(C9195,'Basic (equilibrio) (2)'!B:D,2,FALSE)</f>
        <v>n/a</v>
      </c>
      <c r="F9195" s="1054">
        <f>+VLOOKUP(C9195,'Basic (equilibrio) (2)'!B:D,3,FALSE)</f>
        <v>0</v>
      </c>
      <c r="G9195" s="946">
        <f>F9195-(F9195/1.18)</f>
        <v>0</v>
      </c>
      <c r="H9195" s="1039"/>
      <c r="I9195" s="955">
        <f>D9195*F9195</f>
        <v>0</v>
      </c>
    </row>
    <row r="9196" spans="3:9" ht="15.75">
      <c r="C9196" s="951" t="s">
        <v>918</v>
      </c>
      <c r="D9196" s="946"/>
      <c r="E9196" s="947"/>
      <c r="F9196" s="1054"/>
      <c r="G9196" s="946"/>
      <c r="H9196" s="1031"/>
      <c r="I9196" s="952">
        <f>SUM(I9195:I9195)</f>
        <v>0</v>
      </c>
    </row>
    <row r="9197" spans="3:9" ht="15.75">
      <c r="C9197" s="949"/>
      <c r="D9197" s="946"/>
      <c r="E9197" s="947"/>
      <c r="F9197" s="1054"/>
      <c r="G9197" s="946"/>
      <c r="H9197" s="1031"/>
      <c r="I9197" s="948"/>
    </row>
    <row r="9198" spans="3:9" ht="15.75">
      <c r="C9198" s="945" t="s">
        <v>925</v>
      </c>
      <c r="D9198" s="946"/>
      <c r="E9198" s="947"/>
      <c r="F9198" s="1054"/>
      <c r="G9198" s="946"/>
      <c r="H9198" s="1031"/>
      <c r="I9198" s="948"/>
    </row>
    <row r="9199" spans="3:9" ht="15.75">
      <c r="C9199" s="949" t="s">
        <v>925</v>
      </c>
      <c r="D9199" s="946">
        <f>+I9192</f>
        <v>136.19999999999999</v>
      </c>
      <c r="E9199" s="947" t="str">
        <f>+VLOOKUP(C9199,'Basic (equilibrio) (2)'!B:D,2,FALSE)</f>
        <v>Pa</v>
      </c>
      <c r="F9199" s="1054">
        <f>+VLOOKUP(C9199,'Basic (equilibrio) (2)'!B:D,3,FALSE)</f>
        <v>0</v>
      </c>
      <c r="G9199" s="946"/>
      <c r="H9199" s="1031"/>
      <c r="I9199" s="948">
        <f>D9199*F9199</f>
        <v>0</v>
      </c>
    </row>
    <row r="9200" spans="3:9" ht="15.75">
      <c r="C9200" s="951" t="s">
        <v>918</v>
      </c>
      <c r="D9200" s="946"/>
      <c r="E9200" s="947"/>
      <c r="F9200" s="1054"/>
      <c r="G9200" s="946"/>
      <c r="H9200" s="1031"/>
      <c r="I9200" s="952">
        <f>SUM(I9199)</f>
        <v>0</v>
      </c>
    </row>
    <row r="9201" spans="2:9" ht="15.75">
      <c r="C9201" s="951"/>
      <c r="D9201" s="946"/>
      <c r="E9201" s="947"/>
      <c r="F9201" s="1054"/>
      <c r="G9201" s="946"/>
      <c r="H9201" s="1031"/>
      <c r="I9201" s="952"/>
    </row>
    <row r="9202" spans="2:9" ht="15.75">
      <c r="C9202" s="956" t="s">
        <v>926</v>
      </c>
      <c r="D9202" s="957"/>
      <c r="E9202" s="958"/>
      <c r="F9202" s="1069"/>
      <c r="G9202" s="957"/>
      <c r="H9202" s="1032"/>
      <c r="I9202" s="959">
        <f>+I9187</f>
        <v>1257.02</v>
      </c>
    </row>
    <row r="9203" spans="2:9" ht="15.75">
      <c r="C9203" s="956" t="s">
        <v>927</v>
      </c>
      <c r="D9203" s="957"/>
      <c r="E9203" s="958"/>
      <c r="F9203" s="1069"/>
      <c r="G9203" s="957"/>
      <c r="H9203" s="1032"/>
      <c r="I9203" s="959">
        <f>+I9192</f>
        <v>136.19999999999999</v>
      </c>
    </row>
    <row r="9204" spans="2:9" ht="15.75">
      <c r="C9204" s="956" t="s">
        <v>928</v>
      </c>
      <c r="D9204" s="957"/>
      <c r="E9204" s="958"/>
      <c r="F9204" s="1069"/>
      <c r="G9204" s="957"/>
      <c r="H9204" s="1032"/>
      <c r="I9204" s="959">
        <f>+I9196</f>
        <v>0</v>
      </c>
    </row>
    <row r="9205" spans="2:9" ht="15.75">
      <c r="C9205" s="956" t="s">
        <v>929</v>
      </c>
      <c r="D9205" s="957"/>
      <c r="E9205" s="958"/>
      <c r="F9205" s="1069"/>
      <c r="G9205" s="957"/>
      <c r="H9205" s="1032"/>
      <c r="I9205" s="959">
        <f>+I9200</f>
        <v>0</v>
      </c>
    </row>
    <row r="9206" spans="2:9" ht="15.75">
      <c r="C9206" s="949"/>
      <c r="D9206" s="946"/>
      <c r="E9206" s="947"/>
      <c r="F9206" s="1054"/>
      <c r="G9206" s="946"/>
      <c r="H9206" s="1031"/>
      <c r="I9206" s="948"/>
    </row>
    <row r="9207" spans="2:9" ht="15.75">
      <c r="C9207" s="951" t="s">
        <v>930</v>
      </c>
      <c r="D9207" s="960"/>
      <c r="E9207" s="975" t="str">
        <f>+E9180</f>
        <v>m2</v>
      </c>
      <c r="F9207" s="1070"/>
      <c r="G9207" s="960"/>
      <c r="H9207" s="1033"/>
      <c r="I9207" s="952">
        <f>SUM(I9202:I9205)</f>
        <v>1393.22</v>
      </c>
    </row>
    <row r="9208" spans="2:9" ht="15.75">
      <c r="C9208" s="951"/>
      <c r="D9208" s="960"/>
      <c r="E9208" s="943"/>
      <c r="F9208" s="1070"/>
      <c r="G9208" s="960"/>
      <c r="H9208" s="1033"/>
      <c r="I9208" s="952"/>
    </row>
    <row r="9209" spans="2:9" ht="15.75">
      <c r="B9209" s="1063">
        <v>8.1</v>
      </c>
      <c r="C9209" s="937" t="str">
        <f>+Presupuesto!B541</f>
        <v xml:space="preserve">Premarco   en puerta y ventanas </v>
      </c>
      <c r="D9209" s="938"/>
      <c r="E9209" s="962" t="s">
        <v>1088</v>
      </c>
      <c r="F9209" s="1066"/>
      <c r="G9209" s="938"/>
      <c r="H9209" s="1029"/>
      <c r="I9209" s="940">
        <f>+I9232</f>
        <v>150</v>
      </c>
    </row>
    <row r="9210" spans="2:9" ht="15.75">
      <c r="C9210" s="941" t="s">
        <v>908</v>
      </c>
      <c r="D9210" s="942" t="s">
        <v>9</v>
      </c>
      <c r="E9210" s="943" t="s">
        <v>10</v>
      </c>
      <c r="F9210" s="1067" t="s">
        <v>909</v>
      </c>
      <c r="G9210" s="942" t="s">
        <v>910</v>
      </c>
      <c r="H9210" s="1030" t="s">
        <v>911</v>
      </c>
      <c r="I9210" s="944" t="s">
        <v>912</v>
      </c>
    </row>
    <row r="9211" spans="2:9" ht="15.75">
      <c r="C9211" s="945" t="s">
        <v>913</v>
      </c>
      <c r="D9211" s="946"/>
      <c r="E9211" s="947"/>
      <c r="F9211" s="1054"/>
      <c r="G9211" s="946"/>
      <c r="H9211" s="1031"/>
      <c r="I9211" s="948"/>
    </row>
    <row r="9212" spans="2:9" ht="15.75">
      <c r="C9212" s="949" t="s">
        <v>1645</v>
      </c>
      <c r="D9212" s="946">
        <v>1</v>
      </c>
      <c r="E9212" s="947" t="str">
        <f>+VLOOKUP(C9212,'Basic (equilibrio) (2)'!B:D,2,FALSE)</f>
        <v>m</v>
      </c>
      <c r="F9212" s="1068">
        <f>'Basic (equilibrio) (2)'!$D$259</f>
        <v>150</v>
      </c>
      <c r="G9212" s="946">
        <f>F9212-(F9212/1.18)</f>
        <v>22.88</v>
      </c>
      <c r="H9212" s="1031"/>
      <c r="I9212" s="948">
        <f>D9212*F9212</f>
        <v>150</v>
      </c>
    </row>
    <row r="9213" spans="2:9" ht="15.75">
      <c r="C9213" s="951" t="s">
        <v>918</v>
      </c>
      <c r="D9213" s="946"/>
      <c r="E9213" s="947"/>
      <c r="F9213" s="1068"/>
      <c r="G9213" s="946"/>
      <c r="H9213" s="1031"/>
      <c r="I9213" s="952">
        <f>SUM(I9212:I9212)</f>
        <v>150</v>
      </c>
    </row>
    <row r="9214" spans="2:9" ht="15.75">
      <c r="C9214" s="949"/>
      <c r="D9214" s="946"/>
      <c r="E9214" s="947"/>
      <c r="F9214" s="1068"/>
      <c r="G9214" s="946"/>
      <c r="H9214" s="1031"/>
      <c r="I9214" s="948"/>
    </row>
    <row r="9215" spans="2:9" ht="15.75">
      <c r="C9215" s="945" t="s">
        <v>919</v>
      </c>
      <c r="D9215" s="946"/>
      <c r="E9215" s="947"/>
      <c r="F9215" s="1068"/>
      <c r="G9215" s="946"/>
      <c r="H9215" s="1031"/>
      <c r="I9215" s="948"/>
    </row>
    <row r="9216" spans="2:9" ht="15.75">
      <c r="C9216" s="949" t="s">
        <v>924</v>
      </c>
      <c r="D9216" s="953"/>
      <c r="E9216" s="954" t="str">
        <f>+VLOOKUP(C9216,'Basic (equilibrio) (2)'!B:D,2,FALSE)</f>
        <v>n/a</v>
      </c>
      <c r="F9216" s="1068">
        <f>+VLOOKUP(C9216,'Basic (equilibrio) (2)'!B:D,3,FALSE)</f>
        <v>0</v>
      </c>
      <c r="G9216" s="946">
        <v>0</v>
      </c>
      <c r="H9216" s="1031"/>
      <c r="I9216" s="948">
        <f>(D9216*F9216)</f>
        <v>0</v>
      </c>
    </row>
    <row r="9217" spans="3:9" ht="15.75">
      <c r="C9217" s="951" t="s">
        <v>918</v>
      </c>
      <c r="D9217" s="946"/>
      <c r="E9217" s="947"/>
      <c r="F9217" s="1054"/>
      <c r="G9217" s="946"/>
      <c r="H9217" s="1031"/>
      <c r="I9217" s="952">
        <f>SUM(I9216:I9216)</f>
        <v>0</v>
      </c>
    </row>
    <row r="9218" spans="3:9" ht="15.75">
      <c r="C9218" s="949"/>
      <c r="D9218" s="946"/>
      <c r="E9218" s="947"/>
      <c r="F9218" s="1054"/>
      <c r="G9218" s="946"/>
      <c r="H9218" s="1031"/>
      <c r="I9218" s="948"/>
    </row>
    <row r="9219" spans="3:9" ht="15.75">
      <c r="C9219" s="945" t="s">
        <v>923</v>
      </c>
      <c r="D9219" s="946"/>
      <c r="E9219" s="947"/>
      <c r="F9219" s="1054"/>
      <c r="G9219" s="946"/>
      <c r="H9219" s="1031"/>
      <c r="I9219" s="948"/>
    </row>
    <row r="9220" spans="3:9" ht="15.75">
      <c r="C9220" s="949" t="s">
        <v>924</v>
      </c>
      <c r="D9220" s="946"/>
      <c r="E9220" s="947" t="str">
        <f>+VLOOKUP(C9220,'Basic (equilibrio) (2)'!B:D,2,FALSE)</f>
        <v>n/a</v>
      </c>
      <c r="F9220" s="1054">
        <f>+VLOOKUP(C9220,'Basic (equilibrio) (2)'!B:D,3,FALSE)</f>
        <v>0</v>
      </c>
      <c r="G9220" s="946">
        <f>F9220-(F9220/1.18)</f>
        <v>0</v>
      </c>
      <c r="H9220" s="1039"/>
      <c r="I9220" s="955">
        <f>D9220*F9220</f>
        <v>0</v>
      </c>
    </row>
    <row r="9221" spans="3:9" ht="15.75">
      <c r="C9221" s="951" t="s">
        <v>918</v>
      </c>
      <c r="D9221" s="946"/>
      <c r="E9221" s="947"/>
      <c r="F9221" s="1054"/>
      <c r="G9221" s="946"/>
      <c r="H9221" s="1031"/>
      <c r="I9221" s="952">
        <f>SUM(I9220:I9220)</f>
        <v>0</v>
      </c>
    </row>
    <row r="9222" spans="3:9" ht="15.75">
      <c r="C9222" s="949"/>
      <c r="D9222" s="946"/>
      <c r="E9222" s="947"/>
      <c r="F9222" s="1054"/>
      <c r="G9222" s="946"/>
      <c r="H9222" s="1031"/>
      <c r="I9222" s="948"/>
    </row>
    <row r="9223" spans="3:9" ht="15.75">
      <c r="C9223" s="945" t="s">
        <v>925</v>
      </c>
      <c r="D9223" s="946"/>
      <c r="E9223" s="947"/>
      <c r="F9223" s="1054"/>
      <c r="G9223" s="946"/>
      <c r="H9223" s="1031"/>
      <c r="I9223" s="948"/>
    </row>
    <row r="9224" spans="3:9" ht="15.75">
      <c r="C9224" s="949" t="s">
        <v>924</v>
      </c>
      <c r="D9224" s="946"/>
      <c r="E9224" s="947" t="str">
        <f>+VLOOKUP(C9224,'Basic (equilibrio) (2)'!B:D,2,FALSE)</f>
        <v>n/a</v>
      </c>
      <c r="F9224" s="1054">
        <f>+VLOOKUP(C9224,'Basic (equilibrio) (2)'!B:D,3,FALSE)</f>
        <v>0</v>
      </c>
      <c r="G9224" s="946"/>
      <c r="H9224" s="1031"/>
      <c r="I9224" s="948">
        <f>D9224*F9224</f>
        <v>0</v>
      </c>
    </row>
    <row r="9225" spans="3:9" ht="15.75">
      <c r="C9225" s="951" t="s">
        <v>918</v>
      </c>
      <c r="D9225" s="946"/>
      <c r="E9225" s="947"/>
      <c r="F9225" s="1054"/>
      <c r="G9225" s="946"/>
      <c r="H9225" s="1031"/>
      <c r="I9225" s="952">
        <f>SUM(I9224)</f>
        <v>0</v>
      </c>
    </row>
    <row r="9226" spans="3:9" ht="15.75">
      <c r="C9226" s="951"/>
      <c r="D9226" s="946"/>
      <c r="E9226" s="947"/>
      <c r="F9226" s="1054"/>
      <c r="G9226" s="946"/>
      <c r="H9226" s="1031"/>
      <c r="I9226" s="952"/>
    </row>
    <row r="9227" spans="3:9" ht="15.75">
      <c r="C9227" s="956" t="s">
        <v>926</v>
      </c>
      <c r="D9227" s="957"/>
      <c r="E9227" s="958"/>
      <c r="F9227" s="1069"/>
      <c r="G9227" s="957"/>
      <c r="H9227" s="1032"/>
      <c r="I9227" s="959">
        <f>+I9213</f>
        <v>150</v>
      </c>
    </row>
    <row r="9228" spans="3:9" ht="15.75">
      <c r="C9228" s="956" t="s">
        <v>927</v>
      </c>
      <c r="D9228" s="957"/>
      <c r="E9228" s="958"/>
      <c r="F9228" s="1069"/>
      <c r="G9228" s="957"/>
      <c r="H9228" s="1032"/>
      <c r="I9228" s="959">
        <f>+I9217</f>
        <v>0</v>
      </c>
    </row>
    <row r="9229" spans="3:9" ht="15.75">
      <c r="C9229" s="956" t="s">
        <v>928</v>
      </c>
      <c r="D9229" s="957"/>
      <c r="E9229" s="958"/>
      <c r="F9229" s="1069"/>
      <c r="G9229" s="957"/>
      <c r="H9229" s="1032"/>
      <c r="I9229" s="959">
        <f>+I9221</f>
        <v>0</v>
      </c>
    </row>
    <row r="9230" spans="3:9" ht="15.75">
      <c r="C9230" s="956" t="s">
        <v>929</v>
      </c>
      <c r="D9230" s="957"/>
      <c r="E9230" s="958"/>
      <c r="F9230" s="1069"/>
      <c r="G9230" s="957"/>
      <c r="H9230" s="1032"/>
      <c r="I9230" s="959">
        <f>+I9225</f>
        <v>0</v>
      </c>
    </row>
    <row r="9231" spans="3:9" ht="15.75">
      <c r="C9231" s="949"/>
      <c r="D9231" s="946"/>
      <c r="E9231" s="947"/>
      <c r="F9231" s="1054"/>
      <c r="G9231" s="946"/>
      <c r="H9231" s="1031"/>
      <c r="I9231" s="948"/>
    </row>
    <row r="9232" spans="3:9" ht="15.75">
      <c r="C9232" s="951" t="s">
        <v>930</v>
      </c>
      <c r="D9232" s="960"/>
      <c r="E9232" s="975" t="str">
        <f>+E9209</f>
        <v>m</v>
      </c>
      <c r="F9232" s="1070"/>
      <c r="G9232" s="960"/>
      <c r="H9232" s="1033"/>
      <c r="I9232" s="952">
        <f>SUM(I9227:I9230)</f>
        <v>150</v>
      </c>
    </row>
    <row r="9233" spans="2:9" ht="15.75">
      <c r="C9233" s="951"/>
      <c r="D9233" s="960"/>
      <c r="E9233" s="943"/>
      <c r="F9233" s="1070"/>
      <c r="G9233" s="960"/>
      <c r="H9233" s="1033"/>
      <c r="I9233" s="952"/>
    </row>
    <row r="9234" spans="2:9" ht="31.5">
      <c r="B9234" s="1063">
        <v>8.1999999999999993</v>
      </c>
      <c r="C9234" s="937" t="str">
        <f>+Presupuesto!B542</f>
        <v xml:space="preserve">Puerta polimetal inc herraje instalacion y llavin tipo  (2.10x1.00)mt </v>
      </c>
      <c r="D9234" s="938"/>
      <c r="E9234" s="962" t="s">
        <v>1056</v>
      </c>
      <c r="F9234" s="1066"/>
      <c r="G9234" s="938"/>
      <c r="H9234" s="1029"/>
      <c r="I9234" s="940">
        <f>+I9257</f>
        <v>8500</v>
      </c>
    </row>
    <row r="9235" spans="2:9" ht="15.75">
      <c r="C9235" s="941" t="s">
        <v>908</v>
      </c>
      <c r="D9235" s="942" t="s">
        <v>9</v>
      </c>
      <c r="E9235" s="943" t="s">
        <v>10</v>
      </c>
      <c r="F9235" s="1067" t="s">
        <v>909</v>
      </c>
      <c r="G9235" s="942" t="s">
        <v>910</v>
      </c>
      <c r="H9235" s="1030" t="s">
        <v>911</v>
      </c>
      <c r="I9235" s="944" t="s">
        <v>912</v>
      </c>
    </row>
    <row r="9236" spans="2:9" ht="15.75">
      <c r="C9236" s="945" t="s">
        <v>913</v>
      </c>
      <c r="D9236" s="946"/>
      <c r="E9236" s="947"/>
      <c r="F9236" s="1054"/>
      <c r="G9236" s="946"/>
      <c r="H9236" s="1031"/>
      <c r="I9236" s="948"/>
    </row>
    <row r="9237" spans="2:9" ht="15.75">
      <c r="C9237" s="949" t="s">
        <v>1305</v>
      </c>
      <c r="D9237" s="946">
        <v>1</v>
      </c>
      <c r="E9237" s="947" t="str">
        <f>+VLOOKUP(C9237,'Basic (equilibrio) (2)'!B:D,2,FALSE)</f>
        <v>ud</v>
      </c>
      <c r="F9237" s="1068">
        <f>'Basic (equilibrio) (2)'!$D$338</f>
        <v>8500</v>
      </c>
      <c r="G9237" s="946">
        <f>F9237-(F9237/1.18)</f>
        <v>1296.6099999999999</v>
      </c>
      <c r="H9237" s="1031"/>
      <c r="I9237" s="948">
        <f>D9237*F9237</f>
        <v>8500</v>
      </c>
    </row>
    <row r="9238" spans="2:9" ht="15.75">
      <c r="C9238" s="951" t="s">
        <v>918</v>
      </c>
      <c r="D9238" s="946"/>
      <c r="E9238" s="947"/>
      <c r="F9238" s="1068"/>
      <c r="G9238" s="946"/>
      <c r="H9238" s="1031"/>
      <c r="I9238" s="952">
        <f>SUM(I9237:I9237)</f>
        <v>8500</v>
      </c>
    </row>
    <row r="9239" spans="2:9" ht="15.75">
      <c r="C9239" s="949"/>
      <c r="D9239" s="946"/>
      <c r="E9239" s="947"/>
      <c r="F9239" s="1068"/>
      <c r="G9239" s="946"/>
      <c r="H9239" s="1031"/>
      <c r="I9239" s="948"/>
    </row>
    <row r="9240" spans="2:9" ht="15.75">
      <c r="C9240" s="945" t="s">
        <v>919</v>
      </c>
      <c r="D9240" s="946"/>
      <c r="E9240" s="947"/>
      <c r="F9240" s="1068"/>
      <c r="G9240" s="946"/>
      <c r="H9240" s="1031"/>
      <c r="I9240" s="948"/>
    </row>
    <row r="9241" spans="2:9" ht="15.75">
      <c r="C9241" s="949" t="s">
        <v>924</v>
      </c>
      <c r="D9241" s="953"/>
      <c r="E9241" s="954" t="str">
        <f>+VLOOKUP(C9241,'Basic (equilibrio) (2)'!B:D,2,FALSE)</f>
        <v>n/a</v>
      </c>
      <c r="F9241" s="1068">
        <f>+VLOOKUP(C9241,'Basic (equilibrio) (2)'!B:D,3,FALSE)</f>
        <v>0</v>
      </c>
      <c r="G9241" s="946">
        <v>0</v>
      </c>
      <c r="H9241" s="1031"/>
      <c r="I9241" s="948">
        <f>(D9241*F9241)</f>
        <v>0</v>
      </c>
    </row>
    <row r="9242" spans="2:9" ht="15.75">
      <c r="C9242" s="951" t="s">
        <v>918</v>
      </c>
      <c r="D9242" s="946"/>
      <c r="E9242" s="947"/>
      <c r="F9242" s="1054"/>
      <c r="G9242" s="946"/>
      <c r="H9242" s="1031"/>
      <c r="I9242" s="952">
        <f>SUM(I9241:I9241)</f>
        <v>0</v>
      </c>
    </row>
    <row r="9243" spans="2:9" ht="15.75">
      <c r="C9243" s="949"/>
      <c r="D9243" s="946"/>
      <c r="E9243" s="947"/>
      <c r="F9243" s="1054"/>
      <c r="G9243" s="946"/>
      <c r="H9243" s="1031"/>
      <c r="I9243" s="948"/>
    </row>
    <row r="9244" spans="2:9" ht="15.75">
      <c r="C9244" s="945" t="s">
        <v>923</v>
      </c>
      <c r="D9244" s="946"/>
      <c r="E9244" s="947"/>
      <c r="F9244" s="1054"/>
      <c r="G9244" s="946"/>
      <c r="H9244" s="1031"/>
      <c r="I9244" s="948"/>
    </row>
    <row r="9245" spans="2:9" ht="15.75">
      <c r="C9245" s="949" t="s">
        <v>924</v>
      </c>
      <c r="D9245" s="946"/>
      <c r="E9245" s="947" t="str">
        <f>+VLOOKUP(C9245,'Basic (equilibrio) (2)'!B:D,2,FALSE)</f>
        <v>n/a</v>
      </c>
      <c r="F9245" s="1054">
        <f>+VLOOKUP(C9245,'Basic (equilibrio) (2)'!B:D,3,FALSE)</f>
        <v>0</v>
      </c>
      <c r="G9245" s="946">
        <f>F9245-(F9245/1.18)</f>
        <v>0</v>
      </c>
      <c r="H9245" s="1039"/>
      <c r="I9245" s="955">
        <f>D9245*F9245</f>
        <v>0</v>
      </c>
    </row>
    <row r="9246" spans="2:9" ht="15.75">
      <c r="C9246" s="951" t="s">
        <v>918</v>
      </c>
      <c r="D9246" s="946"/>
      <c r="E9246" s="947"/>
      <c r="F9246" s="1054"/>
      <c r="G9246" s="946"/>
      <c r="H9246" s="1031"/>
      <c r="I9246" s="952">
        <f>SUM(I9245:I9245)</f>
        <v>0</v>
      </c>
    </row>
    <row r="9247" spans="2:9" ht="15.75">
      <c r="C9247" s="949"/>
      <c r="D9247" s="946"/>
      <c r="E9247" s="947"/>
      <c r="F9247" s="1054"/>
      <c r="G9247" s="946"/>
      <c r="H9247" s="1031"/>
      <c r="I9247" s="948"/>
    </row>
    <row r="9248" spans="2:9" ht="15.75">
      <c r="C9248" s="945" t="s">
        <v>925</v>
      </c>
      <c r="D9248" s="946"/>
      <c r="E9248" s="947"/>
      <c r="F9248" s="1054"/>
      <c r="G9248" s="946"/>
      <c r="H9248" s="1031"/>
      <c r="I9248" s="948"/>
    </row>
    <row r="9249" spans="2:9" ht="15.75">
      <c r="C9249" s="949" t="s">
        <v>924</v>
      </c>
      <c r="D9249" s="946"/>
      <c r="E9249" s="947" t="str">
        <f>+VLOOKUP(C9249,'Basic (equilibrio) (2)'!B:D,2,FALSE)</f>
        <v>n/a</v>
      </c>
      <c r="F9249" s="1054">
        <f>+VLOOKUP(C9249,'Basic (equilibrio) (2)'!B:D,3,FALSE)</f>
        <v>0</v>
      </c>
      <c r="G9249" s="946"/>
      <c r="H9249" s="1031"/>
      <c r="I9249" s="948">
        <f>D9249*F9249</f>
        <v>0</v>
      </c>
    </row>
    <row r="9250" spans="2:9" ht="15.75">
      <c r="C9250" s="951" t="s">
        <v>918</v>
      </c>
      <c r="D9250" s="946"/>
      <c r="E9250" s="947"/>
      <c r="F9250" s="1054"/>
      <c r="G9250" s="946"/>
      <c r="H9250" s="1031"/>
      <c r="I9250" s="952">
        <f>SUM(I9249)</f>
        <v>0</v>
      </c>
    </row>
    <row r="9251" spans="2:9" ht="15.75">
      <c r="C9251" s="951"/>
      <c r="D9251" s="946"/>
      <c r="E9251" s="947"/>
      <c r="F9251" s="1054"/>
      <c r="G9251" s="946"/>
      <c r="H9251" s="1031"/>
      <c r="I9251" s="952"/>
    </row>
    <row r="9252" spans="2:9" ht="15.75">
      <c r="C9252" s="956" t="s">
        <v>926</v>
      </c>
      <c r="D9252" s="957"/>
      <c r="E9252" s="958"/>
      <c r="F9252" s="1069"/>
      <c r="G9252" s="957"/>
      <c r="H9252" s="1032"/>
      <c r="I9252" s="959">
        <f>+I9238</f>
        <v>8500</v>
      </c>
    </row>
    <row r="9253" spans="2:9" ht="15.75">
      <c r="C9253" s="956" t="s">
        <v>927</v>
      </c>
      <c r="D9253" s="957"/>
      <c r="E9253" s="958"/>
      <c r="F9253" s="1069"/>
      <c r="G9253" s="957"/>
      <c r="H9253" s="1032"/>
      <c r="I9253" s="959">
        <f>+I9242</f>
        <v>0</v>
      </c>
    </row>
    <row r="9254" spans="2:9" ht="15.75">
      <c r="C9254" s="956" t="s">
        <v>928</v>
      </c>
      <c r="D9254" s="957"/>
      <c r="E9254" s="958"/>
      <c r="F9254" s="1069"/>
      <c r="G9254" s="957"/>
      <c r="H9254" s="1032"/>
      <c r="I9254" s="959">
        <f>+I9246</f>
        <v>0</v>
      </c>
    </row>
    <row r="9255" spans="2:9" ht="15.75">
      <c r="C9255" s="956" t="s">
        <v>929</v>
      </c>
      <c r="D9255" s="957"/>
      <c r="E9255" s="958"/>
      <c r="F9255" s="1069"/>
      <c r="G9255" s="957"/>
      <c r="H9255" s="1032"/>
      <c r="I9255" s="959">
        <f>+I9250</f>
        <v>0</v>
      </c>
    </row>
    <row r="9256" spans="2:9" ht="15.75">
      <c r="C9256" s="949"/>
      <c r="D9256" s="946"/>
      <c r="E9256" s="947"/>
      <c r="F9256" s="1054"/>
      <c r="G9256" s="946"/>
      <c r="H9256" s="1031"/>
      <c r="I9256" s="948"/>
    </row>
    <row r="9257" spans="2:9" ht="15.75">
      <c r="C9257" s="951" t="s">
        <v>930</v>
      </c>
      <c r="D9257" s="960"/>
      <c r="E9257" s="975" t="str">
        <f>+E9234</f>
        <v>ud</v>
      </c>
      <c r="F9257" s="1070"/>
      <c r="G9257" s="960"/>
      <c r="H9257" s="1033"/>
      <c r="I9257" s="952">
        <f>SUM(I9252:I9255)</f>
        <v>8500</v>
      </c>
    </row>
    <row r="9258" spans="2:9" ht="15.75">
      <c r="C9258" s="951"/>
      <c r="D9258" s="960"/>
      <c r="E9258" s="943"/>
      <c r="F9258" s="1070"/>
      <c r="G9258" s="960"/>
      <c r="H9258" s="1033"/>
      <c r="I9258" s="952"/>
    </row>
    <row r="9259" spans="2:9" ht="15.75">
      <c r="B9259" s="1063">
        <v>8.3000000000000007</v>
      </c>
      <c r="C9259" s="937" t="str">
        <f>+Presupuesto!B543</f>
        <v>Verja de protección (2.10x1.0)mt</v>
      </c>
      <c r="D9259" s="938"/>
      <c r="E9259" s="962" t="s">
        <v>1056</v>
      </c>
      <c r="F9259" s="1066"/>
      <c r="G9259" s="938"/>
      <c r="H9259" s="1029"/>
      <c r="I9259" s="940">
        <f>+I9282</f>
        <v>12000</v>
      </c>
    </row>
    <row r="9260" spans="2:9" ht="15.75">
      <c r="C9260" s="941" t="s">
        <v>908</v>
      </c>
      <c r="D9260" s="942" t="s">
        <v>9</v>
      </c>
      <c r="E9260" s="943" t="s">
        <v>10</v>
      </c>
      <c r="F9260" s="1067" t="s">
        <v>909</v>
      </c>
      <c r="G9260" s="942" t="s">
        <v>910</v>
      </c>
      <c r="H9260" s="1030" t="s">
        <v>911</v>
      </c>
      <c r="I9260" s="944" t="s">
        <v>912</v>
      </c>
    </row>
    <row r="9261" spans="2:9" ht="15.75">
      <c r="C9261" s="945" t="s">
        <v>913</v>
      </c>
      <c r="D9261" s="946"/>
      <c r="E9261" s="947"/>
      <c r="F9261" s="1054"/>
      <c r="G9261" s="946"/>
      <c r="H9261" s="1031"/>
      <c r="I9261" s="948"/>
    </row>
    <row r="9262" spans="2:9" ht="15.75">
      <c r="C9262" s="949" t="s">
        <v>1644</v>
      </c>
      <c r="D9262" s="946">
        <v>1</v>
      </c>
      <c r="E9262" s="947" t="str">
        <f>+VLOOKUP(C9262,'Basic (equilibrio) (2)'!B:D,2,FALSE)</f>
        <v>ud</v>
      </c>
      <c r="F9262" s="1068">
        <f>'Basic (equilibrio) (2)'!$D$258</f>
        <v>12000</v>
      </c>
      <c r="G9262" s="946">
        <f>F9262-(F9262/1.18)</f>
        <v>1830.51</v>
      </c>
      <c r="H9262" s="1031"/>
      <c r="I9262" s="948">
        <f>D9262*F9262</f>
        <v>12000</v>
      </c>
    </row>
    <row r="9263" spans="2:9" ht="15.75">
      <c r="C9263" s="951" t="s">
        <v>918</v>
      </c>
      <c r="D9263" s="946"/>
      <c r="E9263" s="947"/>
      <c r="F9263" s="1068"/>
      <c r="G9263" s="946"/>
      <c r="H9263" s="1031"/>
      <c r="I9263" s="952">
        <f>SUM(I9262:I9262)</f>
        <v>12000</v>
      </c>
    </row>
    <row r="9264" spans="2:9" ht="15.75">
      <c r="C9264" s="949"/>
      <c r="D9264" s="946"/>
      <c r="E9264" s="947"/>
      <c r="F9264" s="1068"/>
      <c r="G9264" s="946"/>
      <c r="H9264" s="1031"/>
      <c r="I9264" s="948"/>
    </row>
    <row r="9265" spans="3:9" ht="15.75">
      <c r="C9265" s="945" t="s">
        <v>919</v>
      </c>
      <c r="D9265" s="946"/>
      <c r="E9265" s="947"/>
      <c r="F9265" s="1068"/>
      <c r="G9265" s="946"/>
      <c r="H9265" s="1031"/>
      <c r="I9265" s="948"/>
    </row>
    <row r="9266" spans="3:9" ht="15.75">
      <c r="C9266" s="949" t="s">
        <v>924</v>
      </c>
      <c r="D9266" s="953"/>
      <c r="E9266" s="954" t="str">
        <f>+VLOOKUP(C9266,'Basic (equilibrio) (2)'!B:D,2,FALSE)</f>
        <v>n/a</v>
      </c>
      <c r="F9266" s="1068">
        <f>+VLOOKUP(C9266,'Basic (equilibrio) (2)'!B:D,3,FALSE)</f>
        <v>0</v>
      </c>
      <c r="G9266" s="946">
        <v>0</v>
      </c>
      <c r="H9266" s="1031"/>
      <c r="I9266" s="948">
        <f>(D9266*F9266)</f>
        <v>0</v>
      </c>
    </row>
    <row r="9267" spans="3:9" ht="15.75">
      <c r="C9267" s="951" t="s">
        <v>918</v>
      </c>
      <c r="D9267" s="946"/>
      <c r="E9267" s="947"/>
      <c r="F9267" s="1054"/>
      <c r="G9267" s="946"/>
      <c r="H9267" s="1031"/>
      <c r="I9267" s="952">
        <f>SUM(I9266:I9266)</f>
        <v>0</v>
      </c>
    </row>
    <row r="9268" spans="3:9" ht="15.75">
      <c r="C9268" s="949"/>
      <c r="D9268" s="946"/>
      <c r="E9268" s="947"/>
      <c r="F9268" s="1054"/>
      <c r="G9268" s="946"/>
      <c r="H9268" s="1031"/>
      <c r="I9268" s="948"/>
    </row>
    <row r="9269" spans="3:9" ht="15.75">
      <c r="C9269" s="945" t="s">
        <v>923</v>
      </c>
      <c r="D9269" s="946"/>
      <c r="E9269" s="947"/>
      <c r="F9269" s="1054"/>
      <c r="G9269" s="946"/>
      <c r="H9269" s="1031"/>
      <c r="I9269" s="948"/>
    </row>
    <row r="9270" spans="3:9" ht="15.75">
      <c r="C9270" s="949" t="s">
        <v>924</v>
      </c>
      <c r="D9270" s="946"/>
      <c r="E9270" s="947" t="str">
        <f>+VLOOKUP(C9270,'Basic (equilibrio) (2)'!B:D,2,FALSE)</f>
        <v>n/a</v>
      </c>
      <c r="F9270" s="1054">
        <f>+VLOOKUP(C9270,'Basic (equilibrio) (2)'!B:D,3,FALSE)</f>
        <v>0</v>
      </c>
      <c r="G9270" s="946">
        <f>F9270-(F9270/1.18)</f>
        <v>0</v>
      </c>
      <c r="H9270" s="1039"/>
      <c r="I9270" s="955">
        <f>D9270*F9270</f>
        <v>0</v>
      </c>
    </row>
    <row r="9271" spans="3:9" ht="15.75">
      <c r="C9271" s="951" t="s">
        <v>918</v>
      </c>
      <c r="D9271" s="946"/>
      <c r="E9271" s="947"/>
      <c r="F9271" s="1054"/>
      <c r="G9271" s="946"/>
      <c r="H9271" s="1031"/>
      <c r="I9271" s="952">
        <f>SUM(I9270:I9270)</f>
        <v>0</v>
      </c>
    </row>
    <row r="9272" spans="3:9" ht="15.75">
      <c r="C9272" s="949"/>
      <c r="D9272" s="946"/>
      <c r="E9272" s="947"/>
      <c r="F9272" s="1054"/>
      <c r="G9272" s="946"/>
      <c r="H9272" s="1031"/>
      <c r="I9272" s="948"/>
    </row>
    <row r="9273" spans="3:9" ht="15.75">
      <c r="C9273" s="945" t="s">
        <v>925</v>
      </c>
      <c r="D9273" s="946"/>
      <c r="E9273" s="947"/>
      <c r="F9273" s="1054"/>
      <c r="G9273" s="946"/>
      <c r="H9273" s="1031"/>
      <c r="I9273" s="948"/>
    </row>
    <row r="9274" spans="3:9" ht="15.75">
      <c r="C9274" s="949" t="s">
        <v>924</v>
      </c>
      <c r="D9274" s="946"/>
      <c r="E9274" s="947" t="str">
        <f>+VLOOKUP(C9274,'Basic (equilibrio) (2)'!B:D,2,FALSE)</f>
        <v>n/a</v>
      </c>
      <c r="F9274" s="1054">
        <f>+VLOOKUP(C9274,'Basic (equilibrio) (2)'!B:D,3,FALSE)</f>
        <v>0</v>
      </c>
      <c r="G9274" s="946"/>
      <c r="H9274" s="1031"/>
      <c r="I9274" s="948">
        <f>D9274*F9274</f>
        <v>0</v>
      </c>
    </row>
    <row r="9275" spans="3:9" ht="15.75">
      <c r="C9275" s="951" t="s">
        <v>918</v>
      </c>
      <c r="D9275" s="946"/>
      <c r="E9275" s="947"/>
      <c r="F9275" s="1054"/>
      <c r="G9275" s="946"/>
      <c r="H9275" s="1031"/>
      <c r="I9275" s="952">
        <f>SUM(I9274)</f>
        <v>0</v>
      </c>
    </row>
    <row r="9276" spans="3:9" ht="15.75">
      <c r="C9276" s="951"/>
      <c r="D9276" s="946"/>
      <c r="E9276" s="947"/>
      <c r="F9276" s="1054"/>
      <c r="G9276" s="946"/>
      <c r="H9276" s="1031"/>
      <c r="I9276" s="952"/>
    </row>
    <row r="9277" spans="3:9" ht="15.75">
      <c r="C9277" s="956" t="s">
        <v>926</v>
      </c>
      <c r="D9277" s="957"/>
      <c r="E9277" s="958"/>
      <c r="F9277" s="1069"/>
      <c r="G9277" s="957"/>
      <c r="H9277" s="1032"/>
      <c r="I9277" s="959">
        <f>+I9263</f>
        <v>12000</v>
      </c>
    </row>
    <row r="9278" spans="3:9" ht="15.75">
      <c r="C9278" s="956" t="s">
        <v>927</v>
      </c>
      <c r="D9278" s="957"/>
      <c r="E9278" s="958"/>
      <c r="F9278" s="1069"/>
      <c r="G9278" s="957"/>
      <c r="H9278" s="1032"/>
      <c r="I9278" s="959">
        <f>+I9267</f>
        <v>0</v>
      </c>
    </row>
    <row r="9279" spans="3:9" ht="15.75">
      <c r="C9279" s="956" t="s">
        <v>928</v>
      </c>
      <c r="D9279" s="957"/>
      <c r="E9279" s="958"/>
      <c r="F9279" s="1069"/>
      <c r="G9279" s="957"/>
      <c r="H9279" s="1032"/>
      <c r="I9279" s="959">
        <f>+I9271</f>
        <v>0</v>
      </c>
    </row>
    <row r="9280" spans="3:9" ht="15.75">
      <c r="C9280" s="956" t="s">
        <v>929</v>
      </c>
      <c r="D9280" s="957"/>
      <c r="E9280" s="958"/>
      <c r="F9280" s="1069"/>
      <c r="G9280" s="957"/>
      <c r="H9280" s="1032"/>
      <c r="I9280" s="959">
        <f>+I9275</f>
        <v>0</v>
      </c>
    </row>
    <row r="9281" spans="2:9" ht="15.75">
      <c r="C9281" s="949"/>
      <c r="D9281" s="946"/>
      <c r="E9281" s="947"/>
      <c r="F9281" s="1054"/>
      <c r="G9281" s="946"/>
      <c r="H9281" s="1031"/>
      <c r="I9281" s="948"/>
    </row>
    <row r="9282" spans="2:9" ht="15.75">
      <c r="C9282" s="951" t="s">
        <v>930</v>
      </c>
      <c r="D9282" s="960"/>
      <c r="E9282" s="975" t="str">
        <f>+E9259</f>
        <v>ud</v>
      </c>
      <c r="F9282" s="1070"/>
      <c r="G9282" s="960"/>
      <c r="H9282" s="1033"/>
      <c r="I9282" s="952">
        <f>SUM(I9277:I9280)</f>
        <v>12000</v>
      </c>
    </row>
    <row r="9283" spans="2:9" ht="15.75">
      <c r="C9283" s="951"/>
      <c r="D9283" s="960"/>
      <c r="E9283" s="943"/>
      <c r="F9283" s="1070"/>
      <c r="G9283" s="960"/>
      <c r="H9283" s="1033"/>
      <c r="I9283" s="952"/>
    </row>
    <row r="9284" spans="2:9" ht="15.75">
      <c r="C9284" s="951"/>
      <c r="D9284" s="960"/>
      <c r="E9284" s="943"/>
      <c r="F9284" s="1070"/>
      <c r="G9284" s="960"/>
      <c r="H9284" s="1033"/>
      <c r="I9284" s="952"/>
    </row>
    <row r="9285" spans="2:9" ht="31.5">
      <c r="B9285" s="1063">
        <v>9.1</v>
      </c>
      <c r="C9285" s="937" t="str">
        <f>+Presupuesto!B546</f>
        <v>Ventanas  de aluminio  en celosías color blanco, fabricación superior</v>
      </c>
      <c r="D9285" s="938"/>
      <c r="E9285" s="962" t="s">
        <v>1409</v>
      </c>
      <c r="F9285" s="1066"/>
      <c r="G9285" s="938"/>
      <c r="H9285" s="1029"/>
      <c r="I9285" s="940">
        <f>+I9308</f>
        <v>280</v>
      </c>
    </row>
    <row r="9286" spans="2:9" ht="15.75">
      <c r="C9286" s="941" t="s">
        <v>908</v>
      </c>
      <c r="D9286" s="942" t="s">
        <v>9</v>
      </c>
      <c r="E9286" s="943" t="s">
        <v>10</v>
      </c>
      <c r="F9286" s="1067" t="s">
        <v>909</v>
      </c>
      <c r="G9286" s="942" t="s">
        <v>910</v>
      </c>
      <c r="H9286" s="1030" t="s">
        <v>911</v>
      </c>
      <c r="I9286" s="944" t="s">
        <v>912</v>
      </c>
    </row>
    <row r="9287" spans="2:9" ht="15.75">
      <c r="C9287" s="945" t="s">
        <v>913</v>
      </c>
      <c r="D9287" s="946"/>
      <c r="E9287" s="947"/>
      <c r="F9287" s="1054"/>
      <c r="G9287" s="946"/>
      <c r="H9287" s="1031"/>
      <c r="I9287" s="948"/>
    </row>
    <row r="9288" spans="2:9" ht="15.75">
      <c r="C9288" s="949" t="s">
        <v>1696</v>
      </c>
      <c r="D9288" s="946">
        <v>1</v>
      </c>
      <c r="E9288" s="947" t="str">
        <f>+VLOOKUP(C9288,'Basic (equilibrio) (2)'!B:D,2,FALSE)</f>
        <v>p2</v>
      </c>
      <c r="F9288" s="1068">
        <f>'Basic (equilibrio) (2)'!$D$293</f>
        <v>280</v>
      </c>
      <c r="G9288" s="946">
        <f>F9288-(F9288/1.18)</f>
        <v>42.71</v>
      </c>
      <c r="H9288" s="1031"/>
      <c r="I9288" s="948">
        <f>D9288*F9288</f>
        <v>280</v>
      </c>
    </row>
    <row r="9289" spans="2:9" ht="15.75">
      <c r="C9289" s="951" t="s">
        <v>918</v>
      </c>
      <c r="D9289" s="946"/>
      <c r="E9289" s="947"/>
      <c r="F9289" s="1068"/>
      <c r="G9289" s="946"/>
      <c r="H9289" s="1031"/>
      <c r="I9289" s="952">
        <f>SUM(I9288:I9288)</f>
        <v>280</v>
      </c>
    </row>
    <row r="9290" spans="2:9" ht="15.75">
      <c r="C9290" s="949"/>
      <c r="D9290" s="946"/>
      <c r="E9290" s="947"/>
      <c r="F9290" s="1068"/>
      <c r="G9290" s="946"/>
      <c r="H9290" s="1031"/>
      <c r="I9290" s="948"/>
    </row>
    <row r="9291" spans="2:9" ht="15.75">
      <c r="C9291" s="945" t="s">
        <v>919</v>
      </c>
      <c r="D9291" s="946"/>
      <c r="E9291" s="947"/>
      <c r="F9291" s="1068"/>
      <c r="G9291" s="946"/>
      <c r="H9291" s="1031"/>
      <c r="I9291" s="948"/>
    </row>
    <row r="9292" spans="2:9" ht="15.75">
      <c r="C9292" s="949" t="s">
        <v>924</v>
      </c>
      <c r="D9292" s="953"/>
      <c r="E9292" s="954" t="str">
        <f>+VLOOKUP(C9292,'Basic (equilibrio) (2)'!B:D,2,FALSE)</f>
        <v>n/a</v>
      </c>
      <c r="F9292" s="1068">
        <f>+VLOOKUP(C9292,'Basic (equilibrio) (2)'!B:D,3,FALSE)</f>
        <v>0</v>
      </c>
      <c r="G9292" s="946">
        <v>0</v>
      </c>
      <c r="H9292" s="1031"/>
      <c r="I9292" s="948">
        <f>(D9292*F9292)</f>
        <v>0</v>
      </c>
    </row>
    <row r="9293" spans="2:9" ht="15.75">
      <c r="C9293" s="951" t="s">
        <v>918</v>
      </c>
      <c r="D9293" s="946"/>
      <c r="E9293" s="947"/>
      <c r="F9293" s="1054"/>
      <c r="G9293" s="946"/>
      <c r="H9293" s="1031"/>
      <c r="I9293" s="952">
        <f>SUM(I9292:I9292)</f>
        <v>0</v>
      </c>
    </row>
    <row r="9294" spans="2:9" ht="15.75">
      <c r="C9294" s="949"/>
      <c r="D9294" s="946"/>
      <c r="E9294" s="947"/>
      <c r="F9294" s="1054"/>
      <c r="G9294" s="946"/>
      <c r="H9294" s="1031"/>
      <c r="I9294" s="948"/>
    </row>
    <row r="9295" spans="2:9" ht="15.75">
      <c r="C9295" s="945" t="s">
        <v>923</v>
      </c>
      <c r="D9295" s="946"/>
      <c r="E9295" s="947"/>
      <c r="F9295" s="1054"/>
      <c r="G9295" s="946"/>
      <c r="H9295" s="1031"/>
      <c r="I9295" s="948"/>
    </row>
    <row r="9296" spans="2:9" ht="15.75">
      <c r="C9296" s="949" t="s">
        <v>924</v>
      </c>
      <c r="D9296" s="946"/>
      <c r="E9296" s="947" t="str">
        <f>+VLOOKUP(C9296,'Basic (equilibrio) (2)'!B:D,2,FALSE)</f>
        <v>n/a</v>
      </c>
      <c r="F9296" s="1054">
        <f>+VLOOKUP(C9296,'Basic (equilibrio) (2)'!B:D,3,FALSE)</f>
        <v>0</v>
      </c>
      <c r="G9296" s="946">
        <f>F9296-(F9296/1.18)</f>
        <v>0</v>
      </c>
      <c r="H9296" s="1039"/>
      <c r="I9296" s="955">
        <f>D9296*F9296</f>
        <v>0</v>
      </c>
    </row>
    <row r="9297" spans="2:9" ht="15.75">
      <c r="C9297" s="951" t="s">
        <v>918</v>
      </c>
      <c r="D9297" s="946"/>
      <c r="E9297" s="947"/>
      <c r="F9297" s="1054"/>
      <c r="G9297" s="946"/>
      <c r="H9297" s="1031"/>
      <c r="I9297" s="952">
        <f>SUM(I9296:I9296)</f>
        <v>0</v>
      </c>
    </row>
    <row r="9298" spans="2:9" ht="15.75">
      <c r="C9298" s="949"/>
      <c r="D9298" s="946"/>
      <c r="E9298" s="947"/>
      <c r="F9298" s="1054"/>
      <c r="G9298" s="946"/>
      <c r="H9298" s="1031"/>
      <c r="I9298" s="948"/>
    </row>
    <row r="9299" spans="2:9" ht="15.75">
      <c r="C9299" s="945" t="s">
        <v>925</v>
      </c>
      <c r="D9299" s="946"/>
      <c r="E9299" s="947"/>
      <c r="F9299" s="1054"/>
      <c r="G9299" s="946"/>
      <c r="H9299" s="1031"/>
      <c r="I9299" s="948"/>
    </row>
    <row r="9300" spans="2:9" ht="15.75">
      <c r="C9300" s="949" t="s">
        <v>924</v>
      </c>
      <c r="D9300" s="946"/>
      <c r="E9300" s="947" t="str">
        <f>+VLOOKUP(C9300,'Basic (equilibrio) (2)'!B:D,2,FALSE)</f>
        <v>n/a</v>
      </c>
      <c r="F9300" s="1054">
        <f>+VLOOKUP(C9300,'Basic (equilibrio) (2)'!B:D,3,FALSE)</f>
        <v>0</v>
      </c>
      <c r="G9300" s="946"/>
      <c r="H9300" s="1031"/>
      <c r="I9300" s="948">
        <f>D9300*F9300</f>
        <v>0</v>
      </c>
    </row>
    <row r="9301" spans="2:9" ht="15.75">
      <c r="C9301" s="951" t="s">
        <v>918</v>
      </c>
      <c r="D9301" s="946"/>
      <c r="E9301" s="947"/>
      <c r="F9301" s="1054"/>
      <c r="G9301" s="946"/>
      <c r="H9301" s="1031"/>
      <c r="I9301" s="952">
        <f>SUM(I9300)</f>
        <v>0</v>
      </c>
    </row>
    <row r="9302" spans="2:9" ht="15.75">
      <c r="C9302" s="951"/>
      <c r="D9302" s="946"/>
      <c r="E9302" s="947"/>
      <c r="F9302" s="1054"/>
      <c r="G9302" s="946"/>
      <c r="H9302" s="1031"/>
      <c r="I9302" s="952"/>
    </row>
    <row r="9303" spans="2:9" ht="15.75">
      <c r="C9303" s="956" t="s">
        <v>926</v>
      </c>
      <c r="D9303" s="957"/>
      <c r="E9303" s="958"/>
      <c r="F9303" s="1069"/>
      <c r="G9303" s="957"/>
      <c r="H9303" s="1032"/>
      <c r="I9303" s="959">
        <f>+I9289</f>
        <v>280</v>
      </c>
    </row>
    <row r="9304" spans="2:9" ht="15.75">
      <c r="C9304" s="956" t="s">
        <v>927</v>
      </c>
      <c r="D9304" s="957"/>
      <c r="E9304" s="958"/>
      <c r="F9304" s="1069"/>
      <c r="G9304" s="957"/>
      <c r="H9304" s="1032"/>
      <c r="I9304" s="959">
        <f>+I9293</f>
        <v>0</v>
      </c>
    </row>
    <row r="9305" spans="2:9" ht="15.75">
      <c r="C9305" s="956" t="s">
        <v>928</v>
      </c>
      <c r="D9305" s="957"/>
      <c r="E9305" s="958"/>
      <c r="F9305" s="1069"/>
      <c r="G9305" s="957"/>
      <c r="H9305" s="1032"/>
      <c r="I9305" s="959">
        <f>+I9297</f>
        <v>0</v>
      </c>
    </row>
    <row r="9306" spans="2:9" ht="15.75">
      <c r="C9306" s="956" t="s">
        <v>929</v>
      </c>
      <c r="D9306" s="957"/>
      <c r="E9306" s="958"/>
      <c r="F9306" s="1069"/>
      <c r="G9306" s="957"/>
      <c r="H9306" s="1032"/>
      <c r="I9306" s="959">
        <f>+I9301</f>
        <v>0</v>
      </c>
    </row>
    <row r="9307" spans="2:9" ht="15.75">
      <c r="C9307" s="949"/>
      <c r="D9307" s="946"/>
      <c r="E9307" s="947"/>
      <c r="F9307" s="1054"/>
      <c r="G9307" s="946"/>
      <c r="H9307" s="1031"/>
      <c r="I9307" s="948"/>
    </row>
    <row r="9308" spans="2:9" ht="15.75">
      <c r="C9308" s="951" t="s">
        <v>930</v>
      </c>
      <c r="D9308" s="960"/>
      <c r="E9308" s="975" t="str">
        <f>+E9285</f>
        <v>p2</v>
      </c>
      <c r="F9308" s="1070"/>
      <c r="G9308" s="960"/>
      <c r="H9308" s="1033"/>
      <c r="I9308" s="952">
        <f>SUM(I9303:I9306)</f>
        <v>280</v>
      </c>
    </row>
    <row r="9309" spans="2:9" ht="15.75">
      <c r="C9309" s="951"/>
      <c r="D9309" s="960"/>
      <c r="E9309" s="943"/>
      <c r="F9309" s="1070"/>
      <c r="G9309" s="960"/>
      <c r="H9309" s="1033"/>
      <c r="I9309" s="952"/>
    </row>
    <row r="9310" spans="2:9" ht="15.75">
      <c r="C9310" s="951"/>
      <c r="D9310" s="960"/>
      <c r="E9310" s="943"/>
      <c r="F9310" s="1070"/>
      <c r="G9310" s="960"/>
      <c r="H9310" s="1033"/>
      <c r="I9310" s="952"/>
    </row>
    <row r="9311" spans="2:9" ht="15.75">
      <c r="B9311" s="1063">
        <v>9.1999999999999993</v>
      </c>
      <c r="C9311" s="937" t="str">
        <f>+Presupuesto!B547</f>
        <v>Verja de protección en ventanas</v>
      </c>
      <c r="D9311" s="938"/>
      <c r="E9311" s="962" t="s">
        <v>1056</v>
      </c>
      <c r="F9311" s="1066"/>
      <c r="G9311" s="938"/>
      <c r="H9311" s="1029"/>
      <c r="I9311" s="940">
        <f>+I9334</f>
        <v>1300</v>
      </c>
    </row>
    <row r="9312" spans="2:9" ht="15.75">
      <c r="C9312" s="941" t="s">
        <v>908</v>
      </c>
      <c r="D9312" s="942" t="s">
        <v>9</v>
      </c>
      <c r="E9312" s="943" t="s">
        <v>10</v>
      </c>
      <c r="F9312" s="1067" t="s">
        <v>909</v>
      </c>
      <c r="G9312" s="942" t="s">
        <v>910</v>
      </c>
      <c r="H9312" s="1030" t="s">
        <v>911</v>
      </c>
      <c r="I9312" s="944" t="s">
        <v>912</v>
      </c>
    </row>
    <row r="9313" spans="3:9" ht="15.75">
      <c r="C9313" s="945" t="s">
        <v>913</v>
      </c>
      <c r="D9313" s="946"/>
      <c r="E9313" s="947"/>
      <c r="F9313" s="1054"/>
      <c r="G9313" s="946"/>
      <c r="H9313" s="1031"/>
      <c r="I9313" s="948"/>
    </row>
    <row r="9314" spans="3:9" ht="15.75">
      <c r="C9314" s="949" t="s">
        <v>1647</v>
      </c>
      <c r="D9314" s="946">
        <v>1</v>
      </c>
      <c r="E9314" s="947" t="str">
        <f>+VLOOKUP(C9314,'Basic (equilibrio) (2)'!B:D,2,FALSE)</f>
        <v>ud</v>
      </c>
      <c r="F9314" s="1068">
        <f>'Basic (equilibrio) (2)'!$D$260</f>
        <v>1300</v>
      </c>
      <c r="G9314" s="946">
        <f>F9314-(F9314/1.18)</f>
        <v>198.31</v>
      </c>
      <c r="H9314" s="1031"/>
      <c r="I9314" s="948">
        <f>D9314*F9314</f>
        <v>1300</v>
      </c>
    </row>
    <row r="9315" spans="3:9" ht="15.75">
      <c r="C9315" s="951" t="s">
        <v>918</v>
      </c>
      <c r="D9315" s="946"/>
      <c r="E9315" s="947"/>
      <c r="F9315" s="1068"/>
      <c r="G9315" s="946"/>
      <c r="H9315" s="1031"/>
      <c r="I9315" s="952">
        <f>SUM(I9314:I9314)</f>
        <v>1300</v>
      </c>
    </row>
    <row r="9316" spans="3:9" ht="15.75">
      <c r="C9316" s="949"/>
      <c r="D9316" s="946"/>
      <c r="E9316" s="947"/>
      <c r="F9316" s="1068"/>
      <c r="G9316" s="946"/>
      <c r="H9316" s="1031"/>
      <c r="I9316" s="948"/>
    </row>
    <row r="9317" spans="3:9" ht="15.75">
      <c r="C9317" s="945" t="s">
        <v>919</v>
      </c>
      <c r="D9317" s="946"/>
      <c r="E9317" s="947"/>
      <c r="F9317" s="1068"/>
      <c r="G9317" s="946"/>
      <c r="H9317" s="1031"/>
      <c r="I9317" s="948"/>
    </row>
    <row r="9318" spans="3:9" ht="15.75">
      <c r="C9318" s="949" t="s">
        <v>924</v>
      </c>
      <c r="D9318" s="953"/>
      <c r="E9318" s="954" t="str">
        <f>+VLOOKUP(C9318,'Basic (equilibrio) (2)'!B:D,2,FALSE)</f>
        <v>n/a</v>
      </c>
      <c r="F9318" s="1068">
        <f>+VLOOKUP(C9318,'Basic (equilibrio) (2)'!B:D,3,FALSE)</f>
        <v>0</v>
      </c>
      <c r="G9318" s="946">
        <v>0</v>
      </c>
      <c r="H9318" s="1031"/>
      <c r="I9318" s="948">
        <f>(D9318*F9318)</f>
        <v>0</v>
      </c>
    </row>
    <row r="9319" spans="3:9" ht="15.75">
      <c r="C9319" s="951" t="s">
        <v>918</v>
      </c>
      <c r="D9319" s="946"/>
      <c r="E9319" s="947"/>
      <c r="F9319" s="1054"/>
      <c r="G9319" s="946"/>
      <c r="H9319" s="1031"/>
      <c r="I9319" s="952">
        <f>SUM(I9318:I9318)</f>
        <v>0</v>
      </c>
    </row>
    <row r="9320" spans="3:9" ht="15.75">
      <c r="C9320" s="949"/>
      <c r="D9320" s="946"/>
      <c r="E9320" s="947"/>
      <c r="F9320" s="1054"/>
      <c r="G9320" s="946"/>
      <c r="H9320" s="1031"/>
      <c r="I9320" s="948"/>
    </row>
    <row r="9321" spans="3:9" ht="15.75">
      <c r="C9321" s="945" t="s">
        <v>923</v>
      </c>
      <c r="D9321" s="946"/>
      <c r="E9321" s="947"/>
      <c r="F9321" s="1054"/>
      <c r="G9321" s="946"/>
      <c r="H9321" s="1031"/>
      <c r="I9321" s="948"/>
    </row>
    <row r="9322" spans="3:9" ht="15.75">
      <c r="C9322" s="949" t="s">
        <v>924</v>
      </c>
      <c r="D9322" s="946"/>
      <c r="E9322" s="947" t="str">
        <f>+VLOOKUP(C9322,'Basic (equilibrio) (2)'!B:D,2,FALSE)</f>
        <v>n/a</v>
      </c>
      <c r="F9322" s="1054">
        <f>+VLOOKUP(C9322,'Basic (equilibrio) (2)'!B:D,3,FALSE)</f>
        <v>0</v>
      </c>
      <c r="G9322" s="946">
        <f>F9322-(F9322/1.18)</f>
        <v>0</v>
      </c>
      <c r="H9322" s="1039"/>
      <c r="I9322" s="955">
        <f>D9322*F9322</f>
        <v>0</v>
      </c>
    </row>
    <row r="9323" spans="3:9" ht="15.75">
      <c r="C9323" s="951" t="s">
        <v>918</v>
      </c>
      <c r="D9323" s="946"/>
      <c r="E9323" s="947"/>
      <c r="F9323" s="1054"/>
      <c r="G9323" s="946"/>
      <c r="H9323" s="1031"/>
      <c r="I9323" s="952">
        <f>SUM(I9322:I9322)</f>
        <v>0</v>
      </c>
    </row>
    <row r="9324" spans="3:9" ht="15.75">
      <c r="C9324" s="949"/>
      <c r="D9324" s="946"/>
      <c r="E9324" s="947"/>
      <c r="F9324" s="1054"/>
      <c r="G9324" s="946"/>
      <c r="H9324" s="1031"/>
      <c r="I9324" s="948"/>
    </row>
    <row r="9325" spans="3:9" ht="15.75">
      <c r="C9325" s="945" t="s">
        <v>925</v>
      </c>
      <c r="D9325" s="946"/>
      <c r="E9325" s="947"/>
      <c r="F9325" s="1054"/>
      <c r="G9325" s="946"/>
      <c r="H9325" s="1031"/>
      <c r="I9325" s="948"/>
    </row>
    <row r="9326" spans="3:9" ht="15.75">
      <c r="C9326" s="949" t="s">
        <v>924</v>
      </c>
      <c r="D9326" s="946"/>
      <c r="E9326" s="947" t="str">
        <f>+VLOOKUP(C9326,'Basic (equilibrio) (2)'!B:D,2,FALSE)</f>
        <v>n/a</v>
      </c>
      <c r="F9326" s="1054">
        <f>+VLOOKUP(C9326,'Basic (equilibrio) (2)'!B:D,3,FALSE)</f>
        <v>0</v>
      </c>
      <c r="G9326" s="946"/>
      <c r="H9326" s="1031"/>
      <c r="I9326" s="948">
        <f>D9326*F9326</f>
        <v>0</v>
      </c>
    </row>
    <row r="9327" spans="3:9" ht="15.75">
      <c r="C9327" s="951" t="s">
        <v>918</v>
      </c>
      <c r="D9327" s="946"/>
      <c r="E9327" s="947"/>
      <c r="F9327" s="1054"/>
      <c r="G9327" s="946"/>
      <c r="H9327" s="1031"/>
      <c r="I9327" s="952">
        <f>SUM(I9326)</f>
        <v>0</v>
      </c>
    </row>
    <row r="9328" spans="3:9" ht="15.75">
      <c r="C9328" s="951"/>
      <c r="D9328" s="946"/>
      <c r="E9328" s="947"/>
      <c r="F9328" s="1054"/>
      <c r="G9328" s="946"/>
      <c r="H9328" s="1031"/>
      <c r="I9328" s="952"/>
    </row>
    <row r="9329" spans="2:9" ht="15.75">
      <c r="C9329" s="956" t="s">
        <v>926</v>
      </c>
      <c r="D9329" s="957"/>
      <c r="E9329" s="958"/>
      <c r="F9329" s="1069"/>
      <c r="G9329" s="957"/>
      <c r="H9329" s="1032"/>
      <c r="I9329" s="959">
        <f>+I9315</f>
        <v>1300</v>
      </c>
    </row>
    <row r="9330" spans="2:9" ht="15.75">
      <c r="C9330" s="956" t="s">
        <v>927</v>
      </c>
      <c r="D9330" s="957"/>
      <c r="E9330" s="958"/>
      <c r="F9330" s="1069"/>
      <c r="G9330" s="957"/>
      <c r="H9330" s="1032"/>
      <c r="I9330" s="959">
        <f>+I9319</f>
        <v>0</v>
      </c>
    </row>
    <row r="9331" spans="2:9" ht="15.75">
      <c r="C9331" s="956" t="s">
        <v>928</v>
      </c>
      <c r="D9331" s="957"/>
      <c r="E9331" s="958"/>
      <c r="F9331" s="1069"/>
      <c r="G9331" s="957"/>
      <c r="H9331" s="1032"/>
      <c r="I9331" s="959">
        <f>+I9323</f>
        <v>0</v>
      </c>
    </row>
    <row r="9332" spans="2:9" ht="15.75">
      <c r="C9332" s="956" t="s">
        <v>929</v>
      </c>
      <c r="D9332" s="957"/>
      <c r="E9332" s="958"/>
      <c r="F9332" s="1069"/>
      <c r="G9332" s="957"/>
      <c r="H9332" s="1032"/>
      <c r="I9332" s="959">
        <f>+I9327</f>
        <v>0</v>
      </c>
    </row>
    <row r="9333" spans="2:9" ht="15.75">
      <c r="C9333" s="949"/>
      <c r="D9333" s="946"/>
      <c r="E9333" s="947"/>
      <c r="F9333" s="1054"/>
      <c r="G9333" s="946"/>
      <c r="H9333" s="1031"/>
      <c r="I9333" s="948"/>
    </row>
    <row r="9334" spans="2:9" ht="15.75">
      <c r="C9334" s="951" t="s">
        <v>930</v>
      </c>
      <c r="D9334" s="960"/>
      <c r="E9334" s="975" t="str">
        <f>+E9311</f>
        <v>ud</v>
      </c>
      <c r="F9334" s="1070"/>
      <c r="G9334" s="960"/>
      <c r="H9334" s="1033"/>
      <c r="I9334" s="952">
        <f>SUM(I9329:I9332)</f>
        <v>1300</v>
      </c>
    </row>
    <row r="9335" spans="2:9" ht="15.75">
      <c r="C9335" s="951"/>
      <c r="D9335" s="960"/>
      <c r="E9335" s="943"/>
      <c r="F9335" s="1070"/>
      <c r="G9335" s="960"/>
      <c r="H9335" s="1033"/>
      <c r="I9335" s="952"/>
    </row>
    <row r="9336" spans="2:9" ht="15.75">
      <c r="B9336" s="1026">
        <v>10.1</v>
      </c>
      <c r="C9336" s="937" t="str">
        <f>+Presupuesto!B550</f>
        <v>Lavamanos sencillos</v>
      </c>
      <c r="D9336" s="938"/>
      <c r="E9336" s="962" t="s">
        <v>10</v>
      </c>
      <c r="F9336" s="1066"/>
      <c r="G9336" s="938"/>
      <c r="H9336" s="1029"/>
      <c r="I9336" s="940">
        <f>+I9359</f>
        <v>11034.77</v>
      </c>
    </row>
    <row r="9337" spans="2:9" ht="15.75">
      <c r="C9337" s="941" t="s">
        <v>908</v>
      </c>
      <c r="D9337" s="942" t="s">
        <v>9</v>
      </c>
      <c r="E9337" s="943" t="s">
        <v>10</v>
      </c>
      <c r="F9337" s="1067" t="s">
        <v>909</v>
      </c>
      <c r="G9337" s="942" t="s">
        <v>910</v>
      </c>
      <c r="H9337" s="1030" t="s">
        <v>911</v>
      </c>
      <c r="I9337" s="944" t="s">
        <v>912</v>
      </c>
    </row>
    <row r="9338" spans="2:9" ht="15.75">
      <c r="C9338" s="945" t="s">
        <v>913</v>
      </c>
      <c r="D9338" s="946"/>
      <c r="E9338" s="947"/>
      <c r="F9338" s="1054"/>
      <c r="G9338" s="946"/>
      <c r="H9338" s="1031"/>
      <c r="I9338" s="948"/>
    </row>
    <row r="9339" spans="2:9" ht="15.75">
      <c r="C9339" s="949" t="s">
        <v>1597</v>
      </c>
      <c r="D9339" s="946">
        <v>1.02</v>
      </c>
      <c r="E9339" s="947" t="str">
        <f>+VLOOKUP(C9339,'Basic (equilibrio) (2)'!B:D,2,FALSE)</f>
        <v>ud</v>
      </c>
      <c r="F9339" s="1068">
        <f>'Basic (equilibrio) (2)'!$D$209</f>
        <v>10818.4</v>
      </c>
      <c r="G9339" s="946">
        <f>F9339-(F9339/1.18)</f>
        <v>1650.26</v>
      </c>
      <c r="H9339" s="1031"/>
      <c r="I9339" s="948">
        <f>D9339*F9339</f>
        <v>11034.77</v>
      </c>
    </row>
    <row r="9340" spans="2:9" ht="15.75">
      <c r="C9340" s="951" t="s">
        <v>918</v>
      </c>
      <c r="D9340" s="946"/>
      <c r="E9340" s="947"/>
      <c r="F9340" s="1068"/>
      <c r="G9340" s="946"/>
      <c r="H9340" s="1031"/>
      <c r="I9340" s="952">
        <f>SUM(I9339:I9339)</f>
        <v>11034.77</v>
      </c>
    </row>
    <row r="9341" spans="2:9" ht="15.75">
      <c r="C9341" s="949"/>
      <c r="D9341" s="946"/>
      <c r="E9341" s="947"/>
      <c r="F9341" s="1068"/>
      <c r="G9341" s="946"/>
      <c r="H9341" s="1031"/>
      <c r="I9341" s="948"/>
    </row>
    <row r="9342" spans="2:9" ht="15.75">
      <c r="C9342" s="945" t="s">
        <v>919</v>
      </c>
      <c r="D9342" s="946"/>
      <c r="E9342" s="947"/>
      <c r="F9342" s="1068"/>
      <c r="G9342" s="946"/>
      <c r="H9342" s="1031"/>
      <c r="I9342" s="948"/>
    </row>
    <row r="9343" spans="2:9" ht="15.75">
      <c r="C9343" s="949" t="s">
        <v>924</v>
      </c>
      <c r="D9343" s="953"/>
      <c r="E9343" s="954" t="str">
        <f>+VLOOKUP(C9343,'Basic (equilibrio) (2)'!B:D,2,FALSE)</f>
        <v>n/a</v>
      </c>
      <c r="F9343" s="1068">
        <f>+VLOOKUP(C9343,'Basic (equilibrio) (2)'!B:D,3,FALSE)</f>
        <v>0</v>
      </c>
      <c r="G9343" s="946">
        <v>0</v>
      </c>
      <c r="H9343" s="1031"/>
      <c r="I9343" s="948">
        <f>(D9343*F9343)</f>
        <v>0</v>
      </c>
    </row>
    <row r="9344" spans="2:9" ht="15.75">
      <c r="C9344" s="951" t="s">
        <v>918</v>
      </c>
      <c r="D9344" s="946"/>
      <c r="E9344" s="947"/>
      <c r="F9344" s="1054"/>
      <c r="G9344" s="946"/>
      <c r="H9344" s="1031"/>
      <c r="I9344" s="952">
        <f>SUM(I9343:I9343)</f>
        <v>0</v>
      </c>
    </row>
    <row r="9345" spans="3:9" ht="15.75">
      <c r="C9345" s="949"/>
      <c r="D9345" s="946"/>
      <c r="E9345" s="947"/>
      <c r="F9345" s="1054"/>
      <c r="G9345" s="946"/>
      <c r="H9345" s="1031"/>
      <c r="I9345" s="948"/>
    </row>
    <row r="9346" spans="3:9" ht="15.75">
      <c r="C9346" s="945" t="s">
        <v>923</v>
      </c>
      <c r="D9346" s="946"/>
      <c r="E9346" s="947"/>
      <c r="F9346" s="1054"/>
      <c r="G9346" s="946"/>
      <c r="H9346" s="1031"/>
      <c r="I9346" s="948"/>
    </row>
    <row r="9347" spans="3:9" ht="15.75">
      <c r="C9347" s="949" t="s">
        <v>924</v>
      </c>
      <c r="D9347" s="946"/>
      <c r="E9347" s="947" t="str">
        <f>+VLOOKUP(C9347,'Basic (equilibrio) (2)'!B:D,2,FALSE)</f>
        <v>n/a</v>
      </c>
      <c r="F9347" s="1054">
        <f>+VLOOKUP(C9347,'Basic (equilibrio) (2)'!B:D,3,FALSE)</f>
        <v>0</v>
      </c>
      <c r="G9347" s="946">
        <f>F9347-(F9347/1.18)</f>
        <v>0</v>
      </c>
      <c r="H9347" s="1039"/>
      <c r="I9347" s="955">
        <f>D9347*F9347</f>
        <v>0</v>
      </c>
    </row>
    <row r="9348" spans="3:9" ht="15.75">
      <c r="C9348" s="951" t="s">
        <v>918</v>
      </c>
      <c r="D9348" s="946"/>
      <c r="E9348" s="947"/>
      <c r="F9348" s="1054"/>
      <c r="G9348" s="946"/>
      <c r="H9348" s="1031"/>
      <c r="I9348" s="952">
        <f>SUM(I9347:I9347)</f>
        <v>0</v>
      </c>
    </row>
    <row r="9349" spans="3:9" ht="15.75">
      <c r="C9349" s="949"/>
      <c r="D9349" s="946"/>
      <c r="E9349" s="947"/>
      <c r="F9349" s="1054"/>
      <c r="G9349" s="946"/>
      <c r="H9349" s="1031"/>
      <c r="I9349" s="948"/>
    </row>
    <row r="9350" spans="3:9" ht="15.75">
      <c r="C9350" s="945" t="s">
        <v>925</v>
      </c>
      <c r="D9350" s="946"/>
      <c r="E9350" s="947"/>
      <c r="F9350" s="1054"/>
      <c r="G9350" s="946"/>
      <c r="H9350" s="1031"/>
      <c r="I9350" s="948"/>
    </row>
    <row r="9351" spans="3:9" ht="15.75">
      <c r="C9351" s="949" t="s">
        <v>924</v>
      </c>
      <c r="D9351" s="946"/>
      <c r="E9351" s="947" t="str">
        <f>+VLOOKUP(C9351,'Basic (equilibrio) (2)'!B:D,2,FALSE)</f>
        <v>n/a</v>
      </c>
      <c r="F9351" s="1054">
        <f>+VLOOKUP(C9351,'Basic (equilibrio) (2)'!B:D,3,FALSE)</f>
        <v>0</v>
      </c>
      <c r="G9351" s="946"/>
      <c r="H9351" s="1031"/>
      <c r="I9351" s="948">
        <f>D9351*F9351</f>
        <v>0</v>
      </c>
    </row>
    <row r="9352" spans="3:9" ht="15.75">
      <c r="C9352" s="951" t="s">
        <v>918</v>
      </c>
      <c r="D9352" s="946"/>
      <c r="E9352" s="947"/>
      <c r="F9352" s="1054"/>
      <c r="G9352" s="946"/>
      <c r="H9352" s="1031"/>
      <c r="I9352" s="952">
        <f>SUM(I9351)</f>
        <v>0</v>
      </c>
    </row>
    <row r="9353" spans="3:9" ht="15.75">
      <c r="C9353" s="951"/>
      <c r="D9353" s="946"/>
      <c r="E9353" s="947"/>
      <c r="F9353" s="1054"/>
      <c r="G9353" s="946"/>
      <c r="H9353" s="1031"/>
      <c r="I9353" s="952"/>
    </row>
    <row r="9354" spans="3:9" ht="15.75">
      <c r="C9354" s="956" t="s">
        <v>926</v>
      </c>
      <c r="D9354" s="957"/>
      <c r="E9354" s="958"/>
      <c r="F9354" s="1069"/>
      <c r="G9354" s="957"/>
      <c r="H9354" s="1032"/>
      <c r="I9354" s="959">
        <f>+I9340</f>
        <v>11034.77</v>
      </c>
    </row>
    <row r="9355" spans="3:9" ht="15.75">
      <c r="C9355" s="956" t="s">
        <v>927</v>
      </c>
      <c r="D9355" s="957"/>
      <c r="E9355" s="958"/>
      <c r="F9355" s="1069"/>
      <c r="G9355" s="957"/>
      <c r="H9355" s="1032"/>
      <c r="I9355" s="959">
        <f>+I9344</f>
        <v>0</v>
      </c>
    </row>
    <row r="9356" spans="3:9" ht="15.75">
      <c r="C9356" s="956" t="s">
        <v>928</v>
      </c>
      <c r="D9356" s="957"/>
      <c r="E9356" s="958"/>
      <c r="F9356" s="1069"/>
      <c r="G9356" s="957"/>
      <c r="H9356" s="1032"/>
      <c r="I9356" s="959">
        <f>+I9348</f>
        <v>0</v>
      </c>
    </row>
    <row r="9357" spans="3:9" ht="15.75">
      <c r="C9357" s="956" t="s">
        <v>929</v>
      </c>
      <c r="D9357" s="957"/>
      <c r="E9357" s="958"/>
      <c r="F9357" s="1069"/>
      <c r="G9357" s="957"/>
      <c r="H9357" s="1032"/>
      <c r="I9357" s="959">
        <f>+I9352</f>
        <v>0</v>
      </c>
    </row>
    <row r="9358" spans="3:9" ht="15.75">
      <c r="C9358" s="949"/>
      <c r="D9358" s="946"/>
      <c r="E9358" s="947"/>
      <c r="F9358" s="1054"/>
      <c r="G9358" s="946"/>
      <c r="H9358" s="1031"/>
      <c r="I9358" s="948"/>
    </row>
    <row r="9359" spans="3:9" ht="15.75">
      <c r="C9359" s="951" t="s">
        <v>930</v>
      </c>
      <c r="D9359" s="960"/>
      <c r="E9359" s="975" t="str">
        <f>+E9336</f>
        <v>Ud</v>
      </c>
      <c r="F9359" s="1070"/>
      <c r="G9359" s="960"/>
      <c r="H9359" s="1033"/>
      <c r="I9359" s="952">
        <f>SUM(I9354:I9357)</f>
        <v>11034.77</v>
      </c>
    </row>
    <row r="9360" spans="3:9" ht="15.75">
      <c r="C9360" s="951"/>
      <c r="D9360" s="960"/>
      <c r="E9360" s="943"/>
      <c r="F9360" s="1070"/>
      <c r="G9360" s="960"/>
      <c r="H9360" s="1033"/>
      <c r="I9360" s="952"/>
    </row>
    <row r="9361" spans="2:9" ht="15.75">
      <c r="B9361" s="1026">
        <v>10.199999999999999</v>
      </c>
      <c r="C9361" s="937" t="str">
        <f>+Presupuesto!B551</f>
        <v>Inodoro</v>
      </c>
      <c r="D9361" s="938"/>
      <c r="E9361" s="962" t="s">
        <v>10</v>
      </c>
      <c r="F9361" s="1066"/>
      <c r="G9361" s="938"/>
      <c r="H9361" s="1029"/>
      <c r="I9361" s="940">
        <f>+I9384</f>
        <v>13056</v>
      </c>
    </row>
    <row r="9362" spans="2:9" ht="15.75">
      <c r="C9362" s="941" t="s">
        <v>908</v>
      </c>
      <c r="D9362" s="942" t="s">
        <v>9</v>
      </c>
      <c r="E9362" s="943" t="s">
        <v>10</v>
      </c>
      <c r="F9362" s="1067" t="s">
        <v>909</v>
      </c>
      <c r="G9362" s="942" t="s">
        <v>910</v>
      </c>
      <c r="H9362" s="1030" t="s">
        <v>911</v>
      </c>
      <c r="I9362" s="944" t="s">
        <v>912</v>
      </c>
    </row>
    <row r="9363" spans="2:9" ht="15.75">
      <c r="C9363" s="945" t="s">
        <v>913</v>
      </c>
      <c r="D9363" s="946"/>
      <c r="E9363" s="947"/>
      <c r="F9363" s="1054"/>
      <c r="G9363" s="946"/>
      <c r="H9363" s="1031"/>
      <c r="I9363" s="948"/>
    </row>
    <row r="9364" spans="2:9" ht="15.75">
      <c r="C9364" s="949" t="s">
        <v>1596</v>
      </c>
      <c r="D9364" s="946">
        <v>1.02</v>
      </c>
      <c r="E9364" s="947" t="str">
        <f>+VLOOKUP(C9364,'Basic (equilibrio) (2)'!B:D,2,FALSE)</f>
        <v>ud</v>
      </c>
      <c r="F9364" s="1068">
        <f>'Basic (equilibrio) (2)'!$D$208</f>
        <v>12800</v>
      </c>
      <c r="G9364" s="946">
        <f>F9364-(F9364/1.18)</f>
        <v>1952.54</v>
      </c>
      <c r="H9364" s="1031"/>
      <c r="I9364" s="948">
        <f>D9364*F9364</f>
        <v>13056</v>
      </c>
    </row>
    <row r="9365" spans="2:9" ht="15.75">
      <c r="C9365" s="951" t="s">
        <v>918</v>
      </c>
      <c r="D9365" s="946"/>
      <c r="E9365" s="947"/>
      <c r="F9365" s="1068"/>
      <c r="G9365" s="946"/>
      <c r="H9365" s="1031"/>
      <c r="I9365" s="952">
        <f>SUM(I9364:I9364)</f>
        <v>13056</v>
      </c>
    </row>
    <row r="9366" spans="2:9" ht="15.75">
      <c r="C9366" s="949"/>
      <c r="D9366" s="946"/>
      <c r="E9366" s="947"/>
      <c r="F9366" s="1068"/>
      <c r="G9366" s="946"/>
      <c r="H9366" s="1031"/>
      <c r="I9366" s="948"/>
    </row>
    <row r="9367" spans="2:9" ht="15.75">
      <c r="C9367" s="945" t="s">
        <v>919</v>
      </c>
      <c r="D9367" s="946"/>
      <c r="E9367" s="947"/>
      <c r="F9367" s="1068"/>
      <c r="G9367" s="946"/>
      <c r="H9367" s="1031"/>
      <c r="I9367" s="948"/>
    </row>
    <row r="9368" spans="2:9" ht="15.75">
      <c r="C9368" s="949" t="s">
        <v>924</v>
      </c>
      <c r="D9368" s="953"/>
      <c r="E9368" s="954" t="str">
        <f>+VLOOKUP(C9368,'Basic (equilibrio) (2)'!B:D,2,FALSE)</f>
        <v>n/a</v>
      </c>
      <c r="F9368" s="1068">
        <f>+VLOOKUP(C9368,'Basic (equilibrio) (2)'!B:D,3,FALSE)</f>
        <v>0</v>
      </c>
      <c r="G9368" s="946">
        <v>0</v>
      </c>
      <c r="H9368" s="1031"/>
      <c r="I9368" s="948">
        <f>(D9368*F9368)</f>
        <v>0</v>
      </c>
    </row>
    <row r="9369" spans="2:9" ht="15.75">
      <c r="C9369" s="951" t="s">
        <v>918</v>
      </c>
      <c r="D9369" s="946"/>
      <c r="E9369" s="947"/>
      <c r="F9369" s="1054"/>
      <c r="G9369" s="946"/>
      <c r="H9369" s="1031"/>
      <c r="I9369" s="952">
        <f>SUM(I9368:I9368)</f>
        <v>0</v>
      </c>
    </row>
    <row r="9370" spans="2:9" ht="15.75">
      <c r="C9370" s="949"/>
      <c r="D9370" s="946"/>
      <c r="E9370" s="947"/>
      <c r="F9370" s="1054"/>
      <c r="G9370" s="946"/>
      <c r="H9370" s="1031"/>
      <c r="I9370" s="948"/>
    </row>
    <row r="9371" spans="2:9" ht="15.75">
      <c r="C9371" s="945" t="s">
        <v>923</v>
      </c>
      <c r="D9371" s="946"/>
      <c r="E9371" s="947"/>
      <c r="F9371" s="1054"/>
      <c r="G9371" s="946"/>
      <c r="H9371" s="1031"/>
      <c r="I9371" s="948"/>
    </row>
    <row r="9372" spans="2:9" ht="15.75">
      <c r="C9372" s="949" t="s">
        <v>924</v>
      </c>
      <c r="D9372" s="946"/>
      <c r="E9372" s="947" t="str">
        <f>+VLOOKUP(C9372,'Basic (equilibrio) (2)'!B:D,2,FALSE)</f>
        <v>n/a</v>
      </c>
      <c r="F9372" s="1054">
        <f>+VLOOKUP(C9372,'Basic (equilibrio) (2)'!B:D,3,FALSE)</f>
        <v>0</v>
      </c>
      <c r="G9372" s="946">
        <f>F9372-(F9372/1.18)</f>
        <v>0</v>
      </c>
      <c r="H9372" s="1039"/>
      <c r="I9372" s="955">
        <f>D9372*F9372</f>
        <v>0</v>
      </c>
    </row>
    <row r="9373" spans="2:9" ht="15.75">
      <c r="C9373" s="951" t="s">
        <v>918</v>
      </c>
      <c r="D9373" s="946"/>
      <c r="E9373" s="947"/>
      <c r="F9373" s="1054"/>
      <c r="G9373" s="946"/>
      <c r="H9373" s="1031"/>
      <c r="I9373" s="952">
        <f>SUM(I9372:I9372)</f>
        <v>0</v>
      </c>
    </row>
    <row r="9374" spans="2:9" ht="15.75">
      <c r="C9374" s="949"/>
      <c r="D9374" s="946"/>
      <c r="E9374" s="947"/>
      <c r="F9374" s="1054"/>
      <c r="G9374" s="946"/>
      <c r="H9374" s="1031"/>
      <c r="I9374" s="948"/>
    </row>
    <row r="9375" spans="2:9" ht="15.75">
      <c r="C9375" s="945" t="s">
        <v>925</v>
      </c>
      <c r="D9375" s="946"/>
      <c r="E9375" s="947"/>
      <c r="F9375" s="1054"/>
      <c r="G9375" s="946"/>
      <c r="H9375" s="1031"/>
      <c r="I9375" s="948"/>
    </row>
    <row r="9376" spans="2:9" ht="15.75">
      <c r="C9376" s="949" t="s">
        <v>924</v>
      </c>
      <c r="D9376" s="946"/>
      <c r="E9376" s="947" t="str">
        <f>+VLOOKUP(C9376,'Basic (equilibrio) (2)'!B:D,2,FALSE)</f>
        <v>n/a</v>
      </c>
      <c r="F9376" s="1054">
        <f>+VLOOKUP(C9376,'Basic (equilibrio) (2)'!B:D,3,FALSE)</f>
        <v>0</v>
      </c>
      <c r="G9376" s="946"/>
      <c r="H9376" s="1031"/>
      <c r="I9376" s="948">
        <f>D9376*F9376</f>
        <v>0</v>
      </c>
    </row>
    <row r="9377" spans="2:9" ht="15.75">
      <c r="C9377" s="951" t="s">
        <v>918</v>
      </c>
      <c r="D9377" s="946"/>
      <c r="E9377" s="947"/>
      <c r="F9377" s="1054"/>
      <c r="G9377" s="946"/>
      <c r="H9377" s="1031"/>
      <c r="I9377" s="952">
        <f>SUM(I9376)</f>
        <v>0</v>
      </c>
    </row>
    <row r="9378" spans="2:9" ht="15.75">
      <c r="C9378" s="951"/>
      <c r="D9378" s="946"/>
      <c r="E9378" s="947"/>
      <c r="F9378" s="1054"/>
      <c r="G9378" s="946"/>
      <c r="H9378" s="1031"/>
      <c r="I9378" s="952"/>
    </row>
    <row r="9379" spans="2:9" ht="15.75">
      <c r="C9379" s="956" t="s">
        <v>926</v>
      </c>
      <c r="D9379" s="957"/>
      <c r="E9379" s="958"/>
      <c r="F9379" s="1069"/>
      <c r="G9379" s="957"/>
      <c r="H9379" s="1032"/>
      <c r="I9379" s="959">
        <f>+I9365</f>
        <v>13056</v>
      </c>
    </row>
    <row r="9380" spans="2:9" ht="15.75">
      <c r="C9380" s="956" t="s">
        <v>927</v>
      </c>
      <c r="D9380" s="957"/>
      <c r="E9380" s="958"/>
      <c r="F9380" s="1069"/>
      <c r="G9380" s="957"/>
      <c r="H9380" s="1032"/>
      <c r="I9380" s="959">
        <f>+I9369</f>
        <v>0</v>
      </c>
    </row>
    <row r="9381" spans="2:9" ht="15.75">
      <c r="C9381" s="956" t="s">
        <v>928</v>
      </c>
      <c r="D9381" s="957"/>
      <c r="E9381" s="958"/>
      <c r="F9381" s="1069"/>
      <c r="G9381" s="957"/>
      <c r="H9381" s="1032"/>
      <c r="I9381" s="959">
        <f>+I9373</f>
        <v>0</v>
      </c>
    </row>
    <row r="9382" spans="2:9" ht="15.75">
      <c r="C9382" s="956" t="s">
        <v>929</v>
      </c>
      <c r="D9382" s="957"/>
      <c r="E9382" s="958"/>
      <c r="F9382" s="1069"/>
      <c r="G9382" s="957"/>
      <c r="H9382" s="1032"/>
      <c r="I9382" s="959">
        <f>+I9377</f>
        <v>0</v>
      </c>
    </row>
    <row r="9383" spans="2:9" ht="15.75">
      <c r="C9383" s="949"/>
      <c r="D9383" s="946"/>
      <c r="E9383" s="947"/>
      <c r="F9383" s="1054"/>
      <c r="G9383" s="946"/>
      <c r="H9383" s="1031"/>
      <c r="I9383" s="948"/>
    </row>
    <row r="9384" spans="2:9" ht="15.75">
      <c r="C9384" s="951" t="s">
        <v>930</v>
      </c>
      <c r="D9384" s="960"/>
      <c r="E9384" s="975" t="str">
        <f>+E9361</f>
        <v>Ud</v>
      </c>
      <c r="F9384" s="1070"/>
      <c r="G9384" s="960"/>
      <c r="H9384" s="1033"/>
      <c r="I9384" s="952">
        <f>SUM(I9379:I9382)</f>
        <v>13056</v>
      </c>
    </row>
    <row r="9385" spans="2:9" ht="15.75">
      <c r="C9385" s="951"/>
      <c r="D9385" s="960"/>
      <c r="E9385" s="943"/>
      <c r="F9385" s="1070"/>
      <c r="G9385" s="960"/>
      <c r="H9385" s="1033"/>
      <c r="I9385" s="952"/>
    </row>
    <row r="9386" spans="2:9" ht="15.75">
      <c r="B9386" s="1026">
        <v>10.3</v>
      </c>
      <c r="C9386" s="937" t="str">
        <f>+Presupuesto!B552</f>
        <v>Desagüe de techo</v>
      </c>
      <c r="D9386" s="938"/>
      <c r="E9386" s="962" t="s">
        <v>10</v>
      </c>
      <c r="F9386" s="1066"/>
      <c r="G9386" s="938"/>
      <c r="H9386" s="1029"/>
      <c r="I9386" s="940">
        <f>+I9409</f>
        <v>2073.66</v>
      </c>
    </row>
    <row r="9387" spans="2:9" ht="15.75">
      <c r="C9387" s="941" t="s">
        <v>908</v>
      </c>
      <c r="D9387" s="942" t="s">
        <v>9</v>
      </c>
      <c r="E9387" s="943" t="s">
        <v>10</v>
      </c>
      <c r="F9387" s="1067" t="s">
        <v>909</v>
      </c>
      <c r="G9387" s="942" t="s">
        <v>910</v>
      </c>
      <c r="H9387" s="1030" t="s">
        <v>911</v>
      </c>
      <c r="I9387" s="944" t="s">
        <v>912</v>
      </c>
    </row>
    <row r="9388" spans="2:9" ht="15.75">
      <c r="C9388" s="945" t="s">
        <v>913</v>
      </c>
      <c r="D9388" s="946"/>
      <c r="E9388" s="947"/>
      <c r="F9388" s="1054"/>
      <c r="G9388" s="946"/>
      <c r="H9388" s="1031"/>
      <c r="I9388" s="948"/>
    </row>
    <row r="9389" spans="2:9" ht="15.75">
      <c r="C9389" s="949" t="s">
        <v>1604</v>
      </c>
      <c r="D9389" s="946">
        <v>1.02</v>
      </c>
      <c r="E9389" s="947" t="str">
        <f>+VLOOKUP(C9389,'Basic (equilibrio) (2)'!B:D,2,FALSE)</f>
        <v>ud</v>
      </c>
      <c r="F9389" s="1068">
        <f>'Basic (equilibrio) (2)'!$D$219</f>
        <v>2033</v>
      </c>
      <c r="G9389" s="946">
        <f>F9389-(F9389/1.18)</f>
        <v>310.12</v>
      </c>
      <c r="H9389" s="1031"/>
      <c r="I9389" s="948">
        <f>D9389*F9389</f>
        <v>2073.66</v>
      </c>
    </row>
    <row r="9390" spans="2:9" ht="15.75">
      <c r="C9390" s="951" t="s">
        <v>918</v>
      </c>
      <c r="D9390" s="946"/>
      <c r="E9390" s="947"/>
      <c r="F9390" s="1068"/>
      <c r="G9390" s="946"/>
      <c r="H9390" s="1031"/>
      <c r="I9390" s="952">
        <f>SUM(I9389:I9389)</f>
        <v>2073.66</v>
      </c>
    </row>
    <row r="9391" spans="2:9" ht="15.75">
      <c r="C9391" s="949"/>
      <c r="D9391" s="946"/>
      <c r="E9391" s="947"/>
      <c r="F9391" s="1068"/>
      <c r="G9391" s="946"/>
      <c r="H9391" s="1031"/>
      <c r="I9391" s="948"/>
    </row>
    <row r="9392" spans="2:9" ht="15.75">
      <c r="C9392" s="945" t="s">
        <v>919</v>
      </c>
      <c r="D9392" s="946"/>
      <c r="E9392" s="947"/>
      <c r="F9392" s="1068"/>
      <c r="G9392" s="946"/>
      <c r="H9392" s="1031"/>
      <c r="I9392" s="948"/>
    </row>
    <row r="9393" spans="3:9" ht="15.75">
      <c r="C9393" s="949" t="s">
        <v>924</v>
      </c>
      <c r="D9393" s="953"/>
      <c r="E9393" s="954" t="str">
        <f>+VLOOKUP(C9393,'Basic (equilibrio) (2)'!B:D,2,FALSE)</f>
        <v>n/a</v>
      </c>
      <c r="F9393" s="1068">
        <f>+VLOOKUP(C9393,'Basic (equilibrio) (2)'!B:D,3,FALSE)</f>
        <v>0</v>
      </c>
      <c r="G9393" s="946">
        <v>0</v>
      </c>
      <c r="H9393" s="1031"/>
      <c r="I9393" s="948">
        <f>(D9393*F9393)</f>
        <v>0</v>
      </c>
    </row>
    <row r="9394" spans="3:9" ht="15.75">
      <c r="C9394" s="951" t="s">
        <v>918</v>
      </c>
      <c r="D9394" s="946"/>
      <c r="E9394" s="947"/>
      <c r="F9394" s="1054"/>
      <c r="G9394" s="946"/>
      <c r="H9394" s="1031"/>
      <c r="I9394" s="952">
        <f>SUM(I9393:I9393)</f>
        <v>0</v>
      </c>
    </row>
    <row r="9395" spans="3:9" ht="15.75">
      <c r="C9395" s="949"/>
      <c r="D9395" s="946"/>
      <c r="E9395" s="947"/>
      <c r="F9395" s="1054"/>
      <c r="G9395" s="946"/>
      <c r="H9395" s="1031"/>
      <c r="I9395" s="948"/>
    </row>
    <row r="9396" spans="3:9" ht="15.75">
      <c r="C9396" s="945" t="s">
        <v>923</v>
      </c>
      <c r="D9396" s="946"/>
      <c r="E9396" s="947"/>
      <c r="F9396" s="1054"/>
      <c r="G9396" s="946"/>
      <c r="H9396" s="1031"/>
      <c r="I9396" s="948"/>
    </row>
    <row r="9397" spans="3:9" ht="15.75">
      <c r="C9397" s="949" t="s">
        <v>924</v>
      </c>
      <c r="D9397" s="946"/>
      <c r="E9397" s="947" t="str">
        <f>+VLOOKUP(C9397,'Basic (equilibrio) (2)'!B:D,2,FALSE)</f>
        <v>n/a</v>
      </c>
      <c r="F9397" s="1054">
        <f>+VLOOKUP(C9397,'Basic (equilibrio) (2)'!B:D,3,FALSE)</f>
        <v>0</v>
      </c>
      <c r="G9397" s="946">
        <f>F9397-(F9397/1.18)</f>
        <v>0</v>
      </c>
      <c r="H9397" s="1039"/>
      <c r="I9397" s="955">
        <f>D9397*F9397</f>
        <v>0</v>
      </c>
    </row>
    <row r="9398" spans="3:9" ht="15.75">
      <c r="C9398" s="951" t="s">
        <v>918</v>
      </c>
      <c r="D9398" s="946"/>
      <c r="E9398" s="947"/>
      <c r="F9398" s="1054"/>
      <c r="G9398" s="946"/>
      <c r="H9398" s="1031"/>
      <c r="I9398" s="952">
        <f>SUM(I9397:I9397)</f>
        <v>0</v>
      </c>
    </row>
    <row r="9399" spans="3:9" ht="15.75">
      <c r="C9399" s="949"/>
      <c r="D9399" s="946"/>
      <c r="E9399" s="947"/>
      <c r="F9399" s="1054"/>
      <c r="G9399" s="946"/>
      <c r="H9399" s="1031"/>
      <c r="I9399" s="948"/>
    </row>
    <row r="9400" spans="3:9" ht="15.75">
      <c r="C9400" s="945" t="s">
        <v>925</v>
      </c>
      <c r="D9400" s="946"/>
      <c r="E9400" s="947"/>
      <c r="F9400" s="1054"/>
      <c r="G9400" s="946"/>
      <c r="H9400" s="1031"/>
      <c r="I9400" s="948"/>
    </row>
    <row r="9401" spans="3:9" ht="15.75">
      <c r="C9401" s="949" t="s">
        <v>924</v>
      </c>
      <c r="D9401" s="946"/>
      <c r="E9401" s="947" t="str">
        <f>+VLOOKUP(C9401,'Basic (equilibrio) (2)'!B:D,2,FALSE)</f>
        <v>n/a</v>
      </c>
      <c r="F9401" s="1054">
        <f>+VLOOKUP(C9401,'Basic (equilibrio) (2)'!B:D,3,FALSE)</f>
        <v>0</v>
      </c>
      <c r="G9401" s="946"/>
      <c r="H9401" s="1031"/>
      <c r="I9401" s="948">
        <f>D9401*F9401</f>
        <v>0</v>
      </c>
    </row>
    <row r="9402" spans="3:9" ht="15.75">
      <c r="C9402" s="951" t="s">
        <v>918</v>
      </c>
      <c r="D9402" s="946"/>
      <c r="E9402" s="947"/>
      <c r="F9402" s="1054"/>
      <c r="G9402" s="946"/>
      <c r="H9402" s="1031"/>
      <c r="I9402" s="952">
        <f>SUM(I9401)</f>
        <v>0</v>
      </c>
    </row>
    <row r="9403" spans="3:9" ht="15.75">
      <c r="C9403" s="951"/>
      <c r="D9403" s="946"/>
      <c r="E9403" s="947"/>
      <c r="F9403" s="1054"/>
      <c r="G9403" s="946"/>
      <c r="H9403" s="1031"/>
      <c r="I9403" s="952"/>
    </row>
    <row r="9404" spans="3:9" ht="15.75">
      <c r="C9404" s="956" t="s">
        <v>926</v>
      </c>
      <c r="D9404" s="957"/>
      <c r="E9404" s="958"/>
      <c r="F9404" s="1069"/>
      <c r="G9404" s="957"/>
      <c r="H9404" s="1032"/>
      <c r="I9404" s="959">
        <f>+I9390</f>
        <v>2073.66</v>
      </c>
    </row>
    <row r="9405" spans="3:9" ht="15.75">
      <c r="C9405" s="956" t="s">
        <v>927</v>
      </c>
      <c r="D9405" s="957"/>
      <c r="E9405" s="958"/>
      <c r="F9405" s="1069"/>
      <c r="G9405" s="957"/>
      <c r="H9405" s="1032"/>
      <c r="I9405" s="959">
        <f>+I9394</f>
        <v>0</v>
      </c>
    </row>
    <row r="9406" spans="3:9" ht="15.75">
      <c r="C9406" s="956" t="s">
        <v>928</v>
      </c>
      <c r="D9406" s="957"/>
      <c r="E9406" s="958"/>
      <c r="F9406" s="1069"/>
      <c r="G9406" s="957"/>
      <c r="H9406" s="1032"/>
      <c r="I9406" s="959">
        <f>+I9398</f>
        <v>0</v>
      </c>
    </row>
    <row r="9407" spans="3:9" ht="15.75">
      <c r="C9407" s="956" t="s">
        <v>929</v>
      </c>
      <c r="D9407" s="957"/>
      <c r="E9407" s="958"/>
      <c r="F9407" s="1069"/>
      <c r="G9407" s="957"/>
      <c r="H9407" s="1032"/>
      <c r="I9407" s="959">
        <f>+I9402</f>
        <v>0</v>
      </c>
    </row>
    <row r="9408" spans="3:9" ht="15.75">
      <c r="C9408" s="949"/>
      <c r="D9408" s="946"/>
      <c r="E9408" s="947"/>
      <c r="F9408" s="1054"/>
      <c r="G9408" s="946"/>
      <c r="H9408" s="1031"/>
      <c r="I9408" s="948"/>
    </row>
    <row r="9409" spans="2:9" ht="15.75">
      <c r="C9409" s="951" t="s">
        <v>930</v>
      </c>
      <c r="D9409" s="960"/>
      <c r="E9409" s="975" t="str">
        <f>+E9386</f>
        <v>Ud</v>
      </c>
      <c r="F9409" s="1070"/>
      <c r="G9409" s="960"/>
      <c r="H9409" s="1033"/>
      <c r="I9409" s="952">
        <f>SUM(I9404:I9407)</f>
        <v>2073.66</v>
      </c>
    </row>
    <row r="9410" spans="2:9" ht="15.75">
      <c r="C9410" s="951"/>
      <c r="D9410" s="960"/>
      <c r="E9410" s="943"/>
      <c r="F9410" s="1070"/>
      <c r="G9410" s="960"/>
      <c r="H9410" s="1033"/>
      <c r="I9410" s="952"/>
    </row>
    <row r="9411" spans="2:9" ht="15.75">
      <c r="B9411" s="1026">
        <v>10.4</v>
      </c>
      <c r="C9411" s="937" t="str">
        <f>+Presupuesto!B553</f>
        <v>Ducha</v>
      </c>
      <c r="D9411" s="938"/>
      <c r="E9411" s="962" t="s">
        <v>10</v>
      </c>
      <c r="F9411" s="1066"/>
      <c r="G9411" s="938"/>
      <c r="H9411" s="1029"/>
      <c r="I9411" s="940">
        <f>+I9434</f>
        <v>7333.8</v>
      </c>
    </row>
    <row r="9412" spans="2:9" ht="15.75">
      <c r="C9412" s="941" t="s">
        <v>908</v>
      </c>
      <c r="D9412" s="942" t="s">
        <v>9</v>
      </c>
      <c r="E9412" s="943" t="s">
        <v>10</v>
      </c>
      <c r="F9412" s="1067" t="s">
        <v>909</v>
      </c>
      <c r="G9412" s="942" t="s">
        <v>910</v>
      </c>
      <c r="H9412" s="1030" t="s">
        <v>911</v>
      </c>
      <c r="I9412" s="944" t="s">
        <v>912</v>
      </c>
    </row>
    <row r="9413" spans="2:9" ht="15.75">
      <c r="C9413" s="945" t="s">
        <v>913</v>
      </c>
      <c r="D9413" s="946"/>
      <c r="E9413" s="947"/>
      <c r="F9413" s="1054"/>
      <c r="G9413" s="946"/>
      <c r="H9413" s="1031"/>
      <c r="I9413" s="948"/>
    </row>
    <row r="9414" spans="2:9" ht="15.75">
      <c r="C9414" s="949" t="s">
        <v>1599</v>
      </c>
      <c r="D9414" s="946">
        <v>1.02</v>
      </c>
      <c r="E9414" s="947" t="str">
        <f>+VLOOKUP(C9414,'Basic (equilibrio) (2)'!B:D,2,FALSE)</f>
        <v>ud</v>
      </c>
      <c r="F9414" s="1068">
        <f>'Basic (equilibrio) (2)'!$D$213</f>
        <v>7190</v>
      </c>
      <c r="G9414" s="946">
        <f>F9414-(F9414/1.18)</f>
        <v>1096.78</v>
      </c>
      <c r="H9414" s="1031"/>
      <c r="I9414" s="948">
        <f>D9414*F9414</f>
        <v>7333.8</v>
      </c>
    </row>
    <row r="9415" spans="2:9" ht="15.75">
      <c r="C9415" s="951" t="s">
        <v>918</v>
      </c>
      <c r="D9415" s="946"/>
      <c r="E9415" s="947"/>
      <c r="F9415" s="1068"/>
      <c r="G9415" s="946"/>
      <c r="H9415" s="1031"/>
      <c r="I9415" s="952">
        <f>SUM(I9414:I9414)</f>
        <v>7333.8</v>
      </c>
    </row>
    <row r="9416" spans="2:9" ht="15.75">
      <c r="C9416" s="949"/>
      <c r="D9416" s="946"/>
      <c r="E9416" s="947"/>
      <c r="F9416" s="1068"/>
      <c r="G9416" s="946"/>
      <c r="H9416" s="1031"/>
      <c r="I9416" s="948"/>
    </row>
    <row r="9417" spans="2:9" ht="15.75">
      <c r="C9417" s="945" t="s">
        <v>919</v>
      </c>
      <c r="D9417" s="946"/>
      <c r="E9417" s="947"/>
      <c r="F9417" s="1068"/>
      <c r="G9417" s="946"/>
      <c r="H9417" s="1031"/>
      <c r="I9417" s="948"/>
    </row>
    <row r="9418" spans="2:9" ht="15.75">
      <c r="C9418" s="949" t="s">
        <v>924</v>
      </c>
      <c r="D9418" s="953"/>
      <c r="E9418" s="954" t="str">
        <f>+VLOOKUP(C9418,'Basic (equilibrio) (2)'!B:D,2,FALSE)</f>
        <v>n/a</v>
      </c>
      <c r="F9418" s="1068">
        <f>+VLOOKUP(C9418,'Basic (equilibrio) (2)'!B:D,3,FALSE)</f>
        <v>0</v>
      </c>
      <c r="G9418" s="946">
        <v>0</v>
      </c>
      <c r="H9418" s="1031"/>
      <c r="I9418" s="948">
        <f>(D9418*F9418)</f>
        <v>0</v>
      </c>
    </row>
    <row r="9419" spans="2:9" ht="15.75">
      <c r="C9419" s="951" t="s">
        <v>918</v>
      </c>
      <c r="D9419" s="946"/>
      <c r="E9419" s="947"/>
      <c r="F9419" s="1054"/>
      <c r="G9419" s="946"/>
      <c r="H9419" s="1031"/>
      <c r="I9419" s="952">
        <f>SUM(I9418:I9418)</f>
        <v>0</v>
      </c>
    </row>
    <row r="9420" spans="2:9" ht="15.75">
      <c r="C9420" s="949"/>
      <c r="D9420" s="946"/>
      <c r="E9420" s="947"/>
      <c r="F9420" s="1054"/>
      <c r="G9420" s="946"/>
      <c r="H9420" s="1031"/>
      <c r="I9420" s="948"/>
    </row>
    <row r="9421" spans="2:9" ht="15.75">
      <c r="C9421" s="945" t="s">
        <v>923</v>
      </c>
      <c r="D9421" s="946"/>
      <c r="E9421" s="947"/>
      <c r="F9421" s="1054"/>
      <c r="G9421" s="946"/>
      <c r="H9421" s="1031"/>
      <c r="I9421" s="948"/>
    </row>
    <row r="9422" spans="2:9" ht="15.75">
      <c r="C9422" s="949" t="s">
        <v>924</v>
      </c>
      <c r="D9422" s="946"/>
      <c r="E9422" s="947" t="str">
        <f>+VLOOKUP(C9422,'Basic (equilibrio) (2)'!B:D,2,FALSE)</f>
        <v>n/a</v>
      </c>
      <c r="F9422" s="1054">
        <f>+VLOOKUP(C9422,'Basic (equilibrio) (2)'!B:D,3,FALSE)</f>
        <v>0</v>
      </c>
      <c r="G9422" s="946">
        <f>F9422-(F9422/1.18)</f>
        <v>0</v>
      </c>
      <c r="H9422" s="1039"/>
      <c r="I9422" s="955">
        <f>D9422*F9422</f>
        <v>0</v>
      </c>
    </row>
    <row r="9423" spans="2:9" ht="15.75">
      <c r="C9423" s="951" t="s">
        <v>918</v>
      </c>
      <c r="D9423" s="946"/>
      <c r="E9423" s="947"/>
      <c r="F9423" s="1054"/>
      <c r="G9423" s="946"/>
      <c r="H9423" s="1031"/>
      <c r="I9423" s="952">
        <f>SUM(I9422:I9422)</f>
        <v>0</v>
      </c>
    </row>
    <row r="9424" spans="2:9" ht="15.75">
      <c r="C9424" s="949"/>
      <c r="D9424" s="946"/>
      <c r="E9424" s="947"/>
      <c r="F9424" s="1054"/>
      <c r="G9424" s="946"/>
      <c r="H9424" s="1031"/>
      <c r="I9424" s="948"/>
    </row>
    <row r="9425" spans="2:9" ht="15.75">
      <c r="C9425" s="945" t="s">
        <v>925</v>
      </c>
      <c r="D9425" s="946"/>
      <c r="E9425" s="947"/>
      <c r="F9425" s="1054"/>
      <c r="G9425" s="946"/>
      <c r="H9425" s="1031"/>
      <c r="I9425" s="948"/>
    </row>
    <row r="9426" spans="2:9" ht="15.75">
      <c r="C9426" s="949" t="s">
        <v>924</v>
      </c>
      <c r="D9426" s="946"/>
      <c r="E9426" s="947" t="str">
        <f>+VLOOKUP(C9426,'Basic (equilibrio) (2)'!B:D,2,FALSE)</f>
        <v>n/a</v>
      </c>
      <c r="F9426" s="1054">
        <f>+VLOOKUP(C9426,'Basic (equilibrio) (2)'!B:D,3,FALSE)</f>
        <v>0</v>
      </c>
      <c r="G9426" s="946"/>
      <c r="H9426" s="1031"/>
      <c r="I9426" s="948">
        <f>D9426*F9426</f>
        <v>0</v>
      </c>
    </row>
    <row r="9427" spans="2:9" ht="15.75">
      <c r="C9427" s="951" t="s">
        <v>918</v>
      </c>
      <c r="D9427" s="946"/>
      <c r="E9427" s="947"/>
      <c r="F9427" s="1054"/>
      <c r="G9427" s="946"/>
      <c r="H9427" s="1031"/>
      <c r="I9427" s="952">
        <f>SUM(I9426)</f>
        <v>0</v>
      </c>
    </row>
    <row r="9428" spans="2:9" ht="15.75">
      <c r="C9428" s="951"/>
      <c r="D9428" s="946"/>
      <c r="E9428" s="947"/>
      <c r="F9428" s="1054"/>
      <c r="G9428" s="946"/>
      <c r="H9428" s="1031"/>
      <c r="I9428" s="952"/>
    </row>
    <row r="9429" spans="2:9" ht="15.75">
      <c r="C9429" s="956" t="s">
        <v>926</v>
      </c>
      <c r="D9429" s="957"/>
      <c r="E9429" s="958"/>
      <c r="F9429" s="1069"/>
      <c r="G9429" s="957"/>
      <c r="H9429" s="1032"/>
      <c r="I9429" s="959">
        <f>+I9415</f>
        <v>7333.8</v>
      </c>
    </row>
    <row r="9430" spans="2:9" ht="15.75">
      <c r="C9430" s="956" t="s">
        <v>927</v>
      </c>
      <c r="D9430" s="957"/>
      <c r="E9430" s="958"/>
      <c r="F9430" s="1069"/>
      <c r="G9430" s="957"/>
      <c r="H9430" s="1032"/>
      <c r="I9430" s="959">
        <f>+I9419</f>
        <v>0</v>
      </c>
    </row>
    <row r="9431" spans="2:9" ht="15.75">
      <c r="C9431" s="956" t="s">
        <v>928</v>
      </c>
      <c r="D9431" s="957"/>
      <c r="E9431" s="958"/>
      <c r="F9431" s="1069"/>
      <c r="G9431" s="957"/>
      <c r="H9431" s="1032"/>
      <c r="I9431" s="959">
        <f>+I9423</f>
        <v>0</v>
      </c>
    </row>
    <row r="9432" spans="2:9" ht="15.75">
      <c r="C9432" s="956" t="s">
        <v>929</v>
      </c>
      <c r="D9432" s="957"/>
      <c r="E9432" s="958"/>
      <c r="F9432" s="1069"/>
      <c r="G9432" s="957"/>
      <c r="H9432" s="1032"/>
      <c r="I9432" s="959">
        <f>+I9427</f>
        <v>0</v>
      </c>
    </row>
    <row r="9433" spans="2:9" ht="15.75">
      <c r="C9433" s="949"/>
      <c r="D9433" s="946"/>
      <c r="E9433" s="947"/>
      <c r="F9433" s="1054"/>
      <c r="G9433" s="946"/>
      <c r="H9433" s="1031"/>
      <c r="I9433" s="948"/>
    </row>
    <row r="9434" spans="2:9" ht="15.75">
      <c r="C9434" s="951" t="s">
        <v>930</v>
      </c>
      <c r="D9434" s="960"/>
      <c r="E9434" s="975" t="str">
        <f>+E9411</f>
        <v>Ud</v>
      </c>
      <c r="F9434" s="1070"/>
      <c r="G9434" s="960"/>
      <c r="H9434" s="1033"/>
      <c r="I9434" s="952">
        <f>SUM(I9429:I9432)</f>
        <v>7333.8</v>
      </c>
    </row>
    <row r="9435" spans="2:9" ht="15.75">
      <c r="C9435" s="951"/>
      <c r="D9435" s="960"/>
      <c r="E9435" s="943"/>
      <c r="F9435" s="1070"/>
      <c r="G9435" s="960"/>
      <c r="H9435" s="1033"/>
      <c r="I9435" s="952"/>
    </row>
    <row r="9436" spans="2:9" ht="15.75">
      <c r="B9436" s="1026">
        <v>10.5</v>
      </c>
      <c r="C9436" s="937" t="str">
        <f>+Presupuesto!B554</f>
        <v>Desagüe de piso 3"</v>
      </c>
      <c r="D9436" s="938"/>
      <c r="E9436" s="962" t="s">
        <v>10</v>
      </c>
      <c r="F9436" s="1066"/>
      <c r="G9436" s="938"/>
      <c r="H9436" s="1029"/>
      <c r="I9436" s="940">
        <f>+I9459</f>
        <v>1794.49</v>
      </c>
    </row>
    <row r="9437" spans="2:9" ht="15.75">
      <c r="C9437" s="941" t="s">
        <v>908</v>
      </c>
      <c r="D9437" s="942" t="s">
        <v>9</v>
      </c>
      <c r="E9437" s="943" t="s">
        <v>10</v>
      </c>
      <c r="F9437" s="1067" t="s">
        <v>909</v>
      </c>
      <c r="G9437" s="942" t="s">
        <v>910</v>
      </c>
      <c r="H9437" s="1030" t="s">
        <v>911</v>
      </c>
      <c r="I9437" s="944" t="s">
        <v>912</v>
      </c>
    </row>
    <row r="9438" spans="2:9" ht="15.75">
      <c r="C9438" s="945" t="s">
        <v>913</v>
      </c>
      <c r="D9438" s="946"/>
      <c r="E9438" s="947"/>
      <c r="F9438" s="1054"/>
      <c r="G9438" s="946"/>
      <c r="H9438" s="1031"/>
      <c r="I9438" s="948"/>
    </row>
    <row r="9439" spans="2:9" ht="15.75">
      <c r="C9439" s="949" t="s">
        <v>1658</v>
      </c>
      <c r="D9439" s="946">
        <v>1.02</v>
      </c>
      <c r="E9439" s="947" t="str">
        <f>+VLOOKUP(C9439,'Basic (equilibrio) (2)'!B:D,2,FALSE)</f>
        <v>ud</v>
      </c>
      <c r="F9439" s="1068">
        <f>'Basic (equilibrio) (2)'!$D$218</f>
        <v>1759.3</v>
      </c>
      <c r="G9439" s="946">
        <f>F9439-(F9439/1.18)</f>
        <v>268.37</v>
      </c>
      <c r="H9439" s="1031"/>
      <c r="I9439" s="948">
        <f>D9439*F9439</f>
        <v>1794.49</v>
      </c>
    </row>
    <row r="9440" spans="2:9" ht="15.75">
      <c r="C9440" s="951" t="s">
        <v>918</v>
      </c>
      <c r="D9440" s="946"/>
      <c r="E9440" s="947"/>
      <c r="F9440" s="1068"/>
      <c r="G9440" s="946"/>
      <c r="H9440" s="1031"/>
      <c r="I9440" s="952">
        <f>SUM(I9439:I9439)</f>
        <v>1794.49</v>
      </c>
    </row>
    <row r="9441" spans="3:9" ht="15.75">
      <c r="C9441" s="949"/>
      <c r="D9441" s="946"/>
      <c r="E9441" s="947"/>
      <c r="F9441" s="1068"/>
      <c r="G9441" s="946"/>
      <c r="H9441" s="1031"/>
      <c r="I9441" s="948"/>
    </row>
    <row r="9442" spans="3:9" ht="15.75">
      <c r="C9442" s="945" t="s">
        <v>919</v>
      </c>
      <c r="D9442" s="946"/>
      <c r="E9442" s="947"/>
      <c r="F9442" s="1068"/>
      <c r="G9442" s="946"/>
      <c r="H9442" s="1031"/>
      <c r="I9442" s="948"/>
    </row>
    <row r="9443" spans="3:9" ht="15.75">
      <c r="C9443" s="949" t="s">
        <v>924</v>
      </c>
      <c r="D9443" s="953"/>
      <c r="E9443" s="954" t="str">
        <f>+VLOOKUP(C9443,'Basic (equilibrio) (2)'!B:D,2,FALSE)</f>
        <v>n/a</v>
      </c>
      <c r="F9443" s="1068">
        <f>+VLOOKUP(C9443,'Basic (equilibrio) (2)'!B:D,3,FALSE)</f>
        <v>0</v>
      </c>
      <c r="G9443" s="946">
        <v>0</v>
      </c>
      <c r="H9443" s="1031"/>
      <c r="I9443" s="948">
        <f>(D9443*F9443)</f>
        <v>0</v>
      </c>
    </row>
    <row r="9444" spans="3:9" ht="15.75">
      <c r="C9444" s="951" t="s">
        <v>918</v>
      </c>
      <c r="D9444" s="946"/>
      <c r="E9444" s="947"/>
      <c r="F9444" s="1054"/>
      <c r="G9444" s="946"/>
      <c r="H9444" s="1031"/>
      <c r="I9444" s="952">
        <f>SUM(I9443:I9443)</f>
        <v>0</v>
      </c>
    </row>
    <row r="9445" spans="3:9" ht="15.75">
      <c r="C9445" s="949"/>
      <c r="D9445" s="946"/>
      <c r="E9445" s="947"/>
      <c r="F9445" s="1054"/>
      <c r="G9445" s="946"/>
      <c r="H9445" s="1031"/>
      <c r="I9445" s="948"/>
    </row>
    <row r="9446" spans="3:9" ht="15.75">
      <c r="C9446" s="945" t="s">
        <v>923</v>
      </c>
      <c r="D9446" s="946"/>
      <c r="E9446" s="947"/>
      <c r="F9446" s="1054"/>
      <c r="G9446" s="946"/>
      <c r="H9446" s="1031"/>
      <c r="I9446" s="948"/>
    </row>
    <row r="9447" spans="3:9" ht="15.75">
      <c r="C9447" s="949" t="s">
        <v>924</v>
      </c>
      <c r="D9447" s="946"/>
      <c r="E9447" s="947" t="str">
        <f>+VLOOKUP(C9447,'Basic (equilibrio) (2)'!B:D,2,FALSE)</f>
        <v>n/a</v>
      </c>
      <c r="F9447" s="1054">
        <f>+VLOOKUP(C9447,'Basic (equilibrio) (2)'!B:D,3,FALSE)</f>
        <v>0</v>
      </c>
      <c r="G9447" s="946">
        <f>F9447-(F9447/1.18)</f>
        <v>0</v>
      </c>
      <c r="H9447" s="1039"/>
      <c r="I9447" s="955">
        <f>D9447*F9447</f>
        <v>0</v>
      </c>
    </row>
    <row r="9448" spans="3:9" ht="15.75">
      <c r="C9448" s="951" t="s">
        <v>918</v>
      </c>
      <c r="D9448" s="946"/>
      <c r="E9448" s="947"/>
      <c r="F9448" s="1054"/>
      <c r="G9448" s="946"/>
      <c r="H9448" s="1031"/>
      <c r="I9448" s="952">
        <f>SUM(I9447:I9447)</f>
        <v>0</v>
      </c>
    </row>
    <row r="9449" spans="3:9" ht="15.75">
      <c r="C9449" s="949"/>
      <c r="D9449" s="946"/>
      <c r="E9449" s="947"/>
      <c r="F9449" s="1054"/>
      <c r="G9449" s="946"/>
      <c r="H9449" s="1031"/>
      <c r="I9449" s="948"/>
    </row>
    <row r="9450" spans="3:9" ht="15.75">
      <c r="C9450" s="945" t="s">
        <v>925</v>
      </c>
      <c r="D9450" s="946"/>
      <c r="E9450" s="947"/>
      <c r="F9450" s="1054"/>
      <c r="G9450" s="946"/>
      <c r="H9450" s="1031"/>
      <c r="I9450" s="948"/>
    </row>
    <row r="9451" spans="3:9" ht="15.75">
      <c r="C9451" s="949" t="s">
        <v>924</v>
      </c>
      <c r="D9451" s="946"/>
      <c r="E9451" s="947" t="str">
        <f>+VLOOKUP(C9451,'Basic (equilibrio) (2)'!B:D,2,FALSE)</f>
        <v>n/a</v>
      </c>
      <c r="F9451" s="1054">
        <f>+VLOOKUP(C9451,'Basic (equilibrio) (2)'!B:D,3,FALSE)</f>
        <v>0</v>
      </c>
      <c r="G9451" s="946"/>
      <c r="H9451" s="1031"/>
      <c r="I9451" s="948">
        <f>D9451*F9451</f>
        <v>0</v>
      </c>
    </row>
    <row r="9452" spans="3:9" ht="15.75">
      <c r="C9452" s="951" t="s">
        <v>918</v>
      </c>
      <c r="D9452" s="946"/>
      <c r="E9452" s="947"/>
      <c r="F9452" s="1054"/>
      <c r="G9452" s="946"/>
      <c r="H9452" s="1031"/>
      <c r="I9452" s="952">
        <f>SUM(I9451)</f>
        <v>0</v>
      </c>
    </row>
    <row r="9453" spans="3:9" ht="15.75">
      <c r="C9453" s="951"/>
      <c r="D9453" s="946"/>
      <c r="E9453" s="947"/>
      <c r="F9453" s="1054"/>
      <c r="G9453" s="946"/>
      <c r="H9453" s="1031"/>
      <c r="I9453" s="952"/>
    </row>
    <row r="9454" spans="3:9" ht="15.75">
      <c r="C9454" s="956" t="s">
        <v>926</v>
      </c>
      <c r="D9454" s="957"/>
      <c r="E9454" s="958"/>
      <c r="F9454" s="1069"/>
      <c r="G9454" s="957"/>
      <c r="H9454" s="1032"/>
      <c r="I9454" s="959">
        <f>+I9440</f>
        <v>1794.49</v>
      </c>
    </row>
    <row r="9455" spans="3:9" ht="15.75">
      <c r="C9455" s="956" t="s">
        <v>927</v>
      </c>
      <c r="D9455" s="957"/>
      <c r="E9455" s="958"/>
      <c r="F9455" s="1069"/>
      <c r="G9455" s="957"/>
      <c r="H9455" s="1032"/>
      <c r="I9455" s="959">
        <f>+I9444</f>
        <v>0</v>
      </c>
    </row>
    <row r="9456" spans="3:9" ht="15.75">
      <c r="C9456" s="956" t="s">
        <v>928</v>
      </c>
      <c r="D9456" s="957"/>
      <c r="E9456" s="958"/>
      <c r="F9456" s="1069"/>
      <c r="G9456" s="957"/>
      <c r="H9456" s="1032"/>
      <c r="I9456" s="959">
        <f>+I9448</f>
        <v>0</v>
      </c>
    </row>
    <row r="9457" spans="2:9" ht="15.75">
      <c r="C9457" s="956" t="s">
        <v>929</v>
      </c>
      <c r="D9457" s="957"/>
      <c r="E9457" s="958"/>
      <c r="F9457" s="1069"/>
      <c r="G9457" s="957"/>
      <c r="H9457" s="1032"/>
      <c r="I9457" s="959">
        <f>+I9452</f>
        <v>0</v>
      </c>
    </row>
    <row r="9458" spans="2:9" ht="15.75">
      <c r="C9458" s="949"/>
      <c r="D9458" s="946"/>
      <c r="E9458" s="947"/>
      <c r="F9458" s="1054"/>
      <c r="G9458" s="946"/>
      <c r="H9458" s="1031"/>
      <c r="I9458" s="948"/>
    </row>
    <row r="9459" spans="2:9" ht="15.75">
      <c r="C9459" s="951" t="s">
        <v>930</v>
      </c>
      <c r="D9459" s="960"/>
      <c r="E9459" s="975" t="str">
        <f>+E9436</f>
        <v>Ud</v>
      </c>
      <c r="F9459" s="1070"/>
      <c r="G9459" s="960"/>
      <c r="H9459" s="1033"/>
      <c r="I9459" s="952">
        <f>SUM(I9454:I9457)</f>
        <v>1794.49</v>
      </c>
    </row>
    <row r="9460" spans="2:9" ht="15.75">
      <c r="C9460" s="951"/>
      <c r="D9460" s="960"/>
      <c r="E9460" s="943"/>
      <c r="F9460" s="1070"/>
      <c r="G9460" s="960"/>
      <c r="H9460" s="1033"/>
      <c r="I9460" s="952"/>
    </row>
    <row r="9461" spans="2:9" ht="15.75">
      <c r="B9461" s="1026">
        <v>10.6</v>
      </c>
      <c r="C9461" s="937" t="str">
        <f>+Presupuesto!B555</f>
        <v>Columna de ventilación de 3"</v>
      </c>
      <c r="D9461" s="938"/>
      <c r="E9461" s="962" t="s">
        <v>10</v>
      </c>
      <c r="F9461" s="1066"/>
      <c r="G9461" s="938"/>
      <c r="H9461" s="1029"/>
      <c r="I9461" s="940">
        <f>+I9484</f>
        <v>2580.6</v>
      </c>
    </row>
    <row r="9462" spans="2:9" ht="15.75">
      <c r="C9462" s="941" t="s">
        <v>908</v>
      </c>
      <c r="D9462" s="942" t="s">
        <v>9</v>
      </c>
      <c r="E9462" s="943" t="s">
        <v>10</v>
      </c>
      <c r="F9462" s="1067" t="s">
        <v>909</v>
      </c>
      <c r="G9462" s="942" t="s">
        <v>910</v>
      </c>
      <c r="H9462" s="1030" t="s">
        <v>911</v>
      </c>
      <c r="I9462" s="944" t="s">
        <v>912</v>
      </c>
    </row>
    <row r="9463" spans="2:9" ht="15.75">
      <c r="C9463" s="945" t="s">
        <v>913</v>
      </c>
      <c r="D9463" s="946"/>
      <c r="E9463" s="947"/>
      <c r="F9463" s="1054"/>
      <c r="G9463" s="946"/>
      <c r="H9463" s="1031"/>
      <c r="I9463" s="948"/>
    </row>
    <row r="9464" spans="2:9" ht="15.75">
      <c r="C9464" s="949" t="s">
        <v>1602</v>
      </c>
      <c r="D9464" s="946">
        <v>1.02</v>
      </c>
      <c r="E9464" s="947" t="str">
        <f>+VLOOKUP(C9464,'Basic (equilibrio) (2)'!B:D,2,FALSE)</f>
        <v>ud</v>
      </c>
      <c r="F9464" s="1068">
        <f>'Basic (equilibrio) (2)'!$D$216</f>
        <v>2530</v>
      </c>
      <c r="G9464" s="946">
        <f>F9464-(F9464/1.18)</f>
        <v>385.93</v>
      </c>
      <c r="H9464" s="1031"/>
      <c r="I9464" s="948">
        <f>D9464*F9464</f>
        <v>2580.6</v>
      </c>
    </row>
    <row r="9465" spans="2:9" ht="15.75">
      <c r="C9465" s="951" t="s">
        <v>918</v>
      </c>
      <c r="D9465" s="946"/>
      <c r="E9465" s="947"/>
      <c r="F9465" s="1068"/>
      <c r="G9465" s="946"/>
      <c r="H9465" s="1031"/>
      <c r="I9465" s="952">
        <f>SUM(I9464:I9464)</f>
        <v>2580.6</v>
      </c>
    </row>
    <row r="9466" spans="2:9" ht="15.75">
      <c r="C9466" s="949"/>
      <c r="D9466" s="946"/>
      <c r="E9466" s="947"/>
      <c r="F9466" s="1068"/>
      <c r="G9466" s="946"/>
      <c r="H9466" s="1031"/>
      <c r="I9466" s="948"/>
    </row>
    <row r="9467" spans="2:9" ht="15.75">
      <c r="C9467" s="945" t="s">
        <v>919</v>
      </c>
      <c r="D9467" s="946"/>
      <c r="E9467" s="947"/>
      <c r="F9467" s="1068"/>
      <c r="G9467" s="946"/>
      <c r="H9467" s="1031"/>
      <c r="I9467" s="948"/>
    </row>
    <row r="9468" spans="2:9" ht="15.75">
      <c r="C9468" s="949" t="s">
        <v>924</v>
      </c>
      <c r="D9468" s="953"/>
      <c r="E9468" s="954" t="str">
        <f>+VLOOKUP(C9468,'Basic (equilibrio) (2)'!B:D,2,FALSE)</f>
        <v>n/a</v>
      </c>
      <c r="F9468" s="1068">
        <f>+VLOOKUP(C9468,'Basic (equilibrio) (2)'!B:D,3,FALSE)</f>
        <v>0</v>
      </c>
      <c r="G9468" s="946">
        <v>0</v>
      </c>
      <c r="H9468" s="1031"/>
      <c r="I9468" s="948">
        <f>(D9468*F9468)</f>
        <v>0</v>
      </c>
    </row>
    <row r="9469" spans="2:9" ht="15.75">
      <c r="C9469" s="951" t="s">
        <v>918</v>
      </c>
      <c r="D9469" s="946"/>
      <c r="E9469" s="947"/>
      <c r="F9469" s="1054"/>
      <c r="G9469" s="946"/>
      <c r="H9469" s="1031"/>
      <c r="I9469" s="952">
        <f>SUM(I9468:I9468)</f>
        <v>0</v>
      </c>
    </row>
    <row r="9470" spans="2:9" ht="15.75">
      <c r="C9470" s="949"/>
      <c r="D9470" s="946"/>
      <c r="E9470" s="947"/>
      <c r="F9470" s="1054"/>
      <c r="G9470" s="946"/>
      <c r="H9470" s="1031"/>
      <c r="I9470" s="948"/>
    </row>
    <row r="9471" spans="2:9" ht="15.75">
      <c r="C9471" s="945" t="s">
        <v>923</v>
      </c>
      <c r="D9471" s="946"/>
      <c r="E9471" s="947"/>
      <c r="F9471" s="1054"/>
      <c r="G9471" s="946"/>
      <c r="H9471" s="1031"/>
      <c r="I9471" s="948"/>
    </row>
    <row r="9472" spans="2:9" ht="15.75">
      <c r="C9472" s="949" t="s">
        <v>924</v>
      </c>
      <c r="D9472" s="946"/>
      <c r="E9472" s="947" t="str">
        <f>+VLOOKUP(C9472,'Basic (equilibrio) (2)'!B:D,2,FALSE)</f>
        <v>n/a</v>
      </c>
      <c r="F9472" s="1054">
        <f>+VLOOKUP(C9472,'Basic (equilibrio) (2)'!B:D,3,FALSE)</f>
        <v>0</v>
      </c>
      <c r="G9472" s="946">
        <f>F9472-(F9472/1.18)</f>
        <v>0</v>
      </c>
      <c r="H9472" s="1039"/>
      <c r="I9472" s="955">
        <f>D9472*F9472</f>
        <v>0</v>
      </c>
    </row>
    <row r="9473" spans="2:9" ht="15.75">
      <c r="C9473" s="951" t="s">
        <v>918</v>
      </c>
      <c r="D9473" s="946"/>
      <c r="E9473" s="947"/>
      <c r="F9473" s="1054"/>
      <c r="G9473" s="946"/>
      <c r="H9473" s="1031"/>
      <c r="I9473" s="952">
        <f>SUM(I9472:I9472)</f>
        <v>0</v>
      </c>
    </row>
    <row r="9474" spans="2:9" ht="15.75">
      <c r="C9474" s="949"/>
      <c r="D9474" s="946"/>
      <c r="E9474" s="947"/>
      <c r="F9474" s="1054"/>
      <c r="G9474" s="946"/>
      <c r="H9474" s="1031"/>
      <c r="I9474" s="948"/>
    </row>
    <row r="9475" spans="2:9" ht="15.75">
      <c r="C9475" s="945" t="s">
        <v>925</v>
      </c>
      <c r="D9475" s="946"/>
      <c r="E9475" s="947"/>
      <c r="F9475" s="1054"/>
      <c r="G9475" s="946"/>
      <c r="H9475" s="1031"/>
      <c r="I9475" s="948"/>
    </row>
    <row r="9476" spans="2:9" ht="15.75">
      <c r="C9476" s="949" t="s">
        <v>924</v>
      </c>
      <c r="D9476" s="946"/>
      <c r="E9476" s="947" t="str">
        <f>+VLOOKUP(C9476,'Basic (equilibrio) (2)'!B:D,2,FALSE)</f>
        <v>n/a</v>
      </c>
      <c r="F9476" s="1054">
        <f>+VLOOKUP(C9476,'Basic (equilibrio) (2)'!B:D,3,FALSE)</f>
        <v>0</v>
      </c>
      <c r="G9476" s="946"/>
      <c r="H9476" s="1031"/>
      <c r="I9476" s="948">
        <f>D9476*F9476</f>
        <v>0</v>
      </c>
    </row>
    <row r="9477" spans="2:9" ht="15.75">
      <c r="C9477" s="951" t="s">
        <v>918</v>
      </c>
      <c r="D9477" s="946"/>
      <c r="E9477" s="947"/>
      <c r="F9477" s="1054"/>
      <c r="G9477" s="946"/>
      <c r="H9477" s="1031"/>
      <c r="I9477" s="952">
        <f>SUM(I9476)</f>
        <v>0</v>
      </c>
    </row>
    <row r="9478" spans="2:9" ht="15.75">
      <c r="C9478" s="951"/>
      <c r="D9478" s="946"/>
      <c r="E9478" s="947"/>
      <c r="F9478" s="1054"/>
      <c r="G9478" s="946"/>
      <c r="H9478" s="1031"/>
      <c r="I9478" s="952"/>
    </row>
    <row r="9479" spans="2:9" ht="15.75">
      <c r="C9479" s="956" t="s">
        <v>926</v>
      </c>
      <c r="D9479" s="957"/>
      <c r="E9479" s="958"/>
      <c r="F9479" s="1069"/>
      <c r="G9479" s="957"/>
      <c r="H9479" s="1032"/>
      <c r="I9479" s="959">
        <f>+I9465</f>
        <v>2580.6</v>
      </c>
    </row>
    <row r="9480" spans="2:9" ht="15.75">
      <c r="C9480" s="956" t="s">
        <v>927</v>
      </c>
      <c r="D9480" s="957"/>
      <c r="E9480" s="958"/>
      <c r="F9480" s="1069"/>
      <c r="G9480" s="957"/>
      <c r="H9480" s="1032"/>
      <c r="I9480" s="959">
        <f>+I9469</f>
        <v>0</v>
      </c>
    </row>
    <row r="9481" spans="2:9" ht="15.75">
      <c r="C9481" s="956" t="s">
        <v>928</v>
      </c>
      <c r="D9481" s="957"/>
      <c r="E9481" s="958"/>
      <c r="F9481" s="1069"/>
      <c r="G9481" s="957"/>
      <c r="H9481" s="1032"/>
      <c r="I9481" s="959">
        <f>+I9473</f>
        <v>0</v>
      </c>
    </row>
    <row r="9482" spans="2:9" ht="15.75">
      <c r="C9482" s="956" t="s">
        <v>929</v>
      </c>
      <c r="D9482" s="957"/>
      <c r="E9482" s="958"/>
      <c r="F9482" s="1069"/>
      <c r="G9482" s="957"/>
      <c r="H9482" s="1032"/>
      <c r="I9482" s="959">
        <f>+I9477</f>
        <v>0</v>
      </c>
    </row>
    <row r="9483" spans="2:9" ht="15.75">
      <c r="C9483" s="949"/>
      <c r="D9483" s="946"/>
      <c r="E9483" s="947"/>
      <c r="F9483" s="1054"/>
      <c r="G9483" s="946"/>
      <c r="H9483" s="1031"/>
      <c r="I9483" s="948"/>
    </row>
    <row r="9484" spans="2:9" ht="15.75">
      <c r="C9484" s="951" t="s">
        <v>930</v>
      </c>
      <c r="D9484" s="960"/>
      <c r="E9484" s="975" t="str">
        <f>+E9461</f>
        <v>Ud</v>
      </c>
      <c r="F9484" s="1070"/>
      <c r="G9484" s="960"/>
      <c r="H9484" s="1033"/>
      <c r="I9484" s="952">
        <f>SUM(I9479:I9482)</f>
        <v>2580.6</v>
      </c>
    </row>
    <row r="9485" spans="2:9" ht="15.75">
      <c r="C9485" s="951"/>
      <c r="D9485" s="960"/>
      <c r="E9485" s="943"/>
      <c r="F9485" s="1070"/>
      <c r="G9485" s="960"/>
      <c r="H9485" s="1033"/>
      <c r="I9485" s="952"/>
    </row>
    <row r="9486" spans="2:9" ht="15.75">
      <c r="C9486" s="951"/>
      <c r="D9486" s="960"/>
      <c r="E9486" s="943"/>
      <c r="F9486" s="1070"/>
      <c r="G9486" s="960"/>
      <c r="H9486" s="1033"/>
      <c r="I9486" s="952"/>
    </row>
    <row r="9487" spans="2:9" ht="15.75">
      <c r="B9487" s="1026">
        <v>10.7</v>
      </c>
      <c r="C9487" s="937" t="str">
        <f>+Presupuesto!B556</f>
        <v xml:space="preserve">Cámara de inspección </v>
      </c>
      <c r="D9487" s="938"/>
      <c r="E9487" s="962" t="s">
        <v>10</v>
      </c>
      <c r="F9487" s="1066"/>
      <c r="G9487" s="938"/>
      <c r="H9487" s="1029"/>
      <c r="I9487" s="940">
        <f>+I9510</f>
        <v>6426.2</v>
      </c>
    </row>
    <row r="9488" spans="2:9" ht="15.75">
      <c r="C9488" s="941" t="s">
        <v>908</v>
      </c>
      <c r="D9488" s="942" t="s">
        <v>9</v>
      </c>
      <c r="E9488" s="943" t="s">
        <v>10</v>
      </c>
      <c r="F9488" s="1067" t="s">
        <v>909</v>
      </c>
      <c r="G9488" s="942" t="s">
        <v>910</v>
      </c>
      <c r="H9488" s="1030" t="s">
        <v>911</v>
      </c>
      <c r="I9488" s="944" t="s">
        <v>912</v>
      </c>
    </row>
    <row r="9489" spans="3:9" ht="15.75">
      <c r="C9489" s="945" t="s">
        <v>913</v>
      </c>
      <c r="D9489" s="946"/>
      <c r="E9489" s="947"/>
      <c r="F9489" s="1054"/>
      <c r="G9489" s="946"/>
      <c r="H9489" s="1031"/>
      <c r="I9489" s="948"/>
    </row>
    <row r="9490" spans="3:9" ht="15.75">
      <c r="C9490" s="949" t="s">
        <v>1659</v>
      </c>
      <c r="D9490" s="946">
        <v>1.02</v>
      </c>
      <c r="E9490" s="947" t="str">
        <f>+VLOOKUP(C9490,'Basic (equilibrio) (2)'!B:D,2,FALSE)</f>
        <v>ud</v>
      </c>
      <c r="F9490" s="1068">
        <f>+'Basic (equilibrio) (2)'!$D$207</f>
        <v>6300.2</v>
      </c>
      <c r="G9490" s="946">
        <f>F9490-(F9490/1.18)</f>
        <v>961.05</v>
      </c>
      <c r="H9490" s="1031"/>
      <c r="I9490" s="948">
        <f>D9490*F9490</f>
        <v>6426.2</v>
      </c>
    </row>
    <row r="9491" spans="3:9" ht="15.75">
      <c r="C9491" s="951" t="s">
        <v>918</v>
      </c>
      <c r="D9491" s="946"/>
      <c r="E9491" s="947"/>
      <c r="F9491" s="1068"/>
      <c r="G9491" s="946"/>
      <c r="H9491" s="1031"/>
      <c r="I9491" s="952">
        <f>SUM(I9490:I9490)</f>
        <v>6426.2</v>
      </c>
    </row>
    <row r="9492" spans="3:9" ht="15.75">
      <c r="C9492" s="949"/>
      <c r="D9492" s="946"/>
      <c r="E9492" s="947"/>
      <c r="F9492" s="1068"/>
      <c r="G9492" s="946"/>
      <c r="H9492" s="1031"/>
      <c r="I9492" s="948"/>
    </row>
    <row r="9493" spans="3:9" ht="15.75">
      <c r="C9493" s="945" t="s">
        <v>919</v>
      </c>
      <c r="D9493" s="946"/>
      <c r="E9493" s="947"/>
      <c r="F9493" s="1068"/>
      <c r="G9493" s="946"/>
      <c r="H9493" s="1031"/>
      <c r="I9493" s="948"/>
    </row>
    <row r="9494" spans="3:9" ht="15.75">
      <c r="C9494" s="949" t="s">
        <v>924</v>
      </c>
      <c r="D9494" s="953"/>
      <c r="E9494" s="954" t="str">
        <f>+VLOOKUP(C9494,'Basic (equilibrio) (2)'!B:D,2,FALSE)</f>
        <v>n/a</v>
      </c>
      <c r="F9494" s="1068">
        <f>+VLOOKUP(C9494,'Basic (equilibrio) (2)'!B:D,3,FALSE)</f>
        <v>0</v>
      </c>
      <c r="G9494" s="946">
        <v>0</v>
      </c>
      <c r="H9494" s="1031"/>
      <c r="I9494" s="948">
        <f>(D9494*F9494)</f>
        <v>0</v>
      </c>
    </row>
    <row r="9495" spans="3:9" ht="15.75">
      <c r="C9495" s="951" t="s">
        <v>918</v>
      </c>
      <c r="D9495" s="946"/>
      <c r="E9495" s="947"/>
      <c r="F9495" s="1054"/>
      <c r="G9495" s="946"/>
      <c r="H9495" s="1031"/>
      <c r="I9495" s="952">
        <f>SUM(I9494:I9494)</f>
        <v>0</v>
      </c>
    </row>
    <row r="9496" spans="3:9" ht="15.75">
      <c r="C9496" s="949"/>
      <c r="D9496" s="946"/>
      <c r="E9496" s="947"/>
      <c r="F9496" s="1054"/>
      <c r="G9496" s="946"/>
      <c r="H9496" s="1031"/>
      <c r="I9496" s="948"/>
    </row>
    <row r="9497" spans="3:9" ht="15.75">
      <c r="C9497" s="945" t="s">
        <v>923</v>
      </c>
      <c r="D9497" s="946"/>
      <c r="E9497" s="947"/>
      <c r="F9497" s="1054"/>
      <c r="G9497" s="946"/>
      <c r="H9497" s="1031"/>
      <c r="I9497" s="948"/>
    </row>
    <row r="9498" spans="3:9" ht="15.75">
      <c r="C9498" s="949" t="s">
        <v>924</v>
      </c>
      <c r="D9498" s="946"/>
      <c r="E9498" s="947" t="str">
        <f>+VLOOKUP(C9498,'Basic (equilibrio) (2)'!B:D,2,FALSE)</f>
        <v>n/a</v>
      </c>
      <c r="F9498" s="1054">
        <f>+VLOOKUP(C9498,'Basic (equilibrio) (2)'!B:D,3,FALSE)</f>
        <v>0</v>
      </c>
      <c r="G9498" s="946">
        <f>F9498-(F9498/1.18)</f>
        <v>0</v>
      </c>
      <c r="H9498" s="1039"/>
      <c r="I9498" s="955">
        <f>D9498*F9498</f>
        <v>0</v>
      </c>
    </row>
    <row r="9499" spans="3:9" ht="15.75">
      <c r="C9499" s="951" t="s">
        <v>918</v>
      </c>
      <c r="D9499" s="946"/>
      <c r="E9499" s="947"/>
      <c r="F9499" s="1054"/>
      <c r="G9499" s="946"/>
      <c r="H9499" s="1031"/>
      <c r="I9499" s="952">
        <f>SUM(I9498:I9498)</f>
        <v>0</v>
      </c>
    </row>
    <row r="9500" spans="3:9" ht="15.75">
      <c r="C9500" s="949"/>
      <c r="D9500" s="946"/>
      <c r="E9500" s="947"/>
      <c r="F9500" s="1054"/>
      <c r="G9500" s="946"/>
      <c r="H9500" s="1031"/>
      <c r="I9500" s="948"/>
    </row>
    <row r="9501" spans="3:9" ht="15.75">
      <c r="C9501" s="945" t="s">
        <v>925</v>
      </c>
      <c r="D9501" s="946"/>
      <c r="E9501" s="947"/>
      <c r="F9501" s="1054"/>
      <c r="G9501" s="946"/>
      <c r="H9501" s="1031"/>
      <c r="I9501" s="948"/>
    </row>
    <row r="9502" spans="3:9" ht="15.75">
      <c r="C9502" s="949" t="s">
        <v>924</v>
      </c>
      <c r="D9502" s="946"/>
      <c r="E9502" s="947" t="str">
        <f>+VLOOKUP(C9502,'Basic (equilibrio) (2)'!B:D,2,FALSE)</f>
        <v>n/a</v>
      </c>
      <c r="F9502" s="1054">
        <f>+VLOOKUP(C9502,'Basic (equilibrio) (2)'!B:D,3,FALSE)</f>
        <v>0</v>
      </c>
      <c r="G9502" s="946"/>
      <c r="H9502" s="1031"/>
      <c r="I9502" s="948">
        <f>D9502*F9502</f>
        <v>0</v>
      </c>
    </row>
    <row r="9503" spans="3:9" ht="15.75">
      <c r="C9503" s="951" t="s">
        <v>918</v>
      </c>
      <c r="D9503" s="946"/>
      <c r="E9503" s="947"/>
      <c r="F9503" s="1054"/>
      <c r="G9503" s="946"/>
      <c r="H9503" s="1031"/>
      <c r="I9503" s="952">
        <f>SUM(I9502)</f>
        <v>0</v>
      </c>
    </row>
    <row r="9504" spans="3:9" ht="15.75">
      <c r="C9504" s="951"/>
      <c r="D9504" s="946"/>
      <c r="E9504" s="947"/>
      <c r="F9504" s="1054"/>
      <c r="G9504" s="946"/>
      <c r="H9504" s="1031"/>
      <c r="I9504" s="952"/>
    </row>
    <row r="9505" spans="2:9" ht="15.75">
      <c r="C9505" s="956" t="s">
        <v>926</v>
      </c>
      <c r="D9505" s="957"/>
      <c r="E9505" s="958"/>
      <c r="F9505" s="1069"/>
      <c r="G9505" s="957"/>
      <c r="H9505" s="1032"/>
      <c r="I9505" s="959">
        <f>+I9491</f>
        <v>6426.2</v>
      </c>
    </row>
    <row r="9506" spans="2:9" ht="15.75">
      <c r="C9506" s="956" t="s">
        <v>927</v>
      </c>
      <c r="D9506" s="957"/>
      <c r="E9506" s="958"/>
      <c r="F9506" s="1069"/>
      <c r="G9506" s="957"/>
      <c r="H9506" s="1032"/>
      <c r="I9506" s="959">
        <f>+I9495</f>
        <v>0</v>
      </c>
    </row>
    <row r="9507" spans="2:9" ht="15.75">
      <c r="C9507" s="956" t="s">
        <v>928</v>
      </c>
      <c r="D9507" s="957"/>
      <c r="E9507" s="958"/>
      <c r="F9507" s="1069"/>
      <c r="G9507" s="957"/>
      <c r="H9507" s="1032"/>
      <c r="I9507" s="959">
        <f>+I9499</f>
        <v>0</v>
      </c>
    </row>
    <row r="9508" spans="2:9" ht="15.75">
      <c r="C9508" s="956" t="s">
        <v>929</v>
      </c>
      <c r="D9508" s="957"/>
      <c r="E9508" s="958"/>
      <c r="F9508" s="1069"/>
      <c r="G9508" s="957"/>
      <c r="H9508" s="1032"/>
      <c r="I9508" s="959">
        <f>+I9503</f>
        <v>0</v>
      </c>
    </row>
    <row r="9509" spans="2:9" ht="15.75">
      <c r="C9509" s="949"/>
      <c r="D9509" s="946"/>
      <c r="E9509" s="947"/>
      <c r="F9509" s="1054"/>
      <c r="G9509" s="946"/>
      <c r="H9509" s="1031"/>
      <c r="I9509" s="948"/>
    </row>
    <row r="9510" spans="2:9" ht="15.75">
      <c r="C9510" s="951" t="s">
        <v>930</v>
      </c>
      <c r="D9510" s="960"/>
      <c r="E9510" s="975" t="str">
        <f>+E9487</f>
        <v>Ud</v>
      </c>
      <c r="F9510" s="1070"/>
      <c r="G9510" s="960"/>
      <c r="H9510" s="1033"/>
      <c r="I9510" s="952">
        <f>SUM(I9505:I9508)</f>
        <v>6426.2</v>
      </c>
    </row>
    <row r="9511" spans="2:9" ht="15.75">
      <c r="C9511" s="951"/>
      <c r="D9511" s="960"/>
      <c r="E9511" s="943"/>
      <c r="F9511" s="1070"/>
      <c r="G9511" s="960"/>
      <c r="H9511" s="1033"/>
      <c r="I9511" s="952"/>
    </row>
    <row r="9512" spans="2:9" ht="15.75">
      <c r="B9512" s="1063">
        <v>10.8</v>
      </c>
      <c r="C9512" s="937" t="str">
        <f>+Presupuesto!B557</f>
        <v>Séptico (1.90x1.10) m</v>
      </c>
      <c r="D9512" s="938"/>
      <c r="E9512" s="962" t="s">
        <v>10</v>
      </c>
      <c r="F9512" s="1066"/>
      <c r="G9512" s="938"/>
      <c r="H9512" s="1029"/>
      <c r="I9512" s="940">
        <f>+I9535</f>
        <v>66139.960000000006</v>
      </c>
    </row>
    <row r="9513" spans="2:9" ht="15.75">
      <c r="C9513" s="941"/>
      <c r="D9513" s="942" t="s">
        <v>9</v>
      </c>
      <c r="E9513" s="943" t="s">
        <v>10</v>
      </c>
      <c r="F9513" s="1067" t="s">
        <v>909</v>
      </c>
      <c r="G9513" s="942" t="s">
        <v>910</v>
      </c>
      <c r="H9513" s="1030" t="s">
        <v>911</v>
      </c>
      <c r="I9513" s="944" t="s">
        <v>912</v>
      </c>
    </row>
    <row r="9514" spans="2:9" ht="15.75">
      <c r="C9514" s="945" t="s">
        <v>913</v>
      </c>
      <c r="D9514" s="946"/>
      <c r="E9514" s="947"/>
      <c r="F9514" s="1054"/>
      <c r="G9514" s="946"/>
      <c r="H9514" s="1031"/>
      <c r="I9514" s="948"/>
    </row>
    <row r="9515" spans="2:9" ht="15.75">
      <c r="C9515" s="949" t="s">
        <v>1608</v>
      </c>
      <c r="D9515" s="946">
        <v>1.02</v>
      </c>
      <c r="E9515" s="947" t="str">
        <f>+VLOOKUP(C9515,'Basic (equilibrio) (2)'!B:D,2,FALSE)</f>
        <v>ud</v>
      </c>
      <c r="F9515" s="1068">
        <f>'Basic (equilibrio) (2)'!$D$223</f>
        <v>64843.1</v>
      </c>
      <c r="G9515" s="946">
        <f>F9515-(F9515/1.18)</f>
        <v>9891.32</v>
      </c>
      <c r="H9515" s="1031"/>
      <c r="I9515" s="948">
        <f>D9515*F9515</f>
        <v>66139.960000000006</v>
      </c>
    </row>
    <row r="9516" spans="2:9" ht="15.75">
      <c r="C9516" s="951" t="s">
        <v>918</v>
      </c>
      <c r="D9516" s="946"/>
      <c r="E9516" s="947"/>
      <c r="F9516" s="1068"/>
      <c r="G9516" s="946"/>
      <c r="H9516" s="1031"/>
      <c r="I9516" s="952">
        <f>SUM(I9515:I9515)</f>
        <v>66139.960000000006</v>
      </c>
    </row>
    <row r="9517" spans="2:9" ht="15.75">
      <c r="C9517" s="949"/>
      <c r="D9517" s="946"/>
      <c r="E9517" s="947"/>
      <c r="F9517" s="1068"/>
      <c r="G9517" s="946"/>
      <c r="H9517" s="1031"/>
      <c r="I9517" s="948"/>
    </row>
    <row r="9518" spans="2:9" ht="15.75">
      <c r="C9518" s="945" t="s">
        <v>919</v>
      </c>
      <c r="D9518" s="946"/>
      <c r="E9518" s="947"/>
      <c r="F9518" s="1068"/>
      <c r="G9518" s="946"/>
      <c r="H9518" s="1031"/>
      <c r="I9518" s="948"/>
    </row>
    <row r="9519" spans="2:9" ht="15.75">
      <c r="C9519" s="949" t="s">
        <v>924</v>
      </c>
      <c r="D9519" s="953"/>
      <c r="E9519" s="954" t="str">
        <f>+VLOOKUP(C9519,'Basic (equilibrio) (2)'!B:D,2,FALSE)</f>
        <v>n/a</v>
      </c>
      <c r="F9519" s="1068">
        <f>+VLOOKUP(C9519,'Basic (equilibrio) (2)'!B:D,3,FALSE)</f>
        <v>0</v>
      </c>
      <c r="G9519" s="946">
        <v>0</v>
      </c>
      <c r="H9519" s="1031"/>
      <c r="I9519" s="948">
        <f>(D9519*F9519)</f>
        <v>0</v>
      </c>
    </row>
    <row r="9520" spans="2:9" ht="15.75">
      <c r="C9520" s="951" t="s">
        <v>918</v>
      </c>
      <c r="D9520" s="946"/>
      <c r="E9520" s="947"/>
      <c r="F9520" s="1054"/>
      <c r="G9520" s="946"/>
      <c r="H9520" s="1031"/>
      <c r="I9520" s="952">
        <f>SUM(I9519:I9519)</f>
        <v>0</v>
      </c>
    </row>
    <row r="9521" spans="3:9" ht="15.75">
      <c r="C9521" s="949"/>
      <c r="D9521" s="946"/>
      <c r="E9521" s="947"/>
      <c r="F9521" s="1054"/>
      <c r="G9521" s="946"/>
      <c r="H9521" s="1031"/>
      <c r="I9521" s="948"/>
    </row>
    <row r="9522" spans="3:9" ht="15.75">
      <c r="C9522" s="945" t="s">
        <v>923</v>
      </c>
      <c r="D9522" s="946"/>
      <c r="E9522" s="947"/>
      <c r="F9522" s="1054"/>
      <c r="G9522" s="946"/>
      <c r="H9522" s="1031"/>
      <c r="I9522" s="948"/>
    </row>
    <row r="9523" spans="3:9" ht="15.75">
      <c r="C9523" s="949" t="s">
        <v>924</v>
      </c>
      <c r="D9523" s="946"/>
      <c r="E9523" s="947" t="str">
        <f>+VLOOKUP(C9523,'Basic (equilibrio) (2)'!B:D,2,FALSE)</f>
        <v>n/a</v>
      </c>
      <c r="F9523" s="1054">
        <f>+VLOOKUP(C9523,'Basic (equilibrio) (2)'!B:D,3,FALSE)</f>
        <v>0</v>
      </c>
      <c r="G9523" s="946">
        <f>F9523-(F9523/1.18)</f>
        <v>0</v>
      </c>
      <c r="H9523" s="1039"/>
      <c r="I9523" s="955">
        <f>D9523*F9523</f>
        <v>0</v>
      </c>
    </row>
    <row r="9524" spans="3:9" ht="15.75">
      <c r="C9524" s="951" t="s">
        <v>918</v>
      </c>
      <c r="D9524" s="946"/>
      <c r="E9524" s="947"/>
      <c r="F9524" s="1054"/>
      <c r="G9524" s="946"/>
      <c r="H9524" s="1031"/>
      <c r="I9524" s="952">
        <f>SUM(I9523:I9523)</f>
        <v>0</v>
      </c>
    </row>
    <row r="9525" spans="3:9" ht="15.75">
      <c r="C9525" s="949"/>
      <c r="D9525" s="946"/>
      <c r="E9525" s="947"/>
      <c r="F9525" s="1054"/>
      <c r="G9525" s="946"/>
      <c r="H9525" s="1031"/>
      <c r="I9525" s="948"/>
    </row>
    <row r="9526" spans="3:9" ht="15.75">
      <c r="C9526" s="945" t="s">
        <v>925</v>
      </c>
      <c r="D9526" s="946"/>
      <c r="E9526" s="947"/>
      <c r="F9526" s="1054"/>
      <c r="G9526" s="946"/>
      <c r="H9526" s="1031"/>
      <c r="I9526" s="948"/>
    </row>
    <row r="9527" spans="3:9" ht="15.75">
      <c r="C9527" s="949" t="s">
        <v>924</v>
      </c>
      <c r="D9527" s="946"/>
      <c r="E9527" s="947" t="str">
        <f>+VLOOKUP(C9527,'Basic (equilibrio) (2)'!B:D,2,FALSE)</f>
        <v>n/a</v>
      </c>
      <c r="F9527" s="1054">
        <f>+VLOOKUP(C9527,'Basic (equilibrio) (2)'!B:D,3,FALSE)</f>
        <v>0</v>
      </c>
      <c r="G9527" s="946"/>
      <c r="H9527" s="1031"/>
      <c r="I9527" s="948">
        <f>D9527*F9527</f>
        <v>0</v>
      </c>
    </row>
    <row r="9528" spans="3:9" ht="15.75">
      <c r="C9528" s="951" t="s">
        <v>918</v>
      </c>
      <c r="D9528" s="946"/>
      <c r="E9528" s="947"/>
      <c r="F9528" s="1054"/>
      <c r="G9528" s="946"/>
      <c r="H9528" s="1031"/>
      <c r="I9528" s="952">
        <f>SUM(I9527)</f>
        <v>0</v>
      </c>
    </row>
    <row r="9529" spans="3:9" ht="15.75">
      <c r="C9529" s="951"/>
      <c r="D9529" s="946"/>
      <c r="E9529" s="947"/>
      <c r="F9529" s="1054"/>
      <c r="G9529" s="946"/>
      <c r="H9529" s="1031"/>
      <c r="I9529" s="952"/>
    </row>
    <row r="9530" spans="3:9" ht="15.75">
      <c r="C9530" s="956" t="s">
        <v>926</v>
      </c>
      <c r="D9530" s="957"/>
      <c r="E9530" s="958"/>
      <c r="F9530" s="1069"/>
      <c r="G9530" s="957"/>
      <c r="H9530" s="1032"/>
      <c r="I9530" s="959">
        <f>+I9516</f>
        <v>66139.960000000006</v>
      </c>
    </row>
    <row r="9531" spans="3:9" ht="15.75">
      <c r="C9531" s="956" t="s">
        <v>927</v>
      </c>
      <c r="D9531" s="957"/>
      <c r="E9531" s="958"/>
      <c r="F9531" s="1069"/>
      <c r="G9531" s="957"/>
      <c r="H9531" s="1032"/>
      <c r="I9531" s="959">
        <f>+I9520</f>
        <v>0</v>
      </c>
    </row>
    <row r="9532" spans="3:9" ht="15.75">
      <c r="C9532" s="956" t="s">
        <v>928</v>
      </c>
      <c r="D9532" s="957"/>
      <c r="E9532" s="958"/>
      <c r="F9532" s="1069"/>
      <c r="G9532" s="957"/>
      <c r="H9532" s="1032"/>
      <c r="I9532" s="959">
        <f>+I9524</f>
        <v>0</v>
      </c>
    </row>
    <row r="9533" spans="3:9" ht="15.75">
      <c r="C9533" s="956" t="s">
        <v>929</v>
      </c>
      <c r="D9533" s="957"/>
      <c r="E9533" s="958"/>
      <c r="F9533" s="1069"/>
      <c r="G9533" s="957"/>
      <c r="H9533" s="1032"/>
      <c r="I9533" s="959">
        <f>+I9528</f>
        <v>0</v>
      </c>
    </row>
    <row r="9534" spans="3:9" ht="15.75">
      <c r="C9534" s="949"/>
      <c r="D9534" s="946"/>
      <c r="E9534" s="947"/>
      <c r="F9534" s="1054"/>
      <c r="G9534" s="946"/>
      <c r="H9534" s="1031"/>
      <c r="I9534" s="948"/>
    </row>
    <row r="9535" spans="3:9" ht="15.75">
      <c r="C9535" s="951" t="s">
        <v>930</v>
      </c>
      <c r="D9535" s="960"/>
      <c r="E9535" s="975" t="str">
        <f>+E9512</f>
        <v>Ud</v>
      </c>
      <c r="F9535" s="1070"/>
      <c r="G9535" s="960"/>
      <c r="H9535" s="1033"/>
      <c r="I9535" s="952">
        <f>SUM(I9530:I9533)</f>
        <v>66139.960000000006</v>
      </c>
    </row>
    <row r="9536" spans="3:9" ht="15.75">
      <c r="C9536" s="951"/>
      <c r="D9536" s="960"/>
      <c r="E9536" s="943"/>
      <c r="F9536" s="1070"/>
      <c r="G9536" s="960"/>
      <c r="H9536" s="1033"/>
      <c r="I9536" s="952"/>
    </row>
    <row r="9537" spans="2:9" ht="15.75">
      <c r="B9537" s="1063">
        <v>10.9</v>
      </c>
      <c r="C9537" s="937" t="str">
        <f>+Presupuesto!B558</f>
        <v>Tinaco 150gls</v>
      </c>
      <c r="D9537" s="938"/>
      <c r="E9537" s="962" t="s">
        <v>10</v>
      </c>
      <c r="F9537" s="1066"/>
      <c r="G9537" s="938"/>
      <c r="H9537" s="1029"/>
      <c r="I9537" s="940">
        <f>+I9560</f>
        <v>7956</v>
      </c>
    </row>
    <row r="9538" spans="2:9" ht="15.75">
      <c r="C9538" s="941" t="s">
        <v>908</v>
      </c>
      <c r="D9538" s="942" t="s">
        <v>9</v>
      </c>
      <c r="E9538" s="943" t="s">
        <v>10</v>
      </c>
      <c r="F9538" s="1067" t="s">
        <v>909</v>
      </c>
      <c r="G9538" s="942" t="s">
        <v>910</v>
      </c>
      <c r="H9538" s="1030" t="s">
        <v>911</v>
      </c>
      <c r="I9538" s="944" t="s">
        <v>912</v>
      </c>
    </row>
    <row r="9539" spans="2:9" ht="15.75">
      <c r="C9539" s="945" t="s">
        <v>913</v>
      </c>
      <c r="D9539" s="946"/>
      <c r="E9539" s="947"/>
      <c r="F9539" s="1054"/>
      <c r="G9539" s="946"/>
      <c r="H9539" s="1031"/>
      <c r="I9539" s="948"/>
    </row>
    <row r="9540" spans="2:9" ht="15.75">
      <c r="C9540" s="949" t="s">
        <v>1648</v>
      </c>
      <c r="D9540" s="946">
        <v>1.02</v>
      </c>
      <c r="E9540" s="947" t="str">
        <f>+VLOOKUP(C9540,'Basic (equilibrio) (2)'!B:D,2,FALSE)</f>
        <v>ud</v>
      </c>
      <c r="F9540" s="1068">
        <f>'Basic (equilibrio) (2)'!$D$261</f>
        <v>7800</v>
      </c>
      <c r="G9540" s="946">
        <f>F9540-(F9540/1.18)</f>
        <v>1189.83</v>
      </c>
      <c r="H9540" s="1031"/>
      <c r="I9540" s="948">
        <f>D9540*F9540</f>
        <v>7956</v>
      </c>
    </row>
    <row r="9541" spans="2:9" ht="15.75">
      <c r="C9541" s="951" t="s">
        <v>918</v>
      </c>
      <c r="D9541" s="946"/>
      <c r="E9541" s="947"/>
      <c r="F9541" s="1068"/>
      <c r="G9541" s="946"/>
      <c r="H9541" s="1031"/>
      <c r="I9541" s="952">
        <f>SUM(I9540:I9540)</f>
        <v>7956</v>
      </c>
    </row>
    <row r="9542" spans="2:9" ht="15.75">
      <c r="C9542" s="949"/>
      <c r="D9542" s="946"/>
      <c r="E9542" s="947"/>
      <c r="F9542" s="1068"/>
      <c r="G9542" s="946"/>
      <c r="H9542" s="1031"/>
      <c r="I9542" s="948"/>
    </row>
    <row r="9543" spans="2:9" ht="15.75">
      <c r="C9543" s="945" t="s">
        <v>919</v>
      </c>
      <c r="D9543" s="946"/>
      <c r="E9543" s="947"/>
      <c r="F9543" s="1068"/>
      <c r="G9543" s="946"/>
      <c r="H9543" s="1031"/>
      <c r="I9543" s="948"/>
    </row>
    <row r="9544" spans="2:9" ht="15.75">
      <c r="C9544" s="949" t="s">
        <v>924</v>
      </c>
      <c r="D9544" s="953"/>
      <c r="E9544" s="954" t="str">
        <f>+VLOOKUP(C9544,'Basic (equilibrio) (2)'!B:D,2,FALSE)</f>
        <v>n/a</v>
      </c>
      <c r="F9544" s="1068">
        <f>+VLOOKUP(C9544,'Basic (equilibrio) (2)'!B:D,3,FALSE)</f>
        <v>0</v>
      </c>
      <c r="G9544" s="946">
        <v>0</v>
      </c>
      <c r="H9544" s="1031"/>
      <c r="I9544" s="948">
        <f>(D9544*F9544)</f>
        <v>0</v>
      </c>
    </row>
    <row r="9545" spans="2:9" ht="15.75">
      <c r="C9545" s="951" t="s">
        <v>918</v>
      </c>
      <c r="D9545" s="946"/>
      <c r="E9545" s="947"/>
      <c r="F9545" s="1054"/>
      <c r="G9545" s="946"/>
      <c r="H9545" s="1031"/>
      <c r="I9545" s="952">
        <f>SUM(I9544:I9544)</f>
        <v>0</v>
      </c>
    </row>
    <row r="9546" spans="2:9" ht="15.75">
      <c r="C9546" s="949"/>
      <c r="D9546" s="946"/>
      <c r="E9546" s="947"/>
      <c r="F9546" s="1054"/>
      <c r="G9546" s="946"/>
      <c r="H9546" s="1031"/>
      <c r="I9546" s="948"/>
    </row>
    <row r="9547" spans="2:9" ht="15.75">
      <c r="C9547" s="945" t="s">
        <v>923</v>
      </c>
      <c r="D9547" s="946"/>
      <c r="E9547" s="947"/>
      <c r="F9547" s="1054"/>
      <c r="G9547" s="946"/>
      <c r="H9547" s="1031"/>
      <c r="I9547" s="948"/>
    </row>
    <row r="9548" spans="2:9" ht="15.75">
      <c r="C9548" s="949" t="s">
        <v>924</v>
      </c>
      <c r="D9548" s="946"/>
      <c r="E9548" s="947" t="str">
        <f>+VLOOKUP(C9548,'Basic (equilibrio) (2)'!B:D,2,FALSE)</f>
        <v>n/a</v>
      </c>
      <c r="F9548" s="1054">
        <f>+VLOOKUP(C9548,'Basic (equilibrio) (2)'!B:D,3,FALSE)</f>
        <v>0</v>
      </c>
      <c r="G9548" s="946">
        <f>F9548-(F9548/1.18)</f>
        <v>0</v>
      </c>
      <c r="H9548" s="1039"/>
      <c r="I9548" s="955">
        <f>D9548*F9548</f>
        <v>0</v>
      </c>
    </row>
    <row r="9549" spans="2:9" ht="15.75">
      <c r="C9549" s="951" t="s">
        <v>918</v>
      </c>
      <c r="D9549" s="946"/>
      <c r="E9549" s="947"/>
      <c r="F9549" s="1054"/>
      <c r="G9549" s="946"/>
      <c r="H9549" s="1031"/>
      <c r="I9549" s="952">
        <f>SUM(I9548:I9548)</f>
        <v>0</v>
      </c>
    </row>
    <row r="9550" spans="2:9" ht="15.75">
      <c r="C9550" s="949"/>
      <c r="D9550" s="946"/>
      <c r="E9550" s="947"/>
      <c r="F9550" s="1054"/>
      <c r="G9550" s="946"/>
      <c r="H9550" s="1031"/>
      <c r="I9550" s="948"/>
    </row>
    <row r="9551" spans="2:9" ht="15.75">
      <c r="C9551" s="945" t="s">
        <v>925</v>
      </c>
      <c r="D9551" s="946"/>
      <c r="E9551" s="947"/>
      <c r="F9551" s="1054"/>
      <c r="G9551" s="946"/>
      <c r="H9551" s="1031"/>
      <c r="I9551" s="948"/>
    </row>
    <row r="9552" spans="2:9" ht="15.75">
      <c r="C9552" s="949" t="s">
        <v>924</v>
      </c>
      <c r="D9552" s="946"/>
      <c r="E9552" s="947" t="str">
        <f>+VLOOKUP(C9552,'Basic (equilibrio) (2)'!B:D,2,FALSE)</f>
        <v>n/a</v>
      </c>
      <c r="F9552" s="1054">
        <f>+VLOOKUP(C9552,'Basic (equilibrio) (2)'!B:D,3,FALSE)</f>
        <v>0</v>
      </c>
      <c r="G9552" s="946"/>
      <c r="H9552" s="1031"/>
      <c r="I9552" s="948">
        <f>D9552*F9552</f>
        <v>0</v>
      </c>
    </row>
    <row r="9553" spans="2:9" ht="15.75">
      <c r="C9553" s="951" t="s">
        <v>918</v>
      </c>
      <c r="D9553" s="946"/>
      <c r="E9553" s="947"/>
      <c r="F9553" s="1054"/>
      <c r="G9553" s="946"/>
      <c r="H9553" s="1031"/>
      <c r="I9553" s="952">
        <f>SUM(I9552)</f>
        <v>0</v>
      </c>
    </row>
    <row r="9554" spans="2:9" ht="15.75">
      <c r="C9554" s="951"/>
      <c r="D9554" s="946"/>
      <c r="E9554" s="947"/>
      <c r="F9554" s="1054"/>
      <c r="G9554" s="946"/>
      <c r="H9554" s="1031"/>
      <c r="I9554" s="952"/>
    </row>
    <row r="9555" spans="2:9" ht="15.75">
      <c r="C9555" s="956" t="s">
        <v>926</v>
      </c>
      <c r="D9555" s="957"/>
      <c r="E9555" s="958"/>
      <c r="F9555" s="1069"/>
      <c r="G9555" s="957"/>
      <c r="H9555" s="1032"/>
      <c r="I9555" s="959">
        <f>+I9541</f>
        <v>7956</v>
      </c>
    </row>
    <row r="9556" spans="2:9" ht="15.75">
      <c r="C9556" s="956" t="s">
        <v>927</v>
      </c>
      <c r="D9556" s="957"/>
      <c r="E9556" s="958"/>
      <c r="F9556" s="1069"/>
      <c r="G9556" s="957"/>
      <c r="H9556" s="1032"/>
      <c r="I9556" s="959">
        <f>+I9545</f>
        <v>0</v>
      </c>
    </row>
    <row r="9557" spans="2:9" ht="15.75">
      <c r="C9557" s="956" t="s">
        <v>928</v>
      </c>
      <c r="D9557" s="957"/>
      <c r="E9557" s="958"/>
      <c r="F9557" s="1069"/>
      <c r="G9557" s="957"/>
      <c r="H9557" s="1032"/>
      <c r="I9557" s="959">
        <f>+I9549</f>
        <v>0</v>
      </c>
    </row>
    <row r="9558" spans="2:9" ht="15.75">
      <c r="C9558" s="956" t="s">
        <v>929</v>
      </c>
      <c r="D9558" s="957"/>
      <c r="E9558" s="958"/>
      <c r="F9558" s="1069"/>
      <c r="G9558" s="957"/>
      <c r="H9558" s="1032"/>
      <c r="I9558" s="959">
        <f>+I9553</f>
        <v>0</v>
      </c>
    </row>
    <row r="9559" spans="2:9" ht="15.75">
      <c r="C9559" s="949"/>
      <c r="D9559" s="946"/>
      <c r="E9559" s="947"/>
      <c r="F9559" s="1054"/>
      <c r="G9559" s="946"/>
      <c r="H9559" s="1031"/>
      <c r="I9559" s="948"/>
    </row>
    <row r="9560" spans="2:9" ht="15.75">
      <c r="C9560" s="951" t="s">
        <v>930</v>
      </c>
      <c r="D9560" s="960"/>
      <c r="E9560" s="975" t="str">
        <f>+E9537</f>
        <v>Ud</v>
      </c>
      <c r="F9560" s="1070"/>
      <c r="G9560" s="960"/>
      <c r="H9560" s="1033"/>
      <c r="I9560" s="952">
        <f>SUM(I9555:I9558)</f>
        <v>7956</v>
      </c>
    </row>
    <row r="9561" spans="2:9" ht="15.75">
      <c r="C9561" s="951"/>
      <c r="D9561" s="960"/>
      <c r="E9561" s="943"/>
      <c r="F9561" s="1070"/>
      <c r="G9561" s="960"/>
      <c r="H9561" s="1033"/>
      <c r="I9561" s="952"/>
    </row>
    <row r="9562" spans="2:9" ht="15.75">
      <c r="B9562" s="1062">
        <v>10.1</v>
      </c>
      <c r="C9562" s="937" t="str">
        <f>+Presupuesto!B559</f>
        <v>Pozo Filtrante</v>
      </c>
      <c r="D9562" s="938"/>
      <c r="E9562" s="962" t="s">
        <v>10</v>
      </c>
      <c r="F9562" s="1066"/>
      <c r="G9562" s="938"/>
      <c r="H9562" s="1029"/>
      <c r="I9562" s="940">
        <f>+I9585</f>
        <v>77010</v>
      </c>
    </row>
    <row r="9563" spans="2:9" ht="15.75">
      <c r="C9563" s="941" t="s">
        <v>908</v>
      </c>
      <c r="D9563" s="942" t="s">
        <v>9</v>
      </c>
      <c r="E9563" s="943" t="s">
        <v>10</v>
      </c>
      <c r="F9563" s="1067" t="s">
        <v>909</v>
      </c>
      <c r="G9563" s="942" t="s">
        <v>910</v>
      </c>
      <c r="H9563" s="1030" t="s">
        <v>911</v>
      </c>
      <c r="I9563" s="944" t="s">
        <v>912</v>
      </c>
    </row>
    <row r="9564" spans="2:9" ht="15.75">
      <c r="C9564" s="945" t="s">
        <v>913</v>
      </c>
      <c r="D9564" s="946"/>
      <c r="E9564" s="947"/>
      <c r="F9564" s="1054"/>
      <c r="G9564" s="946"/>
      <c r="H9564" s="1031"/>
      <c r="I9564" s="948"/>
    </row>
    <row r="9565" spans="2:9" ht="15.75">
      <c r="C9565" s="949" t="s">
        <v>1611</v>
      </c>
      <c r="D9565" s="946">
        <v>1.02</v>
      </c>
      <c r="E9565" s="947" t="str">
        <f>+VLOOKUP(C9565,'Basic (equilibrio) (2)'!B:D,2,FALSE)</f>
        <v>ud</v>
      </c>
      <c r="F9565" s="1068">
        <f>'Basic (equilibrio) (2)'!$D$227</f>
        <v>75500</v>
      </c>
      <c r="G9565" s="946">
        <f>F9565-(F9565/1.18)</f>
        <v>11516.95</v>
      </c>
      <c r="H9565" s="1031"/>
      <c r="I9565" s="948">
        <f>D9565*F9565</f>
        <v>77010</v>
      </c>
    </row>
    <row r="9566" spans="2:9" ht="15.75">
      <c r="C9566" s="951" t="s">
        <v>918</v>
      </c>
      <c r="D9566" s="946"/>
      <c r="E9566" s="947"/>
      <c r="F9566" s="1068"/>
      <c r="G9566" s="946"/>
      <c r="H9566" s="1031"/>
      <c r="I9566" s="952">
        <f>SUM(I9565:I9565)</f>
        <v>77010</v>
      </c>
    </row>
    <row r="9567" spans="2:9" ht="15.75">
      <c r="C9567" s="949"/>
      <c r="D9567" s="946"/>
      <c r="E9567" s="947"/>
      <c r="F9567" s="1068"/>
      <c r="G9567" s="946"/>
      <c r="H9567" s="1031"/>
      <c r="I9567" s="948"/>
    </row>
    <row r="9568" spans="2:9" ht="15.75">
      <c r="C9568" s="945" t="s">
        <v>919</v>
      </c>
      <c r="D9568" s="946"/>
      <c r="E9568" s="947"/>
      <c r="F9568" s="1068"/>
      <c r="G9568" s="946"/>
      <c r="H9568" s="1031"/>
      <c r="I9568" s="948"/>
    </row>
    <row r="9569" spans="3:9" ht="15.75">
      <c r="C9569" s="949" t="s">
        <v>924</v>
      </c>
      <c r="D9569" s="953"/>
      <c r="E9569" s="954" t="str">
        <f>+VLOOKUP(C9569,'Basic (equilibrio) (2)'!B:D,2,FALSE)</f>
        <v>n/a</v>
      </c>
      <c r="F9569" s="1068">
        <f>+VLOOKUP(C9569,'Basic (equilibrio) (2)'!B:D,3,FALSE)</f>
        <v>0</v>
      </c>
      <c r="G9569" s="946">
        <v>0</v>
      </c>
      <c r="H9569" s="1031"/>
      <c r="I9569" s="948">
        <f>(D9569*F9569)</f>
        <v>0</v>
      </c>
    </row>
    <row r="9570" spans="3:9" ht="15.75">
      <c r="C9570" s="951" t="s">
        <v>918</v>
      </c>
      <c r="D9570" s="946"/>
      <c r="E9570" s="947"/>
      <c r="F9570" s="1054"/>
      <c r="G9570" s="946"/>
      <c r="H9570" s="1031"/>
      <c r="I9570" s="952">
        <f>SUM(I9569:I9569)</f>
        <v>0</v>
      </c>
    </row>
    <row r="9571" spans="3:9" ht="15.75">
      <c r="C9571" s="949"/>
      <c r="D9571" s="946"/>
      <c r="E9571" s="947"/>
      <c r="F9571" s="1054"/>
      <c r="G9571" s="946"/>
      <c r="H9571" s="1031"/>
      <c r="I9571" s="948"/>
    </row>
    <row r="9572" spans="3:9" ht="15.75">
      <c r="C9572" s="945" t="s">
        <v>923</v>
      </c>
      <c r="D9572" s="946"/>
      <c r="E9572" s="947"/>
      <c r="F9572" s="1054"/>
      <c r="G9572" s="946"/>
      <c r="H9572" s="1031"/>
      <c r="I9572" s="948"/>
    </row>
    <row r="9573" spans="3:9" ht="15.75">
      <c r="C9573" s="949" t="s">
        <v>924</v>
      </c>
      <c r="D9573" s="946"/>
      <c r="E9573" s="947" t="str">
        <f>+VLOOKUP(C9573,'Basic (equilibrio) (2)'!B:D,2,FALSE)</f>
        <v>n/a</v>
      </c>
      <c r="F9573" s="1054">
        <f>+VLOOKUP(C9573,'Basic (equilibrio) (2)'!B:D,3,FALSE)</f>
        <v>0</v>
      </c>
      <c r="G9573" s="946">
        <f>F9573-(F9573/1.18)</f>
        <v>0</v>
      </c>
      <c r="H9573" s="1039"/>
      <c r="I9573" s="955">
        <f>D9573*F9573</f>
        <v>0</v>
      </c>
    </row>
    <row r="9574" spans="3:9" ht="15.75">
      <c r="C9574" s="951" t="s">
        <v>918</v>
      </c>
      <c r="D9574" s="946"/>
      <c r="E9574" s="947"/>
      <c r="F9574" s="1054"/>
      <c r="G9574" s="946"/>
      <c r="H9574" s="1031"/>
      <c r="I9574" s="952">
        <f>SUM(I9573:I9573)</f>
        <v>0</v>
      </c>
    </row>
    <row r="9575" spans="3:9" ht="15.75">
      <c r="C9575" s="949"/>
      <c r="D9575" s="946"/>
      <c r="E9575" s="947"/>
      <c r="F9575" s="1054"/>
      <c r="G9575" s="946"/>
      <c r="H9575" s="1031"/>
      <c r="I9575" s="948"/>
    </row>
    <row r="9576" spans="3:9" ht="15.75">
      <c r="C9576" s="945" t="s">
        <v>925</v>
      </c>
      <c r="D9576" s="946"/>
      <c r="E9576" s="947"/>
      <c r="F9576" s="1054"/>
      <c r="G9576" s="946"/>
      <c r="H9576" s="1031"/>
      <c r="I9576" s="948"/>
    </row>
    <row r="9577" spans="3:9" ht="15.75">
      <c r="C9577" s="949" t="s">
        <v>924</v>
      </c>
      <c r="D9577" s="946"/>
      <c r="E9577" s="947" t="str">
        <f>+VLOOKUP(C9577,'Basic (equilibrio) (2)'!B:D,2,FALSE)</f>
        <v>n/a</v>
      </c>
      <c r="F9577" s="1054">
        <f>+VLOOKUP(C9577,'Basic (equilibrio) (2)'!B:D,3,FALSE)</f>
        <v>0</v>
      </c>
      <c r="G9577" s="946"/>
      <c r="H9577" s="1031"/>
      <c r="I9577" s="948">
        <f>D9577*F9577</f>
        <v>0</v>
      </c>
    </row>
    <row r="9578" spans="3:9" ht="15.75">
      <c r="C9578" s="951" t="s">
        <v>918</v>
      </c>
      <c r="D9578" s="946"/>
      <c r="E9578" s="947"/>
      <c r="F9578" s="1054"/>
      <c r="G9578" s="946"/>
      <c r="H9578" s="1031"/>
      <c r="I9578" s="952">
        <f>SUM(I9577)</f>
        <v>0</v>
      </c>
    </row>
    <row r="9579" spans="3:9" ht="15.75">
      <c r="C9579" s="951"/>
      <c r="D9579" s="946"/>
      <c r="E9579" s="947"/>
      <c r="F9579" s="1054"/>
      <c r="G9579" s="946"/>
      <c r="H9579" s="1031"/>
      <c r="I9579" s="952"/>
    </row>
    <row r="9580" spans="3:9" ht="15.75">
      <c r="C9580" s="956" t="s">
        <v>926</v>
      </c>
      <c r="D9580" s="957"/>
      <c r="E9580" s="958"/>
      <c r="F9580" s="1069"/>
      <c r="G9580" s="957"/>
      <c r="H9580" s="1032"/>
      <c r="I9580" s="959">
        <f>+I9566</f>
        <v>77010</v>
      </c>
    </row>
    <row r="9581" spans="3:9" ht="15.75">
      <c r="C9581" s="956" t="s">
        <v>927</v>
      </c>
      <c r="D9581" s="957"/>
      <c r="E9581" s="958"/>
      <c r="F9581" s="1069"/>
      <c r="G9581" s="957"/>
      <c r="H9581" s="1032"/>
      <c r="I9581" s="959">
        <f>+I9570</f>
        <v>0</v>
      </c>
    </row>
    <row r="9582" spans="3:9" ht="15.75">
      <c r="C9582" s="956" t="s">
        <v>928</v>
      </c>
      <c r="D9582" s="957"/>
      <c r="E9582" s="958"/>
      <c r="F9582" s="1069"/>
      <c r="G9582" s="957"/>
      <c r="H9582" s="1032"/>
      <c r="I9582" s="959">
        <f>+I9574</f>
        <v>0</v>
      </c>
    </row>
    <row r="9583" spans="3:9" ht="15.75">
      <c r="C9583" s="956" t="s">
        <v>929</v>
      </c>
      <c r="D9583" s="957"/>
      <c r="E9583" s="958"/>
      <c r="F9583" s="1069"/>
      <c r="G9583" s="957"/>
      <c r="H9583" s="1032"/>
      <c r="I9583" s="959">
        <f>+I9578</f>
        <v>0</v>
      </c>
    </row>
    <row r="9584" spans="3:9" ht="15.75">
      <c r="C9584" s="949"/>
      <c r="D9584" s="946"/>
      <c r="E9584" s="947"/>
      <c r="F9584" s="1054"/>
      <c r="G9584" s="946"/>
      <c r="H9584" s="1031"/>
      <c r="I9584" s="948"/>
    </row>
    <row r="9585" spans="2:9" ht="15.75">
      <c r="C9585" s="951" t="s">
        <v>930</v>
      </c>
      <c r="D9585" s="960"/>
      <c r="E9585" s="975" t="str">
        <f>+E9562</f>
        <v>Ud</v>
      </c>
      <c r="F9585" s="1070"/>
      <c r="G9585" s="960"/>
      <c r="H9585" s="1033"/>
      <c r="I9585" s="952">
        <f>SUM(I9580:I9583)</f>
        <v>77010</v>
      </c>
    </row>
    <row r="9586" spans="2:9" ht="15.75">
      <c r="C9586" s="951"/>
      <c r="D9586" s="960"/>
      <c r="E9586" s="943"/>
      <c r="F9586" s="1070"/>
      <c r="G9586" s="960"/>
      <c r="H9586" s="1033"/>
      <c r="I9586" s="952"/>
    </row>
    <row r="9587" spans="2:9" ht="15.75">
      <c r="B9587" s="1062">
        <v>10.11</v>
      </c>
      <c r="C9587" s="937" t="str">
        <f>+Presupuesto!B560</f>
        <v>Barra de cortina baño</v>
      </c>
      <c r="D9587" s="938"/>
      <c r="E9587" s="962" t="s">
        <v>10</v>
      </c>
      <c r="F9587" s="1066"/>
      <c r="G9587" s="938"/>
      <c r="H9587" s="1029"/>
      <c r="I9587" s="940">
        <f>+I9610</f>
        <v>1606.81</v>
      </c>
    </row>
    <row r="9588" spans="2:9" ht="15.75">
      <c r="C9588" s="941" t="s">
        <v>908</v>
      </c>
      <c r="D9588" s="942" t="s">
        <v>9</v>
      </c>
      <c r="E9588" s="943" t="s">
        <v>10</v>
      </c>
      <c r="F9588" s="1067" t="s">
        <v>909</v>
      </c>
      <c r="G9588" s="942" t="s">
        <v>910</v>
      </c>
      <c r="H9588" s="1030" t="s">
        <v>911</v>
      </c>
      <c r="I9588" s="944" t="s">
        <v>912</v>
      </c>
    </row>
    <row r="9589" spans="2:9" ht="15.75">
      <c r="C9589" s="945" t="s">
        <v>913</v>
      </c>
      <c r="D9589" s="946"/>
      <c r="E9589" s="947"/>
      <c r="F9589" s="1054"/>
      <c r="G9589" s="946"/>
      <c r="H9589" s="1031"/>
      <c r="I9589" s="948"/>
    </row>
    <row r="9590" spans="2:9" ht="15.75">
      <c r="C9590" s="949" t="s">
        <v>1660</v>
      </c>
      <c r="D9590" s="946">
        <v>1.02</v>
      </c>
      <c r="E9590" s="947" t="str">
        <f>+VLOOKUP(C9590,'Basic (equilibrio) (2)'!B:D,2,FALSE)</f>
        <v>ud</v>
      </c>
      <c r="F9590" s="1068">
        <f>'Basic (equilibrio) (2)'!$D$265</f>
        <v>1575.3</v>
      </c>
      <c r="G9590" s="946">
        <f>F9590-(F9590/1.18)</f>
        <v>240.3</v>
      </c>
      <c r="H9590" s="1031"/>
      <c r="I9590" s="948">
        <f>D9590*F9590</f>
        <v>1606.81</v>
      </c>
    </row>
    <row r="9591" spans="2:9" ht="15.75">
      <c r="C9591" s="951" t="s">
        <v>918</v>
      </c>
      <c r="D9591" s="946"/>
      <c r="E9591" s="947"/>
      <c r="F9591" s="1068"/>
      <c r="G9591" s="946"/>
      <c r="H9591" s="1031"/>
      <c r="I9591" s="952">
        <f>SUM(I9590:I9590)</f>
        <v>1606.81</v>
      </c>
    </row>
    <row r="9592" spans="2:9" ht="15.75">
      <c r="C9592" s="949"/>
      <c r="D9592" s="946"/>
      <c r="E9592" s="947"/>
      <c r="F9592" s="1068"/>
      <c r="G9592" s="946"/>
      <c r="H9592" s="1031"/>
      <c r="I9592" s="948"/>
    </row>
    <row r="9593" spans="2:9" ht="15.75">
      <c r="C9593" s="945" t="s">
        <v>919</v>
      </c>
      <c r="D9593" s="946"/>
      <c r="E9593" s="947"/>
      <c r="F9593" s="1068"/>
      <c r="G9593" s="946"/>
      <c r="H9593" s="1031"/>
      <c r="I9593" s="948"/>
    </row>
    <row r="9594" spans="2:9" ht="15.75">
      <c r="C9594" s="949" t="s">
        <v>924</v>
      </c>
      <c r="D9594" s="953"/>
      <c r="E9594" s="954" t="str">
        <f>+VLOOKUP(C9594,'Basic (equilibrio) (2)'!B:D,2,FALSE)</f>
        <v>n/a</v>
      </c>
      <c r="F9594" s="1068">
        <f>+VLOOKUP(C9594,'Basic (equilibrio) (2)'!B:D,3,FALSE)</f>
        <v>0</v>
      </c>
      <c r="G9594" s="946">
        <v>0</v>
      </c>
      <c r="H9594" s="1031"/>
      <c r="I9594" s="948">
        <f>(D9594*F9594)</f>
        <v>0</v>
      </c>
    </row>
    <row r="9595" spans="2:9" ht="15.75">
      <c r="C9595" s="951" t="s">
        <v>918</v>
      </c>
      <c r="D9595" s="946"/>
      <c r="E9595" s="947"/>
      <c r="F9595" s="1054"/>
      <c r="G9595" s="946"/>
      <c r="H9595" s="1031"/>
      <c r="I9595" s="952">
        <f>SUM(I9594:I9594)</f>
        <v>0</v>
      </c>
    </row>
    <row r="9596" spans="2:9" ht="15.75">
      <c r="C9596" s="949"/>
      <c r="D9596" s="946"/>
      <c r="E9596" s="947"/>
      <c r="F9596" s="1054"/>
      <c r="G9596" s="946"/>
      <c r="H9596" s="1031"/>
      <c r="I9596" s="948"/>
    </row>
    <row r="9597" spans="2:9" ht="15.75">
      <c r="C9597" s="945" t="s">
        <v>923</v>
      </c>
      <c r="D9597" s="946"/>
      <c r="E9597" s="947"/>
      <c r="F9597" s="1054"/>
      <c r="G9597" s="946"/>
      <c r="H9597" s="1031"/>
      <c r="I9597" s="948"/>
    </row>
    <row r="9598" spans="2:9" ht="15.75">
      <c r="C9598" s="949" t="s">
        <v>924</v>
      </c>
      <c r="D9598" s="946"/>
      <c r="E9598" s="947" t="str">
        <f>+VLOOKUP(C9598,'Basic (equilibrio) (2)'!B:D,2,FALSE)</f>
        <v>n/a</v>
      </c>
      <c r="F9598" s="1054">
        <f>+VLOOKUP(C9598,'Basic (equilibrio) (2)'!B:D,3,FALSE)</f>
        <v>0</v>
      </c>
      <c r="G9598" s="946">
        <f>F9598-(F9598/1.18)</f>
        <v>0</v>
      </c>
      <c r="H9598" s="1039"/>
      <c r="I9598" s="955">
        <f>D9598*F9598</f>
        <v>0</v>
      </c>
    </row>
    <row r="9599" spans="2:9" ht="15.75">
      <c r="C9599" s="951" t="s">
        <v>918</v>
      </c>
      <c r="D9599" s="946"/>
      <c r="E9599" s="947"/>
      <c r="F9599" s="1054"/>
      <c r="G9599" s="946"/>
      <c r="H9599" s="1031"/>
      <c r="I9599" s="952">
        <f>SUM(I9598:I9598)</f>
        <v>0</v>
      </c>
    </row>
    <row r="9600" spans="2:9" ht="15.75">
      <c r="C9600" s="949"/>
      <c r="D9600" s="946"/>
      <c r="E9600" s="947"/>
      <c r="F9600" s="1054"/>
      <c r="G9600" s="946"/>
      <c r="H9600" s="1031"/>
      <c r="I9600" s="948"/>
    </row>
    <row r="9601" spans="2:9" ht="15.75">
      <c r="C9601" s="945" t="s">
        <v>925</v>
      </c>
      <c r="D9601" s="946"/>
      <c r="E9601" s="947"/>
      <c r="F9601" s="1054"/>
      <c r="G9601" s="946"/>
      <c r="H9601" s="1031"/>
      <c r="I9601" s="948"/>
    </row>
    <row r="9602" spans="2:9" ht="15.75">
      <c r="C9602" s="949" t="s">
        <v>924</v>
      </c>
      <c r="D9602" s="946"/>
      <c r="E9602" s="947" t="str">
        <f>+VLOOKUP(C9602,'Basic (equilibrio) (2)'!B:D,2,FALSE)</f>
        <v>n/a</v>
      </c>
      <c r="F9602" s="1054">
        <f>+VLOOKUP(C9602,'Basic (equilibrio) (2)'!B:D,3,FALSE)</f>
        <v>0</v>
      </c>
      <c r="G9602" s="946"/>
      <c r="H9602" s="1031"/>
      <c r="I9602" s="948">
        <f>D9602*F9602</f>
        <v>0</v>
      </c>
    </row>
    <row r="9603" spans="2:9" ht="15.75">
      <c r="C9603" s="951" t="s">
        <v>918</v>
      </c>
      <c r="D9603" s="946"/>
      <c r="E9603" s="947"/>
      <c r="F9603" s="1054"/>
      <c r="G9603" s="946"/>
      <c r="H9603" s="1031"/>
      <c r="I9603" s="952">
        <f>SUM(I9602)</f>
        <v>0</v>
      </c>
    </row>
    <row r="9604" spans="2:9" ht="15.75">
      <c r="C9604" s="951"/>
      <c r="D9604" s="946"/>
      <c r="E9604" s="947"/>
      <c r="F9604" s="1054"/>
      <c r="G9604" s="946"/>
      <c r="H9604" s="1031"/>
      <c r="I9604" s="952"/>
    </row>
    <row r="9605" spans="2:9" ht="15.75">
      <c r="C9605" s="956" t="s">
        <v>926</v>
      </c>
      <c r="D9605" s="957"/>
      <c r="E9605" s="958"/>
      <c r="F9605" s="1069"/>
      <c r="G9605" s="957"/>
      <c r="H9605" s="1032"/>
      <c r="I9605" s="959">
        <f>+I9591</f>
        <v>1606.81</v>
      </c>
    </row>
    <row r="9606" spans="2:9" ht="15.75">
      <c r="C9606" s="956" t="s">
        <v>927</v>
      </c>
      <c r="D9606" s="957"/>
      <c r="E9606" s="958"/>
      <c r="F9606" s="1069"/>
      <c r="G9606" s="957"/>
      <c r="H9606" s="1032"/>
      <c r="I9606" s="959">
        <f>+I9595</f>
        <v>0</v>
      </c>
    </row>
    <row r="9607" spans="2:9" ht="15.75">
      <c r="C9607" s="956" t="s">
        <v>928</v>
      </c>
      <c r="D9607" s="957"/>
      <c r="E9607" s="958"/>
      <c r="F9607" s="1069"/>
      <c r="G9607" s="957"/>
      <c r="H9607" s="1032"/>
      <c r="I9607" s="959">
        <f>+I9599</f>
        <v>0</v>
      </c>
    </row>
    <row r="9608" spans="2:9" ht="15.75">
      <c r="C9608" s="956" t="s">
        <v>929</v>
      </c>
      <c r="D9608" s="957"/>
      <c r="E9608" s="958"/>
      <c r="F9608" s="1069"/>
      <c r="G9608" s="957"/>
      <c r="H9608" s="1032"/>
      <c r="I9608" s="959">
        <f>+I9603</f>
        <v>0</v>
      </c>
    </row>
    <row r="9609" spans="2:9" ht="15.75">
      <c r="C9609" s="949"/>
      <c r="D9609" s="946"/>
      <c r="E9609" s="947"/>
      <c r="F9609" s="1054"/>
      <c r="G9609" s="946"/>
      <c r="H9609" s="1031"/>
      <c r="I9609" s="948"/>
    </row>
    <row r="9610" spans="2:9" ht="15.75">
      <c r="C9610" s="951" t="s">
        <v>930</v>
      </c>
      <c r="D9610" s="960"/>
      <c r="E9610" s="975" t="str">
        <f>+E9587</f>
        <v>Ud</v>
      </c>
      <c r="F9610" s="1070"/>
      <c r="G9610" s="960"/>
      <c r="H9610" s="1033"/>
      <c r="I9610" s="952">
        <f>SUM(I9605:I9608)</f>
        <v>1606.81</v>
      </c>
    </row>
    <row r="9611" spans="2:9" ht="15.75">
      <c r="C9611" s="951"/>
      <c r="D9611" s="960"/>
      <c r="E9611" s="943"/>
      <c r="F9611" s="1070"/>
      <c r="G9611" s="960"/>
      <c r="H9611" s="1033"/>
      <c r="I9611" s="952"/>
    </row>
    <row r="9612" spans="2:9" ht="31.5">
      <c r="B9612" s="1062">
        <v>10.119999999999999</v>
      </c>
      <c r="C9612" s="937" t="str">
        <f>+Presupuesto!B561</f>
        <v>Tubería 4" PVC  (Drenaje Sanitario) (inc. Movimiento de tierra y colocacion)</v>
      </c>
      <c r="D9612" s="938"/>
      <c r="E9612" s="962" t="s">
        <v>10</v>
      </c>
      <c r="F9612" s="1066"/>
      <c r="G9612" s="938"/>
      <c r="H9612" s="1029"/>
      <c r="I9612" s="940">
        <f>+I9635</f>
        <v>6120</v>
      </c>
    </row>
    <row r="9613" spans="2:9" ht="15.75">
      <c r="C9613" s="941" t="s">
        <v>908</v>
      </c>
      <c r="D9613" s="942" t="s">
        <v>9</v>
      </c>
      <c r="E9613" s="943" t="s">
        <v>10</v>
      </c>
      <c r="F9613" s="1067" t="s">
        <v>909</v>
      </c>
      <c r="G9613" s="942" t="s">
        <v>910</v>
      </c>
      <c r="H9613" s="1030" t="s">
        <v>911</v>
      </c>
      <c r="I9613" s="944" t="s">
        <v>912</v>
      </c>
    </row>
    <row r="9614" spans="2:9" ht="15.75">
      <c r="C9614" s="945" t="s">
        <v>913</v>
      </c>
      <c r="D9614" s="946"/>
      <c r="E9614" s="947"/>
      <c r="F9614" s="1054"/>
      <c r="G9614" s="946"/>
      <c r="H9614" s="1031"/>
      <c r="I9614" s="948"/>
    </row>
    <row r="9615" spans="2:9" ht="15.75">
      <c r="C9615" s="949" t="s">
        <v>1649</v>
      </c>
      <c r="D9615" s="946">
        <v>1.02</v>
      </c>
      <c r="E9615" s="947" t="str">
        <f>+VLOOKUP(C9615,'Basic (equilibrio) (2)'!B:D,2,FALSE)</f>
        <v>P.A</v>
      </c>
      <c r="F9615" s="1068">
        <f>'Basic (equilibrio) (2)'!$D$262</f>
        <v>6000</v>
      </c>
      <c r="G9615" s="946">
        <f>F9615-(F9615/1.18)</f>
        <v>915.25</v>
      </c>
      <c r="H9615" s="1031"/>
      <c r="I9615" s="948">
        <f>D9615*F9615</f>
        <v>6120</v>
      </c>
    </row>
    <row r="9616" spans="2:9" ht="15.75">
      <c r="C9616" s="951" t="s">
        <v>918</v>
      </c>
      <c r="D9616" s="946"/>
      <c r="E9616" s="947"/>
      <c r="F9616" s="1068"/>
      <c r="G9616" s="946"/>
      <c r="H9616" s="1031"/>
      <c r="I9616" s="952">
        <f>SUM(I9615:I9615)</f>
        <v>6120</v>
      </c>
    </row>
    <row r="9617" spans="3:9" ht="15.75">
      <c r="C9617" s="949"/>
      <c r="D9617" s="946"/>
      <c r="E9617" s="947"/>
      <c r="F9617" s="1068"/>
      <c r="G9617" s="946"/>
      <c r="H9617" s="1031"/>
      <c r="I9617" s="948"/>
    </row>
    <row r="9618" spans="3:9" ht="15.75">
      <c r="C9618" s="945" t="s">
        <v>919</v>
      </c>
      <c r="D9618" s="946"/>
      <c r="E9618" s="947"/>
      <c r="F9618" s="1068"/>
      <c r="G9618" s="946"/>
      <c r="H9618" s="1031"/>
      <c r="I9618" s="948"/>
    </row>
    <row r="9619" spans="3:9" ht="15.75">
      <c r="C9619" s="949" t="s">
        <v>924</v>
      </c>
      <c r="D9619" s="953"/>
      <c r="E9619" s="954" t="str">
        <f>+VLOOKUP(C9619,'Basic (equilibrio) (2)'!B:D,2,FALSE)</f>
        <v>n/a</v>
      </c>
      <c r="F9619" s="1068">
        <f>+VLOOKUP(C9619,'Basic (equilibrio) (2)'!B:D,3,FALSE)</f>
        <v>0</v>
      </c>
      <c r="G9619" s="946">
        <v>0</v>
      </c>
      <c r="H9619" s="1031"/>
      <c r="I9619" s="948">
        <f>(D9619*F9619)</f>
        <v>0</v>
      </c>
    </row>
    <row r="9620" spans="3:9" ht="15.75">
      <c r="C9620" s="951" t="s">
        <v>918</v>
      </c>
      <c r="D9620" s="946"/>
      <c r="E9620" s="947"/>
      <c r="F9620" s="1054"/>
      <c r="G9620" s="946"/>
      <c r="H9620" s="1031"/>
      <c r="I9620" s="952">
        <f>SUM(I9619:I9619)</f>
        <v>0</v>
      </c>
    </row>
    <row r="9621" spans="3:9" ht="15.75">
      <c r="C9621" s="949"/>
      <c r="D9621" s="946"/>
      <c r="E9621" s="947"/>
      <c r="F9621" s="1054"/>
      <c r="G9621" s="946"/>
      <c r="H9621" s="1031"/>
      <c r="I9621" s="948"/>
    </row>
    <row r="9622" spans="3:9" ht="15.75">
      <c r="C9622" s="945" t="s">
        <v>923</v>
      </c>
      <c r="D9622" s="946"/>
      <c r="E9622" s="947"/>
      <c r="F9622" s="1054"/>
      <c r="G9622" s="946"/>
      <c r="H9622" s="1031"/>
      <c r="I9622" s="948"/>
    </row>
    <row r="9623" spans="3:9" ht="15.75">
      <c r="C9623" s="949" t="s">
        <v>924</v>
      </c>
      <c r="D9623" s="946"/>
      <c r="E9623" s="947" t="str">
        <f>+VLOOKUP(C9623,'Basic (equilibrio) (2)'!B:D,2,FALSE)</f>
        <v>n/a</v>
      </c>
      <c r="F9623" s="1054">
        <f>+VLOOKUP(C9623,'Basic (equilibrio) (2)'!B:D,3,FALSE)</f>
        <v>0</v>
      </c>
      <c r="G9623" s="946">
        <f>F9623-(F9623/1.18)</f>
        <v>0</v>
      </c>
      <c r="H9623" s="1039"/>
      <c r="I9623" s="955">
        <f>D9623*F9623</f>
        <v>0</v>
      </c>
    </row>
    <row r="9624" spans="3:9" ht="15.75">
      <c r="C9624" s="951" t="s">
        <v>918</v>
      </c>
      <c r="D9624" s="946"/>
      <c r="E9624" s="947"/>
      <c r="F9624" s="1054"/>
      <c r="G9624" s="946"/>
      <c r="H9624" s="1031"/>
      <c r="I9624" s="952">
        <f>SUM(I9623:I9623)</f>
        <v>0</v>
      </c>
    </row>
    <row r="9625" spans="3:9" ht="15.75">
      <c r="C9625" s="949"/>
      <c r="D9625" s="946"/>
      <c r="E9625" s="947"/>
      <c r="F9625" s="1054"/>
      <c r="G9625" s="946"/>
      <c r="H9625" s="1031"/>
      <c r="I9625" s="948"/>
    </row>
    <row r="9626" spans="3:9" ht="15.75">
      <c r="C9626" s="945" t="s">
        <v>925</v>
      </c>
      <c r="D9626" s="946"/>
      <c r="E9626" s="947"/>
      <c r="F9626" s="1054"/>
      <c r="G9626" s="946"/>
      <c r="H9626" s="1031"/>
      <c r="I9626" s="948"/>
    </row>
    <row r="9627" spans="3:9" ht="15.75">
      <c r="C9627" s="949" t="s">
        <v>924</v>
      </c>
      <c r="D9627" s="946"/>
      <c r="E9627" s="947" t="str">
        <f>+VLOOKUP(C9627,'Basic (equilibrio) (2)'!B:D,2,FALSE)</f>
        <v>n/a</v>
      </c>
      <c r="F9627" s="1054">
        <f>+VLOOKUP(C9627,'Basic (equilibrio) (2)'!B:D,3,FALSE)</f>
        <v>0</v>
      </c>
      <c r="G9627" s="946"/>
      <c r="H9627" s="1031"/>
      <c r="I9627" s="948">
        <f>D9627*F9627</f>
        <v>0</v>
      </c>
    </row>
    <row r="9628" spans="3:9" ht="15.75">
      <c r="C9628" s="951" t="s">
        <v>918</v>
      </c>
      <c r="D9628" s="946"/>
      <c r="E9628" s="947"/>
      <c r="F9628" s="1054"/>
      <c r="G9628" s="946"/>
      <c r="H9628" s="1031"/>
      <c r="I9628" s="952">
        <f>SUM(I9627)</f>
        <v>0</v>
      </c>
    </row>
    <row r="9629" spans="3:9" ht="15.75">
      <c r="C9629" s="951"/>
      <c r="D9629" s="946"/>
      <c r="E9629" s="947"/>
      <c r="F9629" s="1054"/>
      <c r="G9629" s="946"/>
      <c r="H9629" s="1031"/>
      <c r="I9629" s="952"/>
    </row>
    <row r="9630" spans="3:9" ht="15.75">
      <c r="C9630" s="956" t="s">
        <v>926</v>
      </c>
      <c r="D9630" s="957"/>
      <c r="E9630" s="958"/>
      <c r="F9630" s="1069"/>
      <c r="G9630" s="957"/>
      <c r="H9630" s="1032"/>
      <c r="I9630" s="959">
        <f>+I9616</f>
        <v>6120</v>
      </c>
    </row>
    <row r="9631" spans="3:9" ht="15.75">
      <c r="C9631" s="956" t="s">
        <v>927</v>
      </c>
      <c r="D9631" s="957"/>
      <c r="E9631" s="958"/>
      <c r="F9631" s="1069"/>
      <c r="G9631" s="957"/>
      <c r="H9631" s="1032"/>
      <c r="I9631" s="959">
        <f>+I9620</f>
        <v>0</v>
      </c>
    </row>
    <row r="9632" spans="3:9" ht="15.75">
      <c r="C9632" s="956" t="s">
        <v>928</v>
      </c>
      <c r="D9632" s="957"/>
      <c r="E9632" s="958"/>
      <c r="F9632" s="1069"/>
      <c r="G9632" s="957"/>
      <c r="H9632" s="1032"/>
      <c r="I9632" s="959">
        <f>+I9624</f>
        <v>0</v>
      </c>
    </row>
    <row r="9633" spans="2:9" ht="15.75">
      <c r="C9633" s="956" t="s">
        <v>929</v>
      </c>
      <c r="D9633" s="957"/>
      <c r="E9633" s="958"/>
      <c r="F9633" s="1069"/>
      <c r="G9633" s="957"/>
      <c r="H9633" s="1032"/>
      <c r="I9633" s="959">
        <f>+I9628</f>
        <v>0</v>
      </c>
    </row>
    <row r="9634" spans="2:9" ht="15.75">
      <c r="C9634" s="949"/>
      <c r="D9634" s="946"/>
      <c r="E9634" s="947"/>
      <c r="F9634" s="1054"/>
      <c r="G9634" s="946"/>
      <c r="H9634" s="1031"/>
      <c r="I9634" s="948"/>
    </row>
    <row r="9635" spans="2:9" ht="15.75">
      <c r="C9635" s="951" t="s">
        <v>930</v>
      </c>
      <c r="D9635" s="960"/>
      <c r="E9635" s="975" t="str">
        <f>+E9612</f>
        <v>Ud</v>
      </c>
      <c r="F9635" s="1070"/>
      <c r="G9635" s="960"/>
      <c r="H9635" s="1033"/>
      <c r="I9635" s="952">
        <f>SUM(I9630:I9633)</f>
        <v>6120</v>
      </c>
    </row>
    <row r="9636" spans="2:9" ht="15.75">
      <c r="C9636" s="951"/>
      <c r="D9636" s="960"/>
      <c r="E9636" s="943"/>
      <c r="F9636" s="1070"/>
      <c r="G9636" s="960"/>
      <c r="H9636" s="1033"/>
      <c r="I9636" s="952"/>
    </row>
    <row r="9637" spans="2:9" ht="15.75">
      <c r="B9637" s="1062">
        <v>10.130000000000001</v>
      </c>
      <c r="C9637" s="937" t="str">
        <f>+Presupuesto!B562</f>
        <v>Mano de obra instalación</v>
      </c>
      <c r="D9637" s="938"/>
      <c r="E9637" s="962" t="s">
        <v>10</v>
      </c>
      <c r="F9637" s="1066"/>
      <c r="G9637" s="938"/>
      <c r="H9637" s="1029"/>
      <c r="I9637" s="940">
        <f>+I9660</f>
        <v>13260</v>
      </c>
    </row>
    <row r="9638" spans="2:9" ht="15.75">
      <c r="C9638" s="941" t="s">
        <v>908</v>
      </c>
      <c r="D9638" s="942" t="s">
        <v>9</v>
      </c>
      <c r="E9638" s="943" t="s">
        <v>10</v>
      </c>
      <c r="F9638" s="1067" t="s">
        <v>909</v>
      </c>
      <c r="G9638" s="942" t="s">
        <v>910</v>
      </c>
      <c r="H9638" s="1030" t="s">
        <v>911</v>
      </c>
      <c r="I9638" s="944" t="s">
        <v>912</v>
      </c>
    </row>
    <row r="9639" spans="2:9" ht="15.75">
      <c r="C9639" s="945" t="s">
        <v>913</v>
      </c>
      <c r="D9639" s="946"/>
      <c r="E9639" s="947"/>
      <c r="F9639" s="1054"/>
      <c r="G9639" s="946"/>
      <c r="H9639" s="1031"/>
      <c r="I9639" s="948"/>
    </row>
    <row r="9640" spans="2:9" ht="15.75">
      <c r="C9640" s="949" t="s">
        <v>1661</v>
      </c>
      <c r="D9640" s="946">
        <v>1.02</v>
      </c>
      <c r="E9640" s="947" t="str">
        <f>+VLOOKUP(C9640,'Basic (equilibrio) (2)'!B:D,2,FALSE)</f>
        <v>P.a</v>
      </c>
      <c r="F9640" s="1068">
        <f>'Basic (equilibrio) (2)'!$D$266</f>
        <v>13000</v>
      </c>
      <c r="G9640" s="946">
        <f>F9640-(F9640/1.18)</f>
        <v>1983.05</v>
      </c>
      <c r="H9640" s="1031"/>
      <c r="I9640" s="948">
        <f>D9640*F9640</f>
        <v>13260</v>
      </c>
    </row>
    <row r="9641" spans="2:9" ht="15.75">
      <c r="C9641" s="951" t="s">
        <v>918</v>
      </c>
      <c r="D9641" s="946"/>
      <c r="E9641" s="947"/>
      <c r="F9641" s="1068"/>
      <c r="G9641" s="946"/>
      <c r="H9641" s="1031"/>
      <c r="I9641" s="952">
        <f>SUM(I9640:I9640)</f>
        <v>13260</v>
      </c>
    </row>
    <row r="9642" spans="2:9" ht="15.75">
      <c r="C9642" s="949"/>
      <c r="D9642" s="946"/>
      <c r="E9642" s="947"/>
      <c r="F9642" s="1068"/>
      <c r="G9642" s="946"/>
      <c r="H9642" s="1031"/>
      <c r="I9642" s="948"/>
    </row>
    <row r="9643" spans="2:9" ht="15.75">
      <c r="C9643" s="945" t="s">
        <v>919</v>
      </c>
      <c r="D9643" s="946"/>
      <c r="E9643" s="947"/>
      <c r="F9643" s="1068"/>
      <c r="G9643" s="946"/>
      <c r="H9643" s="1031"/>
      <c r="I9643" s="948"/>
    </row>
    <row r="9644" spans="2:9" ht="15.75">
      <c r="C9644" s="949" t="s">
        <v>924</v>
      </c>
      <c r="D9644" s="953"/>
      <c r="E9644" s="954" t="str">
        <f>+VLOOKUP(C9644,'Basic (equilibrio) (2)'!B:D,2,FALSE)</f>
        <v>n/a</v>
      </c>
      <c r="F9644" s="1068">
        <f>+VLOOKUP(C9644,'Basic (equilibrio) (2)'!B:D,3,FALSE)</f>
        <v>0</v>
      </c>
      <c r="G9644" s="946">
        <v>0</v>
      </c>
      <c r="H9644" s="1031"/>
      <c r="I9644" s="948">
        <f>(D9644*F9644)</f>
        <v>0</v>
      </c>
    </row>
    <row r="9645" spans="2:9" ht="15.75">
      <c r="C9645" s="951" t="s">
        <v>918</v>
      </c>
      <c r="D9645" s="946"/>
      <c r="E9645" s="947"/>
      <c r="F9645" s="1054"/>
      <c r="G9645" s="946"/>
      <c r="H9645" s="1031"/>
      <c r="I9645" s="952">
        <f>SUM(I9644:I9644)</f>
        <v>0</v>
      </c>
    </row>
    <row r="9646" spans="2:9" ht="15.75">
      <c r="C9646" s="949"/>
      <c r="D9646" s="946"/>
      <c r="E9646" s="947"/>
      <c r="F9646" s="1054"/>
      <c r="G9646" s="946"/>
      <c r="H9646" s="1031"/>
      <c r="I9646" s="948"/>
    </row>
    <row r="9647" spans="2:9" ht="15.75">
      <c r="C9647" s="945" t="s">
        <v>923</v>
      </c>
      <c r="D9647" s="946"/>
      <c r="E9647" s="947"/>
      <c r="F9647" s="1054"/>
      <c r="G9647" s="946"/>
      <c r="H9647" s="1031"/>
      <c r="I9647" s="948"/>
    </row>
    <row r="9648" spans="2:9" ht="15.75">
      <c r="C9648" s="949" t="s">
        <v>924</v>
      </c>
      <c r="D9648" s="946"/>
      <c r="E9648" s="947" t="str">
        <f>+VLOOKUP(C9648,'Basic (equilibrio) (2)'!B:D,2,FALSE)</f>
        <v>n/a</v>
      </c>
      <c r="F9648" s="1054">
        <f>+VLOOKUP(C9648,'Basic (equilibrio) (2)'!B:D,3,FALSE)</f>
        <v>0</v>
      </c>
      <c r="G9648" s="946">
        <f>F9648-(F9648/1.18)</f>
        <v>0</v>
      </c>
      <c r="H9648" s="1039"/>
      <c r="I9648" s="955">
        <f>D9648*F9648</f>
        <v>0</v>
      </c>
    </row>
    <row r="9649" spans="2:9" ht="15.75">
      <c r="C9649" s="951" t="s">
        <v>918</v>
      </c>
      <c r="D9649" s="946"/>
      <c r="E9649" s="947"/>
      <c r="F9649" s="1054"/>
      <c r="G9649" s="946"/>
      <c r="H9649" s="1031"/>
      <c r="I9649" s="952">
        <f>SUM(I9648:I9648)</f>
        <v>0</v>
      </c>
    </row>
    <row r="9650" spans="2:9" ht="15.75">
      <c r="C9650" s="949"/>
      <c r="D9650" s="946"/>
      <c r="E9650" s="947"/>
      <c r="F9650" s="1054"/>
      <c r="G9650" s="946"/>
      <c r="H9650" s="1031"/>
      <c r="I9650" s="948"/>
    </row>
    <row r="9651" spans="2:9" ht="15.75">
      <c r="C9651" s="945" t="s">
        <v>925</v>
      </c>
      <c r="D9651" s="946"/>
      <c r="E9651" s="947"/>
      <c r="F9651" s="1054"/>
      <c r="G9651" s="946"/>
      <c r="H9651" s="1031"/>
      <c r="I9651" s="948"/>
    </row>
    <row r="9652" spans="2:9" ht="15.75">
      <c r="C9652" s="949" t="s">
        <v>924</v>
      </c>
      <c r="D9652" s="946"/>
      <c r="E9652" s="947" t="str">
        <f>+VLOOKUP(C9652,'Basic (equilibrio) (2)'!B:D,2,FALSE)</f>
        <v>n/a</v>
      </c>
      <c r="F9652" s="1054">
        <f>+VLOOKUP(C9652,'Basic (equilibrio) (2)'!B:D,3,FALSE)</f>
        <v>0</v>
      </c>
      <c r="G9652" s="946"/>
      <c r="H9652" s="1031"/>
      <c r="I9652" s="948">
        <f>D9652*F9652</f>
        <v>0</v>
      </c>
    </row>
    <row r="9653" spans="2:9" ht="15.75">
      <c r="C9653" s="951" t="s">
        <v>918</v>
      </c>
      <c r="D9653" s="946"/>
      <c r="E9653" s="947"/>
      <c r="F9653" s="1054"/>
      <c r="G9653" s="946"/>
      <c r="H9653" s="1031"/>
      <c r="I9653" s="952">
        <f>SUM(I9652)</f>
        <v>0</v>
      </c>
    </row>
    <row r="9654" spans="2:9" ht="15.75">
      <c r="C9654" s="951"/>
      <c r="D9654" s="946"/>
      <c r="E9654" s="947"/>
      <c r="F9654" s="1054"/>
      <c r="G9654" s="946"/>
      <c r="H9654" s="1031"/>
      <c r="I9654" s="952"/>
    </row>
    <row r="9655" spans="2:9" ht="15.75">
      <c r="C9655" s="956" t="s">
        <v>926</v>
      </c>
      <c r="D9655" s="957"/>
      <c r="E9655" s="958"/>
      <c r="F9655" s="1069"/>
      <c r="G9655" s="957"/>
      <c r="H9655" s="1032"/>
      <c r="I9655" s="959">
        <f>+I9641</f>
        <v>13260</v>
      </c>
    </row>
    <row r="9656" spans="2:9" ht="15.75">
      <c r="C9656" s="956" t="s">
        <v>927</v>
      </c>
      <c r="D9656" s="957"/>
      <c r="E9656" s="958"/>
      <c r="F9656" s="1069"/>
      <c r="G9656" s="957"/>
      <c r="H9656" s="1032"/>
      <c r="I9656" s="959">
        <f>+I9645</f>
        <v>0</v>
      </c>
    </row>
    <row r="9657" spans="2:9" ht="15.75">
      <c r="C9657" s="956" t="s">
        <v>928</v>
      </c>
      <c r="D9657" s="957"/>
      <c r="E9657" s="958"/>
      <c r="F9657" s="1069"/>
      <c r="G9657" s="957"/>
      <c r="H9657" s="1032"/>
      <c r="I9657" s="959">
        <f>+I9649</f>
        <v>0</v>
      </c>
    </row>
    <row r="9658" spans="2:9" ht="15.75">
      <c r="C9658" s="956" t="s">
        <v>929</v>
      </c>
      <c r="D9658" s="957"/>
      <c r="E9658" s="958"/>
      <c r="F9658" s="1069"/>
      <c r="G9658" s="957"/>
      <c r="H9658" s="1032"/>
      <c r="I9658" s="959">
        <f>+I9653</f>
        <v>0</v>
      </c>
    </row>
    <row r="9659" spans="2:9" ht="15.75">
      <c r="C9659" s="949"/>
      <c r="D9659" s="946"/>
      <c r="E9659" s="947"/>
      <c r="F9659" s="1054"/>
      <c r="G9659" s="946"/>
      <c r="H9659" s="1031"/>
      <c r="I9659" s="948"/>
    </row>
    <row r="9660" spans="2:9" ht="15.75">
      <c r="C9660" s="951" t="s">
        <v>930</v>
      </c>
      <c r="D9660" s="960"/>
      <c r="E9660" s="975" t="str">
        <f>+E9637</f>
        <v>Ud</v>
      </c>
      <c r="F9660" s="1070"/>
      <c r="G9660" s="960"/>
      <c r="H9660" s="1033"/>
      <c r="I9660" s="952">
        <f>SUM(I9655:I9658)</f>
        <v>13260</v>
      </c>
    </row>
    <row r="9661" spans="2:9" ht="15.75">
      <c r="C9661" s="951"/>
      <c r="D9661" s="960"/>
      <c r="E9661" s="943"/>
      <c r="F9661" s="1070"/>
      <c r="G9661" s="960"/>
      <c r="H9661" s="1033"/>
      <c r="I9661" s="952"/>
    </row>
    <row r="9662" spans="2:9" ht="15.75">
      <c r="B9662" s="1063">
        <v>11.1</v>
      </c>
      <c r="C9662" s="937" t="str">
        <f>+Presupuesto!B565</f>
        <v>Entrada general (incluye panel de Braeker de 4/8 circuitos)</v>
      </c>
      <c r="D9662" s="938"/>
      <c r="E9662" s="962" t="s">
        <v>1056</v>
      </c>
      <c r="F9662" s="1066"/>
      <c r="G9662" s="938"/>
      <c r="H9662" s="1029"/>
      <c r="I9662" s="940">
        <f>+I9685</f>
        <v>3993.3</v>
      </c>
    </row>
    <row r="9663" spans="2:9" ht="15.75">
      <c r="C9663" s="941" t="s">
        <v>908</v>
      </c>
      <c r="D9663" s="942" t="s">
        <v>9</v>
      </c>
      <c r="E9663" s="943" t="s">
        <v>10</v>
      </c>
      <c r="F9663" s="1067" t="s">
        <v>909</v>
      </c>
      <c r="G9663" s="942" t="s">
        <v>910</v>
      </c>
      <c r="H9663" s="1030" t="s">
        <v>911</v>
      </c>
      <c r="I9663" s="944" t="s">
        <v>912</v>
      </c>
    </row>
    <row r="9664" spans="2:9" ht="15.75">
      <c r="C9664" s="945" t="s">
        <v>913</v>
      </c>
      <c r="D9664" s="946"/>
      <c r="E9664" s="947"/>
      <c r="F9664" s="1054"/>
      <c r="G9664" s="946"/>
      <c r="H9664" s="1031"/>
      <c r="I9664" s="948"/>
    </row>
    <row r="9665" spans="3:9" ht="15.75">
      <c r="C9665" s="949" t="s">
        <v>1625</v>
      </c>
      <c r="D9665" s="946">
        <v>1.02</v>
      </c>
      <c r="E9665" s="947" t="str">
        <f>+VLOOKUP(C9665,'Basic (equilibrio) (2)'!B:D,2,FALSE)</f>
        <v>ud</v>
      </c>
      <c r="F9665" s="1068">
        <f>'Basic (equilibrio) (2)'!$D$263</f>
        <v>3915</v>
      </c>
      <c r="G9665" s="946">
        <f>F9665-(F9665/1.18)</f>
        <v>597.20000000000005</v>
      </c>
      <c r="H9665" s="1031"/>
      <c r="I9665" s="948">
        <f>D9665*F9665</f>
        <v>3993.3</v>
      </c>
    </row>
    <row r="9666" spans="3:9" ht="15.75">
      <c r="C9666" s="951" t="s">
        <v>918</v>
      </c>
      <c r="D9666" s="946"/>
      <c r="E9666" s="947"/>
      <c r="F9666" s="1068"/>
      <c r="G9666" s="946"/>
      <c r="H9666" s="1031"/>
      <c r="I9666" s="952">
        <f>SUM(I9665:I9665)</f>
        <v>3993.3</v>
      </c>
    </row>
    <row r="9667" spans="3:9" ht="15.75">
      <c r="C9667" s="949"/>
      <c r="D9667" s="946"/>
      <c r="E9667" s="947"/>
      <c r="F9667" s="1068"/>
      <c r="G9667" s="946"/>
      <c r="H9667" s="1031"/>
      <c r="I9667" s="948"/>
    </row>
    <row r="9668" spans="3:9" ht="15.75">
      <c r="C9668" s="945" t="s">
        <v>919</v>
      </c>
      <c r="D9668" s="946"/>
      <c r="E9668" s="947"/>
      <c r="F9668" s="1068"/>
      <c r="G9668" s="946"/>
      <c r="H9668" s="1031"/>
      <c r="I9668" s="948"/>
    </row>
    <row r="9669" spans="3:9" ht="15.75">
      <c r="C9669" s="949" t="s">
        <v>924</v>
      </c>
      <c r="D9669" s="953"/>
      <c r="E9669" s="954" t="str">
        <f>+VLOOKUP(C9669,'Basic (equilibrio) (2)'!B:D,2,FALSE)</f>
        <v>n/a</v>
      </c>
      <c r="F9669" s="1068">
        <f>+VLOOKUP(C9669,'Basic (equilibrio) (2)'!B:D,3,FALSE)</f>
        <v>0</v>
      </c>
      <c r="G9669" s="946">
        <v>0</v>
      </c>
      <c r="H9669" s="1031"/>
      <c r="I9669" s="948">
        <f>(D9669*F9669)</f>
        <v>0</v>
      </c>
    </row>
    <row r="9670" spans="3:9" ht="15.75">
      <c r="C9670" s="951" t="s">
        <v>918</v>
      </c>
      <c r="D9670" s="946"/>
      <c r="E9670" s="947"/>
      <c r="F9670" s="1054"/>
      <c r="G9670" s="946"/>
      <c r="H9670" s="1031"/>
      <c r="I9670" s="952">
        <f>SUM(I9669:I9669)</f>
        <v>0</v>
      </c>
    </row>
    <row r="9671" spans="3:9" ht="15.75">
      <c r="C9671" s="949"/>
      <c r="D9671" s="946"/>
      <c r="E9671" s="947"/>
      <c r="F9671" s="1054"/>
      <c r="G9671" s="946"/>
      <c r="H9671" s="1031"/>
      <c r="I9671" s="948"/>
    </row>
    <row r="9672" spans="3:9" ht="15.75">
      <c r="C9672" s="945" t="s">
        <v>923</v>
      </c>
      <c r="D9672" s="946"/>
      <c r="E9672" s="947"/>
      <c r="F9672" s="1054"/>
      <c r="G9672" s="946"/>
      <c r="H9672" s="1031"/>
      <c r="I9672" s="948"/>
    </row>
    <row r="9673" spans="3:9" ht="15.75">
      <c r="C9673" s="949" t="s">
        <v>924</v>
      </c>
      <c r="D9673" s="946"/>
      <c r="E9673" s="947" t="str">
        <f>+VLOOKUP(C9673,'Basic (equilibrio) (2)'!B:D,2,FALSE)</f>
        <v>n/a</v>
      </c>
      <c r="F9673" s="1054">
        <f>+VLOOKUP(C9673,'Basic (equilibrio) (2)'!B:D,3,FALSE)</f>
        <v>0</v>
      </c>
      <c r="G9673" s="946">
        <f>F9673-(F9673/1.18)</f>
        <v>0</v>
      </c>
      <c r="H9673" s="1039"/>
      <c r="I9673" s="955">
        <f>D9673*F9673</f>
        <v>0</v>
      </c>
    </row>
    <row r="9674" spans="3:9" ht="15.75">
      <c r="C9674" s="951" t="s">
        <v>918</v>
      </c>
      <c r="D9674" s="946"/>
      <c r="E9674" s="947"/>
      <c r="F9674" s="1054"/>
      <c r="G9674" s="946"/>
      <c r="H9674" s="1031"/>
      <c r="I9674" s="952">
        <f>SUM(I9673:I9673)</f>
        <v>0</v>
      </c>
    </row>
    <row r="9675" spans="3:9" ht="15.75">
      <c r="C9675" s="949"/>
      <c r="D9675" s="946"/>
      <c r="E9675" s="947"/>
      <c r="F9675" s="1054"/>
      <c r="G9675" s="946"/>
      <c r="H9675" s="1031"/>
      <c r="I9675" s="948"/>
    </row>
    <row r="9676" spans="3:9" ht="15.75">
      <c r="C9676" s="945" t="s">
        <v>925</v>
      </c>
      <c r="D9676" s="946"/>
      <c r="E9676" s="947"/>
      <c r="F9676" s="1054"/>
      <c r="G9676" s="946"/>
      <c r="H9676" s="1031"/>
      <c r="I9676" s="948"/>
    </row>
    <row r="9677" spans="3:9" ht="15.75">
      <c r="C9677" s="949" t="s">
        <v>924</v>
      </c>
      <c r="D9677" s="946"/>
      <c r="E9677" s="947" t="str">
        <f>+VLOOKUP(C9677,'Basic (equilibrio) (2)'!B:D,2,FALSE)</f>
        <v>n/a</v>
      </c>
      <c r="F9677" s="1054">
        <f>+VLOOKUP(C9677,'Basic (equilibrio) (2)'!B:D,3,FALSE)</f>
        <v>0</v>
      </c>
      <c r="G9677" s="946"/>
      <c r="H9677" s="1031"/>
      <c r="I9677" s="948">
        <f>D9677*F9677</f>
        <v>0</v>
      </c>
    </row>
    <row r="9678" spans="3:9" ht="15.75">
      <c r="C9678" s="951" t="s">
        <v>918</v>
      </c>
      <c r="D9678" s="946"/>
      <c r="E9678" s="947"/>
      <c r="F9678" s="1054"/>
      <c r="G9678" s="946"/>
      <c r="H9678" s="1031"/>
      <c r="I9678" s="952">
        <f>SUM(I9677)</f>
        <v>0</v>
      </c>
    </row>
    <row r="9679" spans="3:9" ht="15.75">
      <c r="C9679" s="951"/>
      <c r="D9679" s="946"/>
      <c r="E9679" s="947"/>
      <c r="F9679" s="1054"/>
      <c r="G9679" s="946"/>
      <c r="H9679" s="1031"/>
      <c r="I9679" s="952"/>
    </row>
    <row r="9680" spans="3:9" ht="15.75">
      <c r="C9680" s="956" t="s">
        <v>926</v>
      </c>
      <c r="D9680" s="957"/>
      <c r="E9680" s="958"/>
      <c r="F9680" s="1069"/>
      <c r="G9680" s="957"/>
      <c r="H9680" s="1032"/>
      <c r="I9680" s="959">
        <f>+I9666</f>
        <v>3993.3</v>
      </c>
    </row>
    <row r="9681" spans="2:9" ht="15.75">
      <c r="C9681" s="956" t="s">
        <v>927</v>
      </c>
      <c r="D9681" s="957"/>
      <c r="E9681" s="958"/>
      <c r="F9681" s="1069"/>
      <c r="G9681" s="957"/>
      <c r="H9681" s="1032"/>
      <c r="I9681" s="959">
        <f>+I9670</f>
        <v>0</v>
      </c>
    </row>
    <row r="9682" spans="2:9" ht="15.75">
      <c r="C9682" s="956" t="s">
        <v>928</v>
      </c>
      <c r="D9682" s="957"/>
      <c r="E9682" s="958"/>
      <c r="F9682" s="1069"/>
      <c r="G9682" s="957"/>
      <c r="H9682" s="1032"/>
      <c r="I9682" s="959">
        <f>+I9674</f>
        <v>0</v>
      </c>
    </row>
    <row r="9683" spans="2:9" ht="15.75">
      <c r="C9683" s="956" t="s">
        <v>929</v>
      </c>
      <c r="D9683" s="957"/>
      <c r="E9683" s="958"/>
      <c r="F9683" s="1069"/>
      <c r="G9683" s="957"/>
      <c r="H9683" s="1032"/>
      <c r="I9683" s="959">
        <f>+I9678</f>
        <v>0</v>
      </c>
    </row>
    <row r="9684" spans="2:9" ht="15.75">
      <c r="C9684" s="949"/>
      <c r="D9684" s="946"/>
      <c r="E9684" s="947"/>
      <c r="F9684" s="1054"/>
      <c r="G9684" s="946"/>
      <c r="H9684" s="1031"/>
      <c r="I9684" s="948"/>
    </row>
    <row r="9685" spans="2:9" ht="15.75">
      <c r="C9685" s="951" t="s">
        <v>930</v>
      </c>
      <c r="D9685" s="960"/>
      <c r="E9685" s="975" t="str">
        <f>+E9662</f>
        <v>ud</v>
      </c>
      <c r="F9685" s="1070"/>
      <c r="G9685" s="960"/>
      <c r="H9685" s="1033"/>
      <c r="I9685" s="952">
        <f>SUM(I9680:I9683)</f>
        <v>3993.3</v>
      </c>
    </row>
    <row r="9686" spans="2:9" ht="15.75">
      <c r="C9686" s="951"/>
      <c r="D9686" s="960"/>
      <c r="E9686" s="943"/>
      <c r="F9686" s="1070"/>
      <c r="G9686" s="960"/>
      <c r="H9686" s="1033"/>
      <c r="I9686" s="952"/>
    </row>
    <row r="9687" spans="2:9" ht="15.75">
      <c r="B9687" s="1063">
        <v>11.2</v>
      </c>
      <c r="C9687" s="937" t="str">
        <f>+Presupuesto!B566</f>
        <v>Salida luces cenitales</v>
      </c>
      <c r="D9687" s="938"/>
      <c r="E9687" s="962" t="s">
        <v>1056</v>
      </c>
      <c r="F9687" s="1066"/>
      <c r="G9687" s="938"/>
      <c r="H9687" s="1029"/>
      <c r="I9687" s="940">
        <f>+I9710</f>
        <v>1945.14</v>
      </c>
    </row>
    <row r="9688" spans="2:9" ht="15.75">
      <c r="C9688" s="941" t="s">
        <v>908</v>
      </c>
      <c r="D9688" s="942" t="s">
        <v>9</v>
      </c>
      <c r="E9688" s="943" t="s">
        <v>10</v>
      </c>
      <c r="F9688" s="1067" t="s">
        <v>909</v>
      </c>
      <c r="G9688" s="942" t="s">
        <v>910</v>
      </c>
      <c r="H9688" s="1030" t="s">
        <v>911</v>
      </c>
      <c r="I9688" s="944" t="s">
        <v>912</v>
      </c>
    </row>
    <row r="9689" spans="2:9" ht="15.75">
      <c r="C9689" s="945" t="s">
        <v>913</v>
      </c>
      <c r="D9689" s="946"/>
      <c r="E9689" s="947"/>
      <c r="F9689" s="1054"/>
      <c r="G9689" s="946"/>
      <c r="H9689" s="1031"/>
      <c r="I9689" s="948"/>
    </row>
    <row r="9690" spans="2:9" ht="15.75">
      <c r="C9690" s="949" t="s">
        <v>1620</v>
      </c>
      <c r="D9690" s="946">
        <v>1.02</v>
      </c>
      <c r="E9690" s="947" t="str">
        <f>+VLOOKUP(C9690,'Basic (equilibrio) (2)'!B:D,2,FALSE)</f>
        <v>ud</v>
      </c>
      <c r="F9690" s="1068">
        <f>'Basic (equilibrio) (2)'!$D$234</f>
        <v>1907</v>
      </c>
      <c r="G9690" s="946">
        <f>F9690-(F9690/1.18)</f>
        <v>290.89999999999998</v>
      </c>
      <c r="H9690" s="1031"/>
      <c r="I9690" s="948">
        <f>D9690*F9690</f>
        <v>1945.14</v>
      </c>
    </row>
    <row r="9691" spans="2:9" ht="15.75">
      <c r="C9691" s="951" t="s">
        <v>918</v>
      </c>
      <c r="D9691" s="946"/>
      <c r="E9691" s="947"/>
      <c r="F9691" s="1068"/>
      <c r="G9691" s="946"/>
      <c r="H9691" s="1031"/>
      <c r="I9691" s="952">
        <f>SUM(I9690:I9690)</f>
        <v>1945.14</v>
      </c>
    </row>
    <row r="9692" spans="2:9" ht="15.75">
      <c r="C9692" s="949"/>
      <c r="D9692" s="946"/>
      <c r="E9692" s="947"/>
      <c r="F9692" s="1068"/>
      <c r="G9692" s="946"/>
      <c r="H9692" s="1031"/>
      <c r="I9692" s="948"/>
    </row>
    <row r="9693" spans="2:9" ht="15.75">
      <c r="C9693" s="945" t="s">
        <v>919</v>
      </c>
      <c r="D9693" s="946"/>
      <c r="E9693" s="947"/>
      <c r="F9693" s="1068"/>
      <c r="G9693" s="946"/>
      <c r="H9693" s="1031"/>
      <c r="I9693" s="948"/>
    </row>
    <row r="9694" spans="2:9" ht="15.75">
      <c r="C9694" s="949" t="s">
        <v>924</v>
      </c>
      <c r="D9694" s="953"/>
      <c r="E9694" s="954" t="str">
        <f>+VLOOKUP(C9694,'Basic (equilibrio) (2)'!B:D,2,FALSE)</f>
        <v>n/a</v>
      </c>
      <c r="F9694" s="1068">
        <f>+VLOOKUP(C9694,'Basic (equilibrio) (2)'!B:D,3,FALSE)</f>
        <v>0</v>
      </c>
      <c r="G9694" s="946">
        <v>0</v>
      </c>
      <c r="H9694" s="1031"/>
      <c r="I9694" s="948">
        <f>(D9694*F9694)</f>
        <v>0</v>
      </c>
    </row>
    <row r="9695" spans="2:9" ht="15.75">
      <c r="C9695" s="951" t="s">
        <v>918</v>
      </c>
      <c r="D9695" s="946"/>
      <c r="E9695" s="947"/>
      <c r="F9695" s="1054"/>
      <c r="G9695" s="946"/>
      <c r="H9695" s="1031"/>
      <c r="I9695" s="952">
        <f>SUM(I9694:I9694)</f>
        <v>0</v>
      </c>
    </row>
    <row r="9696" spans="2:9" ht="15.75">
      <c r="C9696" s="949"/>
      <c r="D9696" s="946"/>
      <c r="E9696" s="947"/>
      <c r="F9696" s="1054"/>
      <c r="G9696" s="946"/>
      <c r="H9696" s="1031"/>
      <c r="I9696" s="948"/>
    </row>
    <row r="9697" spans="2:9" ht="15.75">
      <c r="C9697" s="945" t="s">
        <v>923</v>
      </c>
      <c r="D9697" s="946"/>
      <c r="E9697" s="947"/>
      <c r="F9697" s="1054"/>
      <c r="G9697" s="946"/>
      <c r="H9697" s="1031"/>
      <c r="I9697" s="948"/>
    </row>
    <row r="9698" spans="2:9" ht="15.75">
      <c r="C9698" s="949" t="s">
        <v>924</v>
      </c>
      <c r="D9698" s="946"/>
      <c r="E9698" s="947" t="str">
        <f>+VLOOKUP(C9698,'Basic (equilibrio) (2)'!B:D,2,FALSE)</f>
        <v>n/a</v>
      </c>
      <c r="F9698" s="1054">
        <f>+VLOOKUP(C9698,'Basic (equilibrio) (2)'!B:D,3,FALSE)</f>
        <v>0</v>
      </c>
      <c r="G9698" s="946">
        <f>F9698-(F9698/1.18)</f>
        <v>0</v>
      </c>
      <c r="H9698" s="1039"/>
      <c r="I9698" s="955">
        <f>D9698*F9698</f>
        <v>0</v>
      </c>
    </row>
    <row r="9699" spans="2:9" ht="15.75">
      <c r="C9699" s="951" t="s">
        <v>918</v>
      </c>
      <c r="D9699" s="946"/>
      <c r="E9699" s="947"/>
      <c r="F9699" s="1054"/>
      <c r="G9699" s="946"/>
      <c r="H9699" s="1031"/>
      <c r="I9699" s="952">
        <f>SUM(I9698:I9698)</f>
        <v>0</v>
      </c>
    </row>
    <row r="9700" spans="2:9" ht="15.75">
      <c r="C9700" s="949"/>
      <c r="D9700" s="946"/>
      <c r="E9700" s="947"/>
      <c r="F9700" s="1054"/>
      <c r="G9700" s="946"/>
      <c r="H9700" s="1031"/>
      <c r="I9700" s="948"/>
    </row>
    <row r="9701" spans="2:9" ht="15.75">
      <c r="C9701" s="945" t="s">
        <v>925</v>
      </c>
      <c r="D9701" s="946"/>
      <c r="E9701" s="947"/>
      <c r="F9701" s="1054"/>
      <c r="G9701" s="946"/>
      <c r="H9701" s="1031"/>
      <c r="I9701" s="948"/>
    </row>
    <row r="9702" spans="2:9" ht="15.75">
      <c r="C9702" s="949" t="s">
        <v>924</v>
      </c>
      <c r="D9702" s="946"/>
      <c r="E9702" s="947" t="str">
        <f>+VLOOKUP(C9702,'Basic (equilibrio) (2)'!B:D,2,FALSE)</f>
        <v>n/a</v>
      </c>
      <c r="F9702" s="1054">
        <f>+VLOOKUP(C9702,'Basic (equilibrio) (2)'!B:D,3,FALSE)</f>
        <v>0</v>
      </c>
      <c r="G9702" s="946"/>
      <c r="H9702" s="1031"/>
      <c r="I9702" s="948">
        <f>D9702*F9702</f>
        <v>0</v>
      </c>
    </row>
    <row r="9703" spans="2:9" ht="15.75">
      <c r="C9703" s="951" t="s">
        <v>918</v>
      </c>
      <c r="D9703" s="946"/>
      <c r="E9703" s="947"/>
      <c r="F9703" s="1054"/>
      <c r="G9703" s="946"/>
      <c r="H9703" s="1031"/>
      <c r="I9703" s="952">
        <f>SUM(I9702)</f>
        <v>0</v>
      </c>
    </row>
    <row r="9704" spans="2:9" ht="15.75">
      <c r="C9704" s="951"/>
      <c r="D9704" s="946"/>
      <c r="E9704" s="947"/>
      <c r="F9704" s="1054"/>
      <c r="G9704" s="946"/>
      <c r="H9704" s="1031"/>
      <c r="I9704" s="952"/>
    </row>
    <row r="9705" spans="2:9" ht="15.75">
      <c r="C9705" s="956" t="s">
        <v>926</v>
      </c>
      <c r="D9705" s="957"/>
      <c r="E9705" s="958"/>
      <c r="F9705" s="1069"/>
      <c r="G9705" s="957"/>
      <c r="H9705" s="1032"/>
      <c r="I9705" s="959">
        <f>+I9691</f>
        <v>1945.14</v>
      </c>
    </row>
    <row r="9706" spans="2:9" ht="15.75">
      <c r="C9706" s="956" t="s">
        <v>927</v>
      </c>
      <c r="D9706" s="957"/>
      <c r="E9706" s="958"/>
      <c r="F9706" s="1069"/>
      <c r="G9706" s="957"/>
      <c r="H9706" s="1032"/>
      <c r="I9706" s="959">
        <f>+I9695</f>
        <v>0</v>
      </c>
    </row>
    <row r="9707" spans="2:9" ht="15.75">
      <c r="C9707" s="956" t="s">
        <v>928</v>
      </c>
      <c r="D9707" s="957"/>
      <c r="E9707" s="958"/>
      <c r="F9707" s="1069"/>
      <c r="G9707" s="957"/>
      <c r="H9707" s="1032"/>
      <c r="I9707" s="959">
        <f>+I9699</f>
        <v>0</v>
      </c>
    </row>
    <row r="9708" spans="2:9" ht="15.75">
      <c r="C9708" s="956" t="s">
        <v>929</v>
      </c>
      <c r="D9708" s="957"/>
      <c r="E9708" s="958"/>
      <c r="F9708" s="1069"/>
      <c r="G9708" s="957"/>
      <c r="H9708" s="1032"/>
      <c r="I9708" s="959">
        <f>+I9703</f>
        <v>0</v>
      </c>
    </row>
    <row r="9709" spans="2:9" ht="15.75">
      <c r="C9709" s="949"/>
      <c r="D9709" s="946"/>
      <c r="E9709" s="947"/>
      <c r="F9709" s="1054"/>
      <c r="G9709" s="946"/>
      <c r="H9709" s="1031"/>
      <c r="I9709" s="948"/>
    </row>
    <row r="9710" spans="2:9" ht="15.75">
      <c r="C9710" s="951" t="s">
        <v>930</v>
      </c>
      <c r="D9710" s="960"/>
      <c r="E9710" s="975" t="str">
        <f>+E9687</f>
        <v>ud</v>
      </c>
      <c r="F9710" s="1070"/>
      <c r="G9710" s="960"/>
      <c r="H9710" s="1033"/>
      <c r="I9710" s="952">
        <f>SUM(I9705:I9708)</f>
        <v>1945.14</v>
      </c>
    </row>
    <row r="9711" spans="2:9" ht="15.75">
      <c r="C9711" s="951"/>
      <c r="D9711" s="960"/>
      <c r="E9711" s="943"/>
      <c r="F9711" s="1070"/>
      <c r="G9711" s="960"/>
      <c r="H9711" s="1033"/>
      <c r="I9711" s="952"/>
    </row>
    <row r="9712" spans="2:9" ht="15.75">
      <c r="B9712" s="1063">
        <v>11.3</v>
      </c>
      <c r="C9712" s="937" t="str">
        <f>+Presupuesto!B567:B567</f>
        <v>Salida tomacorrientes Doble 120 V</v>
      </c>
      <c r="D9712" s="938"/>
      <c r="E9712" s="962" t="s">
        <v>1056</v>
      </c>
      <c r="F9712" s="1066"/>
      <c r="G9712" s="938"/>
      <c r="H9712" s="1029"/>
      <c r="I9712" s="940">
        <f>+I9735</f>
        <v>2175.66</v>
      </c>
    </row>
    <row r="9713" spans="3:9" ht="15.75">
      <c r="C9713" s="941" t="s">
        <v>908</v>
      </c>
      <c r="D9713" s="942" t="s">
        <v>9</v>
      </c>
      <c r="E9713" s="943" t="s">
        <v>10</v>
      </c>
      <c r="F9713" s="1067" t="s">
        <v>909</v>
      </c>
      <c r="G9713" s="942" t="s">
        <v>910</v>
      </c>
      <c r="H9713" s="1030" t="s">
        <v>911</v>
      </c>
      <c r="I9713" s="944" t="s">
        <v>912</v>
      </c>
    </row>
    <row r="9714" spans="3:9" ht="15.75">
      <c r="C9714" s="945" t="s">
        <v>913</v>
      </c>
      <c r="D9714" s="946"/>
      <c r="E9714" s="947"/>
      <c r="F9714" s="1054"/>
      <c r="G9714" s="946"/>
      <c r="H9714" s="1031"/>
      <c r="I9714" s="948"/>
    </row>
    <row r="9715" spans="3:9" ht="15.75">
      <c r="C9715" s="949" t="s">
        <v>1622</v>
      </c>
      <c r="D9715" s="946">
        <v>1.02</v>
      </c>
      <c r="E9715" s="947" t="str">
        <f>+VLOOKUP(C9715,'Basic (equilibrio) (2)'!B:D,2,FALSE)</f>
        <v>ud</v>
      </c>
      <c r="F9715" s="1068">
        <f>'Basic (equilibrio) (2)'!$D$237</f>
        <v>2133</v>
      </c>
      <c r="G9715" s="946">
        <f>F9715-(F9715/1.18)</f>
        <v>325.37</v>
      </c>
      <c r="H9715" s="1031"/>
      <c r="I9715" s="948">
        <f>D9715*F9715</f>
        <v>2175.66</v>
      </c>
    </row>
    <row r="9716" spans="3:9" ht="15.75">
      <c r="C9716" s="951" t="s">
        <v>918</v>
      </c>
      <c r="D9716" s="946"/>
      <c r="E9716" s="947"/>
      <c r="F9716" s="1068"/>
      <c r="G9716" s="946"/>
      <c r="H9716" s="1031"/>
      <c r="I9716" s="952">
        <f>SUM(I9715:I9715)</f>
        <v>2175.66</v>
      </c>
    </row>
    <row r="9717" spans="3:9" ht="15.75">
      <c r="C9717" s="949"/>
      <c r="D9717" s="946"/>
      <c r="E9717" s="947"/>
      <c r="F9717" s="1068"/>
      <c r="G9717" s="946"/>
      <c r="H9717" s="1031"/>
      <c r="I9717" s="948"/>
    </row>
    <row r="9718" spans="3:9" ht="15.75">
      <c r="C9718" s="945" t="s">
        <v>919</v>
      </c>
      <c r="D9718" s="946"/>
      <c r="E9718" s="947"/>
      <c r="F9718" s="1068"/>
      <c r="G9718" s="946"/>
      <c r="H9718" s="1031"/>
      <c r="I9718" s="948"/>
    </row>
    <row r="9719" spans="3:9" ht="15.75">
      <c r="C9719" s="949" t="s">
        <v>924</v>
      </c>
      <c r="D9719" s="953"/>
      <c r="E9719" s="954" t="str">
        <f>+VLOOKUP(C9719,'Basic (equilibrio) (2)'!B:D,2,FALSE)</f>
        <v>n/a</v>
      </c>
      <c r="F9719" s="1068">
        <f>+VLOOKUP(C9719,'Basic (equilibrio) (2)'!B:D,3,FALSE)</f>
        <v>0</v>
      </c>
      <c r="G9719" s="946">
        <v>0</v>
      </c>
      <c r="H9719" s="1031"/>
      <c r="I9719" s="948">
        <f>(D9719*F9719)</f>
        <v>0</v>
      </c>
    </row>
    <row r="9720" spans="3:9" ht="15.75">
      <c r="C9720" s="951" t="s">
        <v>918</v>
      </c>
      <c r="D9720" s="946"/>
      <c r="E9720" s="947"/>
      <c r="F9720" s="1054"/>
      <c r="G9720" s="946"/>
      <c r="H9720" s="1031"/>
      <c r="I9720" s="952">
        <f>SUM(I9719:I9719)</f>
        <v>0</v>
      </c>
    </row>
    <row r="9721" spans="3:9" ht="15.75">
      <c r="C9721" s="949"/>
      <c r="D9721" s="946"/>
      <c r="E9721" s="947"/>
      <c r="F9721" s="1054"/>
      <c r="G9721" s="946"/>
      <c r="H9721" s="1031"/>
      <c r="I9721" s="948"/>
    </row>
    <row r="9722" spans="3:9" ht="15.75">
      <c r="C9722" s="945" t="s">
        <v>923</v>
      </c>
      <c r="D9722" s="946"/>
      <c r="E9722" s="947"/>
      <c r="F9722" s="1054"/>
      <c r="G9722" s="946"/>
      <c r="H9722" s="1031"/>
      <c r="I9722" s="948"/>
    </row>
    <row r="9723" spans="3:9" ht="15.75">
      <c r="C9723" s="949" t="s">
        <v>924</v>
      </c>
      <c r="D9723" s="946"/>
      <c r="E9723" s="947" t="str">
        <f>+VLOOKUP(C9723,'Basic (equilibrio) (2)'!B:D,2,FALSE)</f>
        <v>n/a</v>
      </c>
      <c r="F9723" s="1054">
        <f>+VLOOKUP(C9723,'Basic (equilibrio) (2)'!B:D,3,FALSE)</f>
        <v>0</v>
      </c>
      <c r="G9723" s="946">
        <f>F9723-(F9723/1.18)</f>
        <v>0</v>
      </c>
      <c r="H9723" s="1039"/>
      <c r="I9723" s="955">
        <f>D9723*F9723</f>
        <v>0</v>
      </c>
    </row>
    <row r="9724" spans="3:9" ht="15.75">
      <c r="C9724" s="951" t="s">
        <v>918</v>
      </c>
      <c r="D9724" s="946"/>
      <c r="E9724" s="947"/>
      <c r="F9724" s="1054"/>
      <c r="G9724" s="946"/>
      <c r="H9724" s="1031"/>
      <c r="I9724" s="952">
        <f>SUM(I9723:I9723)</f>
        <v>0</v>
      </c>
    </row>
    <row r="9725" spans="3:9" ht="15.75">
      <c r="C9725" s="949"/>
      <c r="D9725" s="946"/>
      <c r="E9725" s="947"/>
      <c r="F9725" s="1054"/>
      <c r="G9725" s="946"/>
      <c r="H9725" s="1031"/>
      <c r="I9725" s="948"/>
    </row>
    <row r="9726" spans="3:9" ht="15.75">
      <c r="C9726" s="945" t="s">
        <v>925</v>
      </c>
      <c r="D9726" s="946"/>
      <c r="E9726" s="947"/>
      <c r="F9726" s="1054"/>
      <c r="G9726" s="946"/>
      <c r="H9726" s="1031"/>
      <c r="I9726" s="948"/>
    </row>
    <row r="9727" spans="3:9" ht="15.75">
      <c r="C9727" s="949" t="s">
        <v>924</v>
      </c>
      <c r="D9727" s="946"/>
      <c r="E9727" s="947" t="str">
        <f>+VLOOKUP(C9727,'Basic (equilibrio) (2)'!B:D,2,FALSE)</f>
        <v>n/a</v>
      </c>
      <c r="F9727" s="1054">
        <f>+VLOOKUP(C9727,'Basic (equilibrio) (2)'!B:D,3,FALSE)</f>
        <v>0</v>
      </c>
      <c r="G9727" s="946"/>
      <c r="H9727" s="1031"/>
      <c r="I9727" s="948">
        <f>D9727*F9727</f>
        <v>0</v>
      </c>
    </row>
    <row r="9728" spans="3:9" ht="15.75">
      <c r="C9728" s="951" t="s">
        <v>918</v>
      </c>
      <c r="D9728" s="946"/>
      <c r="E9728" s="947"/>
      <c r="F9728" s="1054"/>
      <c r="G9728" s="946"/>
      <c r="H9728" s="1031"/>
      <c r="I9728" s="952">
        <f>SUM(I9727)</f>
        <v>0</v>
      </c>
    </row>
    <row r="9729" spans="2:9" ht="15.75">
      <c r="C9729" s="951"/>
      <c r="D9729" s="946"/>
      <c r="E9729" s="947"/>
      <c r="F9729" s="1054"/>
      <c r="G9729" s="946"/>
      <c r="H9729" s="1031"/>
      <c r="I9729" s="952"/>
    </row>
    <row r="9730" spans="2:9" ht="15.75">
      <c r="C9730" s="956" t="s">
        <v>926</v>
      </c>
      <c r="D9730" s="957"/>
      <c r="E9730" s="958"/>
      <c r="F9730" s="1069"/>
      <c r="G9730" s="957"/>
      <c r="H9730" s="1032"/>
      <c r="I9730" s="959">
        <f>+I9716</f>
        <v>2175.66</v>
      </c>
    </row>
    <row r="9731" spans="2:9" ht="15.75">
      <c r="C9731" s="956" t="s">
        <v>927</v>
      </c>
      <c r="D9731" s="957"/>
      <c r="E9731" s="958"/>
      <c r="F9731" s="1069"/>
      <c r="G9731" s="957"/>
      <c r="H9731" s="1032"/>
      <c r="I9731" s="959">
        <f>+I9720</f>
        <v>0</v>
      </c>
    </row>
    <row r="9732" spans="2:9" ht="15.75">
      <c r="C9732" s="956" t="s">
        <v>928</v>
      </c>
      <c r="D9732" s="957"/>
      <c r="E9732" s="958"/>
      <c r="F9732" s="1069"/>
      <c r="G9732" s="957"/>
      <c r="H9732" s="1032"/>
      <c r="I9732" s="959">
        <f>+I9724</f>
        <v>0</v>
      </c>
    </row>
    <row r="9733" spans="2:9" ht="15.75">
      <c r="C9733" s="956" t="s">
        <v>929</v>
      </c>
      <c r="D9733" s="957"/>
      <c r="E9733" s="958"/>
      <c r="F9733" s="1069"/>
      <c r="G9733" s="957"/>
      <c r="H9733" s="1032"/>
      <c r="I9733" s="959">
        <f>+I9728</f>
        <v>0</v>
      </c>
    </row>
    <row r="9734" spans="2:9" ht="15.75">
      <c r="C9734" s="949"/>
      <c r="D9734" s="946"/>
      <c r="E9734" s="947"/>
      <c r="F9734" s="1054"/>
      <c r="G9734" s="946"/>
      <c r="H9734" s="1031"/>
      <c r="I9734" s="948"/>
    </row>
    <row r="9735" spans="2:9" ht="15.75">
      <c r="C9735" s="951" t="s">
        <v>930</v>
      </c>
      <c r="D9735" s="960"/>
      <c r="E9735" s="975" t="str">
        <f>+E9712</f>
        <v>ud</v>
      </c>
      <c r="F9735" s="1070"/>
      <c r="G9735" s="960"/>
      <c r="H9735" s="1033"/>
      <c r="I9735" s="952">
        <f>SUM(I9730:I9733)</f>
        <v>2175.66</v>
      </c>
    </row>
    <row r="9736" spans="2:9" ht="15.75">
      <c r="C9736" s="951"/>
      <c r="D9736" s="960"/>
      <c r="E9736" s="943"/>
      <c r="F9736" s="1070"/>
      <c r="G9736" s="960"/>
      <c r="H9736" s="1033"/>
      <c r="I9736" s="952"/>
    </row>
    <row r="9737" spans="2:9" ht="15.75">
      <c r="B9737" s="1063">
        <v>11.4</v>
      </c>
      <c r="C9737" s="937" t="str">
        <f>+Presupuesto!B568</f>
        <v>Salida interruptor sencillo</v>
      </c>
      <c r="D9737" s="938"/>
      <c r="E9737" s="962" t="s">
        <v>1056</v>
      </c>
      <c r="F9737" s="1066"/>
      <c r="G9737" s="938"/>
      <c r="H9737" s="1029"/>
      <c r="I9737" s="940">
        <f>+I9760</f>
        <v>1974.72</v>
      </c>
    </row>
    <row r="9738" spans="2:9" ht="15.75">
      <c r="C9738" s="941" t="s">
        <v>908</v>
      </c>
      <c r="D9738" s="942" t="s">
        <v>9</v>
      </c>
      <c r="E9738" s="943" t="s">
        <v>10</v>
      </c>
      <c r="F9738" s="1067" t="s">
        <v>909</v>
      </c>
      <c r="G9738" s="942" t="s">
        <v>910</v>
      </c>
      <c r="H9738" s="1030" t="s">
        <v>911</v>
      </c>
      <c r="I9738" s="944" t="s">
        <v>912</v>
      </c>
    </row>
    <row r="9739" spans="2:9" ht="15.75">
      <c r="C9739" s="945" t="s">
        <v>913</v>
      </c>
      <c r="D9739" s="946"/>
      <c r="E9739" s="947"/>
      <c r="F9739" s="1054"/>
      <c r="G9739" s="946"/>
      <c r="H9739" s="1031"/>
      <c r="I9739" s="948"/>
    </row>
    <row r="9740" spans="2:9" ht="15.75">
      <c r="C9740" s="949" t="s">
        <v>1621</v>
      </c>
      <c r="D9740" s="946">
        <v>1.02</v>
      </c>
      <c r="E9740" s="947" t="str">
        <f>+VLOOKUP(C9740,'Basic (equilibrio) (2)'!B:D,2,FALSE)</f>
        <v>ud</v>
      </c>
      <c r="F9740" s="1068">
        <f>'Basic (equilibrio) (2)'!$D$235</f>
        <v>1936</v>
      </c>
      <c r="G9740" s="946">
        <f>F9740-(F9740/1.18)</f>
        <v>295.32</v>
      </c>
      <c r="H9740" s="1031"/>
      <c r="I9740" s="948">
        <f>D9740*F9740</f>
        <v>1974.72</v>
      </c>
    </row>
    <row r="9741" spans="2:9" ht="15.75">
      <c r="C9741" s="951" t="s">
        <v>918</v>
      </c>
      <c r="D9741" s="946"/>
      <c r="E9741" s="947"/>
      <c r="F9741" s="1068"/>
      <c r="G9741" s="946"/>
      <c r="H9741" s="1031"/>
      <c r="I9741" s="952">
        <f>SUM(I9740:I9740)</f>
        <v>1974.72</v>
      </c>
    </row>
    <row r="9742" spans="2:9" ht="15.75">
      <c r="C9742" s="949"/>
      <c r="D9742" s="946"/>
      <c r="E9742" s="947"/>
      <c r="F9742" s="1068"/>
      <c r="G9742" s="946"/>
      <c r="H9742" s="1031"/>
      <c r="I9742" s="948"/>
    </row>
    <row r="9743" spans="2:9" ht="15.75">
      <c r="C9743" s="945" t="s">
        <v>919</v>
      </c>
      <c r="D9743" s="946"/>
      <c r="E9743" s="947"/>
      <c r="F9743" s="1068"/>
      <c r="G9743" s="946"/>
      <c r="H9743" s="1031"/>
      <c r="I9743" s="948"/>
    </row>
    <row r="9744" spans="2:9" ht="15.75">
      <c r="C9744" s="949" t="s">
        <v>924</v>
      </c>
      <c r="D9744" s="953"/>
      <c r="E9744" s="954" t="str">
        <f>+VLOOKUP(C9744,'Basic (equilibrio) (2)'!B:D,2,FALSE)</f>
        <v>n/a</v>
      </c>
      <c r="F9744" s="1068">
        <f>+VLOOKUP(C9744,'Basic (equilibrio) (2)'!B:D,3,FALSE)</f>
        <v>0</v>
      </c>
      <c r="G9744" s="946">
        <v>0</v>
      </c>
      <c r="H9744" s="1031"/>
      <c r="I9744" s="948">
        <f>(D9744*F9744)</f>
        <v>0</v>
      </c>
    </row>
    <row r="9745" spans="3:9" ht="15.75">
      <c r="C9745" s="951" t="s">
        <v>918</v>
      </c>
      <c r="D9745" s="946"/>
      <c r="E9745" s="947"/>
      <c r="F9745" s="1054"/>
      <c r="G9745" s="946"/>
      <c r="H9745" s="1031"/>
      <c r="I9745" s="952">
        <f>SUM(I9744:I9744)</f>
        <v>0</v>
      </c>
    </row>
    <row r="9746" spans="3:9" ht="15.75">
      <c r="C9746" s="949"/>
      <c r="D9746" s="946"/>
      <c r="E9746" s="947"/>
      <c r="F9746" s="1054"/>
      <c r="G9746" s="946"/>
      <c r="H9746" s="1031"/>
      <c r="I9746" s="948"/>
    </row>
    <row r="9747" spans="3:9" ht="15.75">
      <c r="C9747" s="945" t="s">
        <v>923</v>
      </c>
      <c r="D9747" s="946"/>
      <c r="E9747" s="947"/>
      <c r="F9747" s="1054"/>
      <c r="G9747" s="946"/>
      <c r="H9747" s="1031"/>
      <c r="I9747" s="948"/>
    </row>
    <row r="9748" spans="3:9" ht="15.75">
      <c r="C9748" s="949" t="s">
        <v>924</v>
      </c>
      <c r="D9748" s="946"/>
      <c r="E9748" s="947" t="str">
        <f>+VLOOKUP(C9748,'Basic (equilibrio) (2)'!B:D,2,FALSE)</f>
        <v>n/a</v>
      </c>
      <c r="F9748" s="1054">
        <f>+VLOOKUP(C9748,'Basic (equilibrio) (2)'!B:D,3,FALSE)</f>
        <v>0</v>
      </c>
      <c r="G9748" s="946">
        <f>F9748-(F9748/1.18)</f>
        <v>0</v>
      </c>
      <c r="H9748" s="1039"/>
      <c r="I9748" s="955">
        <f>D9748*F9748</f>
        <v>0</v>
      </c>
    </row>
    <row r="9749" spans="3:9" ht="15.75">
      <c r="C9749" s="951" t="s">
        <v>918</v>
      </c>
      <c r="D9749" s="946"/>
      <c r="E9749" s="947"/>
      <c r="F9749" s="1054"/>
      <c r="G9749" s="946"/>
      <c r="H9749" s="1031"/>
      <c r="I9749" s="952">
        <f>SUM(I9748:I9748)</f>
        <v>0</v>
      </c>
    </row>
    <row r="9750" spans="3:9" ht="15.75">
      <c r="C9750" s="949"/>
      <c r="D9750" s="946"/>
      <c r="E9750" s="947"/>
      <c r="F9750" s="1054"/>
      <c r="G9750" s="946"/>
      <c r="H9750" s="1031"/>
      <c r="I9750" s="948"/>
    </row>
    <row r="9751" spans="3:9" ht="15.75">
      <c r="C9751" s="945" t="s">
        <v>925</v>
      </c>
      <c r="D9751" s="946"/>
      <c r="E9751" s="947"/>
      <c r="F9751" s="1054"/>
      <c r="G9751" s="946"/>
      <c r="H9751" s="1031"/>
      <c r="I9751" s="948"/>
    </row>
    <row r="9752" spans="3:9" ht="15.75">
      <c r="C9752" s="949" t="s">
        <v>924</v>
      </c>
      <c r="D9752" s="946"/>
      <c r="E9752" s="947" t="str">
        <f>+VLOOKUP(C9752,'Basic (equilibrio) (2)'!B:D,2,FALSE)</f>
        <v>n/a</v>
      </c>
      <c r="F9752" s="1054">
        <f>+VLOOKUP(C9752,'Basic (equilibrio) (2)'!B:D,3,FALSE)</f>
        <v>0</v>
      </c>
      <c r="G9752" s="946"/>
      <c r="H9752" s="1031"/>
      <c r="I9752" s="948">
        <f>D9752*F9752</f>
        <v>0</v>
      </c>
    </row>
    <row r="9753" spans="3:9" ht="15.75">
      <c r="C9753" s="951" t="s">
        <v>918</v>
      </c>
      <c r="D9753" s="946"/>
      <c r="E9753" s="947"/>
      <c r="F9753" s="1054"/>
      <c r="G9753" s="946"/>
      <c r="H9753" s="1031"/>
      <c r="I9753" s="952">
        <f>SUM(I9752)</f>
        <v>0</v>
      </c>
    </row>
    <row r="9754" spans="3:9" ht="15.75">
      <c r="C9754" s="951"/>
      <c r="D9754" s="946"/>
      <c r="E9754" s="947"/>
      <c r="F9754" s="1054"/>
      <c r="G9754" s="946"/>
      <c r="H9754" s="1031"/>
      <c r="I9754" s="952"/>
    </row>
    <row r="9755" spans="3:9" ht="15.75">
      <c r="C9755" s="956" t="s">
        <v>926</v>
      </c>
      <c r="D9755" s="957"/>
      <c r="E9755" s="958"/>
      <c r="F9755" s="1069"/>
      <c r="G9755" s="957"/>
      <c r="H9755" s="1032"/>
      <c r="I9755" s="959">
        <f>+I9741</f>
        <v>1974.72</v>
      </c>
    </row>
    <row r="9756" spans="3:9" ht="15.75">
      <c r="C9756" s="956" t="s">
        <v>927</v>
      </c>
      <c r="D9756" s="957"/>
      <c r="E9756" s="958"/>
      <c r="F9756" s="1069"/>
      <c r="G9756" s="957"/>
      <c r="H9756" s="1032"/>
      <c r="I9756" s="959">
        <f>+I9745</f>
        <v>0</v>
      </c>
    </row>
    <row r="9757" spans="3:9" ht="15.75">
      <c r="C9757" s="956" t="s">
        <v>928</v>
      </c>
      <c r="D9757" s="957"/>
      <c r="E9757" s="958"/>
      <c r="F9757" s="1069"/>
      <c r="G9757" s="957"/>
      <c r="H9757" s="1032"/>
      <c r="I9757" s="959">
        <f>+I9749</f>
        <v>0</v>
      </c>
    </row>
    <row r="9758" spans="3:9" ht="15.75">
      <c r="C9758" s="956" t="s">
        <v>929</v>
      </c>
      <c r="D9758" s="957"/>
      <c r="E9758" s="958"/>
      <c r="F9758" s="1069"/>
      <c r="G9758" s="957"/>
      <c r="H9758" s="1032"/>
      <c r="I9758" s="959">
        <f>+I9753</f>
        <v>0</v>
      </c>
    </row>
    <row r="9759" spans="3:9" ht="15.75">
      <c r="C9759" s="949"/>
      <c r="D9759" s="946"/>
      <c r="E9759" s="947"/>
      <c r="F9759" s="1054"/>
      <c r="G9759" s="946"/>
      <c r="H9759" s="1031"/>
      <c r="I9759" s="948"/>
    </row>
    <row r="9760" spans="3:9" ht="15.75">
      <c r="C9760" s="951" t="s">
        <v>930</v>
      </c>
      <c r="D9760" s="960"/>
      <c r="E9760" s="975" t="str">
        <f>+E9737</f>
        <v>ud</v>
      </c>
      <c r="F9760" s="1070"/>
      <c r="G9760" s="960"/>
      <c r="H9760" s="1033"/>
      <c r="I9760" s="952">
        <f>SUM(I9755:I9758)</f>
        <v>1974.72</v>
      </c>
    </row>
    <row r="9761" spans="2:9" ht="15.75">
      <c r="C9761" s="951"/>
      <c r="D9761" s="960"/>
      <c r="E9761" s="943"/>
      <c r="F9761" s="1070"/>
      <c r="G9761" s="960"/>
      <c r="H9761" s="1033"/>
      <c r="I9761" s="952"/>
    </row>
    <row r="9762" spans="2:9" ht="15.75">
      <c r="B9762" s="1063">
        <f>+Presupuesto!A570</f>
        <v>12</v>
      </c>
      <c r="C9762" s="937" t="str">
        <f>+Presupuesto!B570</f>
        <v>Logo y Letrero de INAPA</v>
      </c>
      <c r="D9762" s="938"/>
      <c r="E9762" s="962" t="s">
        <v>1617</v>
      </c>
      <c r="F9762" s="1066"/>
      <c r="G9762" s="938"/>
      <c r="H9762" s="1029"/>
      <c r="I9762" s="940">
        <f>+I9785</f>
        <v>25500</v>
      </c>
    </row>
    <row r="9763" spans="2:9" ht="15.75">
      <c r="C9763" s="941" t="s">
        <v>908</v>
      </c>
      <c r="D9763" s="942" t="s">
        <v>9</v>
      </c>
      <c r="E9763" s="943" t="s">
        <v>10</v>
      </c>
      <c r="F9763" s="1067" t="s">
        <v>909</v>
      </c>
      <c r="G9763" s="942" t="s">
        <v>910</v>
      </c>
      <c r="H9763" s="1030" t="s">
        <v>911</v>
      </c>
      <c r="I9763" s="944" t="s">
        <v>912</v>
      </c>
    </row>
    <row r="9764" spans="2:9" ht="15.75">
      <c r="C9764" s="945" t="s">
        <v>913</v>
      </c>
      <c r="D9764" s="946"/>
      <c r="E9764" s="947"/>
      <c r="F9764" s="1054"/>
      <c r="G9764" s="946"/>
      <c r="H9764" s="1031"/>
      <c r="I9764" s="948"/>
    </row>
    <row r="9765" spans="2:9" ht="15.75">
      <c r="C9765" s="949" t="s">
        <v>1662</v>
      </c>
      <c r="D9765" s="946">
        <v>1.02</v>
      </c>
      <c r="E9765" s="947" t="str">
        <f>+VLOOKUP(C9765,'Basic (equilibrio) (2)'!B:D,2,FALSE)</f>
        <v>p.a</v>
      </c>
      <c r="F9765" s="1068">
        <f>'Basic (equilibrio) (2)'!$D$196</f>
        <v>25000</v>
      </c>
      <c r="G9765" s="946">
        <f>F9765-(F9765/1.18)</f>
        <v>3813.56</v>
      </c>
      <c r="H9765" s="1031"/>
      <c r="I9765" s="948">
        <f>D9765*F9765</f>
        <v>25500</v>
      </c>
    </row>
    <row r="9766" spans="2:9" ht="15.75">
      <c r="C9766" s="951" t="s">
        <v>918</v>
      </c>
      <c r="D9766" s="946"/>
      <c r="E9766" s="947"/>
      <c r="F9766" s="1068"/>
      <c r="G9766" s="946"/>
      <c r="H9766" s="1031"/>
      <c r="I9766" s="952">
        <f>SUM(I9765:I9765)</f>
        <v>25500</v>
      </c>
    </row>
    <row r="9767" spans="2:9" ht="15.75">
      <c r="C9767" s="949"/>
      <c r="D9767" s="946"/>
      <c r="E9767" s="947"/>
      <c r="F9767" s="1068"/>
      <c r="G9767" s="946"/>
      <c r="H9767" s="1031"/>
      <c r="I9767" s="948"/>
    </row>
    <row r="9768" spans="2:9" ht="15.75">
      <c r="C9768" s="945" t="s">
        <v>919</v>
      </c>
      <c r="D9768" s="946"/>
      <c r="E9768" s="947"/>
      <c r="F9768" s="1068"/>
      <c r="G9768" s="946"/>
      <c r="H9768" s="1031"/>
      <c r="I9768" s="948"/>
    </row>
    <row r="9769" spans="2:9" ht="15.75">
      <c r="C9769" s="949" t="s">
        <v>924</v>
      </c>
      <c r="D9769" s="953"/>
      <c r="E9769" s="954" t="str">
        <f>+VLOOKUP(C9769,'Basic (equilibrio) (2)'!B:D,2,FALSE)</f>
        <v>n/a</v>
      </c>
      <c r="F9769" s="1068">
        <f>+VLOOKUP(C9769,'Basic (equilibrio) (2)'!B:D,3,FALSE)</f>
        <v>0</v>
      </c>
      <c r="G9769" s="946">
        <v>0</v>
      </c>
      <c r="H9769" s="1031"/>
      <c r="I9769" s="948">
        <f>(D9769*F9769)</f>
        <v>0</v>
      </c>
    </row>
    <row r="9770" spans="2:9" ht="15.75">
      <c r="C9770" s="951" t="s">
        <v>918</v>
      </c>
      <c r="D9770" s="946"/>
      <c r="E9770" s="947"/>
      <c r="F9770" s="1054"/>
      <c r="G9770" s="946"/>
      <c r="H9770" s="1031"/>
      <c r="I9770" s="952">
        <f>SUM(I9769:I9769)</f>
        <v>0</v>
      </c>
    </row>
    <row r="9771" spans="2:9" ht="15.75">
      <c r="C9771" s="949"/>
      <c r="D9771" s="946"/>
      <c r="E9771" s="947"/>
      <c r="F9771" s="1054"/>
      <c r="G9771" s="946"/>
      <c r="H9771" s="1031"/>
      <c r="I9771" s="948"/>
    </row>
    <row r="9772" spans="2:9" ht="15.75">
      <c r="C9772" s="945" t="s">
        <v>923</v>
      </c>
      <c r="D9772" s="946"/>
      <c r="E9772" s="947"/>
      <c r="F9772" s="1054"/>
      <c r="G9772" s="946"/>
      <c r="H9772" s="1031"/>
      <c r="I9772" s="948"/>
    </row>
    <row r="9773" spans="2:9" ht="15.75">
      <c r="C9773" s="949" t="s">
        <v>924</v>
      </c>
      <c r="D9773" s="946"/>
      <c r="E9773" s="947" t="str">
        <f>+VLOOKUP(C9773,'Basic (equilibrio) (2)'!B:D,2,FALSE)</f>
        <v>n/a</v>
      </c>
      <c r="F9773" s="1054">
        <f>+VLOOKUP(C9773,'Basic (equilibrio) (2)'!B:D,3,FALSE)</f>
        <v>0</v>
      </c>
      <c r="G9773" s="946">
        <f>F9773-(F9773/1.18)</f>
        <v>0</v>
      </c>
      <c r="H9773" s="1039"/>
      <c r="I9773" s="955">
        <f>D9773*F9773</f>
        <v>0</v>
      </c>
    </row>
    <row r="9774" spans="2:9" ht="15.75">
      <c r="C9774" s="951" t="s">
        <v>918</v>
      </c>
      <c r="D9774" s="946"/>
      <c r="E9774" s="947"/>
      <c r="F9774" s="1054"/>
      <c r="G9774" s="946"/>
      <c r="H9774" s="1031"/>
      <c r="I9774" s="952">
        <f>SUM(I9773:I9773)</f>
        <v>0</v>
      </c>
    </row>
    <row r="9775" spans="2:9" ht="15.75">
      <c r="C9775" s="949"/>
      <c r="D9775" s="946"/>
      <c r="E9775" s="947"/>
      <c r="F9775" s="1054"/>
      <c r="G9775" s="946"/>
      <c r="H9775" s="1031"/>
      <c r="I9775" s="948"/>
    </row>
    <row r="9776" spans="2:9" ht="15.75">
      <c r="C9776" s="945" t="s">
        <v>925</v>
      </c>
      <c r="D9776" s="946"/>
      <c r="E9776" s="947"/>
      <c r="F9776" s="1054"/>
      <c r="G9776" s="946"/>
      <c r="H9776" s="1031"/>
      <c r="I9776" s="948"/>
    </row>
    <row r="9777" spans="2:9" ht="15.75">
      <c r="C9777" s="949" t="s">
        <v>924</v>
      </c>
      <c r="D9777" s="946"/>
      <c r="E9777" s="947" t="str">
        <f>+VLOOKUP(C9777,'Basic (equilibrio) (2)'!B:D,2,FALSE)</f>
        <v>n/a</v>
      </c>
      <c r="F9777" s="1054">
        <f>+VLOOKUP(C9777,'Basic (equilibrio) (2)'!B:D,3,FALSE)</f>
        <v>0</v>
      </c>
      <c r="G9777" s="946"/>
      <c r="H9777" s="1031"/>
      <c r="I9777" s="948">
        <f>D9777*F9777</f>
        <v>0</v>
      </c>
    </row>
    <row r="9778" spans="2:9" ht="15.75">
      <c r="C9778" s="951" t="s">
        <v>918</v>
      </c>
      <c r="D9778" s="946"/>
      <c r="E9778" s="947"/>
      <c r="F9778" s="1054"/>
      <c r="G9778" s="946"/>
      <c r="H9778" s="1031"/>
      <c r="I9778" s="952">
        <f>SUM(I9777)</f>
        <v>0</v>
      </c>
    </row>
    <row r="9779" spans="2:9" ht="15.75">
      <c r="C9779" s="951"/>
      <c r="D9779" s="946"/>
      <c r="E9779" s="947"/>
      <c r="F9779" s="1054"/>
      <c r="G9779" s="946"/>
      <c r="H9779" s="1031"/>
      <c r="I9779" s="952"/>
    </row>
    <row r="9780" spans="2:9" ht="15.75">
      <c r="C9780" s="956" t="s">
        <v>926</v>
      </c>
      <c r="D9780" s="957"/>
      <c r="E9780" s="958"/>
      <c r="F9780" s="1069"/>
      <c r="G9780" s="957"/>
      <c r="H9780" s="1032"/>
      <c r="I9780" s="959">
        <f>+I9766</f>
        <v>25500</v>
      </c>
    </row>
    <row r="9781" spans="2:9" ht="15.75">
      <c r="C9781" s="956" t="s">
        <v>927</v>
      </c>
      <c r="D9781" s="957"/>
      <c r="E9781" s="958"/>
      <c r="F9781" s="1069"/>
      <c r="G9781" s="957"/>
      <c r="H9781" s="1032"/>
      <c r="I9781" s="959">
        <f>+I9770</f>
        <v>0</v>
      </c>
    </row>
    <row r="9782" spans="2:9" ht="15.75">
      <c r="C9782" s="956" t="s">
        <v>928</v>
      </c>
      <c r="D9782" s="957"/>
      <c r="E9782" s="958"/>
      <c r="F9782" s="1069"/>
      <c r="G9782" s="957"/>
      <c r="H9782" s="1032"/>
      <c r="I9782" s="959">
        <f>+I9774</f>
        <v>0</v>
      </c>
    </row>
    <row r="9783" spans="2:9" ht="15.75">
      <c r="C9783" s="956" t="s">
        <v>929</v>
      </c>
      <c r="D9783" s="957"/>
      <c r="E9783" s="958"/>
      <c r="F9783" s="1069"/>
      <c r="G9783" s="957"/>
      <c r="H9783" s="1032"/>
      <c r="I9783" s="959">
        <f>+I9778</f>
        <v>0</v>
      </c>
    </row>
    <row r="9784" spans="2:9" ht="15.75">
      <c r="C9784" s="949"/>
      <c r="D9784" s="946"/>
      <c r="E9784" s="947"/>
      <c r="F9784" s="1054"/>
      <c r="G9784" s="946"/>
      <c r="H9784" s="1031"/>
      <c r="I9784" s="948"/>
    </row>
    <row r="9785" spans="2:9" ht="15.75">
      <c r="C9785" s="951" t="s">
        <v>930</v>
      </c>
      <c r="D9785" s="960"/>
      <c r="E9785" s="975" t="str">
        <f>+E9762</f>
        <v>p.a</v>
      </c>
      <c r="F9785" s="1070"/>
      <c r="G9785" s="960"/>
      <c r="H9785" s="1033"/>
      <c r="I9785" s="952">
        <f>SUM(I9780:I9783)</f>
        <v>25500</v>
      </c>
    </row>
    <row r="9786" spans="2:9" ht="15.75">
      <c r="C9786" s="951"/>
      <c r="D9786" s="960"/>
      <c r="E9786" s="943"/>
      <c r="F9786" s="1070"/>
      <c r="G9786" s="960"/>
      <c r="H9786" s="1033"/>
      <c r="I9786" s="952"/>
    </row>
    <row r="9787" spans="2:9" ht="18.75">
      <c r="C9787" s="1435" t="s">
        <v>1663</v>
      </c>
      <c r="D9787" s="1435"/>
      <c r="E9787" s="1435"/>
      <c r="F9787" s="1435"/>
      <c r="G9787" s="1435"/>
      <c r="H9787" s="1435"/>
      <c r="I9787" s="1436"/>
    </row>
    <row r="9788" spans="2:9" ht="15.75">
      <c r="C9788" s="951"/>
      <c r="D9788" s="1084"/>
      <c r="E9788" s="943"/>
      <c r="F9788" s="1085"/>
      <c r="G9788" s="1084"/>
      <c r="H9788" s="1086"/>
      <c r="I9788" s="1087"/>
    </row>
    <row r="9789" spans="2:9" ht="15.75">
      <c r="B9789" s="1024">
        <v>1.1000000000000001</v>
      </c>
      <c r="C9789" s="937" t="str">
        <f>+Presupuesto!B576</f>
        <v>Replanteo y charrancha</v>
      </c>
      <c r="D9789" s="938"/>
      <c r="E9789" s="939" t="s">
        <v>1088</v>
      </c>
      <c r="F9789" s="1066"/>
      <c r="G9789" s="938"/>
      <c r="H9789" s="1029"/>
      <c r="I9789" s="940">
        <f>+I9819</f>
        <v>162.29</v>
      </c>
    </row>
    <row r="9790" spans="2:9" ht="15.75">
      <c r="C9790" s="941" t="s">
        <v>908</v>
      </c>
      <c r="D9790" s="942" t="s">
        <v>9</v>
      </c>
      <c r="E9790" s="943" t="s">
        <v>10</v>
      </c>
      <c r="F9790" s="1067" t="s">
        <v>909</v>
      </c>
      <c r="G9790" s="942" t="s">
        <v>910</v>
      </c>
      <c r="H9790" s="1030" t="s">
        <v>911</v>
      </c>
      <c r="I9790" s="944" t="s">
        <v>912</v>
      </c>
    </row>
    <row r="9791" spans="2:9" ht="15.75">
      <c r="C9791" s="945" t="s">
        <v>913</v>
      </c>
      <c r="D9791" s="946"/>
      <c r="E9791" s="947"/>
      <c r="F9791" s="1054"/>
      <c r="G9791" s="946"/>
      <c r="H9791" s="1031"/>
      <c r="I9791" s="948"/>
    </row>
    <row r="9792" spans="2:9" ht="15.75">
      <c r="C9792" s="949" t="s">
        <v>914</v>
      </c>
      <c r="D9792" s="946">
        <f>33.94/28.83</f>
        <v>1.18</v>
      </c>
      <c r="E9792" s="947" t="str">
        <f>+VLOOKUP(C9792,'Basic (equilibrio) (2)'!B:D,2,FALSE)</f>
        <v>lb</v>
      </c>
      <c r="F9792" s="1068">
        <f>'Basic (equilibrio) (2)'!$D$326</f>
        <v>78.2</v>
      </c>
      <c r="G9792" s="946">
        <f>F9792-(F9792/1.18)</f>
        <v>11.93</v>
      </c>
      <c r="H9792" s="1031"/>
      <c r="I9792" s="948">
        <f>D9792*F9792</f>
        <v>92.28</v>
      </c>
    </row>
    <row r="9793" spans="3:9" ht="15.75">
      <c r="C9793" s="949" t="s">
        <v>915</v>
      </c>
      <c r="D9793" s="946">
        <f>22/28.83</f>
        <v>0.76</v>
      </c>
      <c r="E9793" s="950" t="str">
        <f>+VLOOKUP(C9793,'Basic (equilibrio) (2)'!B:D,2,FALSE)</f>
        <v>fda</v>
      </c>
      <c r="F9793" s="1068">
        <f>'Basic (equilibrio) (2)'!$D$327</f>
        <v>153.6</v>
      </c>
      <c r="G9793" s="946">
        <f>F9793-(F9793/1.18)</f>
        <v>23.43</v>
      </c>
      <c r="H9793" s="1031"/>
      <c r="I9793" s="948">
        <f>D9793*F9793</f>
        <v>116.74</v>
      </c>
    </row>
    <row r="9794" spans="3:9" ht="15.75">
      <c r="C9794" s="949" t="s">
        <v>916</v>
      </c>
      <c r="D9794" s="946">
        <f>160.42/28.83</f>
        <v>5.56</v>
      </c>
      <c r="E9794" s="947" t="str">
        <f>+VLOOKUP(C9794,'Basic (equilibrio) (2)'!B:D,2,FALSE)</f>
        <v>pt</v>
      </c>
      <c r="F9794" s="1068">
        <f>'Basic (equilibrio) (2)'!$D$194</f>
        <v>107.7</v>
      </c>
      <c r="G9794" s="946">
        <f>F9794-(F9794/1.18)</f>
        <v>16.43</v>
      </c>
      <c r="H9794" s="1031"/>
      <c r="I9794" s="948">
        <f>D9794*F9794</f>
        <v>598.80999999999995</v>
      </c>
    </row>
    <row r="9795" spans="3:9" ht="15.75">
      <c r="C9795" s="949" t="s">
        <v>917</v>
      </c>
      <c r="D9795" s="946">
        <f>3/28.83</f>
        <v>0.1</v>
      </c>
      <c r="E9795" s="950" t="str">
        <f>+VLOOKUP(C9795,'Basic (equilibrio) (2)'!B:D,2,FALSE)</f>
        <v>u</v>
      </c>
      <c r="F9795" s="1068">
        <f>'Basic (equilibrio) (2)'!$D$329</f>
        <v>139.19999999999999</v>
      </c>
      <c r="G9795" s="946">
        <f>F9795-(F9795/1.18)</f>
        <v>21.23</v>
      </c>
      <c r="H9795" s="1031"/>
      <c r="I9795" s="948">
        <f>D9795*F9795</f>
        <v>13.92</v>
      </c>
    </row>
    <row r="9796" spans="3:9" ht="15.75">
      <c r="C9796" s="951" t="s">
        <v>918</v>
      </c>
      <c r="D9796" s="946"/>
      <c r="E9796" s="947"/>
      <c r="F9796" s="1068"/>
      <c r="G9796" s="946"/>
      <c r="H9796" s="1031"/>
      <c r="I9796" s="952">
        <f>SUM(I9792:I9795)</f>
        <v>821.75</v>
      </c>
    </row>
    <row r="9797" spans="3:9" ht="15.75">
      <c r="C9797" s="949"/>
      <c r="D9797" s="946"/>
      <c r="E9797" s="947"/>
      <c r="F9797" s="1068"/>
      <c r="G9797" s="946"/>
      <c r="H9797" s="1031"/>
      <c r="I9797" s="948"/>
    </row>
    <row r="9798" spans="3:9" ht="15.75">
      <c r="C9798" s="945" t="s">
        <v>919</v>
      </c>
      <c r="D9798" s="946"/>
      <c r="E9798" s="947"/>
      <c r="F9798" s="1068"/>
      <c r="G9798" s="946"/>
      <c r="H9798" s="1031"/>
      <c r="I9798" s="948"/>
    </row>
    <row r="9799" spans="3:9" ht="15.75">
      <c r="C9799" s="949" t="s">
        <v>920</v>
      </c>
      <c r="D9799" s="953">
        <v>1</v>
      </c>
      <c r="E9799" s="954" t="str">
        <f>+VLOOKUP(C9799,'Basic (equilibrio) (2)'!B:D,2,FALSE)</f>
        <v>dia</v>
      </c>
      <c r="F9799" s="1068">
        <f>+'Basic (equilibrio) (2)'!$D$18</f>
        <v>28535.5</v>
      </c>
      <c r="G9799" s="946">
        <v>0</v>
      </c>
      <c r="H9799" s="1031"/>
      <c r="I9799" s="948">
        <f>D9799*F9799</f>
        <v>28535.5</v>
      </c>
    </row>
    <row r="9800" spans="3:9" ht="15.75">
      <c r="C9800" s="949" t="s">
        <v>921</v>
      </c>
      <c r="D9800" s="946">
        <v>1</v>
      </c>
      <c r="E9800" s="954" t="str">
        <f>+VLOOKUP(C9800,'Basic (equilibrio) (2)'!B:D,2,FALSE)</f>
        <v>dia</v>
      </c>
      <c r="F9800" s="1054">
        <f>'Basic (equilibrio) (2)'!$D$12</f>
        <v>1900</v>
      </c>
      <c r="G9800" s="946">
        <v>0</v>
      </c>
      <c r="H9800" s="1031"/>
      <c r="I9800" s="948">
        <f>D9800*F9800</f>
        <v>1900</v>
      </c>
    </row>
    <row r="9801" spans="3:9" ht="15.75">
      <c r="C9801" s="949" t="s">
        <v>922</v>
      </c>
      <c r="D9801" s="946">
        <v>1</v>
      </c>
      <c r="E9801" s="954" t="str">
        <f>+VLOOKUP(C9801,'Basic (equilibrio) (2)'!B:D,2,FALSE)</f>
        <v>dia</v>
      </c>
      <c r="F9801" s="1054">
        <f>'Basic (equilibrio) (2)'!$D$13</f>
        <v>1200</v>
      </c>
      <c r="G9801" s="946">
        <v>0</v>
      </c>
      <c r="H9801" s="1031"/>
      <c r="I9801" s="948">
        <f>D9801*F9801</f>
        <v>1200</v>
      </c>
    </row>
    <row r="9802" spans="3:9" ht="15.75">
      <c r="C9802" s="951" t="s">
        <v>918</v>
      </c>
      <c r="D9802" s="946"/>
      <c r="E9802" s="947"/>
      <c r="F9802" s="1054"/>
      <c r="G9802" s="946"/>
      <c r="H9802" s="1031"/>
      <c r="I9802" s="952">
        <f>SUM(I9799:I9801)</f>
        <v>31635.5</v>
      </c>
    </row>
    <row r="9803" spans="3:9" ht="15.75">
      <c r="C9803" s="949"/>
      <c r="D9803" s="946"/>
      <c r="E9803" s="947"/>
      <c r="F9803" s="1054"/>
      <c r="G9803" s="946"/>
      <c r="H9803" s="1031"/>
      <c r="I9803" s="948"/>
    </row>
    <row r="9804" spans="3:9" ht="15.75">
      <c r="C9804" s="945" t="s">
        <v>923</v>
      </c>
      <c r="D9804" s="946"/>
      <c r="E9804" s="947"/>
      <c r="F9804" s="1054"/>
      <c r="G9804" s="946"/>
      <c r="H9804" s="1031"/>
      <c r="I9804" s="948"/>
    </row>
    <row r="9805" spans="3:9" ht="15.75">
      <c r="C9805" s="949" t="s">
        <v>924</v>
      </c>
      <c r="D9805" s="946"/>
      <c r="E9805" s="947" t="str">
        <f>+VLOOKUP(C9805,'Basic (equilibrio) (2)'!B:D,2,FALSE)</f>
        <v>n/a</v>
      </c>
      <c r="F9805" s="1054">
        <f>+VLOOKUP(C9805,'Basic (equilibrio) (2)'!B:D,3,FALSE)</f>
        <v>0</v>
      </c>
      <c r="G9805" s="946">
        <f>F9805-(F9805/1.18)</f>
        <v>0</v>
      </c>
      <c r="H9805" s="1039"/>
      <c r="I9805" s="955">
        <f>D9805*F9805</f>
        <v>0</v>
      </c>
    </row>
    <row r="9806" spans="3:9" ht="15.75">
      <c r="C9806" s="951" t="s">
        <v>918</v>
      </c>
      <c r="D9806" s="946"/>
      <c r="E9806" s="947"/>
      <c r="F9806" s="1054"/>
      <c r="G9806" s="946"/>
      <c r="H9806" s="1031"/>
      <c r="I9806" s="952">
        <f>SUM(I9805)</f>
        <v>0</v>
      </c>
    </row>
    <row r="9807" spans="3:9" ht="15.75">
      <c r="C9807" s="949"/>
      <c r="D9807" s="946"/>
      <c r="E9807" s="947"/>
      <c r="F9807" s="1054"/>
      <c r="G9807" s="946"/>
      <c r="H9807" s="1031"/>
      <c r="I9807" s="948"/>
    </row>
    <row r="9808" spans="3:9" ht="15.75">
      <c r="C9808" s="945" t="s">
        <v>925</v>
      </c>
      <c r="D9808" s="946"/>
      <c r="E9808" s="947"/>
      <c r="F9808" s="1054"/>
      <c r="G9808" s="946"/>
      <c r="H9808" s="1031"/>
      <c r="I9808" s="948"/>
    </row>
    <row r="9809" spans="2:9" ht="15.75">
      <c r="C9809" s="949" t="s">
        <v>925</v>
      </c>
      <c r="D9809" s="946">
        <f>+I9796</f>
        <v>821.75</v>
      </c>
      <c r="E9809" s="947" t="str">
        <f>+VLOOKUP(C9809,'Basic (equilibrio) (2)'!B:D,2,FALSE)</f>
        <v>Pa</v>
      </c>
      <c r="F9809" s="1054">
        <f>+VLOOKUP(C9809,'Basic (equilibrio) (2)'!B:D,3,FALSE)</f>
        <v>0</v>
      </c>
      <c r="G9809" s="946">
        <f>F9809-(F9809/1.18)</f>
        <v>0</v>
      </c>
      <c r="H9809" s="1031"/>
      <c r="I9809" s="948">
        <f>D9809*F9809</f>
        <v>0</v>
      </c>
    </row>
    <row r="9810" spans="2:9" ht="15.75">
      <c r="C9810" s="951" t="s">
        <v>918</v>
      </c>
      <c r="D9810" s="946"/>
      <c r="E9810" s="947"/>
      <c r="F9810" s="1054"/>
      <c r="G9810" s="946"/>
      <c r="H9810" s="1031"/>
      <c r="I9810" s="952">
        <f>SUM(I9809)</f>
        <v>0</v>
      </c>
    </row>
    <row r="9811" spans="2:9" ht="15.75">
      <c r="C9811" s="951"/>
      <c r="D9811" s="946"/>
      <c r="E9811" s="947"/>
      <c r="F9811" s="1054"/>
      <c r="G9811" s="946"/>
      <c r="H9811" s="1031"/>
      <c r="I9811" s="952"/>
    </row>
    <row r="9812" spans="2:9" ht="15.75">
      <c r="C9812" s="956" t="s">
        <v>926</v>
      </c>
      <c r="D9812" s="957"/>
      <c r="E9812" s="958"/>
      <c r="F9812" s="1069"/>
      <c r="G9812" s="957"/>
      <c r="H9812" s="1032"/>
      <c r="I9812" s="959">
        <f>+I9796</f>
        <v>821.75</v>
      </c>
    </row>
    <row r="9813" spans="2:9" ht="15.75">
      <c r="C9813" s="956" t="s">
        <v>927</v>
      </c>
      <c r="D9813" s="957"/>
      <c r="E9813" s="958"/>
      <c r="F9813" s="1069"/>
      <c r="G9813" s="957"/>
      <c r="H9813" s="1032"/>
      <c r="I9813" s="959">
        <f>+I9802</f>
        <v>31635.5</v>
      </c>
    </row>
    <row r="9814" spans="2:9" ht="15.75">
      <c r="C9814" s="956" t="s">
        <v>928</v>
      </c>
      <c r="D9814" s="957"/>
      <c r="E9814" s="958"/>
      <c r="F9814" s="1069"/>
      <c r="G9814" s="957"/>
      <c r="H9814" s="1032"/>
      <c r="I9814" s="959">
        <f>+I9806</f>
        <v>0</v>
      </c>
    </row>
    <row r="9815" spans="2:9" ht="15.75">
      <c r="C9815" s="956" t="s">
        <v>929</v>
      </c>
      <c r="D9815" s="957"/>
      <c r="E9815" s="958"/>
      <c r="F9815" s="1069"/>
      <c r="G9815" s="957"/>
      <c r="H9815" s="1032"/>
      <c r="I9815" s="959">
        <f>+I9810</f>
        <v>0</v>
      </c>
    </row>
    <row r="9816" spans="2:9" ht="15.75">
      <c r="C9816" s="949"/>
      <c r="D9816" s="946"/>
      <c r="E9816" s="947"/>
      <c r="F9816" s="1054"/>
      <c r="G9816" s="946"/>
      <c r="H9816" s="1031"/>
      <c r="I9816" s="948"/>
    </row>
    <row r="9817" spans="2:9" ht="15.75">
      <c r="C9817" s="949"/>
      <c r="D9817" s="946"/>
      <c r="E9817" s="947"/>
      <c r="F9817" s="1054"/>
      <c r="G9817" s="946"/>
      <c r="H9817" s="1031"/>
      <c r="I9817" s="948"/>
    </row>
    <row r="9818" spans="2:9" ht="15.75">
      <c r="C9818" s="951" t="s">
        <v>930</v>
      </c>
      <c r="D9818" s="960">
        <v>200</v>
      </c>
      <c r="E9818" s="943" t="str">
        <f>+E9789</f>
        <v>m</v>
      </c>
      <c r="F9818" s="1070"/>
      <c r="G9818" s="960"/>
      <c r="H9818" s="1033"/>
      <c r="I9818" s="952">
        <f>SUM(I9812:I9815)</f>
        <v>32457.25</v>
      </c>
    </row>
    <row r="9819" spans="2:9" ht="15.75">
      <c r="C9819" s="951"/>
      <c r="D9819" s="960"/>
      <c r="E9819" s="943" t="s">
        <v>1088</v>
      </c>
      <c r="F9819" s="1070"/>
      <c r="G9819" s="960"/>
      <c r="H9819" s="1033"/>
      <c r="I9819" s="952">
        <f>+I9818/D9818</f>
        <v>162.29</v>
      </c>
    </row>
    <row r="9820" spans="2:9" ht="15.75">
      <c r="C9820" s="951"/>
      <c r="D9820" s="960"/>
      <c r="E9820" s="943"/>
      <c r="F9820" s="1070"/>
      <c r="G9820" s="960"/>
      <c r="H9820" s="1033"/>
      <c r="I9820" s="952"/>
    </row>
    <row r="9821" spans="2:9" ht="15.75">
      <c r="B9821" s="1026">
        <v>2.1</v>
      </c>
      <c r="C9821" s="937" t="str">
        <f>+Presupuesto!B579</f>
        <v>Excavación material no clasificado a mano</v>
      </c>
      <c r="D9821" s="938"/>
      <c r="E9821" s="962" t="s">
        <v>1554</v>
      </c>
      <c r="F9821" s="1066"/>
      <c r="G9821" s="938"/>
      <c r="H9821" s="1029"/>
      <c r="I9821" s="940">
        <f>I9846</f>
        <v>118.09</v>
      </c>
    </row>
    <row r="9822" spans="2:9" ht="15.75">
      <c r="C9822" s="941" t="s">
        <v>908</v>
      </c>
      <c r="D9822" s="942" t="s">
        <v>9</v>
      </c>
      <c r="E9822" s="943" t="s">
        <v>10</v>
      </c>
      <c r="F9822" s="1067" t="s">
        <v>909</v>
      </c>
      <c r="G9822" s="942" t="s">
        <v>910</v>
      </c>
      <c r="H9822" s="1030" t="s">
        <v>911</v>
      </c>
      <c r="I9822" s="944" t="s">
        <v>912</v>
      </c>
    </row>
    <row r="9823" spans="2:9" ht="15.75">
      <c r="C9823" s="945" t="s">
        <v>913</v>
      </c>
      <c r="D9823" s="946"/>
      <c r="E9823" s="947"/>
      <c r="F9823" s="1054"/>
      <c r="G9823" s="946"/>
      <c r="H9823" s="1031"/>
      <c r="I9823" s="948"/>
    </row>
    <row r="9824" spans="2:9" ht="15.75">
      <c r="C9824" s="949" t="s">
        <v>924</v>
      </c>
      <c r="D9824" s="946"/>
      <c r="E9824" s="947" t="str">
        <f>+VLOOKUP(C9824,'Basic (equilibrio) (2)'!B:D,2,FALSE)</f>
        <v>n/a</v>
      </c>
      <c r="F9824" s="1068">
        <f>+VLOOKUP(C9824,'Basic (equilibrio) (2)'!B:D,3,FALSE)</f>
        <v>0</v>
      </c>
      <c r="G9824" s="946">
        <f>F9824-(F9824/1.18)</f>
        <v>0</v>
      </c>
      <c r="H9824" s="1031"/>
      <c r="I9824" s="948">
        <f>D9824*F9824</f>
        <v>0</v>
      </c>
    </row>
    <row r="9825" spans="3:9" ht="15.75">
      <c r="C9825" s="951" t="s">
        <v>918</v>
      </c>
      <c r="D9825" s="946"/>
      <c r="E9825" s="947"/>
      <c r="F9825" s="1068"/>
      <c r="G9825" s="946"/>
      <c r="H9825" s="1031"/>
      <c r="I9825" s="952">
        <f>SUM(I9824:I9824)</f>
        <v>0</v>
      </c>
    </row>
    <row r="9826" spans="3:9" ht="15.75">
      <c r="C9826" s="949"/>
      <c r="D9826" s="946"/>
      <c r="E9826" s="947"/>
      <c r="F9826" s="1068"/>
      <c r="G9826" s="946"/>
      <c r="H9826" s="1031"/>
      <c r="I9826" s="948"/>
    </row>
    <row r="9827" spans="3:9" ht="15.75">
      <c r="C9827" s="945" t="s">
        <v>919</v>
      </c>
      <c r="D9827" s="946"/>
      <c r="E9827" s="947"/>
      <c r="F9827" s="1068"/>
      <c r="G9827" s="946"/>
      <c r="H9827" s="1031"/>
      <c r="I9827" s="948"/>
    </row>
    <row r="9828" spans="3:9" ht="15.75">
      <c r="C9828" s="949" t="s">
        <v>931</v>
      </c>
      <c r="D9828" s="953">
        <v>0.13</v>
      </c>
      <c r="E9828" s="954" t="str">
        <f>+VLOOKUP(C9828,'Basic (equilibrio) (2)'!B:D,2,FALSE)</f>
        <v>dia</v>
      </c>
      <c r="F9828" s="1068">
        <f>'Basic (equilibrio) (2)'!$D$14</f>
        <v>900</v>
      </c>
      <c r="G9828" s="946">
        <v>0</v>
      </c>
      <c r="H9828" s="1031">
        <v>70</v>
      </c>
      <c r="I9828" s="948">
        <f>(D9828*F9828)/H9828</f>
        <v>1.67</v>
      </c>
    </row>
    <row r="9829" spans="3:9" ht="15.75">
      <c r="C9829" s="951" t="s">
        <v>918</v>
      </c>
      <c r="D9829" s="946"/>
      <c r="E9829" s="947"/>
      <c r="F9829" s="1054"/>
      <c r="G9829" s="946"/>
      <c r="H9829" s="1031"/>
      <c r="I9829" s="952">
        <f>SUM(I9828:I9828)</f>
        <v>1.67</v>
      </c>
    </row>
    <row r="9830" spans="3:9" ht="15.75">
      <c r="C9830" s="949"/>
      <c r="D9830" s="946"/>
      <c r="E9830" s="947"/>
      <c r="F9830" s="1054"/>
      <c r="G9830" s="946"/>
      <c r="H9830" s="1031"/>
      <c r="I9830" s="948"/>
    </row>
    <row r="9831" spans="3:9" ht="15.75">
      <c r="C9831" s="945" t="s">
        <v>923</v>
      </c>
      <c r="D9831" s="946"/>
      <c r="E9831" s="947"/>
      <c r="F9831" s="1054"/>
      <c r="G9831" s="946"/>
      <c r="H9831" s="1031"/>
      <c r="I9831" s="948"/>
    </row>
    <row r="9832" spans="3:9" ht="31.5">
      <c r="C9832" s="949" t="s">
        <v>932</v>
      </c>
      <c r="D9832" s="946">
        <v>1</v>
      </c>
      <c r="E9832" s="947" t="str">
        <f>+VLOOKUP(C9832,'Basic (equilibrio) (2)'!B:D,2,FALSE)</f>
        <v>hr</v>
      </c>
      <c r="F9832" s="1054">
        <f>'Basic (equilibrio) (2)'!$D$690</f>
        <v>3900</v>
      </c>
      <c r="G9832" s="946">
        <f>F9832-(F9832/1.18)</f>
        <v>594.91999999999996</v>
      </c>
      <c r="H9832" s="1039">
        <v>70</v>
      </c>
      <c r="I9832" s="955">
        <f>D9832*F9832/H9832</f>
        <v>55.71</v>
      </c>
    </row>
    <row r="9833" spans="3:9" ht="15.75">
      <c r="C9833" s="949" t="s">
        <v>933</v>
      </c>
      <c r="D9833" s="946">
        <v>1</v>
      </c>
      <c r="E9833" s="947" t="str">
        <f>+VLOOKUP(C9833,'Basic (equilibrio) (2)'!B:D,2,FALSE)</f>
        <v>hr</v>
      </c>
      <c r="F9833" s="1054">
        <f>'Basic (equilibrio) (2)'!$D$682</f>
        <v>4250</v>
      </c>
      <c r="G9833" s="946">
        <f>F9833-(F9833/1.18)</f>
        <v>648.30999999999995</v>
      </c>
      <c r="H9833" s="1039">
        <v>70</v>
      </c>
      <c r="I9833" s="955">
        <f>D9833*F9833/H9833</f>
        <v>60.71</v>
      </c>
    </row>
    <row r="9834" spans="3:9" ht="15.75">
      <c r="C9834" s="951" t="s">
        <v>918</v>
      </c>
      <c r="D9834" s="946"/>
      <c r="E9834" s="947"/>
      <c r="F9834" s="1054"/>
      <c r="G9834" s="946"/>
      <c r="H9834" s="1031"/>
      <c r="I9834" s="952">
        <f>SUM(I9832:I9833)</f>
        <v>116.42</v>
      </c>
    </row>
    <row r="9835" spans="3:9" ht="15.75">
      <c r="C9835" s="949"/>
      <c r="D9835" s="946"/>
      <c r="E9835" s="947"/>
      <c r="F9835" s="1054"/>
      <c r="G9835" s="946"/>
      <c r="H9835" s="1031"/>
      <c r="I9835" s="948"/>
    </row>
    <row r="9836" spans="3:9" ht="15.75">
      <c r="C9836" s="945" t="s">
        <v>925</v>
      </c>
      <c r="D9836" s="946"/>
      <c r="E9836" s="947"/>
      <c r="F9836" s="1054"/>
      <c r="G9836" s="946"/>
      <c r="H9836" s="1031"/>
      <c r="I9836" s="948"/>
    </row>
    <row r="9837" spans="3:9" ht="15.75">
      <c r="C9837" s="949" t="s">
        <v>925</v>
      </c>
      <c r="D9837" s="946">
        <f>+I9834</f>
        <v>116.42</v>
      </c>
      <c r="E9837" s="947" t="str">
        <f>+VLOOKUP(C9837,'Basic (equilibrio) (2)'!B:D,2,FALSE)</f>
        <v>Pa</v>
      </c>
      <c r="F9837" s="1054">
        <f>+VLOOKUP(C9837,'Basic (equilibrio) (2)'!B:D,3,FALSE)</f>
        <v>0</v>
      </c>
      <c r="G9837" s="946"/>
      <c r="H9837" s="1031"/>
      <c r="I9837" s="948">
        <f>D9837*F9837</f>
        <v>0</v>
      </c>
    </row>
    <row r="9838" spans="3:9" ht="15.75">
      <c r="C9838" s="951" t="s">
        <v>918</v>
      </c>
      <c r="D9838" s="946"/>
      <c r="E9838" s="947"/>
      <c r="F9838" s="1054"/>
      <c r="G9838" s="946"/>
      <c r="H9838" s="1031"/>
      <c r="I9838" s="952">
        <f>SUM(I9837)</f>
        <v>0</v>
      </c>
    </row>
    <row r="9839" spans="3:9" ht="15.75">
      <c r="C9839" s="951"/>
      <c r="D9839" s="946"/>
      <c r="E9839" s="947"/>
      <c r="F9839" s="1054"/>
      <c r="G9839" s="946"/>
      <c r="H9839" s="1031"/>
      <c r="I9839" s="952"/>
    </row>
    <row r="9840" spans="3:9" ht="15.75">
      <c r="C9840" s="956" t="s">
        <v>926</v>
      </c>
      <c r="D9840" s="957"/>
      <c r="E9840" s="958"/>
      <c r="F9840" s="1069"/>
      <c r="G9840" s="957"/>
      <c r="H9840" s="1032"/>
      <c r="I9840" s="959">
        <f>+I9825</f>
        <v>0</v>
      </c>
    </row>
    <row r="9841" spans="2:9" ht="15.75">
      <c r="C9841" s="956" t="s">
        <v>927</v>
      </c>
      <c r="D9841" s="957"/>
      <c r="E9841" s="958"/>
      <c r="F9841" s="1069"/>
      <c r="G9841" s="957"/>
      <c r="H9841" s="1032"/>
      <c r="I9841" s="959">
        <f>+I9829</f>
        <v>1.67</v>
      </c>
    </row>
    <row r="9842" spans="2:9" ht="15.75">
      <c r="C9842" s="956" t="s">
        <v>928</v>
      </c>
      <c r="D9842" s="957"/>
      <c r="E9842" s="958"/>
      <c r="F9842" s="1069"/>
      <c r="G9842" s="957"/>
      <c r="H9842" s="1032"/>
      <c r="I9842" s="959">
        <f>+I9834</f>
        <v>116.42</v>
      </c>
    </row>
    <row r="9843" spans="2:9" ht="15.75">
      <c r="C9843" s="956" t="s">
        <v>929</v>
      </c>
      <c r="D9843" s="957"/>
      <c r="E9843" s="958"/>
      <c r="F9843" s="1069"/>
      <c r="G9843" s="957"/>
      <c r="H9843" s="1032"/>
      <c r="I9843" s="959">
        <f>+I9838</f>
        <v>0</v>
      </c>
    </row>
    <row r="9844" spans="2:9" ht="15.75">
      <c r="C9844" s="949"/>
      <c r="D9844" s="946"/>
      <c r="E9844" s="947"/>
      <c r="F9844" s="1054"/>
      <c r="G9844" s="946"/>
      <c r="H9844" s="1031"/>
      <c r="I9844" s="948"/>
    </row>
    <row r="9845" spans="2:9" ht="15.75">
      <c r="C9845" s="949"/>
      <c r="D9845" s="946"/>
      <c r="E9845" s="947"/>
      <c r="F9845" s="1054"/>
      <c r="G9845" s="946"/>
      <c r="H9845" s="1031"/>
      <c r="I9845" s="948"/>
    </row>
    <row r="9846" spans="2:9" ht="15.75">
      <c r="C9846" s="951" t="s">
        <v>930</v>
      </c>
      <c r="D9846" s="960"/>
      <c r="E9846" s="943" t="str">
        <f>+E9821</f>
        <v>M3N</v>
      </c>
      <c r="F9846" s="1070"/>
      <c r="G9846" s="960"/>
      <c r="H9846" s="1033"/>
      <c r="I9846" s="952">
        <f>SUM(I9840:I9843)</f>
        <v>118.09</v>
      </c>
    </row>
    <row r="9847" spans="2:9" ht="15.75">
      <c r="C9847" s="951"/>
      <c r="D9847" s="960"/>
      <c r="E9847" s="943"/>
      <c r="F9847" s="1070"/>
      <c r="G9847" s="960"/>
      <c r="H9847" s="1033"/>
      <c r="I9847" s="952"/>
    </row>
    <row r="9848" spans="2:9" ht="15.75">
      <c r="B9848" s="1026">
        <v>2.2000000000000002</v>
      </c>
      <c r="C9848" s="937" t="str">
        <f>+Presupuesto!B580</f>
        <v>Relleno compactado c/compactador mecánico</v>
      </c>
      <c r="D9848" s="938"/>
      <c r="E9848" s="962" t="s">
        <v>219</v>
      </c>
      <c r="F9848" s="1066"/>
      <c r="G9848" s="938"/>
      <c r="H9848" s="1029"/>
      <c r="I9848" s="940">
        <f>I9874</f>
        <v>87.49</v>
      </c>
    </row>
    <row r="9849" spans="2:9" ht="15.75">
      <c r="C9849" s="941" t="s">
        <v>908</v>
      </c>
      <c r="D9849" s="942" t="s">
        <v>9</v>
      </c>
      <c r="E9849" s="943" t="s">
        <v>10</v>
      </c>
      <c r="F9849" s="1067" t="s">
        <v>909</v>
      </c>
      <c r="G9849" s="942" t="s">
        <v>910</v>
      </c>
      <c r="H9849" s="1030" t="s">
        <v>911</v>
      </c>
      <c r="I9849" s="944" t="s">
        <v>912</v>
      </c>
    </row>
    <row r="9850" spans="2:9" ht="15.75">
      <c r="C9850" s="945" t="s">
        <v>913</v>
      </c>
      <c r="D9850" s="946"/>
      <c r="E9850" s="947"/>
      <c r="F9850" s="1054"/>
      <c r="G9850" s="946"/>
      <c r="H9850" s="1031"/>
      <c r="I9850" s="948"/>
    </row>
    <row r="9851" spans="2:9" ht="15.75">
      <c r="C9851" s="949" t="s">
        <v>924</v>
      </c>
      <c r="D9851" s="946">
        <v>1.3</v>
      </c>
      <c r="E9851" s="947" t="str">
        <f>+VLOOKUP(C9851,'Basic (equilibrio) (2)'!B:D,2,FALSE)</f>
        <v>n/a</v>
      </c>
      <c r="F9851" s="1068">
        <f>+VLOOKUP(C9851,'Basic (equilibrio) (2)'!B:D,3,FALSE)</f>
        <v>0</v>
      </c>
      <c r="G9851" s="946">
        <f>F9851-(F9851/1.18)</f>
        <v>0</v>
      </c>
      <c r="H9851" s="1031"/>
      <c r="I9851" s="948">
        <f>D9851*F9851</f>
        <v>0</v>
      </c>
    </row>
    <row r="9852" spans="2:9" ht="15.75">
      <c r="C9852" s="951" t="s">
        <v>918</v>
      </c>
      <c r="D9852" s="946"/>
      <c r="E9852" s="947"/>
      <c r="F9852" s="1068"/>
      <c r="G9852" s="946"/>
      <c r="H9852" s="1031"/>
      <c r="I9852" s="952">
        <f>SUM(I9851:I9851)</f>
        <v>0</v>
      </c>
    </row>
    <row r="9853" spans="2:9" ht="15.75">
      <c r="C9853" s="949"/>
      <c r="D9853" s="946"/>
      <c r="E9853" s="947"/>
      <c r="F9853" s="1068"/>
      <c r="G9853" s="946"/>
      <c r="H9853" s="1031"/>
      <c r="I9853" s="948"/>
    </row>
    <row r="9854" spans="2:9" ht="15.75">
      <c r="C9854" s="945" t="s">
        <v>919</v>
      </c>
      <c r="D9854" s="946"/>
      <c r="E9854" s="947"/>
      <c r="F9854" s="1068"/>
      <c r="G9854" s="946"/>
      <c r="H9854" s="1031"/>
      <c r="I9854" s="948"/>
    </row>
    <row r="9855" spans="2:9" ht="15.75">
      <c r="C9855" s="949" t="s">
        <v>931</v>
      </c>
      <c r="D9855" s="953">
        <v>0.25</v>
      </c>
      <c r="E9855" s="954" t="str">
        <f>+VLOOKUP(C9855,'Basic (equilibrio) (2)'!B:D,2,FALSE)</f>
        <v>dia</v>
      </c>
      <c r="F9855" s="1068">
        <f>'Basic (equilibrio) (2)'!$D$14</f>
        <v>900</v>
      </c>
      <c r="G9855" s="946">
        <v>0</v>
      </c>
      <c r="H9855" s="1031">
        <v>70</v>
      </c>
      <c r="I9855" s="948">
        <f>(D9855*F9855)/H9855</f>
        <v>3.21</v>
      </c>
    </row>
    <row r="9856" spans="2:9" ht="15.75">
      <c r="C9856" s="951" t="s">
        <v>918</v>
      </c>
      <c r="D9856" s="946"/>
      <c r="E9856" s="947"/>
      <c r="F9856" s="1054"/>
      <c r="G9856" s="946"/>
      <c r="H9856" s="1031"/>
      <c r="I9856" s="952">
        <f>SUM(I9855:I9855)</f>
        <v>3.21</v>
      </c>
    </row>
    <row r="9857" spans="3:9" ht="15.75">
      <c r="C9857" s="949"/>
      <c r="D9857" s="946"/>
      <c r="E9857" s="947"/>
      <c r="F9857" s="1054"/>
      <c r="G9857" s="946"/>
      <c r="H9857" s="1031"/>
      <c r="I9857" s="948"/>
    </row>
    <row r="9858" spans="3:9" ht="15.75">
      <c r="C9858" s="945" t="s">
        <v>923</v>
      </c>
      <c r="D9858" s="946"/>
      <c r="E9858" s="947"/>
      <c r="F9858" s="1054"/>
      <c r="G9858" s="946"/>
      <c r="H9858" s="1031"/>
      <c r="I9858" s="948"/>
    </row>
    <row r="9859" spans="3:9" ht="15.75">
      <c r="C9859" s="949" t="s">
        <v>938</v>
      </c>
      <c r="D9859" s="946">
        <v>1</v>
      </c>
      <c r="E9859" s="947" t="str">
        <f>+VLOOKUP(C9859,'Basic (equilibrio) (2)'!B:D,2,FALSE)</f>
        <v>hr</v>
      </c>
      <c r="F9859" s="1054">
        <f>'Basic (equilibrio) (2)'!$D$683</f>
        <v>2500</v>
      </c>
      <c r="G9859" s="946">
        <f>F9859-(F9859/1.18)</f>
        <v>381.36</v>
      </c>
      <c r="H9859" s="1039">
        <v>70</v>
      </c>
      <c r="I9859" s="955">
        <f>D9859*F9859/H9859</f>
        <v>35.71</v>
      </c>
    </row>
    <row r="9860" spans="3:9" ht="15.75">
      <c r="C9860" s="949" t="s">
        <v>935</v>
      </c>
      <c r="D9860" s="946">
        <v>1</v>
      </c>
      <c r="E9860" s="947" t="str">
        <f>+VLOOKUP(C9860,'Basic (equilibrio) (2)'!B:D,2,FALSE)</f>
        <v>hr</v>
      </c>
      <c r="F9860" s="1054">
        <f>'Basic (equilibrio) (2)'!$D$684</f>
        <v>3000</v>
      </c>
      <c r="G9860" s="946">
        <f>F9860-(F9860/1.18)</f>
        <v>457.63</v>
      </c>
      <c r="H9860" s="1039">
        <v>70</v>
      </c>
      <c r="I9860" s="955">
        <f t="shared" ref="I9860:I9861" si="63">D9860*F9860/H9860</f>
        <v>42.86</v>
      </c>
    </row>
    <row r="9861" spans="3:9" ht="15.75">
      <c r="C9861" s="949" t="s">
        <v>939</v>
      </c>
      <c r="D9861" s="946">
        <v>1</v>
      </c>
      <c r="E9861" s="947" t="str">
        <f>+VLOOKUP(C9861,'Basic (equilibrio) (2)'!B:D,2,FALSE)</f>
        <v>hr</v>
      </c>
      <c r="F9861" s="1054">
        <f>'Basic (equilibrio) (2)'!$D$688</f>
        <v>400</v>
      </c>
      <c r="G9861" s="946">
        <f>F9861-(F9861/1.18)</f>
        <v>61.02</v>
      </c>
      <c r="H9861" s="1039">
        <v>70</v>
      </c>
      <c r="I9861" s="955">
        <f t="shared" si="63"/>
        <v>5.71</v>
      </c>
    </row>
    <row r="9862" spans="3:9" ht="15.75">
      <c r="C9862" s="951" t="s">
        <v>918</v>
      </c>
      <c r="D9862" s="946"/>
      <c r="E9862" s="947"/>
      <c r="F9862" s="1054"/>
      <c r="G9862" s="946"/>
      <c r="H9862" s="1031"/>
      <c r="I9862" s="952">
        <f>SUM(I9859:I9861)</f>
        <v>84.28</v>
      </c>
    </row>
    <row r="9863" spans="3:9" ht="15.75">
      <c r="C9863" s="949"/>
      <c r="D9863" s="946"/>
      <c r="E9863" s="947"/>
      <c r="F9863" s="1054"/>
      <c r="G9863" s="946"/>
      <c r="H9863" s="1031"/>
      <c r="I9863" s="948"/>
    </row>
    <row r="9864" spans="3:9" ht="15.75">
      <c r="C9864" s="945" t="s">
        <v>925</v>
      </c>
      <c r="D9864" s="946"/>
      <c r="E9864" s="947"/>
      <c r="F9864" s="1054"/>
      <c r="G9864" s="946"/>
      <c r="H9864" s="1031"/>
      <c r="I9864" s="948"/>
    </row>
    <row r="9865" spans="3:9" ht="15.75">
      <c r="C9865" s="949" t="s">
        <v>924</v>
      </c>
      <c r="D9865" s="946"/>
      <c r="E9865" s="947" t="str">
        <f>+VLOOKUP(C9865,'Basic (equilibrio) (2)'!B:D,2,FALSE)</f>
        <v>n/a</v>
      </c>
      <c r="F9865" s="1054">
        <f>+VLOOKUP(C9865,'Basic (equilibrio) (2)'!B:D,3,FALSE)</f>
        <v>0</v>
      </c>
      <c r="G9865" s="946"/>
      <c r="H9865" s="1031"/>
      <c r="I9865" s="948">
        <f>D9865*F9865</f>
        <v>0</v>
      </c>
    </row>
    <row r="9866" spans="3:9" ht="15.75">
      <c r="C9866" s="951" t="s">
        <v>918</v>
      </c>
      <c r="D9866" s="946"/>
      <c r="E9866" s="947"/>
      <c r="F9866" s="1054"/>
      <c r="G9866" s="946"/>
      <c r="H9866" s="1031"/>
      <c r="I9866" s="952">
        <f>SUM(I9865)</f>
        <v>0</v>
      </c>
    </row>
    <row r="9867" spans="3:9" ht="15.75">
      <c r="C9867" s="951"/>
      <c r="D9867" s="946"/>
      <c r="E9867" s="947"/>
      <c r="F9867" s="1054"/>
      <c r="G9867" s="946"/>
      <c r="H9867" s="1031"/>
      <c r="I9867" s="952"/>
    </row>
    <row r="9868" spans="3:9" ht="15.75">
      <c r="C9868" s="956" t="s">
        <v>926</v>
      </c>
      <c r="D9868" s="957"/>
      <c r="E9868" s="958"/>
      <c r="F9868" s="1069"/>
      <c r="G9868" s="957"/>
      <c r="H9868" s="1032"/>
      <c r="I9868" s="959">
        <f>+I9852</f>
        <v>0</v>
      </c>
    </row>
    <row r="9869" spans="3:9" ht="15.75">
      <c r="C9869" s="956" t="s">
        <v>927</v>
      </c>
      <c r="D9869" s="957"/>
      <c r="E9869" s="958"/>
      <c r="F9869" s="1069"/>
      <c r="G9869" s="957"/>
      <c r="H9869" s="1032"/>
      <c r="I9869" s="959">
        <f>+I9856</f>
        <v>3.21</v>
      </c>
    </row>
    <row r="9870" spans="3:9" ht="15.75">
      <c r="C9870" s="956" t="s">
        <v>928</v>
      </c>
      <c r="D9870" s="957"/>
      <c r="E9870" s="958"/>
      <c r="F9870" s="1069"/>
      <c r="G9870" s="957"/>
      <c r="H9870" s="1032"/>
      <c r="I9870" s="959">
        <f>+I9862</f>
        <v>84.28</v>
      </c>
    </row>
    <row r="9871" spans="3:9" ht="15.75">
      <c r="C9871" s="956" t="s">
        <v>929</v>
      </c>
      <c r="D9871" s="957"/>
      <c r="E9871" s="958"/>
      <c r="F9871" s="1069"/>
      <c r="G9871" s="957"/>
      <c r="H9871" s="1032"/>
      <c r="I9871" s="959">
        <f>+I9866</f>
        <v>0</v>
      </c>
    </row>
    <row r="9872" spans="3:9" ht="15.75">
      <c r="C9872" s="949"/>
      <c r="D9872" s="946"/>
      <c r="E9872" s="947"/>
      <c r="F9872" s="1054"/>
      <c r="G9872" s="946"/>
      <c r="H9872" s="1031"/>
      <c r="I9872" s="948"/>
    </row>
    <row r="9873" spans="2:9" ht="15.75">
      <c r="C9873" s="949"/>
      <c r="D9873" s="946"/>
      <c r="E9873" s="947"/>
      <c r="F9873" s="1054"/>
      <c r="G9873" s="946"/>
      <c r="H9873" s="1031"/>
      <c r="I9873" s="948"/>
    </row>
    <row r="9874" spans="2:9" ht="15.75">
      <c r="C9874" s="951" t="s">
        <v>930</v>
      </c>
      <c r="D9874" s="960"/>
      <c r="E9874" s="943" t="str">
        <f>+E9848</f>
        <v>M3C</v>
      </c>
      <c r="F9874" s="1070"/>
      <c r="G9874" s="960"/>
      <c r="H9874" s="1033"/>
      <c r="I9874" s="952">
        <f>SUM(I9868:I9871)</f>
        <v>87.49</v>
      </c>
    </row>
    <row r="9875" spans="2:9" ht="15.75">
      <c r="C9875" s="951"/>
      <c r="D9875" s="960"/>
      <c r="E9875" s="943"/>
      <c r="F9875" s="1070"/>
      <c r="G9875" s="960"/>
      <c r="H9875" s="1033"/>
      <c r="I9875" s="952"/>
    </row>
    <row r="9876" spans="2:9" ht="15.75">
      <c r="B9876" s="1026">
        <v>2.2999999999999998</v>
      </c>
      <c r="C9876" s="937" t="str">
        <f>+Presupuesto!B581</f>
        <v>Bote de material in situ</v>
      </c>
      <c r="D9876" s="938"/>
      <c r="E9876" s="962" t="s">
        <v>213</v>
      </c>
      <c r="F9876" s="1066"/>
      <c r="G9876" s="938"/>
      <c r="H9876" s="1029"/>
      <c r="I9876" s="940">
        <f>I9902</f>
        <v>455.24</v>
      </c>
    </row>
    <row r="9877" spans="2:9" ht="15.75">
      <c r="C9877" s="941" t="s">
        <v>908</v>
      </c>
      <c r="D9877" s="942" t="s">
        <v>9</v>
      </c>
      <c r="E9877" s="943" t="s">
        <v>10</v>
      </c>
      <c r="F9877" s="1067" t="s">
        <v>909</v>
      </c>
      <c r="G9877" s="942" t="s">
        <v>910</v>
      </c>
      <c r="H9877" s="1030" t="s">
        <v>911</v>
      </c>
      <c r="I9877" s="944" t="s">
        <v>912</v>
      </c>
    </row>
    <row r="9878" spans="2:9" ht="15.75">
      <c r="C9878" s="945" t="s">
        <v>913</v>
      </c>
      <c r="D9878" s="946"/>
      <c r="E9878" s="947"/>
      <c r="F9878" s="1054"/>
      <c r="G9878" s="946"/>
      <c r="H9878" s="1031"/>
      <c r="I9878" s="948"/>
    </row>
    <row r="9879" spans="2:9" ht="15.75">
      <c r="C9879" s="949" t="s">
        <v>924</v>
      </c>
      <c r="D9879" s="946"/>
      <c r="E9879" s="947" t="str">
        <f>+VLOOKUP(C9879,'Basic (equilibrio) (2)'!B:D,2,FALSE)</f>
        <v>n/a</v>
      </c>
      <c r="F9879" s="1068">
        <f>+VLOOKUP(C9879,'Basic (equilibrio) (2)'!B:D,3,FALSE)</f>
        <v>0</v>
      </c>
      <c r="G9879" s="946">
        <f>F9879-(F9879/1.18)</f>
        <v>0</v>
      </c>
      <c r="H9879" s="1031"/>
      <c r="I9879" s="948">
        <f>D9879*F9879</f>
        <v>0</v>
      </c>
    </row>
    <row r="9880" spans="2:9" ht="15.75">
      <c r="C9880" s="951" t="s">
        <v>918</v>
      </c>
      <c r="D9880" s="946"/>
      <c r="E9880" s="947"/>
      <c r="F9880" s="1068"/>
      <c r="G9880" s="946"/>
      <c r="H9880" s="1031"/>
      <c r="I9880" s="952">
        <f>SUM(I9879:I9879)</f>
        <v>0</v>
      </c>
    </row>
    <row r="9881" spans="2:9" ht="15.75">
      <c r="C9881" s="949"/>
      <c r="D9881" s="946"/>
      <c r="E9881" s="947"/>
      <c r="F9881" s="1068"/>
      <c r="G9881" s="946"/>
      <c r="H9881" s="1031"/>
      <c r="I9881" s="948"/>
    </row>
    <row r="9882" spans="2:9" ht="15.75">
      <c r="C9882" s="945" t="s">
        <v>919</v>
      </c>
      <c r="D9882" s="946"/>
      <c r="E9882" s="947"/>
      <c r="F9882" s="1068"/>
      <c r="G9882" s="946"/>
      <c r="H9882" s="1031"/>
      <c r="I9882" s="948"/>
    </row>
    <row r="9883" spans="2:9" ht="15.75">
      <c r="C9883" s="949" t="s">
        <v>931</v>
      </c>
      <c r="D9883" s="953">
        <v>0.13</v>
      </c>
      <c r="E9883" s="954" t="str">
        <f>+VLOOKUP(C9883,'Basic (equilibrio) (2)'!B:D,2,FALSE)</f>
        <v>dia</v>
      </c>
      <c r="F9883" s="1068">
        <f>'Basic (equilibrio) (2)'!$D$14</f>
        <v>900</v>
      </c>
      <c r="G9883" s="946">
        <v>0</v>
      </c>
      <c r="H9883" s="1031">
        <v>70</v>
      </c>
      <c r="I9883" s="948">
        <f>(D9883*F9883)/H9883</f>
        <v>1.67</v>
      </c>
    </row>
    <row r="9884" spans="2:9" ht="15.75">
      <c r="C9884" s="951" t="s">
        <v>918</v>
      </c>
      <c r="D9884" s="946"/>
      <c r="E9884" s="947"/>
      <c r="F9884" s="1054"/>
      <c r="G9884" s="946"/>
      <c r="H9884" s="1031"/>
      <c r="I9884" s="952">
        <f>SUM(I9883:I9883)</f>
        <v>1.67</v>
      </c>
    </row>
    <row r="9885" spans="2:9" ht="15.75">
      <c r="C9885" s="949"/>
      <c r="D9885" s="946"/>
      <c r="E9885" s="947"/>
      <c r="F9885" s="1054"/>
      <c r="G9885" s="946"/>
      <c r="H9885" s="1031"/>
      <c r="I9885" s="948"/>
    </row>
    <row r="9886" spans="2:9" ht="15.75">
      <c r="C9886" s="945" t="s">
        <v>923</v>
      </c>
      <c r="D9886" s="946"/>
      <c r="E9886" s="947"/>
      <c r="F9886" s="1054"/>
      <c r="G9886" s="946"/>
      <c r="H9886" s="1031"/>
      <c r="I9886" s="948"/>
    </row>
    <row r="9887" spans="2:9" ht="15.75">
      <c r="C9887" s="949" t="s">
        <v>934</v>
      </c>
      <c r="D9887" s="946">
        <v>1</v>
      </c>
      <c r="E9887" s="947" t="str">
        <f>+VLOOKUP(C9887,'Basic (equilibrio) (2)'!B:D,2,FALSE)</f>
        <v>m3e</v>
      </c>
      <c r="F9887" s="1054">
        <f>'Basic (equilibrio) (2)'!$D$685</f>
        <v>350</v>
      </c>
      <c r="G9887" s="946">
        <f>F9887-(F9887/1.18)</f>
        <v>53.39</v>
      </c>
      <c r="H9887" s="1039"/>
      <c r="I9887" s="955">
        <f>D9887*F9887</f>
        <v>350</v>
      </c>
    </row>
    <row r="9888" spans="2:9" ht="15.75">
      <c r="C9888" s="949" t="s">
        <v>933</v>
      </c>
      <c r="D9888" s="946">
        <v>1</v>
      </c>
      <c r="E9888" s="947" t="str">
        <f>+VLOOKUP(C9888,'Basic (equilibrio) (2)'!B:D,2,FALSE)</f>
        <v>hr</v>
      </c>
      <c r="F9888" s="1054">
        <f>'Basic (equilibrio) (2)'!$D$682</f>
        <v>4250</v>
      </c>
      <c r="G9888" s="946">
        <f>F9888-(F9888/1.18)</f>
        <v>648.30999999999995</v>
      </c>
      <c r="H9888" s="1039">
        <v>70</v>
      </c>
      <c r="I9888" s="955">
        <f t="shared" ref="I9888:I9889" si="64">D9888*F9888/H9888</f>
        <v>60.71</v>
      </c>
    </row>
    <row r="9889" spans="2:9" ht="15.75">
      <c r="C9889" s="949" t="s">
        <v>935</v>
      </c>
      <c r="D9889" s="946">
        <v>1</v>
      </c>
      <c r="E9889" s="947" t="str">
        <f>+VLOOKUP(C9889,'Basic (equilibrio) (2)'!B:D,2,FALSE)</f>
        <v>hr</v>
      </c>
      <c r="F9889" s="1054">
        <f>'Basic (equilibrio) (2)'!$D$684</f>
        <v>3000</v>
      </c>
      <c r="G9889" s="946">
        <f>F9889-(F9889/1.18)</f>
        <v>457.63</v>
      </c>
      <c r="H9889" s="1039">
        <v>70</v>
      </c>
      <c r="I9889" s="955">
        <f t="shared" si="64"/>
        <v>42.86</v>
      </c>
    </row>
    <row r="9890" spans="2:9" ht="15.75">
      <c r="C9890" s="951" t="s">
        <v>918</v>
      </c>
      <c r="D9890" s="946"/>
      <c r="E9890" s="947"/>
      <c r="F9890" s="1054"/>
      <c r="G9890" s="946"/>
      <c r="H9890" s="1031"/>
      <c r="I9890" s="952">
        <f>SUM(I9887:I9889)</f>
        <v>453.57</v>
      </c>
    </row>
    <row r="9891" spans="2:9" ht="15.75">
      <c r="C9891" s="949"/>
      <c r="D9891" s="946"/>
      <c r="E9891" s="947"/>
      <c r="F9891" s="1054"/>
      <c r="G9891" s="946"/>
      <c r="H9891" s="1031"/>
      <c r="I9891" s="948"/>
    </row>
    <row r="9892" spans="2:9" ht="15.75">
      <c r="C9892" s="945" t="s">
        <v>925</v>
      </c>
      <c r="D9892" s="946"/>
      <c r="E9892" s="947"/>
      <c r="F9892" s="1054"/>
      <c r="G9892" s="946"/>
      <c r="H9892" s="1031"/>
      <c r="I9892" s="948"/>
    </row>
    <row r="9893" spans="2:9" ht="15.75">
      <c r="C9893" s="949" t="s">
        <v>924</v>
      </c>
      <c r="D9893" s="946">
        <f>+I9890</f>
        <v>453.57</v>
      </c>
      <c r="E9893" s="947" t="str">
        <f>+VLOOKUP(C9893,'Basic (equilibrio) (2)'!B:D,2,FALSE)</f>
        <v>n/a</v>
      </c>
      <c r="F9893" s="1054">
        <f>+VLOOKUP(C9893,'Basic (equilibrio) (2)'!B:D,3,FALSE)</f>
        <v>0</v>
      </c>
      <c r="G9893" s="946"/>
      <c r="H9893" s="1031"/>
      <c r="I9893" s="948">
        <f>D9893*F9893</f>
        <v>0</v>
      </c>
    </row>
    <row r="9894" spans="2:9" ht="15.75">
      <c r="C9894" s="951" t="s">
        <v>918</v>
      </c>
      <c r="D9894" s="946"/>
      <c r="E9894" s="947"/>
      <c r="F9894" s="1054"/>
      <c r="G9894" s="946"/>
      <c r="H9894" s="1031"/>
      <c r="I9894" s="952">
        <f>SUM(I9893)</f>
        <v>0</v>
      </c>
    </row>
    <row r="9895" spans="2:9" ht="15.75">
      <c r="C9895" s="951"/>
      <c r="D9895" s="946"/>
      <c r="E9895" s="947"/>
      <c r="F9895" s="1054"/>
      <c r="G9895" s="946"/>
      <c r="H9895" s="1031"/>
      <c r="I9895" s="952"/>
    </row>
    <row r="9896" spans="2:9" ht="15.75">
      <c r="C9896" s="956" t="s">
        <v>926</v>
      </c>
      <c r="D9896" s="957"/>
      <c r="E9896" s="958"/>
      <c r="F9896" s="1069"/>
      <c r="G9896" s="957"/>
      <c r="H9896" s="1032"/>
      <c r="I9896" s="959">
        <f>+I9880</f>
        <v>0</v>
      </c>
    </row>
    <row r="9897" spans="2:9" ht="15.75">
      <c r="C9897" s="956" t="s">
        <v>927</v>
      </c>
      <c r="D9897" s="957"/>
      <c r="E9897" s="958"/>
      <c r="F9897" s="1069"/>
      <c r="G9897" s="957"/>
      <c r="H9897" s="1032"/>
      <c r="I9897" s="959">
        <f>+I9884</f>
        <v>1.67</v>
      </c>
    </row>
    <row r="9898" spans="2:9" ht="15.75">
      <c r="C9898" s="956" t="s">
        <v>928</v>
      </c>
      <c r="D9898" s="957"/>
      <c r="E9898" s="958"/>
      <c r="F9898" s="1069"/>
      <c r="G9898" s="957"/>
      <c r="H9898" s="1032"/>
      <c r="I9898" s="959">
        <f>+I9890</f>
        <v>453.57</v>
      </c>
    </row>
    <row r="9899" spans="2:9" ht="15.75">
      <c r="C9899" s="956" t="s">
        <v>929</v>
      </c>
      <c r="D9899" s="957"/>
      <c r="E9899" s="958"/>
      <c r="F9899" s="1069"/>
      <c r="G9899" s="957"/>
      <c r="H9899" s="1032"/>
      <c r="I9899" s="959">
        <f>+I9894</f>
        <v>0</v>
      </c>
    </row>
    <row r="9900" spans="2:9" ht="15.75">
      <c r="C9900" s="949"/>
      <c r="D9900" s="946"/>
      <c r="E9900" s="947"/>
      <c r="F9900" s="1054"/>
      <c r="G9900" s="946"/>
      <c r="H9900" s="1031"/>
      <c r="I9900" s="948"/>
    </row>
    <row r="9901" spans="2:9" ht="15.75">
      <c r="C9901" s="949"/>
      <c r="D9901" s="946"/>
      <c r="E9901" s="947"/>
      <c r="F9901" s="1054"/>
      <c r="G9901" s="946"/>
      <c r="H9901" s="1031"/>
      <c r="I9901" s="948"/>
    </row>
    <row r="9902" spans="2:9" ht="15.75">
      <c r="C9902" s="951" t="s">
        <v>930</v>
      </c>
      <c r="D9902" s="960"/>
      <c r="E9902" s="943" t="str">
        <f>+E9876</f>
        <v>M3E</v>
      </c>
      <c r="F9902" s="1070"/>
      <c r="G9902" s="960"/>
      <c r="H9902" s="1033"/>
      <c r="I9902" s="952">
        <f>SUM(I9896:I9899)</f>
        <v>455.24</v>
      </c>
    </row>
    <row r="9903" spans="2:9" ht="15.75">
      <c r="C9903" s="951"/>
      <c r="D9903" s="960"/>
      <c r="E9903" s="943"/>
      <c r="F9903" s="1070"/>
      <c r="G9903" s="960"/>
      <c r="H9903" s="1033"/>
      <c r="I9903" s="952"/>
    </row>
    <row r="9904" spans="2:9" ht="15.75">
      <c r="B9904" s="1026">
        <v>3.1</v>
      </c>
      <c r="C9904" s="937" t="str">
        <f>+Presupuesto!B584</f>
        <v>Zapata de columna Z1 (1.20m x 1.20m) - 2.18 qq/m³</v>
      </c>
      <c r="D9904" s="938"/>
      <c r="E9904" s="962" t="s">
        <v>22</v>
      </c>
      <c r="F9904" s="1066"/>
      <c r="G9904" s="938"/>
      <c r="H9904" s="1029"/>
      <c r="I9904" s="940">
        <f>I9930</f>
        <v>15993.52</v>
      </c>
    </row>
    <row r="9905" spans="3:9" ht="15.75">
      <c r="C9905" s="941" t="s">
        <v>908</v>
      </c>
      <c r="D9905" s="942" t="s">
        <v>9</v>
      </c>
      <c r="E9905" s="943" t="s">
        <v>10</v>
      </c>
      <c r="F9905" s="1067" t="s">
        <v>909</v>
      </c>
      <c r="G9905" s="942" t="s">
        <v>910</v>
      </c>
      <c r="H9905" s="1030" t="s">
        <v>911</v>
      </c>
      <c r="I9905" s="944" t="s">
        <v>912</v>
      </c>
    </row>
    <row r="9906" spans="3:9" ht="15.75">
      <c r="C9906" s="945" t="s">
        <v>913</v>
      </c>
      <c r="D9906" s="946"/>
      <c r="E9906" s="947"/>
      <c r="F9906" s="1054"/>
      <c r="G9906" s="946"/>
      <c r="H9906" s="1031"/>
      <c r="I9906" s="948"/>
    </row>
    <row r="9907" spans="3:9" ht="15.75">
      <c r="C9907" s="949" t="s">
        <v>994</v>
      </c>
      <c r="D9907" s="946">
        <v>1.05</v>
      </c>
      <c r="E9907" s="947" t="str">
        <f>+VLOOKUP(C9907,'Basic (equilibrio) (2)'!B:D,2,FALSE)</f>
        <v>m3</v>
      </c>
      <c r="F9907" s="1068">
        <f>'Basic (equilibrio) (2)'!$D$179</f>
        <v>7600</v>
      </c>
      <c r="G9907" s="946">
        <f>F9907-(F9907/1.18)</f>
        <v>1159.32</v>
      </c>
      <c r="H9907" s="1031"/>
      <c r="I9907" s="948">
        <f>D9907*F9907</f>
        <v>7980</v>
      </c>
    </row>
    <row r="9908" spans="3:9" ht="15.75">
      <c r="C9908" s="949" t="s">
        <v>1188</v>
      </c>
      <c r="D9908" s="946">
        <v>2.1800000000000002</v>
      </c>
      <c r="E9908" s="947" t="str">
        <f>+VLOOKUP(C9908,'Basic (equilibrio) (2)'!B:D,2,FALSE)</f>
        <v>qq</v>
      </c>
      <c r="F9908" s="1068">
        <f>'Basic (equilibrio) (2)'!$D$183</f>
        <v>3600</v>
      </c>
      <c r="G9908" s="946">
        <f>F9908-(F9908/1.18)</f>
        <v>549.15</v>
      </c>
      <c r="H9908" s="1031"/>
      <c r="I9908" s="948">
        <f>D9908*F9908</f>
        <v>7848</v>
      </c>
    </row>
    <row r="9909" spans="3:9" ht="15.75">
      <c r="C9909" s="949" t="s">
        <v>1212</v>
      </c>
      <c r="D9909" s="946">
        <f>+D9908*2</f>
        <v>4.3600000000000003</v>
      </c>
      <c r="E9909" s="947" t="str">
        <f>+VLOOKUP(C9909,'Basic (equilibrio) (2)'!B:D,2,FALSE)</f>
        <v>lb</v>
      </c>
      <c r="F9909" s="1068">
        <f>'Basic (equilibrio) (2)'!$D$312</f>
        <v>26.5</v>
      </c>
      <c r="G9909" s="946">
        <f>F9909-(F9909/1.18)</f>
        <v>4.04</v>
      </c>
      <c r="H9909" s="1031"/>
      <c r="I9909" s="948">
        <f>D9909*F9909</f>
        <v>115.54</v>
      </c>
    </row>
    <row r="9910" spans="3:9" ht="15.75">
      <c r="C9910" s="951" t="s">
        <v>918</v>
      </c>
      <c r="D9910" s="946"/>
      <c r="E9910" s="947"/>
      <c r="F9910" s="1068"/>
      <c r="G9910" s="946"/>
      <c r="H9910" s="1031"/>
      <c r="I9910" s="952">
        <f>SUM(I9907:I9909)</f>
        <v>15943.54</v>
      </c>
    </row>
    <row r="9911" spans="3:9" ht="15.75">
      <c r="C9911" s="949"/>
      <c r="D9911" s="946"/>
      <c r="E9911" s="947"/>
      <c r="F9911" s="1068"/>
      <c r="G9911" s="946"/>
      <c r="H9911" s="1031"/>
      <c r="I9911" s="948"/>
    </row>
    <row r="9912" spans="3:9" ht="15.75">
      <c r="C9912" s="945" t="s">
        <v>919</v>
      </c>
      <c r="D9912" s="946"/>
      <c r="E9912" s="947"/>
      <c r="F9912" s="1068"/>
      <c r="G9912" s="946"/>
      <c r="H9912" s="1031"/>
      <c r="I9912" s="948"/>
    </row>
    <row r="9913" spans="3:9" ht="15.75">
      <c r="C9913" s="949" t="s">
        <v>1121</v>
      </c>
      <c r="D9913" s="953">
        <v>8.33</v>
      </c>
      <c r="E9913" s="954" t="str">
        <f>+VLOOKUP(C9913,'Basic (equilibrio) (2)'!B:D,2,FALSE)</f>
        <v>qq</v>
      </c>
      <c r="F9913" s="1068">
        <f>'Basic (equilibrio) (2)'!$D$45</f>
        <v>420</v>
      </c>
      <c r="G9913" s="946">
        <v>0</v>
      </c>
      <c r="H9913" s="1031">
        <v>70</v>
      </c>
      <c r="I9913" s="948">
        <f>(D9913*F9913)/H9913</f>
        <v>49.98</v>
      </c>
    </row>
    <row r="9914" spans="3:9" ht="15.75">
      <c r="C9914" s="951" t="s">
        <v>918</v>
      </c>
      <c r="D9914" s="946"/>
      <c r="E9914" s="947"/>
      <c r="F9914" s="1054"/>
      <c r="G9914" s="946"/>
      <c r="H9914" s="1031"/>
      <c r="I9914" s="952">
        <f>SUM(I9913:I9913)</f>
        <v>49.98</v>
      </c>
    </row>
    <row r="9915" spans="3:9" ht="15.75">
      <c r="C9915" s="949"/>
      <c r="D9915" s="946"/>
      <c r="E9915" s="947"/>
      <c r="F9915" s="1054"/>
      <c r="G9915" s="946"/>
      <c r="H9915" s="1031"/>
      <c r="I9915" s="948"/>
    </row>
    <row r="9916" spans="3:9" ht="15.75">
      <c r="C9916" s="945" t="s">
        <v>923</v>
      </c>
      <c r="D9916" s="946"/>
      <c r="E9916" s="947"/>
      <c r="F9916" s="1054"/>
      <c r="G9916" s="946"/>
      <c r="H9916" s="1031"/>
      <c r="I9916" s="948"/>
    </row>
    <row r="9917" spans="3:9" ht="15.75">
      <c r="C9917" s="949" t="s">
        <v>924</v>
      </c>
      <c r="D9917" s="946"/>
      <c r="E9917" s="947" t="str">
        <f>+VLOOKUP(C9917,'Basic (equilibrio) (2)'!B:D,2,FALSE)</f>
        <v>n/a</v>
      </c>
      <c r="F9917" s="1054">
        <f>+VLOOKUP(C9917,'Basic (equilibrio) (2)'!B:D,3,FALSE)</f>
        <v>0</v>
      </c>
      <c r="G9917" s="946">
        <f>F9917-(F9917/1.18)</f>
        <v>0</v>
      </c>
      <c r="H9917" s="1039"/>
      <c r="I9917" s="955">
        <f>D9917*F9917</f>
        <v>0</v>
      </c>
    </row>
    <row r="9918" spans="3:9" ht="15.75">
      <c r="C9918" s="951" t="s">
        <v>918</v>
      </c>
      <c r="D9918" s="946"/>
      <c r="E9918" s="947"/>
      <c r="F9918" s="1054"/>
      <c r="G9918" s="946"/>
      <c r="H9918" s="1031"/>
      <c r="I9918" s="952">
        <f>SUM(I9917:I9917)</f>
        <v>0</v>
      </c>
    </row>
    <row r="9919" spans="3:9" ht="15.75">
      <c r="C9919" s="949"/>
      <c r="D9919" s="946"/>
      <c r="E9919" s="947"/>
      <c r="F9919" s="1054"/>
      <c r="G9919" s="946"/>
      <c r="H9919" s="1031"/>
      <c r="I9919" s="948"/>
    </row>
    <row r="9920" spans="3:9" ht="15.75">
      <c r="C9920" s="945" t="s">
        <v>925</v>
      </c>
      <c r="D9920" s="946"/>
      <c r="E9920" s="947"/>
      <c r="F9920" s="1054"/>
      <c r="G9920" s="946"/>
      <c r="H9920" s="1031"/>
      <c r="I9920" s="948"/>
    </row>
    <row r="9921" spans="2:9" ht="15.75">
      <c r="C9921" s="949" t="s">
        <v>924</v>
      </c>
      <c r="D9921" s="946"/>
      <c r="E9921" s="947" t="str">
        <f>+VLOOKUP(C9921,'Basic (equilibrio) (2)'!B:D,2,FALSE)</f>
        <v>n/a</v>
      </c>
      <c r="F9921" s="1054">
        <f>+VLOOKUP(C9921,'Basic (equilibrio) (2)'!B:D,3,FALSE)</f>
        <v>0</v>
      </c>
      <c r="G9921" s="946"/>
      <c r="H9921" s="1031"/>
      <c r="I9921" s="948">
        <f>D9921*F9921</f>
        <v>0</v>
      </c>
    </row>
    <row r="9922" spans="2:9" ht="15.75">
      <c r="C9922" s="951" t="s">
        <v>918</v>
      </c>
      <c r="D9922" s="946"/>
      <c r="E9922" s="947"/>
      <c r="F9922" s="1054"/>
      <c r="G9922" s="946"/>
      <c r="H9922" s="1031"/>
      <c r="I9922" s="952">
        <f>SUM(I9921)</f>
        <v>0</v>
      </c>
    </row>
    <row r="9923" spans="2:9" ht="15.75">
      <c r="C9923" s="951"/>
      <c r="D9923" s="946"/>
      <c r="E9923" s="947"/>
      <c r="F9923" s="1054"/>
      <c r="G9923" s="946"/>
      <c r="H9923" s="1031"/>
      <c r="I9923" s="952"/>
    </row>
    <row r="9924" spans="2:9" ht="15.75">
      <c r="C9924" s="956" t="s">
        <v>926</v>
      </c>
      <c r="D9924" s="957"/>
      <c r="E9924" s="958"/>
      <c r="F9924" s="1069"/>
      <c r="G9924" s="957"/>
      <c r="H9924" s="1032"/>
      <c r="I9924" s="959">
        <f>+I9910</f>
        <v>15943.54</v>
      </c>
    </row>
    <row r="9925" spans="2:9" ht="15.75">
      <c r="C9925" s="956" t="s">
        <v>927</v>
      </c>
      <c r="D9925" s="957"/>
      <c r="E9925" s="958"/>
      <c r="F9925" s="1069"/>
      <c r="G9925" s="957"/>
      <c r="H9925" s="1032"/>
      <c r="I9925" s="959">
        <f>+I9914</f>
        <v>49.98</v>
      </c>
    </row>
    <row r="9926" spans="2:9" ht="15.75">
      <c r="C9926" s="956" t="s">
        <v>928</v>
      </c>
      <c r="D9926" s="957"/>
      <c r="E9926" s="958"/>
      <c r="F9926" s="1069"/>
      <c r="G9926" s="957"/>
      <c r="H9926" s="1032"/>
      <c r="I9926" s="959">
        <f>+I9918</f>
        <v>0</v>
      </c>
    </row>
    <row r="9927" spans="2:9" ht="15.75">
      <c r="C9927" s="956" t="s">
        <v>929</v>
      </c>
      <c r="D9927" s="957"/>
      <c r="E9927" s="958"/>
      <c r="F9927" s="1069"/>
      <c r="G9927" s="957"/>
      <c r="H9927" s="1032"/>
      <c r="I9927" s="959">
        <f>+I9922</f>
        <v>0</v>
      </c>
    </row>
    <row r="9928" spans="2:9" ht="15.75">
      <c r="C9928" s="949"/>
      <c r="D9928" s="946"/>
      <c r="E9928" s="947"/>
      <c r="F9928" s="1054"/>
      <c r="G9928" s="946"/>
      <c r="H9928" s="1031"/>
      <c r="I9928" s="948"/>
    </row>
    <row r="9929" spans="2:9" ht="15.75">
      <c r="C9929" s="949"/>
      <c r="D9929" s="946"/>
      <c r="E9929" s="947"/>
      <c r="F9929" s="1054"/>
      <c r="G9929" s="946"/>
      <c r="H9929" s="1031"/>
      <c r="I9929" s="948"/>
    </row>
    <row r="9930" spans="2:9" ht="15.75">
      <c r="C9930" s="951" t="s">
        <v>930</v>
      </c>
      <c r="D9930" s="960"/>
      <c r="E9930" s="943" t="str">
        <f>+E9904</f>
        <v>M3</v>
      </c>
      <c r="F9930" s="1070"/>
      <c r="G9930" s="960"/>
      <c r="H9930" s="1033"/>
      <c r="I9930" s="952">
        <f>SUM(I9924:I9927)</f>
        <v>15993.52</v>
      </c>
    </row>
    <row r="9931" spans="2:9" ht="15.75">
      <c r="C9931" s="951"/>
      <c r="D9931" s="960"/>
      <c r="E9931" s="943"/>
      <c r="F9931" s="1070"/>
      <c r="G9931" s="960"/>
      <c r="H9931" s="1033"/>
      <c r="I9931" s="952"/>
    </row>
    <row r="9932" spans="2:9" ht="15.75">
      <c r="B9932" s="1026">
        <v>3.2</v>
      </c>
      <c r="C9932" s="937" t="str">
        <f>+Presupuesto!B585</f>
        <v>Zapata de muros de block de 6" - 0.71 qq/m³</v>
      </c>
      <c r="D9932" s="938"/>
      <c r="E9932" s="962" t="s">
        <v>22</v>
      </c>
      <c r="F9932" s="1066"/>
      <c r="G9932" s="938"/>
      <c r="H9932" s="1029"/>
      <c r="I9932" s="940">
        <f>I9958</f>
        <v>10367.040000000001</v>
      </c>
    </row>
    <row r="9933" spans="2:9" ht="15.75">
      <c r="C9933" s="941" t="s">
        <v>908</v>
      </c>
      <c r="D9933" s="942" t="s">
        <v>9</v>
      </c>
      <c r="E9933" s="943" t="s">
        <v>10</v>
      </c>
      <c r="F9933" s="1067" t="s">
        <v>909</v>
      </c>
      <c r="G9933" s="942" t="s">
        <v>910</v>
      </c>
      <c r="H9933" s="1030" t="s">
        <v>911</v>
      </c>
      <c r="I9933" s="944" t="s">
        <v>912</v>
      </c>
    </row>
    <row r="9934" spans="2:9" ht="15.75">
      <c r="C9934" s="945" t="s">
        <v>913</v>
      </c>
      <c r="D9934" s="946"/>
      <c r="E9934" s="947"/>
      <c r="F9934" s="1054"/>
      <c r="G9934" s="946"/>
      <c r="H9934" s="1031"/>
      <c r="I9934" s="948"/>
    </row>
    <row r="9935" spans="2:9" ht="15.75">
      <c r="C9935" s="949" t="s">
        <v>994</v>
      </c>
      <c r="D9935" s="946">
        <v>1.02</v>
      </c>
      <c r="E9935" s="947" t="str">
        <f>+VLOOKUP(C9935,'Basic (equilibrio) (2)'!B:D,2,FALSE)</f>
        <v>m3</v>
      </c>
      <c r="F9935" s="1068">
        <f>'Basic (equilibrio) (2)'!$D$179</f>
        <v>7600</v>
      </c>
      <c r="G9935" s="946">
        <f>F9935-(F9935/1.18)</f>
        <v>1159.32</v>
      </c>
      <c r="H9935" s="1031"/>
      <c r="I9935" s="948">
        <f>D9935*F9935</f>
        <v>7752</v>
      </c>
    </row>
    <row r="9936" spans="2:9" ht="15.75">
      <c r="C9936" s="949" t="s">
        <v>1188</v>
      </c>
      <c r="D9936" s="946">
        <v>0.71</v>
      </c>
      <c r="E9936" s="947" t="str">
        <f>+VLOOKUP(C9936,'Basic (equilibrio) (2)'!B:D,2,FALSE)</f>
        <v>qq</v>
      </c>
      <c r="F9936" s="1068">
        <f>'Basic (equilibrio) (2)'!$D$183</f>
        <v>3600</v>
      </c>
      <c r="G9936" s="946">
        <f>F9936-(F9936/1.18)</f>
        <v>549.15</v>
      </c>
      <c r="H9936" s="1031"/>
      <c r="I9936" s="948">
        <f>D9936*F9936</f>
        <v>2556</v>
      </c>
    </row>
    <row r="9937" spans="3:9" ht="15.75">
      <c r="C9937" s="949" t="s">
        <v>1328</v>
      </c>
      <c r="D9937" s="946">
        <f>+D9936*2</f>
        <v>1.42</v>
      </c>
      <c r="E9937" s="947" t="str">
        <f>+VLOOKUP(C9937,'Basic (equilibrio) (2)'!B:D,2,FALSE)</f>
        <v>lb</v>
      </c>
      <c r="F9937" s="1068">
        <f>'Basic (equilibrio) (2)'!$D$334</f>
        <v>31.1</v>
      </c>
      <c r="G9937" s="946">
        <f>F9937-(F9937/1.18)</f>
        <v>4.74</v>
      </c>
      <c r="H9937" s="1031"/>
      <c r="I9937" s="948">
        <f>D9937*F9937</f>
        <v>44.16</v>
      </c>
    </row>
    <row r="9938" spans="3:9" ht="15.75">
      <c r="C9938" s="951" t="s">
        <v>918</v>
      </c>
      <c r="D9938" s="946"/>
      <c r="E9938" s="947"/>
      <c r="F9938" s="1068"/>
      <c r="G9938" s="946"/>
      <c r="H9938" s="1031"/>
      <c r="I9938" s="952">
        <f>SUM(I9935:I9937)</f>
        <v>10352.16</v>
      </c>
    </row>
    <row r="9939" spans="3:9" ht="15.75">
      <c r="C9939" s="949"/>
      <c r="D9939" s="946"/>
      <c r="E9939" s="947"/>
      <c r="F9939" s="1068"/>
      <c r="G9939" s="946"/>
      <c r="H9939" s="1031"/>
      <c r="I9939" s="948"/>
    </row>
    <row r="9940" spans="3:9" ht="15.75">
      <c r="C9940" s="945" t="s">
        <v>919</v>
      </c>
      <c r="D9940" s="946"/>
      <c r="E9940" s="947"/>
      <c r="F9940" s="1068"/>
      <c r="G9940" s="946"/>
      <c r="H9940" s="1031"/>
      <c r="I9940" s="948"/>
    </row>
    <row r="9941" spans="3:9" ht="15.75">
      <c r="C9941" s="949" t="s">
        <v>1067</v>
      </c>
      <c r="D9941" s="953">
        <v>8.33</v>
      </c>
      <c r="E9941" s="954" t="str">
        <f>+VLOOKUP(C9941,'Basic (equilibrio) (2)'!B:D,2,FALSE)</f>
        <v>ml</v>
      </c>
      <c r="F9941" s="1068">
        <f>'Basic (equilibrio) (2)'!$D$21</f>
        <v>125</v>
      </c>
      <c r="G9941" s="946">
        <v>0</v>
      </c>
      <c r="H9941" s="1031">
        <v>70</v>
      </c>
      <c r="I9941" s="948">
        <f>(D9941*F9941)/H9941</f>
        <v>14.88</v>
      </c>
    </row>
    <row r="9942" spans="3:9" ht="15.75">
      <c r="C9942" s="951" t="s">
        <v>918</v>
      </c>
      <c r="D9942" s="946"/>
      <c r="E9942" s="947"/>
      <c r="F9942" s="1054"/>
      <c r="G9942" s="946"/>
      <c r="H9942" s="1031"/>
      <c r="I9942" s="952">
        <f>SUM(I9941:I9941)</f>
        <v>14.88</v>
      </c>
    </row>
    <row r="9943" spans="3:9" ht="15.75">
      <c r="C9943" s="949"/>
      <c r="D9943" s="946"/>
      <c r="E9943" s="947"/>
      <c r="F9943" s="1054"/>
      <c r="G9943" s="946"/>
      <c r="H9943" s="1031"/>
      <c r="I9943" s="948"/>
    </row>
    <row r="9944" spans="3:9" ht="15.75">
      <c r="C9944" s="945" t="s">
        <v>923</v>
      </c>
      <c r="D9944" s="946"/>
      <c r="E9944" s="947"/>
      <c r="F9944" s="1054"/>
      <c r="G9944" s="946"/>
      <c r="H9944" s="1031"/>
      <c r="I9944" s="948"/>
    </row>
    <row r="9945" spans="3:9" ht="15.75">
      <c r="C9945" s="949" t="s">
        <v>924</v>
      </c>
      <c r="D9945" s="946"/>
      <c r="E9945" s="947" t="str">
        <f>+VLOOKUP(C9945,'Basic (equilibrio) (2)'!B:D,2,FALSE)</f>
        <v>n/a</v>
      </c>
      <c r="F9945" s="1054">
        <f>+VLOOKUP(C9945,'Basic (equilibrio) (2)'!B:D,3,FALSE)</f>
        <v>0</v>
      </c>
      <c r="G9945" s="946">
        <f>F9945-(F9945/1.18)</f>
        <v>0</v>
      </c>
      <c r="H9945" s="1039"/>
      <c r="I9945" s="955">
        <f>D9945*F9945</f>
        <v>0</v>
      </c>
    </row>
    <row r="9946" spans="3:9" ht="15.75">
      <c r="C9946" s="951" t="s">
        <v>918</v>
      </c>
      <c r="D9946" s="946"/>
      <c r="E9946" s="947"/>
      <c r="F9946" s="1054"/>
      <c r="G9946" s="946"/>
      <c r="H9946" s="1031"/>
      <c r="I9946" s="952">
        <f>SUM(I9945:I9945)</f>
        <v>0</v>
      </c>
    </row>
    <row r="9947" spans="3:9" ht="15.75">
      <c r="C9947" s="949"/>
      <c r="D9947" s="946"/>
      <c r="E9947" s="947"/>
      <c r="F9947" s="1054"/>
      <c r="G9947" s="946"/>
      <c r="H9947" s="1031"/>
      <c r="I9947" s="948"/>
    </row>
    <row r="9948" spans="3:9" ht="15.75">
      <c r="C9948" s="945" t="s">
        <v>925</v>
      </c>
      <c r="D9948" s="946"/>
      <c r="E9948" s="947"/>
      <c r="F9948" s="1054"/>
      <c r="G9948" s="946"/>
      <c r="H9948" s="1031"/>
      <c r="I9948" s="948"/>
    </row>
    <row r="9949" spans="3:9" ht="15.75">
      <c r="C9949" s="949" t="s">
        <v>924</v>
      </c>
      <c r="D9949" s="946"/>
      <c r="E9949" s="947" t="str">
        <f>+VLOOKUP(C9949,'Basic (equilibrio) (2)'!B:D,2,FALSE)</f>
        <v>n/a</v>
      </c>
      <c r="F9949" s="1054">
        <f>+VLOOKUP(C9949,'Basic (equilibrio) (2)'!B:D,3,FALSE)</f>
        <v>0</v>
      </c>
      <c r="G9949" s="946"/>
      <c r="H9949" s="1031"/>
      <c r="I9949" s="948">
        <f>D9949*F9949</f>
        <v>0</v>
      </c>
    </row>
    <row r="9950" spans="3:9" ht="15.75">
      <c r="C9950" s="951" t="s">
        <v>918</v>
      </c>
      <c r="D9950" s="946"/>
      <c r="E9950" s="947"/>
      <c r="F9950" s="1054"/>
      <c r="G9950" s="946"/>
      <c r="H9950" s="1031"/>
      <c r="I9950" s="952">
        <f>SUM(I9949)</f>
        <v>0</v>
      </c>
    </row>
    <row r="9951" spans="3:9" ht="15.75">
      <c r="C9951" s="951"/>
      <c r="D9951" s="946"/>
      <c r="E9951" s="947"/>
      <c r="F9951" s="1054"/>
      <c r="G9951" s="946"/>
      <c r="H9951" s="1031"/>
      <c r="I9951" s="952"/>
    </row>
    <row r="9952" spans="3:9" ht="15.75">
      <c r="C9952" s="956" t="s">
        <v>926</v>
      </c>
      <c r="D9952" s="957"/>
      <c r="E9952" s="958"/>
      <c r="F9952" s="1069"/>
      <c r="G9952" s="957"/>
      <c r="H9952" s="1032"/>
      <c r="I9952" s="959">
        <f>+I9938</f>
        <v>10352.16</v>
      </c>
    </row>
    <row r="9953" spans="2:9" ht="15.75">
      <c r="C9953" s="956" t="s">
        <v>927</v>
      </c>
      <c r="D9953" s="957"/>
      <c r="E9953" s="958"/>
      <c r="F9953" s="1069"/>
      <c r="G9953" s="957"/>
      <c r="H9953" s="1032"/>
      <c r="I9953" s="959">
        <f>+I9942</f>
        <v>14.88</v>
      </c>
    </row>
    <row r="9954" spans="2:9" ht="15.75">
      <c r="C9954" s="956" t="s">
        <v>928</v>
      </c>
      <c r="D9954" s="957"/>
      <c r="E9954" s="958"/>
      <c r="F9954" s="1069"/>
      <c r="G9954" s="957"/>
      <c r="H9954" s="1032"/>
      <c r="I9954" s="959">
        <f>+I9946</f>
        <v>0</v>
      </c>
    </row>
    <row r="9955" spans="2:9" ht="15.75">
      <c r="C9955" s="956" t="s">
        <v>929</v>
      </c>
      <c r="D9955" s="957"/>
      <c r="E9955" s="958"/>
      <c r="F9955" s="1069"/>
      <c r="G9955" s="957"/>
      <c r="H9955" s="1032"/>
      <c r="I9955" s="959">
        <f>+I9950</f>
        <v>0</v>
      </c>
    </row>
    <row r="9956" spans="2:9" ht="15.75">
      <c r="C9956" s="949"/>
      <c r="D9956" s="946"/>
      <c r="E9956" s="947"/>
      <c r="F9956" s="1054"/>
      <c r="G9956" s="946"/>
      <c r="H9956" s="1031"/>
      <c r="I9956" s="948"/>
    </row>
    <row r="9957" spans="2:9" ht="15.75">
      <c r="C9957" s="949"/>
      <c r="D9957" s="946"/>
      <c r="E9957" s="947"/>
      <c r="F9957" s="1054"/>
      <c r="G9957" s="946"/>
      <c r="H9957" s="1031"/>
      <c r="I9957" s="948"/>
    </row>
    <row r="9958" spans="2:9" ht="15.75">
      <c r="C9958" s="951" t="s">
        <v>930</v>
      </c>
      <c r="D9958" s="960"/>
      <c r="E9958" s="943" t="str">
        <f>+E9932</f>
        <v>M3</v>
      </c>
      <c r="F9958" s="1070"/>
      <c r="G9958" s="960"/>
      <c r="H9958" s="1033"/>
      <c r="I9958" s="952">
        <f>SUM(I9952:I9955)</f>
        <v>10367.040000000001</v>
      </c>
    </row>
    <row r="9959" spans="2:9" ht="15.75">
      <c r="C9959" s="951"/>
      <c r="D9959" s="960"/>
      <c r="E9959" s="943"/>
      <c r="F9959" s="1070"/>
      <c r="G9959" s="960"/>
      <c r="H9959" s="1033"/>
      <c r="I9959" s="952"/>
    </row>
    <row r="9960" spans="2:9" ht="15.75">
      <c r="B9960" s="1026">
        <v>3.3</v>
      </c>
      <c r="C9960" s="937" t="str">
        <f>+Presupuesto!B586</f>
        <v>Pedestal (0.45m x 0.45m) - 6.94 qq/m³</v>
      </c>
      <c r="D9960" s="938"/>
      <c r="E9960" s="962" t="s">
        <v>22</v>
      </c>
      <c r="F9960" s="1066"/>
      <c r="G9960" s="938"/>
      <c r="H9960" s="1029"/>
      <c r="I9960" s="940">
        <f>I9992</f>
        <v>54906.77</v>
      </c>
    </row>
    <row r="9961" spans="2:9" ht="15.75">
      <c r="C9961" s="941" t="s">
        <v>908</v>
      </c>
      <c r="D9961" s="942" t="s">
        <v>9</v>
      </c>
      <c r="E9961" s="943" t="s">
        <v>10</v>
      </c>
      <c r="F9961" s="1067" t="s">
        <v>909</v>
      </c>
      <c r="G9961" s="942" t="s">
        <v>910</v>
      </c>
      <c r="H9961" s="1030" t="s">
        <v>911</v>
      </c>
      <c r="I9961" s="944" t="s">
        <v>912</v>
      </c>
    </row>
    <row r="9962" spans="2:9" ht="15.75">
      <c r="C9962" s="945" t="s">
        <v>913</v>
      </c>
      <c r="D9962" s="946"/>
      <c r="E9962" s="947"/>
      <c r="F9962" s="1054"/>
      <c r="G9962" s="946"/>
      <c r="H9962" s="1031"/>
      <c r="I9962" s="948"/>
    </row>
    <row r="9963" spans="2:9" ht="15.75">
      <c r="C9963" s="949" t="s">
        <v>994</v>
      </c>
      <c r="D9963" s="946">
        <v>1.05</v>
      </c>
      <c r="E9963" s="947" t="str">
        <f>+VLOOKUP(C9963,'Basic (equilibrio) (2)'!B:D,2,FALSE)</f>
        <v>m3</v>
      </c>
      <c r="F9963" s="1068">
        <f>'Basic (equilibrio) (2)'!$D$179</f>
        <v>7600</v>
      </c>
      <c r="G9963" s="946">
        <f t="shared" ref="G9963:G9968" si="65">F9963-(F9963/1.18)</f>
        <v>1159.32</v>
      </c>
      <c r="H9963" s="1031"/>
      <c r="I9963" s="948">
        <f t="shared" ref="I9963:I9968" si="66">D9963*F9963</f>
        <v>7980</v>
      </c>
    </row>
    <row r="9964" spans="2:9" ht="15.75">
      <c r="C9964" s="949" t="s">
        <v>1188</v>
      </c>
      <c r="D9964" s="946">
        <v>6.94</v>
      </c>
      <c r="E9964" s="947" t="str">
        <f>+VLOOKUP(C9964,'Basic (equilibrio) (2)'!B:D,2,FALSE)</f>
        <v>qq</v>
      </c>
      <c r="F9964" s="1068">
        <f>'Basic (equilibrio) (2)'!$D$183</f>
        <v>3600</v>
      </c>
      <c r="G9964" s="946">
        <f t="shared" si="65"/>
        <v>549.15</v>
      </c>
      <c r="H9964" s="1031"/>
      <c r="I9964" s="948">
        <f t="shared" si="66"/>
        <v>24984</v>
      </c>
    </row>
    <row r="9965" spans="2:9" ht="15.75">
      <c r="C9965" s="949" t="s">
        <v>1212</v>
      </c>
      <c r="D9965" s="946">
        <f>+D9964*2</f>
        <v>13.88</v>
      </c>
      <c r="E9965" s="947" t="str">
        <f>+VLOOKUP(C9965,'Basic (equilibrio) (2)'!B:D,2,FALSE)</f>
        <v>lb</v>
      </c>
      <c r="F9965" s="1068">
        <f>'Basic (equilibrio) (2)'!$D$312</f>
        <v>26.5</v>
      </c>
      <c r="G9965" s="946">
        <f t="shared" si="65"/>
        <v>4.04</v>
      </c>
      <c r="H9965" s="1031"/>
      <c r="I9965" s="948">
        <f t="shared" si="66"/>
        <v>367.82</v>
      </c>
    </row>
    <row r="9966" spans="2:9" ht="15.75">
      <c r="C9966" s="949" t="s">
        <v>916</v>
      </c>
      <c r="D9966" s="946">
        <v>144</v>
      </c>
      <c r="E9966" s="947" t="str">
        <f>+VLOOKUP(C9966,'Basic (equilibrio) (2)'!B:D,2,FALSE)</f>
        <v>pt</v>
      </c>
      <c r="F9966" s="1068">
        <f>'Basic (equilibrio) (2)'!$D$194</f>
        <v>107.7</v>
      </c>
      <c r="G9966" s="946">
        <f t="shared" si="65"/>
        <v>16.43</v>
      </c>
      <c r="H9966" s="1031"/>
      <c r="I9966" s="948">
        <f t="shared" si="66"/>
        <v>15508.8</v>
      </c>
    </row>
    <row r="9967" spans="2:9" ht="15.75">
      <c r="C9967" s="949" t="s">
        <v>1194</v>
      </c>
      <c r="D9967" s="946">
        <v>23.09</v>
      </c>
      <c r="E9967" s="947" t="str">
        <f>+VLOOKUP(C9967,'Basic (equilibrio) (2)'!B:D,2,FALSE)</f>
        <v>lb</v>
      </c>
      <c r="F9967" s="1068">
        <f>'Basic (equilibrio) (2)'!$D$192</f>
        <v>78.2</v>
      </c>
      <c r="G9967" s="946">
        <f t="shared" si="65"/>
        <v>11.93</v>
      </c>
      <c r="H9967" s="1031"/>
      <c r="I9967" s="948">
        <f t="shared" si="66"/>
        <v>1805.64</v>
      </c>
    </row>
    <row r="9968" spans="2:9" ht="15.75">
      <c r="C9968" s="949" t="s">
        <v>1299</v>
      </c>
      <c r="D9968" s="946">
        <v>6.93</v>
      </c>
      <c r="E9968" s="947" t="str">
        <f>+VLOOKUP(C9968,'Basic (equilibrio) (2)'!B:D,2,FALSE)</f>
        <v>lb</v>
      </c>
      <c r="F9968" s="1068">
        <f>'Basic (equilibrio) (2)'!$D$335</f>
        <v>78.2</v>
      </c>
      <c r="G9968" s="946">
        <f t="shared" si="65"/>
        <v>11.93</v>
      </c>
      <c r="H9968" s="1031"/>
      <c r="I9968" s="948">
        <f t="shared" si="66"/>
        <v>541.92999999999995</v>
      </c>
    </row>
    <row r="9969" spans="3:9" ht="15.75">
      <c r="C9969" s="951" t="s">
        <v>918</v>
      </c>
      <c r="D9969" s="946"/>
      <c r="E9969" s="947"/>
      <c r="F9969" s="1068"/>
      <c r="G9969" s="946"/>
      <c r="H9969" s="1031"/>
      <c r="I9969" s="952">
        <f>SUM(I9963:I9968)</f>
        <v>51188.19</v>
      </c>
    </row>
    <row r="9970" spans="3:9" ht="15.75">
      <c r="C9970" s="949"/>
      <c r="D9970" s="946"/>
      <c r="E9970" s="947"/>
      <c r="F9970" s="1068"/>
      <c r="G9970" s="946"/>
      <c r="H9970" s="1031"/>
      <c r="I9970" s="948"/>
    </row>
    <row r="9971" spans="3:9" ht="15.75">
      <c r="C9971" s="945" t="s">
        <v>919</v>
      </c>
      <c r="D9971" s="946"/>
      <c r="E9971" s="947"/>
      <c r="F9971" s="1068"/>
      <c r="G9971" s="946"/>
      <c r="H9971" s="1031"/>
      <c r="I9971" s="948"/>
    </row>
    <row r="9972" spans="3:9" ht="15.75">
      <c r="C9972" s="949" t="s">
        <v>1131</v>
      </c>
      <c r="D9972" s="953">
        <v>4.93</v>
      </c>
      <c r="E9972" s="954" t="str">
        <f>+VLOOKUP(C9972,'Basic (equilibrio) (2)'!B:D,2,FALSE)</f>
        <v>ml</v>
      </c>
      <c r="F9972" s="1068">
        <f>'Basic (equilibrio) (2)'!$D$48</f>
        <v>400</v>
      </c>
      <c r="G9972" s="946">
        <v>0</v>
      </c>
      <c r="H9972" s="1031"/>
      <c r="I9972" s="948">
        <f>(D9972*F9972)</f>
        <v>1972</v>
      </c>
    </row>
    <row r="9973" spans="3:9" ht="31.5">
      <c r="C9973" s="949" t="s">
        <v>1132</v>
      </c>
      <c r="D9973" s="946">
        <v>4.93</v>
      </c>
      <c r="E9973" s="947" t="str">
        <f>+VLOOKUP(C9973,'Basic (equilibrio) (2)'!B:D,2,FALSE)</f>
        <v>ml</v>
      </c>
      <c r="F9973" s="1068">
        <f>'Basic (equilibrio) (2)'!$D$49</f>
        <v>211</v>
      </c>
      <c r="G9973" s="946">
        <f>F9973-(F9973/1.18)</f>
        <v>32.19</v>
      </c>
      <c r="H9973" s="1031"/>
      <c r="I9973" s="948">
        <f>D9973*F9973</f>
        <v>1040.23</v>
      </c>
    </row>
    <row r="9974" spans="3:9" ht="15.75">
      <c r="C9974" s="949" t="s">
        <v>1117</v>
      </c>
      <c r="D9974" s="946">
        <v>9.52</v>
      </c>
      <c r="E9974" s="947" t="str">
        <f>+VLOOKUP(C9974,'Basic (equilibrio) (2)'!B:D,2,FALSE)</f>
        <v>m2</v>
      </c>
      <c r="F9974" s="1068">
        <f>'Basic (equilibrio) (2)'!$D$41</f>
        <v>25</v>
      </c>
      <c r="G9974" s="946">
        <f>F9974-(F9974/1.18)</f>
        <v>3.81</v>
      </c>
      <c r="H9974" s="1031"/>
      <c r="I9974" s="948">
        <f>D9974*F9974</f>
        <v>238</v>
      </c>
    </row>
    <row r="9975" spans="3:9" ht="15.75">
      <c r="C9975" s="949" t="s">
        <v>1118</v>
      </c>
      <c r="D9975" s="946">
        <v>4.93</v>
      </c>
      <c r="E9975" s="947" t="str">
        <f>+VLOOKUP(C9975,'Basic (equilibrio) (2)'!B:D,2,FALSE)</f>
        <v>m</v>
      </c>
      <c r="F9975" s="1068">
        <f>'Basic (equilibrio) (2)'!$D$42</f>
        <v>95</v>
      </c>
      <c r="G9975" s="946">
        <f>F9975-(F9975/1.18)</f>
        <v>14.49</v>
      </c>
      <c r="H9975" s="1031"/>
      <c r="I9975" s="948">
        <f>D9975*F9975</f>
        <v>468.35</v>
      </c>
    </row>
    <row r="9976" spans="3:9" ht="15.75">
      <c r="C9976" s="951" t="s">
        <v>918</v>
      </c>
      <c r="D9976" s="946"/>
      <c r="E9976" s="947"/>
      <c r="F9976" s="1054"/>
      <c r="G9976" s="946"/>
      <c r="H9976" s="1031"/>
      <c r="I9976" s="952">
        <f>SUM(I9972:I9975)</f>
        <v>3718.58</v>
      </c>
    </row>
    <row r="9977" spans="3:9" ht="15.75">
      <c r="C9977" s="949"/>
      <c r="D9977" s="946"/>
      <c r="E9977" s="947"/>
      <c r="F9977" s="1054"/>
      <c r="G9977" s="946"/>
      <c r="H9977" s="1031"/>
      <c r="I9977" s="948"/>
    </row>
    <row r="9978" spans="3:9" ht="15.75">
      <c r="C9978" s="945" t="s">
        <v>923</v>
      </c>
      <c r="D9978" s="946"/>
      <c r="E9978" s="947"/>
      <c r="F9978" s="1054"/>
      <c r="G9978" s="946"/>
      <c r="H9978" s="1031"/>
      <c r="I9978" s="948"/>
    </row>
    <row r="9979" spans="3:9" ht="15.75">
      <c r="C9979" s="949" t="s">
        <v>924</v>
      </c>
      <c r="D9979" s="946"/>
      <c r="E9979" s="947" t="str">
        <f>+VLOOKUP(C9979,'Basic (equilibrio) (2)'!B:D,2,FALSE)</f>
        <v>n/a</v>
      </c>
      <c r="F9979" s="1054">
        <f>+VLOOKUP(C9979,'Basic (equilibrio) (2)'!B:D,3,FALSE)</f>
        <v>0</v>
      </c>
      <c r="G9979" s="946">
        <f>F9979-(F9979/1.18)</f>
        <v>0</v>
      </c>
      <c r="H9979" s="1039"/>
      <c r="I9979" s="955">
        <f>D9979*F9979</f>
        <v>0</v>
      </c>
    </row>
    <row r="9980" spans="3:9" ht="15.75">
      <c r="C9980" s="951" t="s">
        <v>918</v>
      </c>
      <c r="D9980" s="946"/>
      <c r="E9980" s="947"/>
      <c r="F9980" s="1054"/>
      <c r="G9980" s="946"/>
      <c r="H9980" s="1031"/>
      <c r="I9980" s="952">
        <f>SUM(I9979:I9979)</f>
        <v>0</v>
      </c>
    </row>
    <row r="9981" spans="3:9" ht="15.75">
      <c r="C9981" s="949"/>
      <c r="D9981" s="946"/>
      <c r="E9981" s="947"/>
      <c r="F9981" s="1054"/>
      <c r="G9981" s="946"/>
      <c r="H9981" s="1031"/>
      <c r="I9981" s="948"/>
    </row>
    <row r="9982" spans="3:9" ht="15.75">
      <c r="C9982" s="945" t="s">
        <v>925</v>
      </c>
      <c r="D9982" s="946"/>
      <c r="E9982" s="947"/>
      <c r="F9982" s="1054"/>
      <c r="G9982" s="946"/>
      <c r="H9982" s="1031"/>
      <c r="I9982" s="948"/>
    </row>
    <row r="9983" spans="3:9" ht="15.75">
      <c r="C9983" s="949" t="s">
        <v>924</v>
      </c>
      <c r="D9983" s="946"/>
      <c r="E9983" s="947" t="str">
        <f>+VLOOKUP(C9983,'Basic (equilibrio) (2)'!B:D,2,FALSE)</f>
        <v>n/a</v>
      </c>
      <c r="F9983" s="1054">
        <f>+VLOOKUP(C9983,'Basic (equilibrio) (2)'!B:D,3,FALSE)</f>
        <v>0</v>
      </c>
      <c r="G9983" s="946"/>
      <c r="H9983" s="1031"/>
      <c r="I9983" s="948">
        <f>D9983*F9983</f>
        <v>0</v>
      </c>
    </row>
    <row r="9984" spans="3:9" ht="15.75">
      <c r="C9984" s="951" t="s">
        <v>918</v>
      </c>
      <c r="D9984" s="946"/>
      <c r="E9984" s="947"/>
      <c r="F9984" s="1054"/>
      <c r="G9984" s="946"/>
      <c r="H9984" s="1031"/>
      <c r="I9984" s="952">
        <f>SUM(I9983)</f>
        <v>0</v>
      </c>
    </row>
    <row r="9985" spans="2:9" ht="15.75">
      <c r="C9985" s="951"/>
      <c r="D9985" s="946"/>
      <c r="E9985" s="947"/>
      <c r="F9985" s="1054"/>
      <c r="G9985" s="946"/>
      <c r="H9985" s="1031"/>
      <c r="I9985" s="952"/>
    </row>
    <row r="9986" spans="2:9" ht="15.75">
      <c r="C9986" s="956" t="s">
        <v>926</v>
      </c>
      <c r="D9986" s="957"/>
      <c r="E9986" s="958"/>
      <c r="F9986" s="1069"/>
      <c r="G9986" s="957"/>
      <c r="H9986" s="1032"/>
      <c r="I9986" s="959">
        <f>+I9969</f>
        <v>51188.19</v>
      </c>
    </row>
    <row r="9987" spans="2:9" ht="15.75">
      <c r="C9987" s="956" t="s">
        <v>927</v>
      </c>
      <c r="D9987" s="957"/>
      <c r="E9987" s="958"/>
      <c r="F9987" s="1069"/>
      <c r="G9987" s="957"/>
      <c r="H9987" s="1032"/>
      <c r="I9987" s="959">
        <f>+I9976</f>
        <v>3718.58</v>
      </c>
    </row>
    <row r="9988" spans="2:9" ht="15.75">
      <c r="C9988" s="956" t="s">
        <v>928</v>
      </c>
      <c r="D9988" s="957"/>
      <c r="E9988" s="958"/>
      <c r="F9988" s="1069"/>
      <c r="G9988" s="957"/>
      <c r="H9988" s="1032"/>
      <c r="I9988" s="959">
        <f>+I9980</f>
        <v>0</v>
      </c>
    </row>
    <row r="9989" spans="2:9" ht="15.75">
      <c r="C9989" s="956" t="s">
        <v>929</v>
      </c>
      <c r="D9989" s="957"/>
      <c r="E9989" s="958"/>
      <c r="F9989" s="1069"/>
      <c r="G9989" s="957"/>
      <c r="H9989" s="1032"/>
      <c r="I9989" s="959">
        <f>+I9984</f>
        <v>0</v>
      </c>
    </row>
    <row r="9990" spans="2:9" ht="15.75">
      <c r="C9990" s="949"/>
      <c r="D9990" s="946"/>
      <c r="E9990" s="947"/>
      <c r="F9990" s="1054"/>
      <c r="G9990" s="946"/>
      <c r="H9990" s="1031"/>
      <c r="I9990" s="948"/>
    </row>
    <row r="9991" spans="2:9" ht="15.75">
      <c r="C9991" s="949"/>
      <c r="D9991" s="946"/>
      <c r="E9991" s="947"/>
      <c r="F9991" s="1054"/>
      <c r="G9991" s="946"/>
      <c r="H9991" s="1031"/>
      <c r="I9991" s="948"/>
    </row>
    <row r="9992" spans="2:9" ht="15.75">
      <c r="C9992" s="951" t="s">
        <v>930</v>
      </c>
      <c r="D9992" s="960"/>
      <c r="E9992" s="943" t="str">
        <f>+E9960</f>
        <v>M3</v>
      </c>
      <c r="F9992" s="1070"/>
      <c r="G9992" s="960"/>
      <c r="H9992" s="1033"/>
      <c r="I9992" s="952">
        <f>SUM(I9986:I9989)</f>
        <v>54906.77</v>
      </c>
    </row>
    <row r="9993" spans="2:9" ht="15.75">
      <c r="C9993" s="951"/>
      <c r="D9993" s="960"/>
      <c r="E9993" s="943"/>
      <c r="F9993" s="1070"/>
      <c r="G9993" s="960"/>
      <c r="H9993" s="1033"/>
      <c r="I9993" s="952"/>
    </row>
    <row r="9994" spans="2:9" ht="15.75">
      <c r="B9994" s="1026">
        <v>3.4</v>
      </c>
      <c r="C9994" s="937" t="str">
        <f>+Presupuesto!B587</f>
        <v>Columna de amarre - 2.97 qq/m³</v>
      </c>
      <c r="D9994" s="938"/>
      <c r="E9994" s="962" t="s">
        <v>22</v>
      </c>
      <c r="F9994" s="1066"/>
      <c r="G9994" s="938"/>
      <c r="H9994" s="1029"/>
      <c r="I9994" s="940">
        <f>I10026</f>
        <v>38547.58</v>
      </c>
    </row>
    <row r="9995" spans="2:9" ht="15.75">
      <c r="C9995" s="941" t="s">
        <v>908</v>
      </c>
      <c r="D9995" s="942" t="s">
        <v>9</v>
      </c>
      <c r="E9995" s="943" t="s">
        <v>10</v>
      </c>
      <c r="F9995" s="1067" t="s">
        <v>909</v>
      </c>
      <c r="G9995" s="942" t="s">
        <v>910</v>
      </c>
      <c r="H9995" s="1030" t="s">
        <v>911</v>
      </c>
      <c r="I9995" s="944" t="s">
        <v>912</v>
      </c>
    </row>
    <row r="9996" spans="2:9" ht="15.75">
      <c r="C9996" s="945" t="s">
        <v>913</v>
      </c>
      <c r="D9996" s="946"/>
      <c r="E9996" s="947"/>
      <c r="F9996" s="1054"/>
      <c r="G9996" s="946"/>
      <c r="H9996" s="1031"/>
      <c r="I9996" s="948"/>
    </row>
    <row r="9997" spans="2:9" ht="15.75">
      <c r="C9997" s="949" t="s">
        <v>994</v>
      </c>
      <c r="D9997" s="946">
        <v>1.05</v>
      </c>
      <c r="E9997" s="947" t="str">
        <f>+VLOOKUP(C9997,'Basic (equilibrio) (2)'!B:D,2,FALSE)</f>
        <v>m3</v>
      </c>
      <c r="F9997" s="1068">
        <f>'Basic (equilibrio) (2)'!$D$179</f>
        <v>7600</v>
      </c>
      <c r="G9997" s="946">
        <f t="shared" ref="G9997:G10002" si="67">F9997-(F9997/1.18)</f>
        <v>1159.32</v>
      </c>
      <c r="H9997" s="1031"/>
      <c r="I9997" s="948">
        <f t="shared" ref="I9997:I10002" si="68">D9997*F9997</f>
        <v>7980</v>
      </c>
    </row>
    <row r="9998" spans="2:9" ht="15.75">
      <c r="C9998" s="949" t="s">
        <v>1188</v>
      </c>
      <c r="D9998" s="946">
        <v>2.97</v>
      </c>
      <c r="E9998" s="947" t="str">
        <f>+VLOOKUP(C9998,'Basic (equilibrio) (2)'!B:D,2,FALSE)</f>
        <v>qq</v>
      </c>
      <c r="F9998" s="1068">
        <f>'Basic (equilibrio) (2)'!$D$183</f>
        <v>3600</v>
      </c>
      <c r="G9998" s="946">
        <f t="shared" si="67"/>
        <v>549.15</v>
      </c>
      <c r="H9998" s="1031"/>
      <c r="I9998" s="948">
        <f t="shared" si="68"/>
        <v>10692</v>
      </c>
    </row>
    <row r="9999" spans="2:9" ht="15.75">
      <c r="C9999" s="949" t="s">
        <v>1212</v>
      </c>
      <c r="D9999" s="946">
        <f>+D9998*2</f>
        <v>5.94</v>
      </c>
      <c r="E9999" s="947" t="str">
        <f>+VLOOKUP(C9999,'Basic (equilibrio) (2)'!B:D,2,FALSE)</f>
        <v>lb</v>
      </c>
      <c r="F9999" s="1068">
        <f>'Basic (equilibrio) (2)'!$D$312</f>
        <v>26.5</v>
      </c>
      <c r="G9999" s="946">
        <f t="shared" si="67"/>
        <v>4.04</v>
      </c>
      <c r="H9999" s="1031"/>
      <c r="I9999" s="948">
        <f t="shared" si="68"/>
        <v>157.41</v>
      </c>
    </row>
    <row r="10000" spans="2:9" ht="15.75">
      <c r="C10000" s="949" t="s">
        <v>916</v>
      </c>
      <c r="D10000" s="946">
        <v>144</v>
      </c>
      <c r="E10000" s="947" t="str">
        <f>+VLOOKUP(C10000,'Basic (equilibrio) (2)'!B:D,2,FALSE)</f>
        <v>pt</v>
      </c>
      <c r="F10000" s="1068">
        <f>'Basic (equilibrio) (2)'!$D$194</f>
        <v>107.7</v>
      </c>
      <c r="G10000" s="946">
        <f t="shared" si="67"/>
        <v>16.43</v>
      </c>
      <c r="H10000" s="1031"/>
      <c r="I10000" s="948">
        <f t="shared" si="68"/>
        <v>15508.8</v>
      </c>
    </row>
    <row r="10001" spans="3:9" ht="15.75">
      <c r="C10001" s="949" t="s">
        <v>1194</v>
      </c>
      <c r="D10001" s="946">
        <v>23.09</v>
      </c>
      <c r="E10001" s="947" t="str">
        <f>+VLOOKUP(C10001,'Basic (equilibrio) (2)'!B:D,2,FALSE)</f>
        <v>lb</v>
      </c>
      <c r="F10001" s="1068">
        <f>'Basic (equilibrio) (2)'!$D$192</f>
        <v>78.2</v>
      </c>
      <c r="G10001" s="946">
        <f t="shared" si="67"/>
        <v>11.93</v>
      </c>
      <c r="H10001" s="1031"/>
      <c r="I10001" s="948">
        <f t="shared" si="68"/>
        <v>1805.64</v>
      </c>
    </row>
    <row r="10002" spans="3:9" ht="15.75">
      <c r="C10002" s="949" t="s">
        <v>1299</v>
      </c>
      <c r="D10002" s="946">
        <v>6.93</v>
      </c>
      <c r="E10002" s="947" t="str">
        <f>+VLOOKUP(C10002,'Basic (equilibrio) (2)'!B:D,2,FALSE)</f>
        <v>lb</v>
      </c>
      <c r="F10002" s="1068">
        <f>'Basic (equilibrio) (2)'!$D$335</f>
        <v>78.2</v>
      </c>
      <c r="G10002" s="946">
        <f t="shared" si="67"/>
        <v>11.93</v>
      </c>
      <c r="H10002" s="1031"/>
      <c r="I10002" s="948">
        <f t="shared" si="68"/>
        <v>541.92999999999995</v>
      </c>
    </row>
    <row r="10003" spans="3:9" ht="15.75">
      <c r="C10003" s="951" t="s">
        <v>918</v>
      </c>
      <c r="D10003" s="946"/>
      <c r="E10003" s="947"/>
      <c r="F10003" s="1068"/>
      <c r="G10003" s="946"/>
      <c r="H10003" s="1031"/>
      <c r="I10003" s="952">
        <f>SUM(I9997:I10002)</f>
        <v>36685.78</v>
      </c>
    </row>
    <row r="10004" spans="3:9" ht="15.75">
      <c r="C10004" s="949"/>
      <c r="D10004" s="946"/>
      <c r="E10004" s="947"/>
      <c r="F10004" s="1068"/>
      <c r="G10004" s="946"/>
      <c r="H10004" s="1031"/>
      <c r="I10004" s="948"/>
    </row>
    <row r="10005" spans="3:9" ht="15.75">
      <c r="C10005" s="945" t="s">
        <v>919</v>
      </c>
      <c r="D10005" s="946"/>
      <c r="E10005" s="947"/>
      <c r="F10005" s="1068"/>
      <c r="G10005" s="946"/>
      <c r="H10005" s="1031"/>
      <c r="I10005" s="948"/>
    </row>
    <row r="10006" spans="3:9" ht="15.75">
      <c r="C10006" s="949" t="s">
        <v>1131</v>
      </c>
      <c r="D10006" s="953">
        <v>2.2999999999999998</v>
      </c>
      <c r="E10006" s="954" t="str">
        <f>+VLOOKUP(C10006,'Basic (equilibrio) (2)'!B:D,2,FALSE)</f>
        <v>ml</v>
      </c>
      <c r="F10006" s="1068">
        <f>'Basic (equilibrio) (2)'!$D$48</f>
        <v>400</v>
      </c>
      <c r="G10006" s="946">
        <v>0</v>
      </c>
      <c r="H10006" s="1031"/>
      <c r="I10006" s="948">
        <f>(D10006*F10006)</f>
        <v>920</v>
      </c>
    </row>
    <row r="10007" spans="3:9" ht="31.5">
      <c r="C10007" s="949" t="s">
        <v>1132</v>
      </c>
      <c r="D10007" s="946">
        <v>2.2999999999999998</v>
      </c>
      <c r="E10007" s="947" t="str">
        <f>+VLOOKUP(C10007,'Basic (equilibrio) (2)'!B:D,2,FALSE)</f>
        <v>ml</v>
      </c>
      <c r="F10007" s="1068">
        <f>'Basic (equilibrio) (2)'!$D$49</f>
        <v>211</v>
      </c>
      <c r="G10007" s="946">
        <f>F10007-(F10007/1.18)</f>
        <v>32.19</v>
      </c>
      <c r="H10007" s="1031"/>
      <c r="I10007" s="948">
        <f>D10007*F10007</f>
        <v>485.3</v>
      </c>
    </row>
    <row r="10008" spans="3:9" ht="15.75">
      <c r="C10008" s="949" t="s">
        <v>1117</v>
      </c>
      <c r="D10008" s="946">
        <v>9.52</v>
      </c>
      <c r="E10008" s="947" t="str">
        <f>+VLOOKUP(C10008,'Basic (equilibrio) (2)'!B:D,2,FALSE)</f>
        <v>m2</v>
      </c>
      <c r="F10008" s="1068">
        <f>'Basic (equilibrio) (2)'!$D$41</f>
        <v>25</v>
      </c>
      <c r="G10008" s="946">
        <f>F10008-(F10008/1.18)</f>
        <v>3.81</v>
      </c>
      <c r="H10008" s="1031"/>
      <c r="I10008" s="948">
        <f>D10008*F10008</f>
        <v>238</v>
      </c>
    </row>
    <row r="10009" spans="3:9" ht="15.75">
      <c r="C10009" s="949" t="s">
        <v>1118</v>
      </c>
      <c r="D10009" s="946">
        <v>2.2999999999999998</v>
      </c>
      <c r="E10009" s="947" t="str">
        <f>+VLOOKUP(C10009,'Basic (equilibrio) (2)'!B:D,2,FALSE)</f>
        <v>m</v>
      </c>
      <c r="F10009" s="1068">
        <f>'Basic (equilibrio) (2)'!$D$42</f>
        <v>95</v>
      </c>
      <c r="G10009" s="946">
        <f>F10009-(F10009/1.18)</f>
        <v>14.49</v>
      </c>
      <c r="H10009" s="1031"/>
      <c r="I10009" s="948">
        <f>D10009*F10009</f>
        <v>218.5</v>
      </c>
    </row>
    <row r="10010" spans="3:9" ht="15.75">
      <c r="C10010" s="951" t="s">
        <v>918</v>
      </c>
      <c r="D10010" s="946"/>
      <c r="E10010" s="947"/>
      <c r="F10010" s="1054"/>
      <c r="G10010" s="946"/>
      <c r="H10010" s="1031"/>
      <c r="I10010" s="952">
        <f>SUM(I10006:I10009)</f>
        <v>1861.8</v>
      </c>
    </row>
    <row r="10011" spans="3:9" ht="15.75">
      <c r="C10011" s="949"/>
      <c r="D10011" s="946"/>
      <c r="E10011" s="947"/>
      <c r="F10011" s="1054"/>
      <c r="G10011" s="946"/>
      <c r="H10011" s="1031"/>
      <c r="I10011" s="948"/>
    </row>
    <row r="10012" spans="3:9" ht="15.75">
      <c r="C10012" s="945" t="s">
        <v>923</v>
      </c>
      <c r="D10012" s="946"/>
      <c r="E10012" s="947"/>
      <c r="F10012" s="1054"/>
      <c r="G10012" s="946"/>
      <c r="H10012" s="1031"/>
      <c r="I10012" s="948"/>
    </row>
    <row r="10013" spans="3:9" ht="15.75">
      <c r="C10013" s="949" t="s">
        <v>924</v>
      </c>
      <c r="D10013" s="946"/>
      <c r="E10013" s="947" t="str">
        <f>+VLOOKUP(C10013,'Basic (equilibrio) (2)'!B:D,2,FALSE)</f>
        <v>n/a</v>
      </c>
      <c r="F10013" s="1054">
        <f>+VLOOKUP(C10013,'Basic (equilibrio) (2)'!B:D,3,FALSE)</f>
        <v>0</v>
      </c>
      <c r="G10013" s="946">
        <f>F10013-(F10013/1.18)</f>
        <v>0</v>
      </c>
      <c r="H10013" s="1039"/>
      <c r="I10013" s="955">
        <f>D10013*F10013</f>
        <v>0</v>
      </c>
    </row>
    <row r="10014" spans="3:9" ht="15.75">
      <c r="C10014" s="951" t="s">
        <v>918</v>
      </c>
      <c r="D10014" s="946"/>
      <c r="E10014" s="947"/>
      <c r="F10014" s="1054"/>
      <c r="G10014" s="946"/>
      <c r="H10014" s="1031"/>
      <c r="I10014" s="952">
        <f>SUM(I10013:I10013)</f>
        <v>0</v>
      </c>
    </row>
    <row r="10015" spans="3:9" ht="15.75">
      <c r="C10015" s="949"/>
      <c r="D10015" s="946"/>
      <c r="E10015" s="947"/>
      <c r="F10015" s="1054"/>
      <c r="G10015" s="946"/>
      <c r="H10015" s="1031"/>
      <c r="I10015" s="948"/>
    </row>
    <row r="10016" spans="3:9" ht="15.75">
      <c r="C10016" s="945" t="s">
        <v>925</v>
      </c>
      <c r="D10016" s="946"/>
      <c r="E10016" s="947"/>
      <c r="F10016" s="1054"/>
      <c r="G10016" s="946"/>
      <c r="H10016" s="1031"/>
      <c r="I10016" s="948"/>
    </row>
    <row r="10017" spans="2:9" ht="15.75">
      <c r="C10017" s="949" t="s">
        <v>924</v>
      </c>
      <c r="D10017" s="946"/>
      <c r="E10017" s="947" t="str">
        <f>+VLOOKUP(C10017,'Basic (equilibrio) (2)'!B:D,2,FALSE)</f>
        <v>n/a</v>
      </c>
      <c r="F10017" s="1054">
        <f>+VLOOKUP(C10017,'Basic (equilibrio) (2)'!B:D,3,FALSE)</f>
        <v>0</v>
      </c>
      <c r="G10017" s="946"/>
      <c r="H10017" s="1031"/>
      <c r="I10017" s="948">
        <f>D10017*F10017</f>
        <v>0</v>
      </c>
    </row>
    <row r="10018" spans="2:9" ht="15.75">
      <c r="C10018" s="951" t="s">
        <v>918</v>
      </c>
      <c r="D10018" s="946"/>
      <c r="E10018" s="947"/>
      <c r="F10018" s="1054"/>
      <c r="G10018" s="946"/>
      <c r="H10018" s="1031"/>
      <c r="I10018" s="952">
        <f>SUM(I10017)</f>
        <v>0</v>
      </c>
    </row>
    <row r="10019" spans="2:9" ht="15.75">
      <c r="C10019" s="951"/>
      <c r="D10019" s="946"/>
      <c r="E10019" s="947"/>
      <c r="F10019" s="1054"/>
      <c r="G10019" s="946"/>
      <c r="H10019" s="1031"/>
      <c r="I10019" s="952"/>
    </row>
    <row r="10020" spans="2:9" ht="15.75">
      <c r="C10020" s="956" t="s">
        <v>926</v>
      </c>
      <c r="D10020" s="957"/>
      <c r="E10020" s="958"/>
      <c r="F10020" s="1069"/>
      <c r="G10020" s="957"/>
      <c r="H10020" s="1032"/>
      <c r="I10020" s="959">
        <f>+I10003</f>
        <v>36685.78</v>
      </c>
    </row>
    <row r="10021" spans="2:9" ht="15.75">
      <c r="C10021" s="956" t="s">
        <v>927</v>
      </c>
      <c r="D10021" s="957"/>
      <c r="E10021" s="958"/>
      <c r="F10021" s="1069"/>
      <c r="G10021" s="957"/>
      <c r="H10021" s="1032"/>
      <c r="I10021" s="959">
        <f>+I10010</f>
        <v>1861.8</v>
      </c>
    </row>
    <row r="10022" spans="2:9" ht="15.75">
      <c r="C10022" s="956" t="s">
        <v>928</v>
      </c>
      <c r="D10022" s="957"/>
      <c r="E10022" s="958"/>
      <c r="F10022" s="1069"/>
      <c r="G10022" s="957"/>
      <c r="H10022" s="1032"/>
      <c r="I10022" s="959">
        <f>+I10014</f>
        <v>0</v>
      </c>
    </row>
    <row r="10023" spans="2:9" ht="15.75">
      <c r="C10023" s="956" t="s">
        <v>929</v>
      </c>
      <c r="D10023" s="957"/>
      <c r="E10023" s="958"/>
      <c r="F10023" s="1069"/>
      <c r="G10023" s="957"/>
      <c r="H10023" s="1032"/>
      <c r="I10023" s="959">
        <f>+I10018</f>
        <v>0</v>
      </c>
    </row>
    <row r="10024" spans="2:9" ht="15.75">
      <c r="C10024" s="949"/>
      <c r="D10024" s="946"/>
      <c r="E10024" s="947"/>
      <c r="F10024" s="1054"/>
      <c r="G10024" s="946"/>
      <c r="H10024" s="1031"/>
      <c r="I10024" s="948"/>
    </row>
    <row r="10025" spans="2:9" ht="15.75">
      <c r="C10025" s="949"/>
      <c r="D10025" s="946"/>
      <c r="E10025" s="947"/>
      <c r="F10025" s="1054"/>
      <c r="G10025" s="946"/>
      <c r="H10025" s="1031"/>
      <c r="I10025" s="948"/>
    </row>
    <row r="10026" spans="2:9" ht="15.75">
      <c r="C10026" s="951" t="s">
        <v>930</v>
      </c>
      <c r="D10026" s="960"/>
      <c r="E10026" s="943" t="str">
        <f>+E9994</f>
        <v>M3</v>
      </c>
      <c r="F10026" s="1070"/>
      <c r="G10026" s="960"/>
      <c r="H10026" s="1033"/>
      <c r="I10026" s="952">
        <f>SUM(I10020:I10023)</f>
        <v>38547.58</v>
      </c>
    </row>
    <row r="10027" spans="2:9" ht="15.75">
      <c r="C10027" s="951"/>
      <c r="D10027" s="960"/>
      <c r="E10027" s="943"/>
      <c r="F10027" s="1070"/>
      <c r="G10027" s="960"/>
      <c r="H10027" s="1033"/>
      <c r="I10027" s="952"/>
    </row>
    <row r="10028" spans="2:9" ht="15.75">
      <c r="B10028" s="1026">
        <v>3.5</v>
      </c>
      <c r="C10028" s="937" t="str">
        <f>+Presupuesto!B588</f>
        <v>Viga de amarre (0.15m x 0.20m) - 3.66 qq/m³</v>
      </c>
      <c r="D10028" s="938"/>
      <c r="E10028" s="962" t="s">
        <v>22</v>
      </c>
      <c r="F10028" s="1066"/>
      <c r="G10028" s="938"/>
      <c r="H10028" s="1029"/>
      <c r="I10028" s="940">
        <f>I10055</f>
        <v>30203.29</v>
      </c>
    </row>
    <row r="10029" spans="2:9" ht="15.75">
      <c r="C10029" s="941" t="s">
        <v>908</v>
      </c>
      <c r="D10029" s="942" t="s">
        <v>9</v>
      </c>
      <c r="E10029" s="943" t="s">
        <v>10</v>
      </c>
      <c r="F10029" s="1067" t="s">
        <v>909</v>
      </c>
      <c r="G10029" s="942" t="s">
        <v>910</v>
      </c>
      <c r="H10029" s="1030" t="s">
        <v>911</v>
      </c>
      <c r="I10029" s="944" t="s">
        <v>912</v>
      </c>
    </row>
    <row r="10030" spans="2:9" ht="15.75">
      <c r="C10030" s="945" t="s">
        <v>913</v>
      </c>
      <c r="D10030" s="946"/>
      <c r="E10030" s="947"/>
      <c r="F10030" s="1054"/>
      <c r="G10030" s="946"/>
      <c r="H10030" s="1031"/>
      <c r="I10030" s="948"/>
    </row>
    <row r="10031" spans="2:9" ht="15.75">
      <c r="C10031" s="949" t="s">
        <v>994</v>
      </c>
      <c r="D10031" s="946">
        <v>1.05</v>
      </c>
      <c r="E10031" s="947" t="str">
        <f>+VLOOKUP(C10031,'Basic (equilibrio) (2)'!B:D,2,FALSE)</f>
        <v>m3</v>
      </c>
      <c r="F10031" s="1068">
        <f>'Basic (equilibrio) (2)'!$D$179</f>
        <v>7600</v>
      </c>
      <c r="G10031" s="946">
        <f>F10031-(F10031/1.18)</f>
        <v>1159.32</v>
      </c>
      <c r="H10031" s="1031"/>
      <c r="I10031" s="948">
        <f>D10031*F10031</f>
        <v>7980</v>
      </c>
    </row>
    <row r="10032" spans="2:9" ht="15.75">
      <c r="C10032" s="949" t="s">
        <v>1188</v>
      </c>
      <c r="D10032" s="946">
        <v>3.66</v>
      </c>
      <c r="E10032" s="947" t="str">
        <f>+VLOOKUP(C10032,'Basic (equilibrio) (2)'!B:D,2,FALSE)</f>
        <v>qq</v>
      </c>
      <c r="F10032" s="1068">
        <f>'Basic (equilibrio) (2)'!$D$183</f>
        <v>3600</v>
      </c>
      <c r="G10032" s="946">
        <f>F10032-(F10032/1.18)</f>
        <v>549.15</v>
      </c>
      <c r="H10032" s="1031"/>
      <c r="I10032" s="948">
        <f>D10032*F10032</f>
        <v>13176</v>
      </c>
    </row>
    <row r="10033" spans="3:9" ht="15.75">
      <c r="C10033" s="949" t="s">
        <v>1328</v>
      </c>
      <c r="D10033" s="946">
        <f>+D10032*2</f>
        <v>7.32</v>
      </c>
      <c r="E10033" s="947" t="str">
        <f>+VLOOKUP(C10033,'Basic (equilibrio) (2)'!B:D,2,FALSE)</f>
        <v>lb</v>
      </c>
      <c r="F10033" s="1068">
        <f>'Basic (equilibrio) (2)'!$D$334</f>
        <v>31.1</v>
      </c>
      <c r="G10033" s="946">
        <f>F10033-(F10033/1.18)</f>
        <v>4.74</v>
      </c>
      <c r="H10033" s="1031"/>
      <c r="I10033" s="948">
        <f>D10033*F10033</f>
        <v>227.65</v>
      </c>
    </row>
    <row r="10034" spans="3:9" ht="15.75">
      <c r="C10034" s="949" t="s">
        <v>1072</v>
      </c>
      <c r="D10034" s="946">
        <v>25</v>
      </c>
      <c r="E10034" s="947" t="str">
        <f>+VLOOKUP(C10034,'Basic (equilibrio) (2)'!B:D,2,FALSE)</f>
        <v>ml</v>
      </c>
      <c r="F10034" s="1068">
        <f>'Basic (equilibrio) (2)'!$D$22</f>
        <v>351</v>
      </c>
      <c r="G10034" s="946">
        <f>F10034-(F10034/1.18)</f>
        <v>53.54</v>
      </c>
      <c r="H10034" s="1031"/>
      <c r="I10034" s="948">
        <f>D10034*F10034</f>
        <v>8775</v>
      </c>
    </row>
    <row r="10035" spans="3:9" ht="15.75">
      <c r="C10035" s="951" t="s">
        <v>918</v>
      </c>
      <c r="D10035" s="946"/>
      <c r="E10035" s="947"/>
      <c r="F10035" s="1068"/>
      <c r="G10035" s="946"/>
      <c r="H10035" s="1031"/>
      <c r="I10035" s="952">
        <f>SUM(I10031:I10034)</f>
        <v>30158.65</v>
      </c>
    </row>
    <row r="10036" spans="3:9" ht="15.75">
      <c r="C10036" s="949"/>
      <c r="D10036" s="946"/>
      <c r="E10036" s="947"/>
      <c r="F10036" s="1068"/>
      <c r="G10036" s="946"/>
      <c r="H10036" s="1031"/>
      <c r="I10036" s="948"/>
    </row>
    <row r="10037" spans="3:9" ht="15.75">
      <c r="C10037" s="945" t="s">
        <v>919</v>
      </c>
      <c r="D10037" s="946"/>
      <c r="E10037" s="947"/>
      <c r="F10037" s="1068"/>
      <c r="G10037" s="946"/>
      <c r="H10037" s="1031"/>
      <c r="I10037" s="948"/>
    </row>
    <row r="10038" spans="3:9" ht="15.75">
      <c r="C10038" s="949" t="s">
        <v>1073</v>
      </c>
      <c r="D10038" s="953">
        <v>25</v>
      </c>
      <c r="E10038" s="954" t="str">
        <f>+VLOOKUP(C10038,'Basic (equilibrio) (2)'!B:D,2,FALSE)</f>
        <v>ml</v>
      </c>
      <c r="F10038" s="1068">
        <f>'Basic (equilibrio) (2)'!$D$25</f>
        <v>125</v>
      </c>
      <c r="G10038" s="946">
        <v>0</v>
      </c>
      <c r="H10038" s="1031">
        <v>70</v>
      </c>
      <c r="I10038" s="948">
        <f>(D10038*F10038)/H10038</f>
        <v>44.64</v>
      </c>
    </row>
    <row r="10039" spans="3:9" ht="15.75">
      <c r="C10039" s="951" t="s">
        <v>918</v>
      </c>
      <c r="D10039" s="946"/>
      <c r="E10039" s="947"/>
      <c r="F10039" s="1054"/>
      <c r="G10039" s="946"/>
      <c r="H10039" s="1031"/>
      <c r="I10039" s="952">
        <f>SUM(I10038:I10038)</f>
        <v>44.64</v>
      </c>
    </row>
    <row r="10040" spans="3:9" ht="15.75">
      <c r="C10040" s="949"/>
      <c r="D10040" s="946"/>
      <c r="E10040" s="947"/>
      <c r="F10040" s="1054"/>
      <c r="G10040" s="946"/>
      <c r="H10040" s="1031"/>
      <c r="I10040" s="948"/>
    </row>
    <row r="10041" spans="3:9" ht="15.75">
      <c r="C10041" s="945" t="s">
        <v>923</v>
      </c>
      <c r="D10041" s="946"/>
      <c r="E10041" s="947"/>
      <c r="F10041" s="1054"/>
      <c r="G10041" s="946"/>
      <c r="H10041" s="1031"/>
      <c r="I10041" s="948"/>
    </row>
    <row r="10042" spans="3:9" ht="15.75">
      <c r="C10042" s="949" t="s">
        <v>924</v>
      </c>
      <c r="D10042" s="946"/>
      <c r="E10042" s="947" t="str">
        <f>+VLOOKUP(C10042,'Basic (equilibrio) (2)'!B:D,2,FALSE)</f>
        <v>n/a</v>
      </c>
      <c r="F10042" s="1054">
        <f>+VLOOKUP(C10042,'Basic (equilibrio) (2)'!B:D,3,FALSE)</f>
        <v>0</v>
      </c>
      <c r="G10042" s="946">
        <f>F10042-(F10042/1.18)</f>
        <v>0</v>
      </c>
      <c r="H10042" s="1039"/>
      <c r="I10042" s="955">
        <f>D10042*F10042</f>
        <v>0</v>
      </c>
    </row>
    <row r="10043" spans="3:9" ht="15.75">
      <c r="C10043" s="951" t="s">
        <v>918</v>
      </c>
      <c r="D10043" s="946"/>
      <c r="E10043" s="947"/>
      <c r="F10043" s="1054"/>
      <c r="G10043" s="946"/>
      <c r="H10043" s="1031"/>
      <c r="I10043" s="952">
        <f>SUM(I10042:I10042)</f>
        <v>0</v>
      </c>
    </row>
    <row r="10044" spans="3:9" ht="15.75">
      <c r="C10044" s="949"/>
      <c r="D10044" s="946"/>
      <c r="E10044" s="947"/>
      <c r="F10044" s="1054"/>
      <c r="G10044" s="946"/>
      <c r="H10044" s="1031"/>
      <c r="I10044" s="948"/>
    </row>
    <row r="10045" spans="3:9" ht="15.75">
      <c r="C10045" s="945" t="s">
        <v>925</v>
      </c>
      <c r="D10045" s="946"/>
      <c r="E10045" s="947"/>
      <c r="F10045" s="1054"/>
      <c r="G10045" s="946"/>
      <c r="H10045" s="1031"/>
      <c r="I10045" s="948"/>
    </row>
    <row r="10046" spans="3:9" ht="15.75">
      <c r="C10046" s="949" t="s">
        <v>924</v>
      </c>
      <c r="D10046" s="946"/>
      <c r="E10046" s="947" t="str">
        <f>+VLOOKUP(C10046,'Basic (equilibrio) (2)'!B:D,2,FALSE)</f>
        <v>n/a</v>
      </c>
      <c r="F10046" s="1054">
        <f>+VLOOKUP(C10046,'Basic (equilibrio) (2)'!B:D,3,FALSE)</f>
        <v>0</v>
      </c>
      <c r="G10046" s="946"/>
      <c r="H10046" s="1031"/>
      <c r="I10046" s="948">
        <f>D10046*F10046</f>
        <v>0</v>
      </c>
    </row>
    <row r="10047" spans="3:9" ht="15.75">
      <c r="C10047" s="951" t="s">
        <v>918</v>
      </c>
      <c r="D10047" s="946"/>
      <c r="E10047" s="947"/>
      <c r="F10047" s="1054"/>
      <c r="G10047" s="946"/>
      <c r="H10047" s="1031"/>
      <c r="I10047" s="952">
        <f>SUM(I10046)</f>
        <v>0</v>
      </c>
    </row>
    <row r="10048" spans="3:9" ht="15.75">
      <c r="C10048" s="951"/>
      <c r="D10048" s="946"/>
      <c r="E10048" s="947"/>
      <c r="F10048" s="1054"/>
      <c r="G10048" s="946"/>
      <c r="H10048" s="1031"/>
      <c r="I10048" s="952"/>
    </row>
    <row r="10049" spans="2:9" ht="15.75">
      <c r="C10049" s="956" t="s">
        <v>926</v>
      </c>
      <c r="D10049" s="957"/>
      <c r="E10049" s="958"/>
      <c r="F10049" s="1069"/>
      <c r="G10049" s="957"/>
      <c r="H10049" s="1032"/>
      <c r="I10049" s="959">
        <f>+I10035</f>
        <v>30158.65</v>
      </c>
    </row>
    <row r="10050" spans="2:9" ht="15.75">
      <c r="C10050" s="956" t="s">
        <v>927</v>
      </c>
      <c r="D10050" s="957"/>
      <c r="E10050" s="958"/>
      <c r="F10050" s="1069"/>
      <c r="G10050" s="957"/>
      <c r="H10050" s="1032"/>
      <c r="I10050" s="959">
        <f>+I10039</f>
        <v>44.64</v>
      </c>
    </row>
    <row r="10051" spans="2:9" ht="15.75">
      <c r="C10051" s="956" t="s">
        <v>928</v>
      </c>
      <c r="D10051" s="957"/>
      <c r="E10051" s="958"/>
      <c r="F10051" s="1069"/>
      <c r="G10051" s="957"/>
      <c r="H10051" s="1032"/>
      <c r="I10051" s="959">
        <f>+I10043</f>
        <v>0</v>
      </c>
    </row>
    <row r="10052" spans="2:9" ht="15.75">
      <c r="C10052" s="956" t="s">
        <v>929</v>
      </c>
      <c r="D10052" s="957"/>
      <c r="E10052" s="958"/>
      <c r="F10052" s="1069"/>
      <c r="G10052" s="957"/>
      <c r="H10052" s="1032"/>
      <c r="I10052" s="959">
        <f>+I10047</f>
        <v>0</v>
      </c>
    </row>
    <row r="10053" spans="2:9" ht="15.75">
      <c r="C10053" s="949"/>
      <c r="D10053" s="946"/>
      <c r="E10053" s="947"/>
      <c r="F10053" s="1054"/>
      <c r="G10053" s="946"/>
      <c r="H10053" s="1031"/>
      <c r="I10053" s="948"/>
    </row>
    <row r="10054" spans="2:9" ht="15.75">
      <c r="C10054" s="949"/>
      <c r="D10054" s="946"/>
      <c r="E10054" s="947"/>
      <c r="F10054" s="1054"/>
      <c r="G10054" s="946"/>
      <c r="H10054" s="1031"/>
      <c r="I10054" s="948"/>
    </row>
    <row r="10055" spans="2:9" ht="15.75">
      <c r="C10055" s="951" t="s">
        <v>930</v>
      </c>
      <c r="D10055" s="960"/>
      <c r="E10055" s="943" t="str">
        <f>+E10028</f>
        <v>M3</v>
      </c>
      <c r="F10055" s="1070"/>
      <c r="G10055" s="960"/>
      <c r="H10055" s="1033"/>
      <c r="I10055" s="952">
        <f>SUM(I10049:I10052)</f>
        <v>30203.29</v>
      </c>
    </row>
    <row r="10056" spans="2:9" ht="15.75">
      <c r="C10056" s="951"/>
      <c r="D10056" s="960"/>
      <c r="E10056" s="943"/>
      <c r="F10056" s="1070"/>
      <c r="G10056" s="960"/>
      <c r="H10056" s="1033"/>
      <c r="I10056" s="952"/>
    </row>
    <row r="10057" spans="2:9" ht="15.75">
      <c r="B10057" s="1026">
        <v>3.6</v>
      </c>
      <c r="C10057" s="937" t="str">
        <f>+Presupuesto!B589</f>
        <v>Dintel (0.15m x 0.20m) - 5.47 qq/m³</v>
      </c>
      <c r="D10057" s="938"/>
      <c r="E10057" s="962" t="s">
        <v>22</v>
      </c>
      <c r="F10057" s="1066"/>
      <c r="G10057" s="938"/>
      <c r="H10057" s="1029"/>
      <c r="I10057" s="940">
        <f>I10084</f>
        <v>36831.870000000003</v>
      </c>
    </row>
    <row r="10058" spans="2:9" ht="15.75">
      <c r="C10058" s="941" t="s">
        <v>908</v>
      </c>
      <c r="D10058" s="942" t="s">
        <v>9</v>
      </c>
      <c r="E10058" s="943" t="s">
        <v>10</v>
      </c>
      <c r="F10058" s="1067" t="s">
        <v>909</v>
      </c>
      <c r="G10058" s="942" t="s">
        <v>910</v>
      </c>
      <c r="H10058" s="1030" t="s">
        <v>911</v>
      </c>
      <c r="I10058" s="944" t="s">
        <v>912</v>
      </c>
    </row>
    <row r="10059" spans="2:9" ht="15.75">
      <c r="C10059" s="945" t="s">
        <v>913</v>
      </c>
      <c r="D10059" s="946"/>
      <c r="E10059" s="947"/>
      <c r="F10059" s="1054"/>
      <c r="G10059" s="946"/>
      <c r="H10059" s="1031"/>
      <c r="I10059" s="948"/>
    </row>
    <row r="10060" spans="2:9" ht="15.75">
      <c r="C10060" s="949" t="s">
        <v>994</v>
      </c>
      <c r="D10060" s="946">
        <v>1.05</v>
      </c>
      <c r="E10060" s="947" t="str">
        <f>+VLOOKUP(C10060,'Basic (equilibrio) (2)'!B:D,2,FALSE)</f>
        <v>m3</v>
      </c>
      <c r="F10060" s="1068">
        <f>'Basic (equilibrio) (2)'!$D$179</f>
        <v>7600</v>
      </c>
      <c r="G10060" s="946">
        <f>F10060-(F10060/1.18)</f>
        <v>1159.32</v>
      </c>
      <c r="H10060" s="1031"/>
      <c r="I10060" s="948">
        <f>D10060*F10060</f>
        <v>7980</v>
      </c>
    </row>
    <row r="10061" spans="2:9" ht="15.75">
      <c r="C10061" s="949" t="s">
        <v>1188</v>
      </c>
      <c r="D10061" s="946">
        <v>5.47</v>
      </c>
      <c r="E10061" s="947" t="str">
        <f>+VLOOKUP(C10061,'Basic (equilibrio) (2)'!B:D,2,FALSE)</f>
        <v>qq</v>
      </c>
      <c r="F10061" s="1068">
        <f>'Basic (equilibrio) (2)'!$D$183</f>
        <v>3600</v>
      </c>
      <c r="G10061" s="946">
        <f>F10061-(F10061/1.18)</f>
        <v>549.15</v>
      </c>
      <c r="H10061" s="1031"/>
      <c r="I10061" s="948">
        <f>D10061*F10061</f>
        <v>19692</v>
      </c>
    </row>
    <row r="10062" spans="2:9" ht="15.75">
      <c r="C10062" s="949" t="s">
        <v>1328</v>
      </c>
      <c r="D10062" s="946">
        <f>+D10061*2</f>
        <v>10.94</v>
      </c>
      <c r="E10062" s="947" t="str">
        <f>+VLOOKUP(C10062,'Basic (equilibrio) (2)'!B:D,2,FALSE)</f>
        <v>lb</v>
      </c>
      <c r="F10062" s="1068">
        <f>'Basic (equilibrio) (2)'!$D$334</f>
        <v>31.1</v>
      </c>
      <c r="G10062" s="946">
        <f>F10062-(F10062/1.18)</f>
        <v>4.74</v>
      </c>
      <c r="H10062" s="1031"/>
      <c r="I10062" s="948">
        <f>D10062*F10062</f>
        <v>340.23</v>
      </c>
    </row>
    <row r="10063" spans="2:9" ht="15.75">
      <c r="C10063" s="949" t="s">
        <v>1072</v>
      </c>
      <c r="D10063" s="946">
        <v>25</v>
      </c>
      <c r="E10063" s="947" t="str">
        <f>+VLOOKUP(C10063,'Basic (equilibrio) (2)'!B:D,2,FALSE)</f>
        <v>ml</v>
      </c>
      <c r="F10063" s="1068">
        <f>'Basic (equilibrio) (2)'!$D$22</f>
        <v>351</v>
      </c>
      <c r="G10063" s="946">
        <f>F10063-(F10063/1.18)</f>
        <v>53.54</v>
      </c>
      <c r="H10063" s="1031"/>
      <c r="I10063" s="948">
        <f>D10063*F10063</f>
        <v>8775</v>
      </c>
    </row>
    <row r="10064" spans="2:9" ht="15.75">
      <c r="C10064" s="951" t="s">
        <v>918</v>
      </c>
      <c r="D10064" s="946"/>
      <c r="E10064" s="947"/>
      <c r="F10064" s="1068"/>
      <c r="G10064" s="946"/>
      <c r="H10064" s="1031"/>
      <c r="I10064" s="952">
        <f>SUM(I10060:I10063)</f>
        <v>36787.230000000003</v>
      </c>
    </row>
    <row r="10065" spans="3:9" ht="15.75">
      <c r="C10065" s="949"/>
      <c r="D10065" s="946"/>
      <c r="E10065" s="947"/>
      <c r="F10065" s="1068"/>
      <c r="G10065" s="946"/>
      <c r="H10065" s="1031"/>
      <c r="I10065" s="948"/>
    </row>
    <row r="10066" spans="3:9" ht="15.75">
      <c r="C10066" s="945" t="s">
        <v>919</v>
      </c>
      <c r="D10066" s="946"/>
      <c r="E10066" s="947"/>
      <c r="F10066" s="1068"/>
      <c r="G10066" s="946"/>
      <c r="H10066" s="1031"/>
      <c r="I10066" s="948"/>
    </row>
    <row r="10067" spans="3:9" ht="15.75">
      <c r="C10067" s="949" t="s">
        <v>1073</v>
      </c>
      <c r="D10067" s="953">
        <v>25</v>
      </c>
      <c r="E10067" s="954" t="str">
        <f>+VLOOKUP(C10067,'Basic (equilibrio) (2)'!B:D,2,FALSE)</f>
        <v>ml</v>
      </c>
      <c r="F10067" s="1068">
        <f>'Basic (equilibrio) (2)'!$D$25</f>
        <v>125</v>
      </c>
      <c r="G10067" s="946">
        <v>0</v>
      </c>
      <c r="H10067" s="1031">
        <v>70</v>
      </c>
      <c r="I10067" s="948">
        <f>(D10067*F10067)/H10067</f>
        <v>44.64</v>
      </c>
    </row>
    <row r="10068" spans="3:9" ht="15.75">
      <c r="C10068" s="951" t="s">
        <v>918</v>
      </c>
      <c r="D10068" s="946"/>
      <c r="E10068" s="947"/>
      <c r="F10068" s="1054"/>
      <c r="G10068" s="946"/>
      <c r="H10068" s="1031"/>
      <c r="I10068" s="952">
        <f>SUM(I10067:I10067)</f>
        <v>44.64</v>
      </c>
    </row>
    <row r="10069" spans="3:9" ht="15.75">
      <c r="C10069" s="949"/>
      <c r="D10069" s="946"/>
      <c r="E10069" s="947"/>
      <c r="F10069" s="1054"/>
      <c r="G10069" s="946"/>
      <c r="H10069" s="1031"/>
      <c r="I10069" s="948"/>
    </row>
    <row r="10070" spans="3:9" ht="15.75">
      <c r="C10070" s="945" t="s">
        <v>923</v>
      </c>
      <c r="D10070" s="946"/>
      <c r="E10070" s="947"/>
      <c r="F10070" s="1054"/>
      <c r="G10070" s="946"/>
      <c r="H10070" s="1031"/>
      <c r="I10070" s="948"/>
    </row>
    <row r="10071" spans="3:9" ht="15.75">
      <c r="C10071" s="949" t="s">
        <v>924</v>
      </c>
      <c r="D10071" s="946"/>
      <c r="E10071" s="947" t="str">
        <f>+VLOOKUP(C10071,'Basic (equilibrio) (2)'!B:D,2,FALSE)</f>
        <v>n/a</v>
      </c>
      <c r="F10071" s="1054">
        <f>+VLOOKUP(C10071,'Basic (equilibrio) (2)'!B:D,3,FALSE)</f>
        <v>0</v>
      </c>
      <c r="G10071" s="946">
        <f>F10071-(F10071/1.18)</f>
        <v>0</v>
      </c>
      <c r="H10071" s="1039"/>
      <c r="I10071" s="955">
        <f>D10071*F10071</f>
        <v>0</v>
      </c>
    </row>
    <row r="10072" spans="3:9" ht="15.75">
      <c r="C10072" s="951" t="s">
        <v>918</v>
      </c>
      <c r="D10072" s="946"/>
      <c r="E10072" s="947"/>
      <c r="F10072" s="1054"/>
      <c r="G10072" s="946"/>
      <c r="H10072" s="1031"/>
      <c r="I10072" s="952">
        <f>SUM(I10071:I10071)</f>
        <v>0</v>
      </c>
    </row>
    <row r="10073" spans="3:9" ht="15.75">
      <c r="C10073" s="949"/>
      <c r="D10073" s="946"/>
      <c r="E10073" s="947"/>
      <c r="F10073" s="1054"/>
      <c r="G10073" s="946"/>
      <c r="H10073" s="1031"/>
      <c r="I10073" s="948"/>
    </row>
    <row r="10074" spans="3:9" ht="15.75">
      <c r="C10074" s="945" t="s">
        <v>925</v>
      </c>
      <c r="D10074" s="946"/>
      <c r="E10074" s="947"/>
      <c r="F10074" s="1054"/>
      <c r="G10074" s="946"/>
      <c r="H10074" s="1031"/>
      <c r="I10074" s="948"/>
    </row>
    <row r="10075" spans="3:9" ht="15.75">
      <c r="C10075" s="949" t="s">
        <v>924</v>
      </c>
      <c r="D10075" s="946"/>
      <c r="E10075" s="947" t="str">
        <f>+VLOOKUP(C10075,'Basic (equilibrio) (2)'!B:D,2,FALSE)</f>
        <v>n/a</v>
      </c>
      <c r="F10075" s="1054">
        <f>+VLOOKUP(C10075,'Basic (equilibrio) (2)'!B:D,3,FALSE)</f>
        <v>0</v>
      </c>
      <c r="G10075" s="946"/>
      <c r="H10075" s="1031"/>
      <c r="I10075" s="948">
        <f>D10075*F10075</f>
        <v>0</v>
      </c>
    </row>
    <row r="10076" spans="3:9" ht="15.75">
      <c r="C10076" s="951" t="s">
        <v>918</v>
      </c>
      <c r="D10076" s="946"/>
      <c r="E10076" s="947"/>
      <c r="F10076" s="1054"/>
      <c r="G10076" s="946"/>
      <c r="H10076" s="1031"/>
      <c r="I10076" s="952">
        <f>SUM(I10075)</f>
        <v>0</v>
      </c>
    </row>
    <row r="10077" spans="3:9" ht="15.75">
      <c r="C10077" s="951"/>
      <c r="D10077" s="946"/>
      <c r="E10077" s="947"/>
      <c r="F10077" s="1054"/>
      <c r="G10077" s="946"/>
      <c r="H10077" s="1031"/>
      <c r="I10077" s="952"/>
    </row>
    <row r="10078" spans="3:9" ht="15.75">
      <c r="C10078" s="956" t="s">
        <v>926</v>
      </c>
      <c r="D10078" s="957"/>
      <c r="E10078" s="958"/>
      <c r="F10078" s="1069"/>
      <c r="G10078" s="957"/>
      <c r="H10078" s="1032"/>
      <c r="I10078" s="959">
        <f>+I10064</f>
        <v>36787.230000000003</v>
      </c>
    </row>
    <row r="10079" spans="3:9" ht="15.75">
      <c r="C10079" s="956" t="s">
        <v>927</v>
      </c>
      <c r="D10079" s="957"/>
      <c r="E10079" s="958"/>
      <c r="F10079" s="1069"/>
      <c r="G10079" s="957"/>
      <c r="H10079" s="1032"/>
      <c r="I10079" s="959">
        <f>+I10068</f>
        <v>44.64</v>
      </c>
    </row>
    <row r="10080" spans="3:9" ht="15.75">
      <c r="C10080" s="956" t="s">
        <v>928</v>
      </c>
      <c r="D10080" s="957"/>
      <c r="E10080" s="958"/>
      <c r="F10080" s="1069"/>
      <c r="G10080" s="957"/>
      <c r="H10080" s="1032"/>
      <c r="I10080" s="959">
        <f>+I10072</f>
        <v>0</v>
      </c>
    </row>
    <row r="10081" spans="2:9" ht="15.75">
      <c r="C10081" s="956" t="s">
        <v>929</v>
      </c>
      <c r="D10081" s="957"/>
      <c r="E10081" s="958"/>
      <c r="F10081" s="1069"/>
      <c r="G10081" s="957"/>
      <c r="H10081" s="1032"/>
      <c r="I10081" s="959">
        <f>+I10076</f>
        <v>0</v>
      </c>
    </row>
    <row r="10082" spans="2:9" ht="15.75">
      <c r="C10082" s="949"/>
      <c r="D10082" s="946"/>
      <c r="E10082" s="947"/>
      <c r="F10082" s="1054"/>
      <c r="G10082" s="946"/>
      <c r="H10082" s="1031"/>
      <c r="I10082" s="948"/>
    </row>
    <row r="10083" spans="2:9" ht="15.75">
      <c r="C10083" s="949"/>
      <c r="D10083" s="946"/>
      <c r="E10083" s="947"/>
      <c r="F10083" s="1054"/>
      <c r="G10083" s="946"/>
      <c r="H10083" s="1031"/>
      <c r="I10083" s="948"/>
    </row>
    <row r="10084" spans="2:9" ht="15.75">
      <c r="C10084" s="951" t="s">
        <v>930</v>
      </c>
      <c r="D10084" s="960"/>
      <c r="E10084" s="943" t="str">
        <f>+E10057</f>
        <v>M3</v>
      </c>
      <c r="F10084" s="1070"/>
      <c r="G10084" s="960"/>
      <c r="H10084" s="1033"/>
      <c r="I10084" s="952">
        <f>SUM(I10078:I10081)</f>
        <v>36831.870000000003</v>
      </c>
    </row>
    <row r="10085" spans="2:9" ht="15.75">
      <c r="C10085" s="951"/>
      <c r="D10085" s="960"/>
      <c r="E10085" s="943"/>
      <c r="F10085" s="1070"/>
      <c r="G10085" s="960"/>
      <c r="H10085" s="1033"/>
      <c r="I10085" s="952"/>
    </row>
    <row r="10086" spans="2:9" ht="15.75">
      <c r="B10086" s="1026">
        <v>4.0999999999999996</v>
      </c>
      <c r="C10086" s="937" t="str">
        <f>+Presupuesto!B592</f>
        <v>De 6” B.N.P.</v>
      </c>
      <c r="D10086" s="938"/>
      <c r="E10086" s="962" t="s">
        <v>20</v>
      </c>
      <c r="F10086" s="1066"/>
      <c r="G10086" s="938"/>
      <c r="H10086" s="1029"/>
      <c r="I10086" s="940">
        <f>I10117</f>
        <v>1379.06</v>
      </c>
    </row>
    <row r="10087" spans="2:9" ht="15.75">
      <c r="C10087" s="941" t="s">
        <v>908</v>
      </c>
      <c r="D10087" s="942" t="s">
        <v>9</v>
      </c>
      <c r="E10087" s="943" t="s">
        <v>10</v>
      </c>
      <c r="F10087" s="1067" t="s">
        <v>909</v>
      </c>
      <c r="G10087" s="942" t="s">
        <v>910</v>
      </c>
      <c r="H10087" s="1030" t="s">
        <v>911</v>
      </c>
      <c r="I10087" s="944" t="s">
        <v>912</v>
      </c>
    </row>
    <row r="10088" spans="2:9" ht="15.75">
      <c r="C10088" s="945" t="s">
        <v>913</v>
      </c>
      <c r="D10088" s="946"/>
      <c r="E10088" s="947"/>
      <c r="F10088" s="1054"/>
      <c r="G10088" s="946"/>
      <c r="H10088" s="1031"/>
      <c r="I10088" s="948"/>
    </row>
    <row r="10089" spans="2:9" ht="15.75">
      <c r="C10089" s="949" t="s">
        <v>1201</v>
      </c>
      <c r="D10089" s="946">
        <v>11.61</v>
      </c>
      <c r="E10089" s="947" t="str">
        <f>+VLOOKUP(C10089,'Basic (equilibrio) (2)'!B:D,2,FALSE)</f>
        <v>ud</v>
      </c>
      <c r="F10089" s="1068">
        <f>'Basic (equilibrio) (2)'!$D$300</f>
        <v>35</v>
      </c>
      <c r="G10089" s="946">
        <f t="shared" ref="G10089:G10094" si="69">F10089-(F10089/1.18)</f>
        <v>5.34</v>
      </c>
      <c r="H10089" s="1031"/>
      <c r="I10089" s="948">
        <f t="shared" ref="I10089:I10094" si="70">D10089*F10089</f>
        <v>406.35</v>
      </c>
    </row>
    <row r="10090" spans="2:9" ht="15.75">
      <c r="C10090" s="949" t="s">
        <v>1203</v>
      </c>
      <c r="D10090" s="946">
        <v>11.61</v>
      </c>
      <c r="E10090" s="947" t="str">
        <f>+VLOOKUP(C10090,'Basic (equilibrio) (2)'!B:D,2,FALSE)</f>
        <v>ud</v>
      </c>
      <c r="F10090" s="1068">
        <f>'Basic (equilibrio) (2)'!$D$303</f>
        <v>3.3</v>
      </c>
      <c r="G10090" s="946">
        <f t="shared" si="69"/>
        <v>0.5</v>
      </c>
      <c r="H10090" s="1031"/>
      <c r="I10090" s="948">
        <f t="shared" si="70"/>
        <v>38.31</v>
      </c>
    </row>
    <row r="10091" spans="2:9" ht="15.75">
      <c r="C10091" s="949" t="s">
        <v>1204</v>
      </c>
      <c r="D10091" s="946">
        <v>0.04</v>
      </c>
      <c r="E10091" s="947" t="str">
        <f>+VLOOKUP(C10091,'Basic (equilibrio) (2)'!B:D,2,FALSE)</f>
        <v>m3</v>
      </c>
      <c r="F10091" s="1068">
        <f>'Basic (equilibrio) (2)'!$D$307</f>
        <v>6174</v>
      </c>
      <c r="G10091" s="946">
        <f t="shared" si="69"/>
        <v>941.8</v>
      </c>
      <c r="H10091" s="1031"/>
      <c r="I10091" s="948">
        <f t="shared" si="70"/>
        <v>246.96</v>
      </c>
    </row>
    <row r="10092" spans="2:9" ht="15.75">
      <c r="C10092" s="949" t="s">
        <v>1205</v>
      </c>
      <c r="D10092" s="946">
        <v>0.04</v>
      </c>
      <c r="E10092" s="947" t="str">
        <f>+VLOOKUP(C10092,'Basic (equilibrio) (2)'!B:D,2,FALSE)</f>
        <v>m3</v>
      </c>
      <c r="F10092" s="1068">
        <f>'Basic (equilibrio) (2)'!$D$308</f>
        <v>5985</v>
      </c>
      <c r="G10092" s="946">
        <f t="shared" si="69"/>
        <v>912.97</v>
      </c>
      <c r="H10092" s="1031"/>
      <c r="I10092" s="948">
        <f t="shared" si="70"/>
        <v>239.4</v>
      </c>
    </row>
    <row r="10093" spans="2:9" ht="15.75">
      <c r="C10093" s="949" t="s">
        <v>1188</v>
      </c>
      <c r="D10093" s="946">
        <v>0.04</v>
      </c>
      <c r="E10093" s="947" t="str">
        <f>+VLOOKUP(C10093,'Basic (equilibrio) (2)'!B:D,2,FALSE)</f>
        <v>qq</v>
      </c>
      <c r="F10093" s="1068">
        <f>'Basic (equilibrio) (2)'!$D$183</f>
        <v>3600</v>
      </c>
      <c r="G10093" s="946">
        <f t="shared" si="69"/>
        <v>549.15</v>
      </c>
      <c r="H10093" s="1031"/>
      <c r="I10093" s="948">
        <f t="shared" si="70"/>
        <v>144</v>
      </c>
    </row>
    <row r="10094" spans="2:9" ht="15.75">
      <c r="C10094" s="949" t="s">
        <v>1328</v>
      </c>
      <c r="D10094" s="946">
        <v>7.0000000000000007E-2</v>
      </c>
      <c r="E10094" s="947" t="str">
        <f>+VLOOKUP(C10094,'Basic (equilibrio) (2)'!B:D,2,FALSE)</f>
        <v>lb</v>
      </c>
      <c r="F10094" s="1068">
        <f>'Basic (equilibrio) (2)'!$D$334</f>
        <v>31.1</v>
      </c>
      <c r="G10094" s="946">
        <f t="shared" si="69"/>
        <v>4.74</v>
      </c>
      <c r="H10094" s="1031"/>
      <c r="I10094" s="948">
        <f t="shared" si="70"/>
        <v>2.1800000000000002</v>
      </c>
    </row>
    <row r="10095" spans="2:9" ht="15.75">
      <c r="C10095" s="951" t="s">
        <v>918</v>
      </c>
      <c r="D10095" s="946"/>
      <c r="E10095" s="947"/>
      <c r="F10095" s="1068"/>
      <c r="G10095" s="946"/>
      <c r="H10095" s="1031"/>
      <c r="I10095" s="952">
        <f>SUM(I10089:I10094)</f>
        <v>1077.2</v>
      </c>
    </row>
    <row r="10096" spans="2:9" ht="15.75">
      <c r="C10096" s="949"/>
      <c r="D10096" s="946"/>
      <c r="E10096" s="947"/>
      <c r="F10096" s="1068"/>
      <c r="G10096" s="946"/>
      <c r="H10096" s="1031"/>
      <c r="I10096" s="948"/>
    </row>
    <row r="10097" spans="3:9" ht="15.75">
      <c r="C10097" s="945" t="s">
        <v>919</v>
      </c>
      <c r="D10097" s="946"/>
      <c r="E10097" s="947"/>
      <c r="F10097" s="1068"/>
      <c r="G10097" s="946"/>
      <c r="H10097" s="1031"/>
      <c r="I10097" s="948"/>
    </row>
    <row r="10098" spans="3:9" ht="15.75">
      <c r="C10098" s="949" t="s">
        <v>1074</v>
      </c>
      <c r="D10098" s="953">
        <v>11.61</v>
      </c>
      <c r="E10098" s="954" t="str">
        <f>+VLOOKUP(C10098,'Basic (equilibrio) (2)'!B:D,2,FALSE)</f>
        <v>ud</v>
      </c>
      <c r="F10098" s="1068">
        <f>'Basic (equilibrio) (2)'!$D$26</f>
        <v>1</v>
      </c>
      <c r="G10098" s="946">
        <v>0</v>
      </c>
      <c r="H10098" s="1031"/>
      <c r="I10098" s="948">
        <f>(D10098*F10098)</f>
        <v>11.61</v>
      </c>
    </row>
    <row r="10099" spans="3:9" ht="15.75">
      <c r="C10099" s="949" t="s">
        <v>1075</v>
      </c>
      <c r="D10099" s="953">
        <v>11.61</v>
      </c>
      <c r="E10099" s="954" t="str">
        <f>+VLOOKUP(C10099,'Basic (equilibrio) (2)'!B:D,2,FALSE)</f>
        <v>ud</v>
      </c>
      <c r="F10099" s="1068">
        <f>'Basic (equilibrio) (2)'!$D$27</f>
        <v>3</v>
      </c>
      <c r="G10099" s="946">
        <v>0</v>
      </c>
      <c r="H10099" s="1031"/>
      <c r="I10099" s="948">
        <f>(D10099*F10099)</f>
        <v>34.83</v>
      </c>
    </row>
    <row r="10100" spans="3:9" ht="15.75">
      <c r="C10100" s="949" t="s">
        <v>1077</v>
      </c>
      <c r="D10100" s="953">
        <v>11.61</v>
      </c>
      <c r="E10100" s="954" t="str">
        <f>+VLOOKUP(C10100,'Basic (equilibrio) (2)'!B:D,2,FALSE)</f>
        <v>ud</v>
      </c>
      <c r="F10100" s="1068">
        <f>'Basic (equilibrio) (2)'!$D$29</f>
        <v>22</v>
      </c>
      <c r="G10100" s="946">
        <v>0</v>
      </c>
      <c r="H10100" s="1031"/>
      <c r="I10100" s="948">
        <f>(D10100*F10100)</f>
        <v>255.42</v>
      </c>
    </row>
    <row r="10101" spans="3:9" ht="15.75">
      <c r="C10101" s="951" t="s">
        <v>918</v>
      </c>
      <c r="D10101" s="946"/>
      <c r="E10101" s="947"/>
      <c r="F10101" s="1054"/>
      <c r="G10101" s="946"/>
      <c r="H10101" s="1031"/>
      <c r="I10101" s="952">
        <f>SUM(I10098:I10100)</f>
        <v>301.86</v>
      </c>
    </row>
    <row r="10102" spans="3:9" ht="15.75">
      <c r="C10102" s="949"/>
      <c r="D10102" s="946"/>
      <c r="E10102" s="947"/>
      <c r="F10102" s="1054"/>
      <c r="G10102" s="946"/>
      <c r="H10102" s="1031"/>
      <c r="I10102" s="948"/>
    </row>
    <row r="10103" spans="3:9" ht="15.75">
      <c r="C10103" s="945" t="s">
        <v>923</v>
      </c>
      <c r="D10103" s="946"/>
      <c r="E10103" s="947"/>
      <c r="F10103" s="1054"/>
      <c r="G10103" s="946"/>
      <c r="H10103" s="1031"/>
      <c r="I10103" s="948"/>
    </row>
    <row r="10104" spans="3:9" ht="15.75">
      <c r="C10104" s="949" t="s">
        <v>924</v>
      </c>
      <c r="D10104" s="946"/>
      <c r="E10104" s="947" t="str">
        <f>+VLOOKUP(C10104,'Basic (equilibrio) (2)'!B:D,2,FALSE)</f>
        <v>n/a</v>
      </c>
      <c r="F10104" s="1054">
        <f>+VLOOKUP(C10104,'Basic (equilibrio) (2)'!B:D,3,FALSE)</f>
        <v>0</v>
      </c>
      <c r="G10104" s="946">
        <f>F10104-(F10104/1.18)</f>
        <v>0</v>
      </c>
      <c r="H10104" s="1039"/>
      <c r="I10104" s="955">
        <f>D10104*F10104</f>
        <v>0</v>
      </c>
    </row>
    <row r="10105" spans="3:9" ht="15.75">
      <c r="C10105" s="951" t="s">
        <v>918</v>
      </c>
      <c r="D10105" s="946"/>
      <c r="E10105" s="947"/>
      <c r="F10105" s="1054"/>
      <c r="G10105" s="946"/>
      <c r="H10105" s="1031"/>
      <c r="I10105" s="952">
        <f>SUM(I10104:I10104)</f>
        <v>0</v>
      </c>
    </row>
    <row r="10106" spans="3:9" ht="15.75">
      <c r="C10106" s="949"/>
      <c r="D10106" s="946"/>
      <c r="E10106" s="947"/>
      <c r="F10106" s="1054"/>
      <c r="G10106" s="946"/>
      <c r="H10106" s="1031"/>
      <c r="I10106" s="948"/>
    </row>
    <row r="10107" spans="3:9" ht="15.75">
      <c r="C10107" s="945" t="s">
        <v>925</v>
      </c>
      <c r="D10107" s="946"/>
      <c r="E10107" s="947"/>
      <c r="F10107" s="1054"/>
      <c r="G10107" s="946"/>
      <c r="H10107" s="1031"/>
      <c r="I10107" s="948"/>
    </row>
    <row r="10108" spans="3:9" ht="15.75">
      <c r="C10108" s="949" t="s">
        <v>924</v>
      </c>
      <c r="D10108" s="946"/>
      <c r="E10108" s="947" t="str">
        <f>+VLOOKUP(C10108,'Basic (equilibrio) (2)'!B:D,2,FALSE)</f>
        <v>n/a</v>
      </c>
      <c r="F10108" s="1054">
        <f>+VLOOKUP(C10108,'Basic (equilibrio) (2)'!B:D,3,FALSE)</f>
        <v>0</v>
      </c>
      <c r="G10108" s="946"/>
      <c r="H10108" s="1031"/>
      <c r="I10108" s="948">
        <f>D10108*F10108</f>
        <v>0</v>
      </c>
    </row>
    <row r="10109" spans="3:9" ht="15.75">
      <c r="C10109" s="951" t="s">
        <v>918</v>
      </c>
      <c r="D10109" s="946"/>
      <c r="E10109" s="947"/>
      <c r="F10109" s="1054"/>
      <c r="G10109" s="946"/>
      <c r="H10109" s="1031"/>
      <c r="I10109" s="952">
        <f>SUM(I10108)</f>
        <v>0</v>
      </c>
    </row>
    <row r="10110" spans="3:9" ht="15.75">
      <c r="C10110" s="951"/>
      <c r="D10110" s="946"/>
      <c r="E10110" s="947"/>
      <c r="F10110" s="1054"/>
      <c r="G10110" s="946"/>
      <c r="H10110" s="1031"/>
      <c r="I10110" s="952"/>
    </row>
    <row r="10111" spans="3:9" ht="15.75">
      <c r="C10111" s="956" t="s">
        <v>926</v>
      </c>
      <c r="D10111" s="957"/>
      <c r="E10111" s="958"/>
      <c r="F10111" s="1069"/>
      <c r="G10111" s="957"/>
      <c r="H10111" s="1032"/>
      <c r="I10111" s="959">
        <f>+I10095</f>
        <v>1077.2</v>
      </c>
    </row>
    <row r="10112" spans="3:9" ht="15.75">
      <c r="C10112" s="956" t="s">
        <v>927</v>
      </c>
      <c r="D10112" s="957"/>
      <c r="E10112" s="958"/>
      <c r="F10112" s="1069"/>
      <c r="G10112" s="957"/>
      <c r="H10112" s="1032"/>
      <c r="I10112" s="959">
        <f>+I10101</f>
        <v>301.86</v>
      </c>
    </row>
    <row r="10113" spans="2:9" ht="15.75">
      <c r="C10113" s="956" t="s">
        <v>928</v>
      </c>
      <c r="D10113" s="957"/>
      <c r="E10113" s="958"/>
      <c r="F10113" s="1069"/>
      <c r="G10113" s="957"/>
      <c r="H10113" s="1032"/>
      <c r="I10113" s="959">
        <f>+I10105</f>
        <v>0</v>
      </c>
    </row>
    <row r="10114" spans="2:9" ht="15.75">
      <c r="C10114" s="956" t="s">
        <v>929</v>
      </c>
      <c r="D10114" s="957"/>
      <c r="E10114" s="958"/>
      <c r="F10114" s="1069"/>
      <c r="G10114" s="957"/>
      <c r="H10114" s="1032"/>
      <c r="I10114" s="959">
        <f>+I10109</f>
        <v>0</v>
      </c>
    </row>
    <row r="10115" spans="2:9" ht="15.75">
      <c r="C10115" s="949"/>
      <c r="D10115" s="946"/>
      <c r="E10115" s="947"/>
      <c r="F10115" s="1054"/>
      <c r="G10115" s="946"/>
      <c r="H10115" s="1031"/>
      <c r="I10115" s="948"/>
    </row>
    <row r="10116" spans="2:9" ht="15.75">
      <c r="C10116" s="949"/>
      <c r="D10116" s="946"/>
      <c r="E10116" s="947"/>
      <c r="F10116" s="1054"/>
      <c r="G10116" s="946"/>
      <c r="H10116" s="1031"/>
      <c r="I10116" s="948"/>
    </row>
    <row r="10117" spans="2:9" ht="15.75">
      <c r="C10117" s="951" t="s">
        <v>930</v>
      </c>
      <c r="D10117" s="960"/>
      <c r="E10117" s="943" t="str">
        <f>+E10086</f>
        <v>M2</v>
      </c>
      <c r="F10117" s="1070"/>
      <c r="G10117" s="960"/>
      <c r="H10117" s="1033"/>
      <c r="I10117" s="952">
        <f>SUM(I10111:I10114)</f>
        <v>1379.06</v>
      </c>
    </row>
    <row r="10118" spans="2:9" ht="15.75">
      <c r="C10118" s="951"/>
      <c r="D10118" s="960"/>
      <c r="E10118" s="943"/>
      <c r="F10118" s="1070"/>
      <c r="G10118" s="960"/>
      <c r="H10118" s="1033"/>
      <c r="I10118" s="952"/>
    </row>
    <row r="10119" spans="2:9" ht="15.75">
      <c r="B10119" s="1026">
        <v>4.2</v>
      </c>
      <c r="C10119" s="937" t="str">
        <f>+Presupuesto!B593</f>
        <v>De 6" S.N.P.</v>
      </c>
      <c r="D10119" s="938"/>
      <c r="E10119" s="962" t="s">
        <v>20</v>
      </c>
      <c r="F10119" s="1066"/>
      <c r="G10119" s="938"/>
      <c r="H10119" s="1029"/>
      <c r="I10119" s="940">
        <f>I10150</f>
        <v>1523.06</v>
      </c>
    </row>
    <row r="10120" spans="2:9" ht="15.75">
      <c r="C10120" s="941" t="s">
        <v>908</v>
      </c>
      <c r="D10120" s="942" t="s">
        <v>9</v>
      </c>
      <c r="E10120" s="943" t="s">
        <v>10</v>
      </c>
      <c r="F10120" s="1067" t="s">
        <v>909</v>
      </c>
      <c r="G10120" s="942" t="s">
        <v>910</v>
      </c>
      <c r="H10120" s="1030" t="s">
        <v>911</v>
      </c>
      <c r="I10120" s="944" t="s">
        <v>912</v>
      </c>
    </row>
    <row r="10121" spans="2:9" ht="15.75">
      <c r="C10121" s="945" t="s">
        <v>913</v>
      </c>
      <c r="D10121" s="946"/>
      <c r="E10121" s="947"/>
      <c r="F10121" s="1054"/>
      <c r="G10121" s="946"/>
      <c r="H10121" s="1031"/>
      <c r="I10121" s="948"/>
    </row>
    <row r="10122" spans="2:9" ht="15.75">
      <c r="C10122" s="949" t="s">
        <v>1201</v>
      </c>
      <c r="D10122" s="946">
        <v>11.61</v>
      </c>
      <c r="E10122" s="947" t="str">
        <f>+VLOOKUP(C10122,'Basic (equilibrio) (2)'!B:D,2,FALSE)</f>
        <v>ud</v>
      </c>
      <c r="F10122" s="1068">
        <f>'Basic (equilibrio) (2)'!$D$300</f>
        <v>35</v>
      </c>
      <c r="G10122" s="946">
        <f t="shared" ref="G10122:G10127" si="71">F10122-(F10122/1.18)</f>
        <v>5.34</v>
      </c>
      <c r="H10122" s="1031"/>
      <c r="I10122" s="948">
        <f t="shared" ref="I10122:I10127" si="72">D10122*F10122</f>
        <v>406.35</v>
      </c>
    </row>
    <row r="10123" spans="2:9" ht="15.75">
      <c r="C10123" s="949" t="s">
        <v>1579</v>
      </c>
      <c r="D10123" s="946">
        <v>11.61</v>
      </c>
      <c r="E10123" s="947" t="str">
        <f>+VLOOKUP(C10123,'Basic (equilibrio) (2)'!B:D,2,FALSE)</f>
        <v>ud</v>
      </c>
      <c r="F10123" s="1068">
        <f>'Basic (equilibrio) (2)'!$D$303</f>
        <v>3.3</v>
      </c>
      <c r="G10123" s="946">
        <f t="shared" si="71"/>
        <v>0.5</v>
      </c>
      <c r="H10123" s="1031"/>
      <c r="I10123" s="948">
        <f t="shared" si="72"/>
        <v>38.31</v>
      </c>
    </row>
    <row r="10124" spans="2:9" ht="15.75">
      <c r="C10124" s="949" t="s">
        <v>1204</v>
      </c>
      <c r="D10124" s="946">
        <v>0.04</v>
      </c>
      <c r="E10124" s="947" t="str">
        <f>+VLOOKUP(C10124,'Basic (equilibrio) (2)'!B:D,2,FALSE)</f>
        <v>m3</v>
      </c>
      <c r="F10124" s="1068">
        <f>'Basic (equilibrio) (2)'!$D$307</f>
        <v>6174</v>
      </c>
      <c r="G10124" s="946">
        <f t="shared" si="71"/>
        <v>941.8</v>
      </c>
      <c r="H10124" s="1031"/>
      <c r="I10124" s="948">
        <f t="shared" si="72"/>
        <v>246.96</v>
      </c>
    </row>
    <row r="10125" spans="2:9" ht="15.75">
      <c r="C10125" s="949" t="s">
        <v>1205</v>
      </c>
      <c r="D10125" s="946">
        <v>0.04</v>
      </c>
      <c r="E10125" s="947" t="str">
        <f>+VLOOKUP(C10125,'Basic (equilibrio) (2)'!B:D,2,FALSE)</f>
        <v>m3</v>
      </c>
      <c r="F10125" s="1068">
        <f>'Basic (equilibrio) (2)'!$D$308</f>
        <v>5985</v>
      </c>
      <c r="G10125" s="946">
        <f t="shared" si="71"/>
        <v>912.97</v>
      </c>
      <c r="H10125" s="1031"/>
      <c r="I10125" s="948">
        <f t="shared" si="72"/>
        <v>239.4</v>
      </c>
    </row>
    <row r="10126" spans="2:9" ht="15.75">
      <c r="C10126" s="949" t="s">
        <v>1188</v>
      </c>
      <c r="D10126" s="946">
        <v>0.08</v>
      </c>
      <c r="E10126" s="947" t="str">
        <f>+VLOOKUP(C10126,'Basic (equilibrio) (2)'!B:D,2,FALSE)</f>
        <v>qq</v>
      </c>
      <c r="F10126" s="1068">
        <f>'Basic (equilibrio) (2)'!$D$183</f>
        <v>3600</v>
      </c>
      <c r="G10126" s="946">
        <f t="shared" si="71"/>
        <v>549.15</v>
      </c>
      <c r="H10126" s="1031"/>
      <c r="I10126" s="948">
        <f t="shared" si="72"/>
        <v>288</v>
      </c>
    </row>
    <row r="10127" spans="2:9" ht="15.75">
      <c r="C10127" s="949" t="s">
        <v>1328</v>
      </c>
      <c r="D10127" s="946">
        <v>7.0000000000000007E-2</v>
      </c>
      <c r="E10127" s="947" t="str">
        <f>+VLOOKUP(C10127,'Basic (equilibrio) (2)'!B:D,2,FALSE)</f>
        <v>lb</v>
      </c>
      <c r="F10127" s="1068">
        <f>'Basic (equilibrio) (2)'!$D$334</f>
        <v>31.1</v>
      </c>
      <c r="G10127" s="946">
        <f t="shared" si="71"/>
        <v>4.74</v>
      </c>
      <c r="H10127" s="1031"/>
      <c r="I10127" s="948">
        <f t="shared" si="72"/>
        <v>2.1800000000000002</v>
      </c>
    </row>
    <row r="10128" spans="2:9" ht="15.75">
      <c r="C10128" s="951" t="s">
        <v>918</v>
      </c>
      <c r="D10128" s="946"/>
      <c r="E10128" s="947"/>
      <c r="F10128" s="1068"/>
      <c r="G10128" s="946"/>
      <c r="H10128" s="1031"/>
      <c r="I10128" s="952">
        <f>SUM(I10122:I10127)</f>
        <v>1221.2</v>
      </c>
    </row>
    <row r="10129" spans="3:9" ht="15.75">
      <c r="C10129" s="949"/>
      <c r="D10129" s="946"/>
      <c r="E10129" s="947"/>
      <c r="F10129" s="1068"/>
      <c r="G10129" s="946"/>
      <c r="H10129" s="1031"/>
      <c r="I10129" s="948"/>
    </row>
    <row r="10130" spans="3:9" ht="15.75">
      <c r="C10130" s="945" t="s">
        <v>919</v>
      </c>
      <c r="D10130" s="946"/>
      <c r="E10130" s="947"/>
      <c r="F10130" s="1068"/>
      <c r="G10130" s="946"/>
      <c r="H10130" s="1031"/>
      <c r="I10130" s="948"/>
    </row>
    <row r="10131" spans="3:9" ht="15.75">
      <c r="C10131" s="949" t="s">
        <v>1074</v>
      </c>
      <c r="D10131" s="953">
        <v>11.61</v>
      </c>
      <c r="E10131" s="954" t="str">
        <f>+VLOOKUP(C10131,'Basic (equilibrio) (2)'!B:D,2,FALSE)</f>
        <v>ud</v>
      </c>
      <c r="F10131" s="1068">
        <f>'Basic (equilibrio) (2)'!$D$26</f>
        <v>1</v>
      </c>
      <c r="G10131" s="946">
        <v>0</v>
      </c>
      <c r="H10131" s="1031"/>
      <c r="I10131" s="948">
        <f>(D10131*F10131)</f>
        <v>11.61</v>
      </c>
    </row>
    <row r="10132" spans="3:9" ht="15.75">
      <c r="C10132" s="949" t="s">
        <v>1075</v>
      </c>
      <c r="D10132" s="953">
        <v>11.61</v>
      </c>
      <c r="E10132" s="954" t="str">
        <f>+VLOOKUP(C10132,'Basic (equilibrio) (2)'!B:D,2,FALSE)</f>
        <v>ud</v>
      </c>
      <c r="F10132" s="1068">
        <f>'Basic (equilibrio) (2)'!$D$27</f>
        <v>3</v>
      </c>
      <c r="G10132" s="946">
        <v>0</v>
      </c>
      <c r="H10132" s="1031"/>
      <c r="I10132" s="948">
        <f>(D10132*F10132)</f>
        <v>34.83</v>
      </c>
    </row>
    <row r="10133" spans="3:9" ht="15.75">
      <c r="C10133" s="949" t="s">
        <v>1077</v>
      </c>
      <c r="D10133" s="953">
        <v>11.61</v>
      </c>
      <c r="E10133" s="954" t="str">
        <f>+VLOOKUP(C10133,'Basic (equilibrio) (2)'!B:D,2,FALSE)</f>
        <v>ud</v>
      </c>
      <c r="F10133" s="1068">
        <f>'Basic (equilibrio) (2)'!$D$29</f>
        <v>22</v>
      </c>
      <c r="G10133" s="946">
        <v>0</v>
      </c>
      <c r="H10133" s="1031"/>
      <c r="I10133" s="948">
        <f>(D10133*F10133)</f>
        <v>255.42</v>
      </c>
    </row>
    <row r="10134" spans="3:9" ht="15.75">
      <c r="C10134" s="951" t="s">
        <v>918</v>
      </c>
      <c r="D10134" s="946"/>
      <c r="E10134" s="947"/>
      <c r="F10134" s="1054"/>
      <c r="G10134" s="946"/>
      <c r="H10134" s="1031"/>
      <c r="I10134" s="952">
        <f>SUM(I10131:I10133)</f>
        <v>301.86</v>
      </c>
    </row>
    <row r="10135" spans="3:9" ht="15.75">
      <c r="C10135" s="949"/>
      <c r="D10135" s="946"/>
      <c r="E10135" s="947"/>
      <c r="F10135" s="1054"/>
      <c r="G10135" s="946"/>
      <c r="H10135" s="1031"/>
      <c r="I10135" s="948"/>
    </row>
    <row r="10136" spans="3:9" ht="15.75">
      <c r="C10136" s="945" t="s">
        <v>923</v>
      </c>
      <c r="D10136" s="946"/>
      <c r="E10136" s="947"/>
      <c r="F10136" s="1054"/>
      <c r="G10136" s="946"/>
      <c r="H10136" s="1031"/>
      <c r="I10136" s="948"/>
    </row>
    <row r="10137" spans="3:9" ht="15.75">
      <c r="C10137" s="949" t="s">
        <v>924</v>
      </c>
      <c r="D10137" s="946"/>
      <c r="E10137" s="947" t="str">
        <f>+VLOOKUP(C10137,'Basic (equilibrio) (2)'!B:D,2,FALSE)</f>
        <v>n/a</v>
      </c>
      <c r="F10137" s="1054">
        <f>+VLOOKUP(C10137,'Basic (equilibrio) (2)'!B:D,3,FALSE)</f>
        <v>0</v>
      </c>
      <c r="G10137" s="946">
        <f>F10137-(F10137/1.18)</f>
        <v>0</v>
      </c>
      <c r="H10137" s="1039"/>
      <c r="I10137" s="955">
        <f>D10137*F10137</f>
        <v>0</v>
      </c>
    </row>
    <row r="10138" spans="3:9" ht="15.75">
      <c r="C10138" s="951" t="s">
        <v>918</v>
      </c>
      <c r="D10138" s="946"/>
      <c r="E10138" s="947"/>
      <c r="F10138" s="1054"/>
      <c r="G10138" s="946"/>
      <c r="H10138" s="1031"/>
      <c r="I10138" s="952">
        <f>SUM(I10137:I10137)</f>
        <v>0</v>
      </c>
    </row>
    <row r="10139" spans="3:9" ht="15.75">
      <c r="C10139" s="949"/>
      <c r="D10139" s="946"/>
      <c r="E10139" s="947"/>
      <c r="F10139" s="1054"/>
      <c r="G10139" s="946"/>
      <c r="H10139" s="1031"/>
      <c r="I10139" s="948"/>
    </row>
    <row r="10140" spans="3:9" ht="15.75">
      <c r="C10140" s="945" t="s">
        <v>925</v>
      </c>
      <c r="D10140" s="946"/>
      <c r="E10140" s="947"/>
      <c r="F10140" s="1054"/>
      <c r="G10140" s="946"/>
      <c r="H10140" s="1031"/>
      <c r="I10140" s="948"/>
    </row>
    <row r="10141" spans="3:9" ht="15.75">
      <c r="C10141" s="949" t="s">
        <v>924</v>
      </c>
      <c r="D10141" s="946"/>
      <c r="E10141" s="947" t="str">
        <f>+VLOOKUP(C10141,'Basic (equilibrio) (2)'!B:D,2,FALSE)</f>
        <v>n/a</v>
      </c>
      <c r="F10141" s="1054">
        <f>+VLOOKUP(C10141,'Basic (equilibrio) (2)'!B:D,3,FALSE)</f>
        <v>0</v>
      </c>
      <c r="G10141" s="946"/>
      <c r="H10141" s="1031"/>
      <c r="I10141" s="948">
        <f>D10141*F10141</f>
        <v>0</v>
      </c>
    </row>
    <row r="10142" spans="3:9" ht="15.75">
      <c r="C10142" s="951" t="s">
        <v>918</v>
      </c>
      <c r="D10142" s="946"/>
      <c r="E10142" s="947"/>
      <c r="F10142" s="1054"/>
      <c r="G10142" s="946"/>
      <c r="H10142" s="1031"/>
      <c r="I10142" s="952">
        <f>SUM(I10141)</f>
        <v>0</v>
      </c>
    </row>
    <row r="10143" spans="3:9" ht="15.75">
      <c r="C10143" s="951"/>
      <c r="D10143" s="946"/>
      <c r="E10143" s="947"/>
      <c r="F10143" s="1054"/>
      <c r="G10143" s="946"/>
      <c r="H10143" s="1031"/>
      <c r="I10143" s="952"/>
    </row>
    <row r="10144" spans="3:9" ht="15.75">
      <c r="C10144" s="956" t="s">
        <v>926</v>
      </c>
      <c r="D10144" s="957"/>
      <c r="E10144" s="958"/>
      <c r="F10144" s="1069"/>
      <c r="G10144" s="957"/>
      <c r="H10144" s="1032"/>
      <c r="I10144" s="959">
        <f>+I10128</f>
        <v>1221.2</v>
      </c>
    </row>
    <row r="10145" spans="2:9" ht="15.75">
      <c r="C10145" s="956" t="s">
        <v>927</v>
      </c>
      <c r="D10145" s="957"/>
      <c r="E10145" s="958"/>
      <c r="F10145" s="1069"/>
      <c r="G10145" s="957"/>
      <c r="H10145" s="1032"/>
      <c r="I10145" s="959">
        <f>+I10134</f>
        <v>301.86</v>
      </c>
    </row>
    <row r="10146" spans="2:9" ht="15.75">
      <c r="C10146" s="956" t="s">
        <v>928</v>
      </c>
      <c r="D10146" s="957"/>
      <c r="E10146" s="958"/>
      <c r="F10146" s="1069"/>
      <c r="G10146" s="957"/>
      <c r="H10146" s="1032"/>
      <c r="I10146" s="959">
        <f>+I10138</f>
        <v>0</v>
      </c>
    </row>
    <row r="10147" spans="2:9" ht="15.75">
      <c r="C10147" s="956" t="s">
        <v>929</v>
      </c>
      <c r="D10147" s="957"/>
      <c r="E10147" s="958"/>
      <c r="F10147" s="1069"/>
      <c r="G10147" s="957"/>
      <c r="H10147" s="1032"/>
      <c r="I10147" s="959">
        <f>+I10142</f>
        <v>0</v>
      </c>
    </row>
    <row r="10148" spans="2:9" ht="15.75">
      <c r="C10148" s="949"/>
      <c r="D10148" s="946"/>
      <c r="E10148" s="947"/>
      <c r="F10148" s="1054"/>
      <c r="G10148" s="946"/>
      <c r="H10148" s="1031"/>
      <c r="I10148" s="948"/>
    </row>
    <row r="10149" spans="2:9" ht="15.75">
      <c r="C10149" s="949"/>
      <c r="D10149" s="946"/>
      <c r="E10149" s="947"/>
      <c r="F10149" s="1054"/>
      <c r="G10149" s="946"/>
      <c r="H10149" s="1031"/>
      <c r="I10149" s="948"/>
    </row>
    <row r="10150" spans="2:9" ht="15.75">
      <c r="C10150" s="951" t="s">
        <v>930</v>
      </c>
      <c r="D10150" s="960"/>
      <c r="E10150" s="943" t="str">
        <f>+E10119</f>
        <v>M2</v>
      </c>
      <c r="F10150" s="1070"/>
      <c r="G10150" s="960"/>
      <c r="H10150" s="1033"/>
      <c r="I10150" s="952">
        <f>SUM(I10144:I10147)</f>
        <v>1523.06</v>
      </c>
    </row>
    <row r="10151" spans="2:9" ht="15.75">
      <c r="C10151" s="951"/>
      <c r="D10151" s="960"/>
      <c r="E10151" s="943"/>
      <c r="F10151" s="1070"/>
      <c r="G10151" s="960"/>
      <c r="H10151" s="1033"/>
      <c r="I10151" s="952"/>
    </row>
    <row r="10152" spans="2:9" ht="15.75">
      <c r="B10152" s="1026">
        <v>5.0999999999999996</v>
      </c>
      <c r="C10152" s="937" t="str">
        <f>+Presupuesto!B596</f>
        <v xml:space="preserve">Fraguache interior elementos de hormigón </v>
      </c>
      <c r="D10152" s="938"/>
      <c r="E10152" s="962" t="s">
        <v>20</v>
      </c>
      <c r="F10152" s="1066"/>
      <c r="G10152" s="938"/>
      <c r="H10152" s="1029"/>
      <c r="I10152" s="940">
        <f>I10176</f>
        <v>101.1</v>
      </c>
    </row>
    <row r="10153" spans="2:9" ht="15.75">
      <c r="C10153" s="941" t="s">
        <v>908</v>
      </c>
      <c r="D10153" s="942" t="s">
        <v>9</v>
      </c>
      <c r="E10153" s="943" t="s">
        <v>10</v>
      </c>
      <c r="F10153" s="1067" t="s">
        <v>909</v>
      </c>
      <c r="G10153" s="942" t="s">
        <v>910</v>
      </c>
      <c r="H10153" s="1030" t="s">
        <v>911</v>
      </c>
      <c r="I10153" s="944" t="s">
        <v>912</v>
      </c>
    </row>
    <row r="10154" spans="2:9" ht="15.75">
      <c r="C10154" s="945" t="s">
        <v>913</v>
      </c>
      <c r="D10154" s="946"/>
      <c r="E10154" s="947"/>
      <c r="F10154" s="1054"/>
      <c r="G10154" s="946"/>
      <c r="H10154" s="1031"/>
      <c r="I10154" s="948"/>
    </row>
    <row r="10155" spans="2:9" ht="15.75">
      <c r="C10155" s="949" t="s">
        <v>958</v>
      </c>
      <c r="D10155" s="946">
        <v>0.01</v>
      </c>
      <c r="E10155" s="947" t="str">
        <f>+VLOOKUP(C10155,'Basic (equilibrio) (2)'!B:D,2,FALSE)</f>
        <v>m3</v>
      </c>
      <c r="F10155" s="1068">
        <f>'Basic (equilibrio) (2)'!$D$309</f>
        <v>6820</v>
      </c>
      <c r="G10155" s="946">
        <f>F10155-(F10155/1.18)</f>
        <v>1040.3399999999999</v>
      </c>
      <c r="H10155" s="1031"/>
      <c r="I10155" s="948">
        <f>D10155*F10155</f>
        <v>68.2</v>
      </c>
    </row>
    <row r="10156" spans="2:9" ht="15.75">
      <c r="C10156" s="949" t="s">
        <v>1206</v>
      </c>
      <c r="D10156" s="946">
        <v>0.03</v>
      </c>
      <c r="E10156" s="947" t="str">
        <f>+VLOOKUP(C10156,'Basic (equilibrio) (2)'!B:D,2,FALSE)</f>
        <v>pt</v>
      </c>
      <c r="F10156" s="1068">
        <f>'Basic (equilibrio) (2)'!$D$310</f>
        <v>230</v>
      </c>
      <c r="G10156" s="946">
        <f>F10156-(F10156/1.18)</f>
        <v>35.08</v>
      </c>
      <c r="H10156" s="1031"/>
      <c r="I10156" s="948">
        <f>D10156*F10156</f>
        <v>6.9</v>
      </c>
    </row>
    <row r="10157" spans="2:9" ht="15.75">
      <c r="C10157" s="951" t="s">
        <v>918</v>
      </c>
      <c r="D10157" s="946"/>
      <c r="E10157" s="947"/>
      <c r="F10157" s="1068"/>
      <c r="G10157" s="946"/>
      <c r="H10157" s="1031"/>
      <c r="I10157" s="952">
        <f>SUM(I10155:I10156)</f>
        <v>75.099999999999994</v>
      </c>
    </row>
    <row r="10158" spans="2:9" ht="15.75">
      <c r="C10158" s="949"/>
      <c r="D10158" s="946"/>
      <c r="E10158" s="947"/>
      <c r="F10158" s="1068"/>
      <c r="G10158" s="946"/>
      <c r="H10158" s="1031"/>
      <c r="I10158" s="948"/>
    </row>
    <row r="10159" spans="2:9" ht="15.75">
      <c r="C10159" s="945" t="s">
        <v>919</v>
      </c>
      <c r="D10159" s="946"/>
      <c r="E10159" s="947"/>
      <c r="F10159" s="1068"/>
      <c r="G10159" s="946"/>
      <c r="H10159" s="1031"/>
      <c r="I10159" s="948"/>
    </row>
    <row r="10160" spans="2:9" ht="15.75">
      <c r="C10160" s="949" t="s">
        <v>1080</v>
      </c>
      <c r="D10160" s="953">
        <v>1</v>
      </c>
      <c r="E10160" s="954" t="str">
        <f>+VLOOKUP(C10160,'Basic (equilibrio) (2)'!B:D,2,FALSE)</f>
        <v>m2</v>
      </c>
      <c r="F10160" s="1068">
        <f>'Basic (equilibrio) (2)'!$D$32</f>
        <v>26</v>
      </c>
      <c r="G10160" s="946">
        <v>0</v>
      </c>
      <c r="H10160" s="1031"/>
      <c r="I10160" s="948">
        <f>(D10160*F10160)</f>
        <v>26</v>
      </c>
    </row>
    <row r="10161" spans="3:9" ht="15.75">
      <c r="C10161" s="951" t="s">
        <v>918</v>
      </c>
      <c r="D10161" s="946"/>
      <c r="E10161" s="947"/>
      <c r="F10161" s="1054"/>
      <c r="G10161" s="946"/>
      <c r="H10161" s="1031"/>
      <c r="I10161" s="952">
        <f>SUM(I10160:I10160)</f>
        <v>26</v>
      </c>
    </row>
    <row r="10162" spans="3:9" ht="15.75">
      <c r="C10162" s="949"/>
      <c r="D10162" s="946"/>
      <c r="E10162" s="947"/>
      <c r="F10162" s="1054"/>
      <c r="G10162" s="946"/>
      <c r="H10162" s="1031"/>
      <c r="I10162" s="948"/>
    </row>
    <row r="10163" spans="3:9" ht="15.75">
      <c r="C10163" s="945" t="s">
        <v>923</v>
      </c>
      <c r="D10163" s="946"/>
      <c r="E10163" s="947"/>
      <c r="F10163" s="1054"/>
      <c r="G10163" s="946"/>
      <c r="H10163" s="1031"/>
      <c r="I10163" s="948"/>
    </row>
    <row r="10164" spans="3:9" ht="15.75">
      <c r="C10164" s="949" t="s">
        <v>924</v>
      </c>
      <c r="D10164" s="946"/>
      <c r="E10164" s="947" t="str">
        <f>+VLOOKUP(C10164,'Basic (equilibrio) (2)'!B:D,2,FALSE)</f>
        <v>n/a</v>
      </c>
      <c r="F10164" s="1054">
        <f>+VLOOKUP(C10164,'Basic (equilibrio) (2)'!B:D,3,FALSE)</f>
        <v>0</v>
      </c>
      <c r="G10164" s="946">
        <f>F10164-(F10164/1.18)</f>
        <v>0</v>
      </c>
      <c r="H10164" s="1039"/>
      <c r="I10164" s="955">
        <f>D10164*F10164</f>
        <v>0</v>
      </c>
    </row>
    <row r="10165" spans="3:9" ht="15.75">
      <c r="C10165" s="951" t="s">
        <v>918</v>
      </c>
      <c r="D10165" s="946"/>
      <c r="E10165" s="947"/>
      <c r="F10165" s="1054"/>
      <c r="G10165" s="946"/>
      <c r="H10165" s="1031"/>
      <c r="I10165" s="952">
        <f>SUM(I10164:I10164)</f>
        <v>0</v>
      </c>
    </row>
    <row r="10166" spans="3:9" ht="15.75">
      <c r="C10166" s="949"/>
      <c r="D10166" s="946"/>
      <c r="E10166" s="947"/>
      <c r="F10166" s="1054"/>
      <c r="G10166" s="946"/>
      <c r="H10166" s="1031"/>
      <c r="I10166" s="948"/>
    </row>
    <row r="10167" spans="3:9" ht="15.75">
      <c r="C10167" s="945" t="s">
        <v>925</v>
      </c>
      <c r="D10167" s="946"/>
      <c r="E10167" s="947"/>
      <c r="F10167" s="1054"/>
      <c r="G10167" s="946"/>
      <c r="H10167" s="1031"/>
      <c r="I10167" s="948"/>
    </row>
    <row r="10168" spans="3:9" ht="15.75">
      <c r="C10168" s="949" t="s">
        <v>924</v>
      </c>
      <c r="D10168" s="946"/>
      <c r="E10168" s="947" t="str">
        <f>+VLOOKUP(C10168,'Basic (equilibrio) (2)'!B:D,2,FALSE)</f>
        <v>n/a</v>
      </c>
      <c r="F10168" s="1054">
        <f>+VLOOKUP(C10168,'Basic (equilibrio) (2)'!B:D,3,FALSE)</f>
        <v>0</v>
      </c>
      <c r="G10168" s="946"/>
      <c r="H10168" s="1031"/>
      <c r="I10168" s="948">
        <f>D10168*F10168</f>
        <v>0</v>
      </c>
    </row>
    <row r="10169" spans="3:9" ht="15.75">
      <c r="C10169" s="951" t="s">
        <v>918</v>
      </c>
      <c r="D10169" s="946"/>
      <c r="E10169" s="947"/>
      <c r="F10169" s="1054"/>
      <c r="G10169" s="946"/>
      <c r="H10169" s="1031"/>
      <c r="I10169" s="952">
        <f>SUM(I10168)</f>
        <v>0</v>
      </c>
    </row>
    <row r="10170" spans="3:9" ht="15.75">
      <c r="C10170" s="951"/>
      <c r="D10170" s="946"/>
      <c r="E10170" s="947"/>
      <c r="F10170" s="1054"/>
      <c r="G10170" s="946"/>
      <c r="H10170" s="1031"/>
      <c r="I10170" s="952"/>
    </row>
    <row r="10171" spans="3:9" ht="15.75">
      <c r="C10171" s="956" t="s">
        <v>926</v>
      </c>
      <c r="D10171" s="957"/>
      <c r="E10171" s="958"/>
      <c r="F10171" s="1069"/>
      <c r="G10171" s="957"/>
      <c r="H10171" s="1032"/>
      <c r="I10171" s="959">
        <f>+I10157</f>
        <v>75.099999999999994</v>
      </c>
    </row>
    <row r="10172" spans="3:9" ht="15.75">
      <c r="C10172" s="956" t="s">
        <v>927</v>
      </c>
      <c r="D10172" s="957"/>
      <c r="E10172" s="958"/>
      <c r="F10172" s="1069"/>
      <c r="G10172" s="957"/>
      <c r="H10172" s="1032"/>
      <c r="I10172" s="959">
        <f>+I10161</f>
        <v>26</v>
      </c>
    </row>
    <row r="10173" spans="3:9" ht="15.75">
      <c r="C10173" s="956" t="s">
        <v>928</v>
      </c>
      <c r="D10173" s="957"/>
      <c r="E10173" s="958"/>
      <c r="F10173" s="1069"/>
      <c r="G10173" s="957"/>
      <c r="H10173" s="1032"/>
      <c r="I10173" s="959">
        <f>+I10165</f>
        <v>0</v>
      </c>
    </row>
    <row r="10174" spans="3:9" ht="15.75">
      <c r="C10174" s="956" t="s">
        <v>929</v>
      </c>
      <c r="D10174" s="957"/>
      <c r="E10174" s="958"/>
      <c r="F10174" s="1069"/>
      <c r="G10174" s="957"/>
      <c r="H10174" s="1032"/>
      <c r="I10174" s="959">
        <f>+I10169</f>
        <v>0</v>
      </c>
    </row>
    <row r="10175" spans="3:9" ht="15.75">
      <c r="C10175" s="949"/>
      <c r="D10175" s="946"/>
      <c r="E10175" s="947"/>
      <c r="F10175" s="1054"/>
      <c r="G10175" s="946"/>
      <c r="H10175" s="1031"/>
      <c r="I10175" s="948"/>
    </row>
    <row r="10176" spans="3:9" ht="15.75">
      <c r="C10176" s="951" t="s">
        <v>930</v>
      </c>
      <c r="D10176" s="960"/>
      <c r="E10176" s="943" t="str">
        <f>+E10152</f>
        <v>M2</v>
      </c>
      <c r="F10176" s="1070"/>
      <c r="G10176" s="960"/>
      <c r="H10176" s="1033"/>
      <c r="I10176" s="952">
        <f>SUM(I10171:I10174)</f>
        <v>101.1</v>
      </c>
    </row>
    <row r="10177" spans="2:9" ht="15.75">
      <c r="C10177" s="951"/>
      <c r="D10177" s="960"/>
      <c r="E10177" s="943"/>
      <c r="F10177" s="1070"/>
      <c r="G10177" s="960"/>
      <c r="H10177" s="1033"/>
      <c r="I10177" s="952"/>
    </row>
    <row r="10178" spans="2:9" ht="15.75">
      <c r="B10178" s="1026">
        <v>5.2</v>
      </c>
      <c r="C10178" s="937" t="str">
        <f>+Presupuesto!B597</f>
        <v xml:space="preserve">Pañete interior pulido </v>
      </c>
      <c r="D10178" s="938"/>
      <c r="E10178" s="962" t="s">
        <v>20</v>
      </c>
      <c r="F10178" s="1066"/>
      <c r="G10178" s="938"/>
      <c r="H10178" s="1029"/>
      <c r="I10178" s="940">
        <f>I10203</f>
        <v>453.5</v>
      </c>
    </row>
    <row r="10179" spans="2:9" ht="15.75">
      <c r="C10179" s="941" t="s">
        <v>908</v>
      </c>
      <c r="D10179" s="942" t="s">
        <v>9</v>
      </c>
      <c r="E10179" s="943" t="s">
        <v>10</v>
      </c>
      <c r="F10179" s="1067" t="s">
        <v>909</v>
      </c>
      <c r="G10179" s="942" t="s">
        <v>910</v>
      </c>
      <c r="H10179" s="1030" t="s">
        <v>911</v>
      </c>
      <c r="I10179" s="944" t="s">
        <v>912</v>
      </c>
    </row>
    <row r="10180" spans="2:9" ht="15.75">
      <c r="C10180" s="945" t="s">
        <v>913</v>
      </c>
      <c r="D10180" s="946"/>
      <c r="E10180" s="947"/>
      <c r="F10180" s="1054"/>
      <c r="G10180" s="946"/>
      <c r="H10180" s="1031"/>
      <c r="I10180" s="948"/>
    </row>
    <row r="10181" spans="2:9" ht="15.75">
      <c r="C10181" s="949" t="s">
        <v>958</v>
      </c>
      <c r="D10181" s="946">
        <v>0.03</v>
      </c>
      <c r="E10181" s="947" t="str">
        <f>+VLOOKUP(C10181,'Basic (equilibrio) (2)'!B:D,2,FALSE)</f>
        <v>m3</v>
      </c>
      <c r="F10181" s="1068">
        <f>'Basic (equilibrio) (2)'!$D$309</f>
        <v>6820</v>
      </c>
      <c r="G10181" s="946">
        <f>F10181-(F10181/1.18)</f>
        <v>1040.3399999999999</v>
      </c>
      <c r="H10181" s="1031"/>
      <c r="I10181" s="948">
        <f>D10181*F10181</f>
        <v>204.6</v>
      </c>
    </row>
    <row r="10182" spans="2:9" ht="15.75">
      <c r="C10182" s="949" t="s">
        <v>1206</v>
      </c>
      <c r="D10182" s="946">
        <v>0.03</v>
      </c>
      <c r="E10182" s="947" t="str">
        <f>+VLOOKUP(C10182,'Basic (equilibrio) (2)'!B:D,2,FALSE)</f>
        <v>pt</v>
      </c>
      <c r="F10182" s="1068">
        <f>'Basic (equilibrio) (2)'!$D$310</f>
        <v>230</v>
      </c>
      <c r="G10182" s="946">
        <f>F10182-(F10182/1.18)</f>
        <v>35.08</v>
      </c>
      <c r="H10182" s="1031"/>
      <c r="I10182" s="948">
        <f>D10182*F10182</f>
        <v>6.9</v>
      </c>
    </row>
    <row r="10183" spans="2:9" ht="15.75">
      <c r="C10183" s="949" t="s">
        <v>1079</v>
      </c>
      <c r="D10183" s="946">
        <v>1</v>
      </c>
      <c r="E10183" s="947" t="str">
        <f>+VLOOKUP(C10183,'Basic (equilibrio) (2)'!B:D,2,FALSE)</f>
        <v>m2</v>
      </c>
      <c r="F10183" s="1068">
        <f>'Basic (equilibrio) (2)'!$D$31</f>
        <v>52</v>
      </c>
      <c r="G10183" s="946">
        <f>F10183-(F10183/1.18)</f>
        <v>7.93</v>
      </c>
      <c r="H10183" s="1031"/>
      <c r="I10183" s="948">
        <f>D10183*F10183</f>
        <v>52</v>
      </c>
    </row>
    <row r="10184" spans="2:9" ht="15.75">
      <c r="C10184" s="951" t="s">
        <v>918</v>
      </c>
      <c r="D10184" s="946"/>
      <c r="E10184" s="947"/>
      <c r="F10184" s="1068"/>
      <c r="G10184" s="946"/>
      <c r="H10184" s="1031"/>
      <c r="I10184" s="952">
        <f>SUM(I10181:I10183)</f>
        <v>263.5</v>
      </c>
    </row>
    <row r="10185" spans="2:9" ht="15.75">
      <c r="C10185" s="949"/>
      <c r="D10185" s="946"/>
      <c r="E10185" s="947"/>
      <c r="F10185" s="1068"/>
      <c r="G10185" s="946"/>
      <c r="H10185" s="1031"/>
      <c r="I10185" s="948"/>
    </row>
    <row r="10186" spans="2:9" ht="15.75">
      <c r="C10186" s="945" t="s">
        <v>919</v>
      </c>
      <c r="D10186" s="946"/>
      <c r="E10186" s="947"/>
      <c r="F10186" s="1068"/>
      <c r="G10186" s="946"/>
      <c r="H10186" s="1031"/>
      <c r="I10186" s="948"/>
    </row>
    <row r="10187" spans="2:9" ht="15.75">
      <c r="C10187" s="949" t="s">
        <v>1078</v>
      </c>
      <c r="D10187" s="953">
        <v>1</v>
      </c>
      <c r="E10187" s="954" t="str">
        <f>+VLOOKUP(C10187,'Basic (equilibrio) (2)'!B:D,2,FALSE)</f>
        <v>m2</v>
      </c>
      <c r="F10187" s="1068">
        <f>'Basic (equilibrio) (2)'!$D$30</f>
        <v>190</v>
      </c>
      <c r="G10187" s="946">
        <v>0</v>
      </c>
      <c r="H10187" s="1031"/>
      <c r="I10187" s="948">
        <f>(D10187*F10187)</f>
        <v>190</v>
      </c>
    </row>
    <row r="10188" spans="2:9" ht="15.75">
      <c r="C10188" s="951" t="s">
        <v>918</v>
      </c>
      <c r="D10188" s="946"/>
      <c r="E10188" s="947"/>
      <c r="F10188" s="1054"/>
      <c r="G10188" s="946"/>
      <c r="H10188" s="1031"/>
      <c r="I10188" s="952">
        <f>SUM(I10187:I10187)</f>
        <v>190</v>
      </c>
    </row>
    <row r="10189" spans="2:9" ht="15.75">
      <c r="C10189" s="949"/>
      <c r="D10189" s="946"/>
      <c r="E10189" s="947"/>
      <c r="F10189" s="1054"/>
      <c r="G10189" s="946"/>
      <c r="H10189" s="1031"/>
      <c r="I10189" s="948"/>
    </row>
    <row r="10190" spans="2:9" ht="15.75">
      <c r="C10190" s="945" t="s">
        <v>923</v>
      </c>
      <c r="D10190" s="946"/>
      <c r="E10190" s="947"/>
      <c r="F10190" s="1054"/>
      <c r="G10190" s="946"/>
      <c r="H10190" s="1031"/>
      <c r="I10190" s="948"/>
    </row>
    <row r="10191" spans="2:9" ht="15.75">
      <c r="C10191" s="949" t="s">
        <v>924</v>
      </c>
      <c r="D10191" s="946"/>
      <c r="E10191" s="947" t="str">
        <f>+VLOOKUP(C10191,'Basic (equilibrio) (2)'!B:D,2,FALSE)</f>
        <v>n/a</v>
      </c>
      <c r="F10191" s="1054">
        <f>+VLOOKUP(C10191,'Basic (equilibrio) (2)'!B:D,3,FALSE)</f>
        <v>0</v>
      </c>
      <c r="G10191" s="946">
        <f>F10191-(F10191/1.18)</f>
        <v>0</v>
      </c>
      <c r="H10191" s="1039"/>
      <c r="I10191" s="955">
        <f>D10191*F10191</f>
        <v>0</v>
      </c>
    </row>
    <row r="10192" spans="2:9" ht="15.75">
      <c r="C10192" s="951" t="s">
        <v>918</v>
      </c>
      <c r="D10192" s="946"/>
      <c r="E10192" s="947"/>
      <c r="F10192" s="1054"/>
      <c r="G10192" s="946"/>
      <c r="H10192" s="1031"/>
      <c r="I10192" s="952">
        <f>SUM(I10191:I10191)</f>
        <v>0</v>
      </c>
    </row>
    <row r="10193" spans="2:9" ht="15.75">
      <c r="C10193" s="949"/>
      <c r="D10193" s="946"/>
      <c r="E10193" s="947"/>
      <c r="F10193" s="1054"/>
      <c r="G10193" s="946"/>
      <c r="H10193" s="1031"/>
      <c r="I10193" s="948"/>
    </row>
    <row r="10194" spans="2:9" ht="15.75">
      <c r="C10194" s="945" t="s">
        <v>925</v>
      </c>
      <c r="D10194" s="946"/>
      <c r="E10194" s="947"/>
      <c r="F10194" s="1054"/>
      <c r="G10194" s="946"/>
      <c r="H10194" s="1031"/>
      <c r="I10194" s="948"/>
    </row>
    <row r="10195" spans="2:9" ht="15.75">
      <c r="C10195" s="949" t="s">
        <v>924</v>
      </c>
      <c r="D10195" s="946"/>
      <c r="E10195" s="947" t="str">
        <f>+VLOOKUP(C10195,'Basic (equilibrio) (2)'!B:D,2,FALSE)</f>
        <v>n/a</v>
      </c>
      <c r="F10195" s="1054">
        <f>+VLOOKUP(C10195,'Basic (equilibrio) (2)'!B:D,3,FALSE)</f>
        <v>0</v>
      </c>
      <c r="G10195" s="946"/>
      <c r="H10195" s="1031"/>
      <c r="I10195" s="948">
        <f>D10195*F10195</f>
        <v>0</v>
      </c>
    </row>
    <row r="10196" spans="2:9" ht="15.75">
      <c r="C10196" s="951" t="s">
        <v>918</v>
      </c>
      <c r="D10196" s="946"/>
      <c r="E10196" s="947"/>
      <c r="F10196" s="1054"/>
      <c r="G10196" s="946"/>
      <c r="H10196" s="1031"/>
      <c r="I10196" s="952">
        <f>SUM(I10195)</f>
        <v>0</v>
      </c>
    </row>
    <row r="10197" spans="2:9" ht="15.75">
      <c r="C10197" s="951"/>
      <c r="D10197" s="946"/>
      <c r="E10197" s="947"/>
      <c r="F10197" s="1054"/>
      <c r="G10197" s="946"/>
      <c r="H10197" s="1031"/>
      <c r="I10197" s="952"/>
    </row>
    <row r="10198" spans="2:9" ht="15.75">
      <c r="C10198" s="956" t="s">
        <v>926</v>
      </c>
      <c r="D10198" s="957"/>
      <c r="E10198" s="958"/>
      <c r="F10198" s="1069"/>
      <c r="G10198" s="957"/>
      <c r="H10198" s="1032"/>
      <c r="I10198" s="959">
        <f>+I10184</f>
        <v>263.5</v>
      </c>
    </row>
    <row r="10199" spans="2:9" ht="15.75">
      <c r="C10199" s="956" t="s">
        <v>927</v>
      </c>
      <c r="D10199" s="957"/>
      <c r="E10199" s="958"/>
      <c r="F10199" s="1069"/>
      <c r="G10199" s="957"/>
      <c r="H10199" s="1032"/>
      <c r="I10199" s="959">
        <f>+I10188</f>
        <v>190</v>
      </c>
    </row>
    <row r="10200" spans="2:9" ht="15.75">
      <c r="C10200" s="956" t="s">
        <v>928</v>
      </c>
      <c r="D10200" s="957"/>
      <c r="E10200" s="958"/>
      <c r="F10200" s="1069"/>
      <c r="G10200" s="957"/>
      <c r="H10200" s="1032"/>
      <c r="I10200" s="959">
        <f>+I10192</f>
        <v>0</v>
      </c>
    </row>
    <row r="10201" spans="2:9" ht="15.75">
      <c r="C10201" s="956" t="s">
        <v>929</v>
      </c>
      <c r="D10201" s="957"/>
      <c r="E10201" s="958"/>
      <c r="F10201" s="1069"/>
      <c r="G10201" s="957"/>
      <c r="H10201" s="1032"/>
      <c r="I10201" s="959">
        <f>+I10196</f>
        <v>0</v>
      </c>
    </row>
    <row r="10202" spans="2:9" ht="15.75">
      <c r="C10202" s="949"/>
      <c r="D10202" s="946"/>
      <c r="E10202" s="947"/>
      <c r="F10202" s="1054"/>
      <c r="G10202" s="946"/>
      <c r="H10202" s="1031"/>
      <c r="I10202" s="948"/>
    </row>
    <row r="10203" spans="2:9" ht="15.75">
      <c r="C10203" s="951" t="s">
        <v>930</v>
      </c>
      <c r="D10203" s="960"/>
      <c r="E10203" s="943" t="str">
        <f>+E10178</f>
        <v>M2</v>
      </c>
      <c r="F10203" s="1070"/>
      <c r="G10203" s="960"/>
      <c r="H10203" s="1033"/>
      <c r="I10203" s="952">
        <f>SUM(I10198:I10201)</f>
        <v>453.5</v>
      </c>
    </row>
    <row r="10204" spans="2:9" ht="15.75">
      <c r="C10204" s="951"/>
      <c r="D10204" s="960"/>
      <c r="E10204" s="943"/>
      <c r="F10204" s="1070"/>
      <c r="G10204" s="960"/>
      <c r="H10204" s="1033"/>
      <c r="I10204" s="952"/>
    </row>
    <row r="10205" spans="2:9" ht="15.75">
      <c r="B10205" s="1026">
        <v>5.3</v>
      </c>
      <c r="C10205" s="937" t="str">
        <f>+Presupuesto!B598</f>
        <v xml:space="preserve">Pañete exterior </v>
      </c>
      <c r="D10205" s="938"/>
      <c r="E10205" s="962" t="s">
        <v>20</v>
      </c>
      <c r="F10205" s="1066"/>
      <c r="G10205" s="938"/>
      <c r="H10205" s="1029"/>
      <c r="I10205" s="940">
        <f>I10230</f>
        <v>453.5</v>
      </c>
    </row>
    <row r="10206" spans="2:9" ht="15.75">
      <c r="C10206" s="941" t="s">
        <v>908</v>
      </c>
      <c r="D10206" s="942" t="s">
        <v>9</v>
      </c>
      <c r="E10206" s="943" t="s">
        <v>10</v>
      </c>
      <c r="F10206" s="1067" t="s">
        <v>909</v>
      </c>
      <c r="G10206" s="942" t="s">
        <v>910</v>
      </c>
      <c r="H10206" s="1030" t="s">
        <v>911</v>
      </c>
      <c r="I10206" s="944" t="s">
        <v>912</v>
      </c>
    </row>
    <row r="10207" spans="2:9" ht="15.75">
      <c r="C10207" s="945" t="s">
        <v>913</v>
      </c>
      <c r="D10207" s="946"/>
      <c r="E10207" s="947"/>
      <c r="F10207" s="1054"/>
      <c r="G10207" s="946"/>
      <c r="H10207" s="1031"/>
      <c r="I10207" s="948"/>
    </row>
    <row r="10208" spans="2:9" ht="15.75">
      <c r="C10208" s="949" t="s">
        <v>958</v>
      </c>
      <c r="D10208" s="946">
        <v>0.03</v>
      </c>
      <c r="E10208" s="947" t="str">
        <f>+VLOOKUP(C10208,'Basic (equilibrio) (2)'!B:D,2,FALSE)</f>
        <v>m3</v>
      </c>
      <c r="F10208" s="1068">
        <f>'Basic (equilibrio) (2)'!$D$309</f>
        <v>6820</v>
      </c>
      <c r="G10208" s="946">
        <f>F10208-(F10208/1.18)</f>
        <v>1040.3399999999999</v>
      </c>
      <c r="H10208" s="1031"/>
      <c r="I10208" s="948">
        <f>D10208*F10208</f>
        <v>204.6</v>
      </c>
    </row>
    <row r="10209" spans="3:9" ht="15.75">
      <c r="C10209" s="949" t="s">
        <v>1206</v>
      </c>
      <c r="D10209" s="946">
        <v>0.03</v>
      </c>
      <c r="E10209" s="947" t="str">
        <f>+VLOOKUP(C10209,'Basic (equilibrio) (2)'!B:D,2,FALSE)</f>
        <v>pt</v>
      </c>
      <c r="F10209" s="1068">
        <f>'Basic (equilibrio) (2)'!$D$310</f>
        <v>230</v>
      </c>
      <c r="G10209" s="946">
        <f>F10209-(F10209/1.18)</f>
        <v>35.08</v>
      </c>
      <c r="H10209" s="1031"/>
      <c r="I10209" s="948">
        <f>D10209*F10209</f>
        <v>6.9</v>
      </c>
    </row>
    <row r="10210" spans="3:9" ht="15.75">
      <c r="C10210" s="949" t="s">
        <v>1079</v>
      </c>
      <c r="D10210" s="946">
        <v>1</v>
      </c>
      <c r="E10210" s="947" t="str">
        <f>+VLOOKUP(C10210,'Basic (equilibrio) (2)'!B:D,2,FALSE)</f>
        <v>m2</v>
      </c>
      <c r="F10210" s="1068">
        <f>'Basic (equilibrio) (2)'!$D$31</f>
        <v>52</v>
      </c>
      <c r="G10210" s="946">
        <f>F10210-(F10210/1.18)</f>
        <v>7.93</v>
      </c>
      <c r="H10210" s="1031"/>
      <c r="I10210" s="948">
        <f>D10210*F10210</f>
        <v>52</v>
      </c>
    </row>
    <row r="10211" spans="3:9" ht="15.75">
      <c r="C10211" s="951" t="s">
        <v>918</v>
      </c>
      <c r="D10211" s="946"/>
      <c r="E10211" s="947"/>
      <c r="F10211" s="1068"/>
      <c r="G10211" s="946"/>
      <c r="H10211" s="1031"/>
      <c r="I10211" s="952">
        <f>SUM(I10208:I10210)</f>
        <v>263.5</v>
      </c>
    </row>
    <row r="10212" spans="3:9" ht="15.75">
      <c r="C10212" s="949"/>
      <c r="D10212" s="946"/>
      <c r="E10212" s="947"/>
      <c r="F10212" s="1068"/>
      <c r="G10212" s="946"/>
      <c r="H10212" s="1031"/>
      <c r="I10212" s="948"/>
    </row>
    <row r="10213" spans="3:9" ht="15.75">
      <c r="C10213" s="945" t="s">
        <v>919</v>
      </c>
      <c r="D10213" s="946"/>
      <c r="E10213" s="947"/>
      <c r="F10213" s="1068"/>
      <c r="G10213" s="946"/>
      <c r="H10213" s="1031"/>
      <c r="I10213" s="948"/>
    </row>
    <row r="10214" spans="3:9" ht="15.75">
      <c r="C10214" s="949" t="s">
        <v>1078</v>
      </c>
      <c r="D10214" s="953">
        <v>1</v>
      </c>
      <c r="E10214" s="954" t="str">
        <f>+VLOOKUP(C10214,'Basic (equilibrio) (2)'!B:D,2,FALSE)</f>
        <v>m2</v>
      </c>
      <c r="F10214" s="1068">
        <f>'Basic (equilibrio) (2)'!$D$30</f>
        <v>190</v>
      </c>
      <c r="G10214" s="946">
        <v>0</v>
      </c>
      <c r="H10214" s="1031"/>
      <c r="I10214" s="948">
        <f>(D10214*F10214)</f>
        <v>190</v>
      </c>
    </row>
    <row r="10215" spans="3:9" ht="15.75">
      <c r="C10215" s="951" t="s">
        <v>918</v>
      </c>
      <c r="D10215" s="946"/>
      <c r="E10215" s="947"/>
      <c r="F10215" s="1054"/>
      <c r="G10215" s="946"/>
      <c r="H10215" s="1031"/>
      <c r="I10215" s="952">
        <f>SUM(I10214:I10214)</f>
        <v>190</v>
      </c>
    </row>
    <row r="10216" spans="3:9" ht="15.75">
      <c r="C10216" s="949"/>
      <c r="D10216" s="946"/>
      <c r="E10216" s="947"/>
      <c r="F10216" s="1054"/>
      <c r="G10216" s="946"/>
      <c r="H10216" s="1031"/>
      <c r="I10216" s="948"/>
    </row>
    <row r="10217" spans="3:9" ht="15.75">
      <c r="C10217" s="945" t="s">
        <v>923</v>
      </c>
      <c r="D10217" s="946"/>
      <c r="E10217" s="947"/>
      <c r="F10217" s="1054"/>
      <c r="G10217" s="946"/>
      <c r="H10217" s="1031"/>
      <c r="I10217" s="948"/>
    </row>
    <row r="10218" spans="3:9" ht="15.75">
      <c r="C10218" s="949" t="s">
        <v>924</v>
      </c>
      <c r="D10218" s="946"/>
      <c r="E10218" s="947" t="str">
        <f>+VLOOKUP(C10218,'Basic (equilibrio) (2)'!B:D,2,FALSE)</f>
        <v>n/a</v>
      </c>
      <c r="F10218" s="1054">
        <f>+VLOOKUP(C10218,'Basic (equilibrio) (2)'!B:D,3,FALSE)</f>
        <v>0</v>
      </c>
      <c r="G10218" s="946">
        <f>F10218-(F10218/1.18)</f>
        <v>0</v>
      </c>
      <c r="H10218" s="1039"/>
      <c r="I10218" s="955">
        <f>D10218*F10218</f>
        <v>0</v>
      </c>
    </row>
    <row r="10219" spans="3:9" ht="15.75">
      <c r="C10219" s="951" t="s">
        <v>918</v>
      </c>
      <c r="D10219" s="946"/>
      <c r="E10219" s="947"/>
      <c r="F10219" s="1054"/>
      <c r="G10219" s="946"/>
      <c r="H10219" s="1031"/>
      <c r="I10219" s="952">
        <f>SUM(I10218:I10218)</f>
        <v>0</v>
      </c>
    </row>
    <row r="10220" spans="3:9" ht="15.75">
      <c r="C10220" s="949"/>
      <c r="D10220" s="946"/>
      <c r="E10220" s="947"/>
      <c r="F10220" s="1054"/>
      <c r="G10220" s="946"/>
      <c r="H10220" s="1031"/>
      <c r="I10220" s="948"/>
    </row>
    <row r="10221" spans="3:9" ht="15.75">
      <c r="C10221" s="945" t="s">
        <v>925</v>
      </c>
      <c r="D10221" s="946"/>
      <c r="E10221" s="947"/>
      <c r="F10221" s="1054"/>
      <c r="G10221" s="946"/>
      <c r="H10221" s="1031"/>
      <c r="I10221" s="948"/>
    </row>
    <row r="10222" spans="3:9" ht="15.75">
      <c r="C10222" s="949" t="s">
        <v>924</v>
      </c>
      <c r="D10222" s="946"/>
      <c r="E10222" s="947" t="str">
        <f>+VLOOKUP(C10222,'Basic (equilibrio) (2)'!B:D,2,FALSE)</f>
        <v>n/a</v>
      </c>
      <c r="F10222" s="1054">
        <f>+VLOOKUP(C10222,'Basic (equilibrio) (2)'!B:D,3,FALSE)</f>
        <v>0</v>
      </c>
      <c r="G10222" s="946"/>
      <c r="H10222" s="1031"/>
      <c r="I10222" s="948">
        <f>D10222*F10222</f>
        <v>0</v>
      </c>
    </row>
    <row r="10223" spans="3:9" ht="15.75">
      <c r="C10223" s="951" t="s">
        <v>918</v>
      </c>
      <c r="D10223" s="946"/>
      <c r="E10223" s="947"/>
      <c r="F10223" s="1054"/>
      <c r="G10223" s="946"/>
      <c r="H10223" s="1031"/>
      <c r="I10223" s="952">
        <f>SUM(I10222)</f>
        <v>0</v>
      </c>
    </row>
    <row r="10224" spans="3:9" ht="15.75">
      <c r="C10224" s="951"/>
      <c r="D10224" s="946"/>
      <c r="E10224" s="947"/>
      <c r="F10224" s="1054"/>
      <c r="G10224" s="946"/>
      <c r="H10224" s="1031"/>
      <c r="I10224" s="952"/>
    </row>
    <row r="10225" spans="2:9" ht="15.75">
      <c r="C10225" s="956" t="s">
        <v>926</v>
      </c>
      <c r="D10225" s="957"/>
      <c r="E10225" s="958"/>
      <c r="F10225" s="1069"/>
      <c r="G10225" s="957"/>
      <c r="H10225" s="1032"/>
      <c r="I10225" s="959">
        <f>+I10211</f>
        <v>263.5</v>
      </c>
    </row>
    <row r="10226" spans="2:9" ht="15.75">
      <c r="C10226" s="956" t="s">
        <v>927</v>
      </c>
      <c r="D10226" s="957"/>
      <c r="E10226" s="958"/>
      <c r="F10226" s="1069"/>
      <c r="G10226" s="957"/>
      <c r="H10226" s="1032"/>
      <c r="I10226" s="959">
        <f>+I10215</f>
        <v>190</v>
      </c>
    </row>
    <row r="10227" spans="2:9" ht="15.75">
      <c r="C10227" s="956" t="s">
        <v>928</v>
      </c>
      <c r="D10227" s="957"/>
      <c r="E10227" s="958"/>
      <c r="F10227" s="1069"/>
      <c r="G10227" s="957"/>
      <c r="H10227" s="1032"/>
      <c r="I10227" s="959">
        <f>+I10219</f>
        <v>0</v>
      </c>
    </row>
    <row r="10228" spans="2:9" ht="15.75">
      <c r="C10228" s="956" t="s">
        <v>929</v>
      </c>
      <c r="D10228" s="957"/>
      <c r="E10228" s="958"/>
      <c r="F10228" s="1069"/>
      <c r="G10228" s="957"/>
      <c r="H10228" s="1032"/>
      <c r="I10228" s="959">
        <f>+I10223</f>
        <v>0</v>
      </c>
    </row>
    <row r="10229" spans="2:9" ht="15.75">
      <c r="C10229" s="949"/>
      <c r="D10229" s="946"/>
      <c r="E10229" s="947"/>
      <c r="F10229" s="1054"/>
      <c r="G10229" s="946"/>
      <c r="H10229" s="1031"/>
      <c r="I10229" s="948"/>
    </row>
    <row r="10230" spans="2:9" ht="15.75">
      <c r="C10230" s="951" t="s">
        <v>930</v>
      </c>
      <c r="D10230" s="960"/>
      <c r="E10230" s="943" t="str">
        <f>+E10205</f>
        <v>M2</v>
      </c>
      <c r="F10230" s="1070"/>
      <c r="G10230" s="960"/>
      <c r="H10230" s="1033"/>
      <c r="I10230" s="952">
        <f>SUM(I10225:I10228)</f>
        <v>453.5</v>
      </c>
    </row>
    <row r="10231" spans="2:9" ht="15.75">
      <c r="C10231" s="951"/>
      <c r="D10231" s="960"/>
      <c r="E10231" s="943"/>
      <c r="F10231" s="1070"/>
      <c r="G10231" s="960"/>
      <c r="H10231" s="1033"/>
      <c r="I10231" s="952"/>
    </row>
    <row r="10232" spans="2:9" ht="15.75">
      <c r="B10232" s="1026">
        <v>5.4</v>
      </c>
      <c r="C10232" s="937" t="str">
        <f>+Presupuesto!B599</f>
        <v xml:space="preserve">Pañete en viga y columna </v>
      </c>
      <c r="D10232" s="938"/>
      <c r="E10232" s="962" t="s">
        <v>20</v>
      </c>
      <c r="F10232" s="1066"/>
      <c r="G10232" s="938"/>
      <c r="H10232" s="1029"/>
      <c r="I10232" s="940">
        <f>I10258</f>
        <v>503.5</v>
      </c>
    </row>
    <row r="10233" spans="2:9" ht="15.75">
      <c r="C10233" s="941" t="s">
        <v>908</v>
      </c>
      <c r="D10233" s="942" t="s">
        <v>9</v>
      </c>
      <c r="E10233" s="943" t="s">
        <v>10</v>
      </c>
      <c r="F10233" s="1067" t="s">
        <v>909</v>
      </c>
      <c r="G10233" s="942" t="s">
        <v>910</v>
      </c>
      <c r="H10233" s="1030" t="s">
        <v>911</v>
      </c>
      <c r="I10233" s="944" t="s">
        <v>912</v>
      </c>
    </row>
    <row r="10234" spans="2:9" ht="15.75">
      <c r="C10234" s="945" t="s">
        <v>913</v>
      </c>
      <c r="D10234" s="946"/>
      <c r="E10234" s="947"/>
      <c r="F10234" s="1054"/>
      <c r="G10234" s="946"/>
      <c r="H10234" s="1031"/>
      <c r="I10234" s="948"/>
    </row>
    <row r="10235" spans="2:9" ht="15.75">
      <c r="C10235" s="949" t="s">
        <v>958</v>
      </c>
      <c r="D10235" s="946">
        <v>0.03</v>
      </c>
      <c r="E10235" s="947" t="str">
        <f>+VLOOKUP(C10235,'Basic (equilibrio) (2)'!B:D,2,FALSE)</f>
        <v>m3</v>
      </c>
      <c r="F10235" s="1068">
        <f>'Basic (equilibrio) (2)'!$D$309</f>
        <v>6820</v>
      </c>
      <c r="G10235" s="946">
        <f>F10235-(F10235/1.18)</f>
        <v>1040.3399999999999</v>
      </c>
      <c r="H10235" s="1031"/>
      <c r="I10235" s="948">
        <f>D10235*F10235</f>
        <v>204.6</v>
      </c>
    </row>
    <row r="10236" spans="2:9" ht="15.75">
      <c r="C10236" s="949" t="s">
        <v>1206</v>
      </c>
      <c r="D10236" s="946">
        <v>0.03</v>
      </c>
      <c r="E10236" s="947" t="str">
        <f>+VLOOKUP(C10236,'Basic (equilibrio) (2)'!B:D,2,FALSE)</f>
        <v>pt</v>
      </c>
      <c r="F10236" s="1068">
        <f>'Basic (equilibrio) (2)'!$D$310</f>
        <v>230</v>
      </c>
      <c r="G10236" s="946">
        <f>F10236-(F10236/1.18)</f>
        <v>35.08</v>
      </c>
      <c r="H10236" s="1031"/>
      <c r="I10236" s="948">
        <f>D10236*F10236</f>
        <v>6.9</v>
      </c>
    </row>
    <row r="10237" spans="2:9" ht="15.75">
      <c r="C10237" s="949" t="s">
        <v>1079</v>
      </c>
      <c r="D10237" s="946">
        <v>1</v>
      </c>
      <c r="E10237" s="947" t="str">
        <f>+VLOOKUP(C10237,'Basic (equilibrio) (2)'!B:D,2,FALSE)</f>
        <v>m2</v>
      </c>
      <c r="F10237" s="1068">
        <f>'Basic (equilibrio) (2)'!$D$31</f>
        <v>52</v>
      </c>
      <c r="G10237" s="946">
        <f>F10237-(F10237/1.18)</f>
        <v>7.93</v>
      </c>
      <c r="H10237" s="1031"/>
      <c r="I10237" s="948">
        <f>D10237*F10237</f>
        <v>52</v>
      </c>
    </row>
    <row r="10238" spans="2:9" ht="15.75">
      <c r="C10238" s="951" t="s">
        <v>918</v>
      </c>
      <c r="D10238" s="946"/>
      <c r="E10238" s="947"/>
      <c r="F10238" s="1068"/>
      <c r="G10238" s="946"/>
      <c r="H10238" s="1031"/>
      <c r="I10238" s="952">
        <f>SUM(I10235:I10237)</f>
        <v>263.5</v>
      </c>
    </row>
    <row r="10239" spans="2:9" ht="15.75">
      <c r="C10239" s="949"/>
      <c r="D10239" s="946"/>
      <c r="E10239" s="947"/>
      <c r="F10239" s="1068"/>
      <c r="G10239" s="946"/>
      <c r="H10239" s="1031"/>
      <c r="I10239" s="948"/>
    </row>
    <row r="10240" spans="2:9" ht="15.75">
      <c r="C10240" s="945" t="s">
        <v>919</v>
      </c>
      <c r="D10240" s="946"/>
      <c r="E10240" s="947"/>
      <c r="F10240" s="1068"/>
      <c r="G10240" s="946"/>
      <c r="H10240" s="1031"/>
      <c r="I10240" s="948"/>
    </row>
    <row r="10241" spans="3:9" ht="15.75">
      <c r="C10241" s="949" t="s">
        <v>1078</v>
      </c>
      <c r="D10241" s="953">
        <v>1</v>
      </c>
      <c r="E10241" s="954" t="str">
        <f>+VLOOKUP(C10241,'Basic (equilibrio) (2)'!B:D,2,FALSE)</f>
        <v>m2</v>
      </c>
      <c r="F10241" s="1068">
        <f>'Basic (equilibrio) (2)'!$D$30</f>
        <v>190</v>
      </c>
      <c r="G10241" s="946">
        <v>0</v>
      </c>
      <c r="H10241" s="1031"/>
      <c r="I10241" s="948">
        <f>(D10241*F10241)</f>
        <v>190</v>
      </c>
    </row>
    <row r="10242" spans="3:9" ht="15.75">
      <c r="C10242" s="949" t="s">
        <v>1555</v>
      </c>
      <c r="D10242" s="953">
        <v>1</v>
      </c>
      <c r="E10242" s="954" t="str">
        <f>+VLOOKUP(C10242,'Basic (equilibrio) (2)'!B:D,2,FALSE)</f>
        <v>m2</v>
      </c>
      <c r="F10242" s="1068">
        <f>'Basic (equilibrio) (2)'!$D$54</f>
        <v>50</v>
      </c>
      <c r="G10242" s="946">
        <v>0</v>
      </c>
      <c r="H10242" s="1031"/>
      <c r="I10242" s="948">
        <f>(D10242*F10242)</f>
        <v>50</v>
      </c>
    </row>
    <row r="10243" spans="3:9" ht="15.75">
      <c r="C10243" s="951" t="s">
        <v>918</v>
      </c>
      <c r="D10243" s="946"/>
      <c r="E10243" s="947"/>
      <c r="F10243" s="1054"/>
      <c r="G10243" s="946"/>
      <c r="H10243" s="1031"/>
      <c r="I10243" s="952">
        <f>SUM(I10241:I10242)</f>
        <v>240</v>
      </c>
    </row>
    <row r="10244" spans="3:9" ht="15.75">
      <c r="C10244" s="949"/>
      <c r="D10244" s="946"/>
      <c r="E10244" s="947"/>
      <c r="F10244" s="1054"/>
      <c r="G10244" s="946"/>
      <c r="H10244" s="1031"/>
      <c r="I10244" s="948"/>
    </row>
    <row r="10245" spans="3:9" ht="15.75">
      <c r="C10245" s="945" t="s">
        <v>923</v>
      </c>
      <c r="D10245" s="946"/>
      <c r="E10245" s="947"/>
      <c r="F10245" s="1054"/>
      <c r="G10245" s="946"/>
      <c r="H10245" s="1031"/>
      <c r="I10245" s="948"/>
    </row>
    <row r="10246" spans="3:9" ht="15.75">
      <c r="C10246" s="949" t="s">
        <v>924</v>
      </c>
      <c r="D10246" s="946"/>
      <c r="E10246" s="947" t="str">
        <f>+VLOOKUP(C10246,'Basic (equilibrio) (2)'!B:D,2,FALSE)</f>
        <v>n/a</v>
      </c>
      <c r="F10246" s="1054">
        <f>+VLOOKUP(C10246,'Basic (equilibrio) (2)'!B:D,3,FALSE)</f>
        <v>0</v>
      </c>
      <c r="G10246" s="946">
        <f>F10246-(F10246/1.18)</f>
        <v>0</v>
      </c>
      <c r="H10246" s="1039"/>
      <c r="I10246" s="955">
        <f>D10246*F10246</f>
        <v>0</v>
      </c>
    </row>
    <row r="10247" spans="3:9" ht="15.75">
      <c r="C10247" s="951" t="s">
        <v>918</v>
      </c>
      <c r="D10247" s="946"/>
      <c r="E10247" s="947"/>
      <c r="F10247" s="1054"/>
      <c r="G10247" s="946"/>
      <c r="H10247" s="1031"/>
      <c r="I10247" s="952">
        <f>SUM(I10246:I10246)</f>
        <v>0</v>
      </c>
    </row>
    <row r="10248" spans="3:9" ht="15.75">
      <c r="C10248" s="949"/>
      <c r="D10248" s="946"/>
      <c r="E10248" s="947"/>
      <c r="F10248" s="1054"/>
      <c r="G10248" s="946"/>
      <c r="H10248" s="1031"/>
      <c r="I10248" s="948"/>
    </row>
    <row r="10249" spans="3:9" ht="15.75">
      <c r="C10249" s="945" t="s">
        <v>925</v>
      </c>
      <c r="D10249" s="946"/>
      <c r="E10249" s="947"/>
      <c r="F10249" s="1054"/>
      <c r="G10249" s="946"/>
      <c r="H10249" s="1031"/>
      <c r="I10249" s="948"/>
    </row>
    <row r="10250" spans="3:9" ht="15.75">
      <c r="C10250" s="949" t="s">
        <v>924</v>
      </c>
      <c r="D10250" s="946"/>
      <c r="E10250" s="947" t="str">
        <f>+VLOOKUP(C10250,'Basic (equilibrio) (2)'!B:D,2,FALSE)</f>
        <v>n/a</v>
      </c>
      <c r="F10250" s="1054">
        <f>+VLOOKUP(C10250,'Basic (equilibrio) (2)'!B:D,3,FALSE)</f>
        <v>0</v>
      </c>
      <c r="G10250" s="946"/>
      <c r="H10250" s="1031"/>
      <c r="I10250" s="948">
        <f>D10250*F10250</f>
        <v>0</v>
      </c>
    </row>
    <row r="10251" spans="3:9" ht="15.75">
      <c r="C10251" s="951" t="s">
        <v>918</v>
      </c>
      <c r="D10251" s="946"/>
      <c r="E10251" s="947"/>
      <c r="F10251" s="1054"/>
      <c r="G10251" s="946"/>
      <c r="H10251" s="1031"/>
      <c r="I10251" s="952">
        <f>SUM(I10250)</f>
        <v>0</v>
      </c>
    </row>
    <row r="10252" spans="3:9" ht="15.75">
      <c r="C10252" s="951"/>
      <c r="D10252" s="946"/>
      <c r="E10252" s="947"/>
      <c r="F10252" s="1054"/>
      <c r="G10252" s="946"/>
      <c r="H10252" s="1031"/>
      <c r="I10252" s="952"/>
    </row>
    <row r="10253" spans="3:9" ht="15.75">
      <c r="C10253" s="956" t="s">
        <v>926</v>
      </c>
      <c r="D10253" s="957"/>
      <c r="E10253" s="958"/>
      <c r="F10253" s="1069"/>
      <c r="G10253" s="957"/>
      <c r="H10253" s="1032"/>
      <c r="I10253" s="959">
        <f>+I10238</f>
        <v>263.5</v>
      </c>
    </row>
    <row r="10254" spans="3:9" ht="15.75">
      <c r="C10254" s="956" t="s">
        <v>927</v>
      </c>
      <c r="D10254" s="957"/>
      <c r="E10254" s="958"/>
      <c r="F10254" s="1069"/>
      <c r="G10254" s="957"/>
      <c r="H10254" s="1032"/>
      <c r="I10254" s="959">
        <f>+I10243</f>
        <v>240</v>
      </c>
    </row>
    <row r="10255" spans="3:9" ht="15.75">
      <c r="C10255" s="956" t="s">
        <v>928</v>
      </c>
      <c r="D10255" s="957"/>
      <c r="E10255" s="958"/>
      <c r="F10255" s="1069"/>
      <c r="G10255" s="957"/>
      <c r="H10255" s="1032"/>
      <c r="I10255" s="959">
        <f>+I10247</f>
        <v>0</v>
      </c>
    </row>
    <row r="10256" spans="3:9" ht="15.75">
      <c r="C10256" s="956" t="s">
        <v>929</v>
      </c>
      <c r="D10256" s="957"/>
      <c r="E10256" s="958"/>
      <c r="F10256" s="1069"/>
      <c r="G10256" s="957"/>
      <c r="H10256" s="1032"/>
      <c r="I10256" s="959">
        <f>+I10251</f>
        <v>0</v>
      </c>
    </row>
    <row r="10257" spans="2:9" ht="15.75">
      <c r="C10257" s="949"/>
      <c r="D10257" s="946"/>
      <c r="E10257" s="947"/>
      <c r="F10257" s="1054"/>
      <c r="G10257" s="946"/>
      <c r="H10257" s="1031"/>
      <c r="I10257" s="948"/>
    </row>
    <row r="10258" spans="2:9" ht="15.75">
      <c r="C10258" s="951" t="s">
        <v>930</v>
      </c>
      <c r="D10258" s="960"/>
      <c r="E10258" s="943" t="str">
        <f>+E10232</f>
        <v>M2</v>
      </c>
      <c r="F10258" s="1070"/>
      <c r="G10258" s="960"/>
      <c r="H10258" s="1033"/>
      <c r="I10258" s="952">
        <f>SUM(I10253:I10256)</f>
        <v>503.5</v>
      </c>
    </row>
    <row r="10259" spans="2:9" ht="15.75">
      <c r="C10259" s="951"/>
      <c r="D10259" s="960"/>
      <c r="E10259" s="943"/>
      <c r="F10259" s="1070"/>
      <c r="G10259" s="960"/>
      <c r="H10259" s="1033"/>
      <c r="I10259" s="952"/>
    </row>
    <row r="10260" spans="2:9" ht="15.75">
      <c r="B10260" s="1026">
        <v>6.1</v>
      </c>
      <c r="C10260" s="937" t="str">
        <f>+Presupuesto!B602</f>
        <v>Columna metálica W8x31</v>
      </c>
      <c r="D10260" s="938"/>
      <c r="E10260" s="962" t="s">
        <v>1190</v>
      </c>
      <c r="F10260" s="1066"/>
      <c r="G10260" s="938"/>
      <c r="H10260" s="1029"/>
      <c r="I10260" s="940">
        <f>+I10283</f>
        <v>91.8</v>
      </c>
    </row>
    <row r="10261" spans="2:9" ht="15.75">
      <c r="C10261" s="941" t="s">
        <v>908</v>
      </c>
      <c r="D10261" s="942" t="s">
        <v>9</v>
      </c>
      <c r="E10261" s="943" t="s">
        <v>10</v>
      </c>
      <c r="F10261" s="1067" t="s">
        <v>909</v>
      </c>
      <c r="G10261" s="942" t="s">
        <v>910</v>
      </c>
      <c r="H10261" s="1030" t="s">
        <v>911</v>
      </c>
      <c r="I10261" s="944" t="s">
        <v>912</v>
      </c>
    </row>
    <row r="10262" spans="2:9" ht="15.75">
      <c r="C10262" s="945" t="s">
        <v>913</v>
      </c>
      <c r="D10262" s="946"/>
      <c r="E10262" s="947"/>
      <c r="F10262" s="1054"/>
      <c r="G10262" s="946"/>
      <c r="H10262" s="1031"/>
      <c r="I10262" s="948"/>
    </row>
    <row r="10263" spans="2:9" ht="15.75">
      <c r="C10263" s="949" t="s">
        <v>759</v>
      </c>
      <c r="D10263" s="946">
        <v>1.02</v>
      </c>
      <c r="E10263" s="947" t="str">
        <f>+VLOOKUP(C10263,'Basic (equilibrio) (2)'!B:D,2,FALSE)</f>
        <v>Lb</v>
      </c>
      <c r="F10263" s="1068">
        <f>'Basic (equilibrio) (2)'!$D$460</f>
        <v>90</v>
      </c>
      <c r="G10263" s="946">
        <f>F10263-(F10263/1.18)</f>
        <v>13.73</v>
      </c>
      <c r="H10263" s="1031"/>
      <c r="I10263" s="948">
        <f>D10263*F10263</f>
        <v>91.8</v>
      </c>
    </row>
    <row r="10264" spans="2:9" ht="15.75">
      <c r="C10264" s="951" t="s">
        <v>918</v>
      </c>
      <c r="D10264" s="946"/>
      <c r="E10264" s="947"/>
      <c r="F10264" s="1068"/>
      <c r="G10264" s="946"/>
      <c r="H10264" s="1031"/>
      <c r="I10264" s="952">
        <f>SUM(I10263:I10263)</f>
        <v>91.8</v>
      </c>
    </row>
    <row r="10265" spans="2:9" ht="15.75">
      <c r="C10265" s="949"/>
      <c r="D10265" s="946"/>
      <c r="E10265" s="947"/>
      <c r="F10265" s="1068"/>
      <c r="G10265" s="946"/>
      <c r="H10265" s="1031"/>
      <c r="I10265" s="948"/>
    </row>
    <row r="10266" spans="2:9" ht="15.75">
      <c r="C10266" s="945" t="s">
        <v>919</v>
      </c>
      <c r="D10266" s="946"/>
      <c r="E10266" s="947"/>
      <c r="F10266" s="1068"/>
      <c r="G10266" s="946"/>
      <c r="H10266" s="1031"/>
      <c r="I10266" s="948"/>
    </row>
    <row r="10267" spans="2:9" ht="15.75">
      <c r="C10267" s="949" t="s">
        <v>924</v>
      </c>
      <c r="D10267" s="953"/>
      <c r="E10267" s="954" t="str">
        <f>+VLOOKUP(C10267,'Basic (equilibrio) (2)'!B:D,2,FALSE)</f>
        <v>n/a</v>
      </c>
      <c r="F10267" s="1068">
        <f>+VLOOKUP(C10267,'Basic (equilibrio) (2)'!B:D,3,FALSE)</f>
        <v>0</v>
      </c>
      <c r="G10267" s="946">
        <v>0</v>
      </c>
      <c r="H10267" s="1031"/>
      <c r="I10267" s="948">
        <f>(D10267*F10267)</f>
        <v>0</v>
      </c>
    </row>
    <row r="10268" spans="2:9" ht="15.75">
      <c r="C10268" s="951" t="s">
        <v>918</v>
      </c>
      <c r="D10268" s="946"/>
      <c r="E10268" s="947"/>
      <c r="F10268" s="1054"/>
      <c r="G10268" s="946"/>
      <c r="H10268" s="1031"/>
      <c r="I10268" s="952">
        <f>SUM(I10267:I10267)</f>
        <v>0</v>
      </c>
    </row>
    <row r="10269" spans="2:9" ht="15.75">
      <c r="C10269" s="949"/>
      <c r="D10269" s="946"/>
      <c r="E10269" s="947"/>
      <c r="F10269" s="1054"/>
      <c r="G10269" s="946"/>
      <c r="H10269" s="1031"/>
      <c r="I10269" s="948"/>
    </row>
    <row r="10270" spans="2:9" ht="15.75">
      <c r="C10270" s="945" t="s">
        <v>923</v>
      </c>
      <c r="D10270" s="946"/>
      <c r="E10270" s="947"/>
      <c r="F10270" s="1054"/>
      <c r="G10270" s="946"/>
      <c r="H10270" s="1031"/>
      <c r="I10270" s="948"/>
    </row>
    <row r="10271" spans="2:9" ht="15.75">
      <c r="C10271" s="949" t="s">
        <v>924</v>
      </c>
      <c r="D10271" s="946"/>
      <c r="E10271" s="947" t="str">
        <f>+VLOOKUP(C10271,'Basic (equilibrio) (2)'!B:D,2,FALSE)</f>
        <v>n/a</v>
      </c>
      <c r="F10271" s="1054">
        <f>+VLOOKUP(C10271,'Basic (equilibrio) (2)'!B:D,3,FALSE)</f>
        <v>0</v>
      </c>
      <c r="G10271" s="946">
        <f>F10271-(F10271/1.18)</f>
        <v>0</v>
      </c>
      <c r="H10271" s="1039"/>
      <c r="I10271" s="955">
        <f>D10271*F10271</f>
        <v>0</v>
      </c>
    </row>
    <row r="10272" spans="2:9" ht="15.75">
      <c r="C10272" s="951" t="s">
        <v>918</v>
      </c>
      <c r="D10272" s="946"/>
      <c r="E10272" s="947"/>
      <c r="F10272" s="1054"/>
      <c r="G10272" s="946"/>
      <c r="H10272" s="1031"/>
      <c r="I10272" s="952">
        <f>SUM(I10271:I10271)</f>
        <v>0</v>
      </c>
    </row>
    <row r="10273" spans="2:9" ht="15.75">
      <c r="C10273" s="949"/>
      <c r="D10273" s="946"/>
      <c r="E10273" s="947"/>
      <c r="F10273" s="1054"/>
      <c r="G10273" s="946"/>
      <c r="H10273" s="1031"/>
      <c r="I10273" s="948"/>
    </row>
    <row r="10274" spans="2:9" ht="15.75">
      <c r="C10274" s="945" t="s">
        <v>925</v>
      </c>
      <c r="D10274" s="946"/>
      <c r="E10274" s="947"/>
      <c r="F10274" s="1054"/>
      <c r="G10274" s="946"/>
      <c r="H10274" s="1031"/>
      <c r="I10274" s="948"/>
    </row>
    <row r="10275" spans="2:9" ht="15.75">
      <c r="C10275" s="949" t="s">
        <v>924</v>
      </c>
      <c r="D10275" s="946"/>
      <c r="E10275" s="947" t="str">
        <f>+VLOOKUP(C10275,'Basic (equilibrio) (2)'!B:D,2,FALSE)</f>
        <v>n/a</v>
      </c>
      <c r="F10275" s="1054">
        <f>+VLOOKUP(C10275,'Basic (equilibrio) (2)'!B:D,3,FALSE)</f>
        <v>0</v>
      </c>
      <c r="G10275" s="946"/>
      <c r="H10275" s="1031"/>
      <c r="I10275" s="948">
        <f>D10275*F10275</f>
        <v>0</v>
      </c>
    </row>
    <row r="10276" spans="2:9" ht="15.75">
      <c r="C10276" s="951" t="s">
        <v>918</v>
      </c>
      <c r="D10276" s="946"/>
      <c r="E10276" s="947"/>
      <c r="F10276" s="1054"/>
      <c r="G10276" s="946"/>
      <c r="H10276" s="1031"/>
      <c r="I10276" s="952">
        <f>SUM(I10275)</f>
        <v>0</v>
      </c>
    </row>
    <row r="10277" spans="2:9" ht="15.75">
      <c r="C10277" s="951"/>
      <c r="D10277" s="946"/>
      <c r="E10277" s="947"/>
      <c r="F10277" s="1054"/>
      <c r="G10277" s="946"/>
      <c r="H10277" s="1031"/>
      <c r="I10277" s="952"/>
    </row>
    <row r="10278" spans="2:9" ht="15.75">
      <c r="C10278" s="956" t="s">
        <v>926</v>
      </c>
      <c r="D10278" s="957"/>
      <c r="E10278" s="958"/>
      <c r="F10278" s="1069"/>
      <c r="G10278" s="957"/>
      <c r="H10278" s="1032"/>
      <c r="I10278" s="959">
        <f>+I10264</f>
        <v>91.8</v>
      </c>
    </row>
    <row r="10279" spans="2:9" ht="15.75">
      <c r="C10279" s="956" t="s">
        <v>927</v>
      </c>
      <c r="D10279" s="957"/>
      <c r="E10279" s="958"/>
      <c r="F10279" s="1069"/>
      <c r="G10279" s="957"/>
      <c r="H10279" s="1032"/>
      <c r="I10279" s="959">
        <f>+I10268</f>
        <v>0</v>
      </c>
    </row>
    <row r="10280" spans="2:9" ht="15.75">
      <c r="C10280" s="956" t="s">
        <v>928</v>
      </c>
      <c r="D10280" s="957"/>
      <c r="E10280" s="958"/>
      <c r="F10280" s="1069"/>
      <c r="G10280" s="957"/>
      <c r="H10280" s="1032"/>
      <c r="I10280" s="959">
        <f>+I10272</f>
        <v>0</v>
      </c>
    </row>
    <row r="10281" spans="2:9" ht="15.75">
      <c r="C10281" s="956" t="s">
        <v>929</v>
      </c>
      <c r="D10281" s="957"/>
      <c r="E10281" s="958"/>
      <c r="F10281" s="1069"/>
      <c r="G10281" s="957"/>
      <c r="H10281" s="1032"/>
      <c r="I10281" s="959">
        <f>+I10276</f>
        <v>0</v>
      </c>
    </row>
    <row r="10282" spans="2:9" ht="15.75">
      <c r="C10282" s="949"/>
      <c r="D10282" s="946"/>
      <c r="E10282" s="947"/>
      <c r="F10282" s="1054"/>
      <c r="G10282" s="946"/>
      <c r="H10282" s="1031"/>
      <c r="I10282" s="948"/>
    </row>
    <row r="10283" spans="2:9" ht="15.75">
      <c r="C10283" s="951" t="s">
        <v>930</v>
      </c>
      <c r="D10283" s="960"/>
      <c r="E10283" s="975" t="str">
        <f>+E10260</f>
        <v>lb</v>
      </c>
      <c r="F10283" s="1070"/>
      <c r="G10283" s="960"/>
      <c r="H10283" s="1033"/>
      <c r="I10283" s="952">
        <f>SUM(I10278:I10281)</f>
        <v>91.8</v>
      </c>
    </row>
    <row r="10284" spans="2:9" ht="15.75">
      <c r="C10284" s="951"/>
      <c r="D10284" s="960"/>
      <c r="E10284" s="943"/>
      <c r="F10284" s="1070"/>
      <c r="G10284" s="960"/>
      <c r="H10284" s="1033"/>
      <c r="I10284" s="952"/>
    </row>
    <row r="10285" spans="2:9" ht="15.75">
      <c r="B10285" s="1026">
        <v>6.2</v>
      </c>
      <c r="C10285" s="937" t="str">
        <f>+Presupuesto!B603</f>
        <v>Viga metálica W10x26</v>
      </c>
      <c r="D10285" s="938"/>
      <c r="E10285" s="962" t="s">
        <v>1190</v>
      </c>
      <c r="F10285" s="1066"/>
      <c r="G10285" s="938"/>
      <c r="H10285" s="1029"/>
      <c r="I10285" s="940">
        <f>+I10308</f>
        <v>36.72</v>
      </c>
    </row>
    <row r="10286" spans="2:9" ht="15.75">
      <c r="C10286" s="941" t="s">
        <v>908</v>
      </c>
      <c r="D10286" s="942" t="s">
        <v>9</v>
      </c>
      <c r="E10286" s="943" t="s">
        <v>10</v>
      </c>
      <c r="F10286" s="1067" t="s">
        <v>909</v>
      </c>
      <c r="G10286" s="942" t="s">
        <v>910</v>
      </c>
      <c r="H10286" s="1030" t="s">
        <v>911</v>
      </c>
      <c r="I10286" s="944" t="s">
        <v>912</v>
      </c>
    </row>
    <row r="10287" spans="2:9" ht="15.75">
      <c r="C10287" s="945" t="s">
        <v>913</v>
      </c>
      <c r="D10287" s="946"/>
      <c r="E10287" s="947"/>
      <c r="F10287" s="1054"/>
      <c r="G10287" s="946"/>
      <c r="H10287" s="1031"/>
      <c r="I10287" s="948"/>
    </row>
    <row r="10288" spans="2:9" ht="15.75">
      <c r="C10288" s="949" t="s">
        <v>764</v>
      </c>
      <c r="D10288" s="946">
        <v>1.02</v>
      </c>
      <c r="E10288" s="947" t="str">
        <f>+VLOOKUP(C10288,'Basic (equilibrio) (2)'!B:D,2,FALSE)</f>
        <v>Lb</v>
      </c>
      <c r="F10288" s="1068">
        <f>'Basic (equilibrio) (2)'!$D$464</f>
        <v>36</v>
      </c>
      <c r="G10288" s="946">
        <f>F10288-(F10288/1.18)</f>
        <v>5.49</v>
      </c>
      <c r="H10288" s="1031"/>
      <c r="I10288" s="948">
        <f>D10288*F10288</f>
        <v>36.72</v>
      </c>
    </row>
    <row r="10289" spans="3:9" ht="15.75">
      <c r="C10289" s="951" t="s">
        <v>918</v>
      </c>
      <c r="D10289" s="946"/>
      <c r="E10289" s="947"/>
      <c r="F10289" s="1068"/>
      <c r="G10289" s="946"/>
      <c r="H10289" s="1031"/>
      <c r="I10289" s="952">
        <f>SUM(I10288:I10288)</f>
        <v>36.72</v>
      </c>
    </row>
    <row r="10290" spans="3:9" ht="15.75">
      <c r="C10290" s="949"/>
      <c r="D10290" s="946"/>
      <c r="E10290" s="947"/>
      <c r="F10290" s="1068"/>
      <c r="G10290" s="946"/>
      <c r="H10290" s="1031"/>
      <c r="I10290" s="948"/>
    </row>
    <row r="10291" spans="3:9" ht="15.75">
      <c r="C10291" s="945" t="s">
        <v>919</v>
      </c>
      <c r="D10291" s="946"/>
      <c r="E10291" s="947"/>
      <c r="F10291" s="1068"/>
      <c r="G10291" s="946"/>
      <c r="H10291" s="1031"/>
      <c r="I10291" s="948"/>
    </row>
    <row r="10292" spans="3:9" ht="15.75">
      <c r="C10292" s="949" t="s">
        <v>924</v>
      </c>
      <c r="D10292" s="953"/>
      <c r="E10292" s="954" t="str">
        <f>+VLOOKUP(C10292,'Basic (equilibrio) (2)'!B:D,2,FALSE)</f>
        <v>n/a</v>
      </c>
      <c r="F10292" s="1068">
        <f>+VLOOKUP(C10292,'Basic (equilibrio) (2)'!B:D,3,FALSE)</f>
        <v>0</v>
      </c>
      <c r="G10292" s="946">
        <v>0</v>
      </c>
      <c r="H10292" s="1031"/>
      <c r="I10292" s="948">
        <f>(D10292*F10292)</f>
        <v>0</v>
      </c>
    </row>
    <row r="10293" spans="3:9" ht="15.75">
      <c r="C10293" s="951" t="s">
        <v>918</v>
      </c>
      <c r="D10293" s="946"/>
      <c r="E10293" s="947"/>
      <c r="F10293" s="1054"/>
      <c r="G10293" s="946"/>
      <c r="H10293" s="1031"/>
      <c r="I10293" s="952">
        <f>SUM(I10292:I10292)</f>
        <v>0</v>
      </c>
    </row>
    <row r="10294" spans="3:9" ht="15.75">
      <c r="C10294" s="949"/>
      <c r="D10294" s="946"/>
      <c r="E10294" s="947"/>
      <c r="F10294" s="1054"/>
      <c r="G10294" s="946"/>
      <c r="H10294" s="1031"/>
      <c r="I10294" s="948"/>
    </row>
    <row r="10295" spans="3:9" ht="15.75">
      <c r="C10295" s="945" t="s">
        <v>923</v>
      </c>
      <c r="D10295" s="946"/>
      <c r="E10295" s="947"/>
      <c r="F10295" s="1054"/>
      <c r="G10295" s="946"/>
      <c r="H10295" s="1031"/>
      <c r="I10295" s="948"/>
    </row>
    <row r="10296" spans="3:9" ht="15.75">
      <c r="C10296" s="949" t="s">
        <v>924</v>
      </c>
      <c r="D10296" s="946"/>
      <c r="E10296" s="947" t="str">
        <f>+VLOOKUP(C10296,'Basic (equilibrio) (2)'!B:D,2,FALSE)</f>
        <v>n/a</v>
      </c>
      <c r="F10296" s="1054">
        <f>+VLOOKUP(C10296,'Basic (equilibrio) (2)'!B:D,3,FALSE)</f>
        <v>0</v>
      </c>
      <c r="G10296" s="946">
        <f>F10296-(F10296/1.18)</f>
        <v>0</v>
      </c>
      <c r="H10296" s="1039"/>
      <c r="I10296" s="955">
        <f>D10296*F10296</f>
        <v>0</v>
      </c>
    </row>
    <row r="10297" spans="3:9" ht="15.75">
      <c r="C10297" s="951" t="s">
        <v>918</v>
      </c>
      <c r="D10297" s="946"/>
      <c r="E10297" s="947"/>
      <c r="F10297" s="1054"/>
      <c r="G10297" s="946"/>
      <c r="H10297" s="1031"/>
      <c r="I10297" s="952">
        <f>SUM(I10296:I10296)</f>
        <v>0</v>
      </c>
    </row>
    <row r="10298" spans="3:9" ht="15.75">
      <c r="C10298" s="949"/>
      <c r="D10298" s="946"/>
      <c r="E10298" s="947"/>
      <c r="F10298" s="1054"/>
      <c r="G10298" s="946"/>
      <c r="H10298" s="1031"/>
      <c r="I10298" s="948"/>
    </row>
    <row r="10299" spans="3:9" ht="15.75">
      <c r="C10299" s="945" t="s">
        <v>925</v>
      </c>
      <c r="D10299" s="946"/>
      <c r="E10299" s="947"/>
      <c r="F10299" s="1054"/>
      <c r="G10299" s="946"/>
      <c r="H10299" s="1031"/>
      <c r="I10299" s="948"/>
    </row>
    <row r="10300" spans="3:9" ht="15.75">
      <c r="C10300" s="949" t="s">
        <v>924</v>
      </c>
      <c r="D10300" s="946"/>
      <c r="E10300" s="947" t="str">
        <f>+VLOOKUP(C10300,'Basic (equilibrio) (2)'!B:D,2,FALSE)</f>
        <v>n/a</v>
      </c>
      <c r="F10300" s="1054">
        <f>+VLOOKUP(C10300,'Basic (equilibrio) (2)'!B:D,3,FALSE)</f>
        <v>0</v>
      </c>
      <c r="G10300" s="946"/>
      <c r="H10300" s="1031"/>
      <c r="I10300" s="948">
        <f>D10300*F10300</f>
        <v>0</v>
      </c>
    </row>
    <row r="10301" spans="3:9" ht="15.75">
      <c r="C10301" s="951" t="s">
        <v>918</v>
      </c>
      <c r="D10301" s="946"/>
      <c r="E10301" s="947"/>
      <c r="F10301" s="1054"/>
      <c r="G10301" s="946"/>
      <c r="H10301" s="1031"/>
      <c r="I10301" s="952">
        <f>SUM(I10300)</f>
        <v>0</v>
      </c>
    </row>
    <row r="10302" spans="3:9" ht="15.75">
      <c r="C10302" s="951"/>
      <c r="D10302" s="946"/>
      <c r="E10302" s="947"/>
      <c r="F10302" s="1054"/>
      <c r="G10302" s="946"/>
      <c r="H10302" s="1031"/>
      <c r="I10302" s="952"/>
    </row>
    <row r="10303" spans="3:9" ht="15.75">
      <c r="C10303" s="956" t="s">
        <v>926</v>
      </c>
      <c r="D10303" s="957"/>
      <c r="E10303" s="958"/>
      <c r="F10303" s="1069"/>
      <c r="G10303" s="957"/>
      <c r="H10303" s="1032"/>
      <c r="I10303" s="959">
        <f>+I10289</f>
        <v>36.72</v>
      </c>
    </row>
    <row r="10304" spans="3:9" ht="15.75">
      <c r="C10304" s="956" t="s">
        <v>927</v>
      </c>
      <c r="D10304" s="957"/>
      <c r="E10304" s="958"/>
      <c r="F10304" s="1069"/>
      <c r="G10304" s="957"/>
      <c r="H10304" s="1032"/>
      <c r="I10304" s="959">
        <f>+I10293</f>
        <v>0</v>
      </c>
    </row>
    <row r="10305" spans="2:9" ht="15.75">
      <c r="C10305" s="956" t="s">
        <v>928</v>
      </c>
      <c r="D10305" s="957"/>
      <c r="E10305" s="958"/>
      <c r="F10305" s="1069"/>
      <c r="G10305" s="957"/>
      <c r="H10305" s="1032"/>
      <c r="I10305" s="959">
        <f>+I10297</f>
        <v>0</v>
      </c>
    </row>
    <row r="10306" spans="2:9" ht="15.75">
      <c r="C10306" s="956" t="s">
        <v>929</v>
      </c>
      <c r="D10306" s="957"/>
      <c r="E10306" s="958"/>
      <c r="F10306" s="1069"/>
      <c r="G10306" s="957"/>
      <c r="H10306" s="1032"/>
      <c r="I10306" s="959">
        <f>+I10301</f>
        <v>0</v>
      </c>
    </row>
    <row r="10307" spans="2:9" ht="15.75">
      <c r="C10307" s="949"/>
      <c r="D10307" s="946"/>
      <c r="E10307" s="947"/>
      <c r="F10307" s="1054"/>
      <c r="G10307" s="946"/>
      <c r="H10307" s="1031"/>
      <c r="I10307" s="948"/>
    </row>
    <row r="10308" spans="2:9" ht="15.75">
      <c r="C10308" s="951" t="s">
        <v>930</v>
      </c>
      <c r="D10308" s="960"/>
      <c r="E10308" s="975" t="str">
        <f>+E10285</f>
        <v>lb</v>
      </c>
      <c r="F10308" s="1070"/>
      <c r="G10308" s="960"/>
      <c r="H10308" s="1033"/>
      <c r="I10308" s="952">
        <f>SUM(I10303:I10306)</f>
        <v>36.72</v>
      </c>
    </row>
    <row r="10309" spans="2:9" ht="15.75">
      <c r="C10309" s="951"/>
      <c r="D10309" s="960"/>
      <c r="E10309" s="943"/>
      <c r="F10309" s="1070"/>
      <c r="G10309" s="960"/>
      <c r="H10309" s="1033"/>
      <c r="I10309" s="952"/>
    </row>
    <row r="10310" spans="2:9" ht="31.5">
      <c r="B10310" s="1026">
        <v>6.3</v>
      </c>
      <c r="C10310" s="937" t="str">
        <f>+Presupuesto!B604</f>
        <v>Cubierta con plancha de Aluzinc Cal. 26 + Correas en perfiles C8 x 1/16 en H.G. + tillas tensoras en barras HN 1/2"</v>
      </c>
      <c r="D10310" s="938"/>
      <c r="E10310" s="962" t="s">
        <v>1190</v>
      </c>
      <c r="F10310" s="1066"/>
      <c r="G10310" s="938"/>
      <c r="H10310" s="1029"/>
      <c r="I10310" s="940">
        <f>+I10333</f>
        <v>1016.53</v>
      </c>
    </row>
    <row r="10311" spans="2:9" ht="15.75">
      <c r="C10311" s="941" t="s">
        <v>908</v>
      </c>
      <c r="D10311" s="942" t="s">
        <v>9</v>
      </c>
      <c r="E10311" s="943" t="s">
        <v>10</v>
      </c>
      <c r="F10311" s="1067" t="s">
        <v>909</v>
      </c>
      <c r="G10311" s="942" t="s">
        <v>910</v>
      </c>
      <c r="H10311" s="1030" t="s">
        <v>911</v>
      </c>
      <c r="I10311" s="944" t="s">
        <v>912</v>
      </c>
    </row>
    <row r="10312" spans="2:9" ht="15.75">
      <c r="C10312" s="945" t="s">
        <v>913</v>
      </c>
      <c r="D10312" s="946"/>
      <c r="E10312" s="947"/>
      <c r="F10312" s="1054"/>
      <c r="G10312" s="946"/>
      <c r="H10312" s="1031"/>
      <c r="I10312" s="948"/>
    </row>
    <row r="10313" spans="2:9" ht="31.5">
      <c r="C10313" s="949" t="str">
        <f>+'Basic (equilibrio) (2)'!B462</f>
        <v>S/c Cubierta con plancha de Aluzinc Cal. 26 + Correas en perfiles C8 x 1/16 en H.G. + tillas tensoras en barras HN 1/2"</v>
      </c>
      <c r="D10313" s="946">
        <v>1.02</v>
      </c>
      <c r="E10313" s="947" t="str">
        <f>+VLOOKUP(C10313,'Basic (equilibrio) (2)'!B:D,2,FALSE)</f>
        <v>M²</v>
      </c>
      <c r="F10313" s="1068">
        <f>'Basic (equilibrio) (2)'!$D$462</f>
        <v>996.6</v>
      </c>
      <c r="G10313" s="946">
        <f>F10313-(F10313/1.18)</f>
        <v>152.02000000000001</v>
      </c>
      <c r="H10313" s="1031"/>
      <c r="I10313" s="948">
        <f>D10313*F10313</f>
        <v>1016.53</v>
      </c>
    </row>
    <row r="10314" spans="2:9" ht="15.75">
      <c r="C10314" s="951" t="s">
        <v>918</v>
      </c>
      <c r="D10314" s="946"/>
      <c r="E10314" s="947"/>
      <c r="F10314" s="1068"/>
      <c r="G10314" s="946"/>
      <c r="H10314" s="1031"/>
      <c r="I10314" s="952">
        <f>SUM(I10313:I10313)</f>
        <v>1016.53</v>
      </c>
    </row>
    <row r="10315" spans="2:9" ht="15.75">
      <c r="C10315" s="949"/>
      <c r="D10315" s="946"/>
      <c r="E10315" s="947"/>
      <c r="F10315" s="1068"/>
      <c r="G10315" s="946"/>
      <c r="H10315" s="1031"/>
      <c r="I10315" s="948"/>
    </row>
    <row r="10316" spans="2:9" ht="15.75">
      <c r="C10316" s="945" t="s">
        <v>919</v>
      </c>
      <c r="D10316" s="946"/>
      <c r="E10316" s="947"/>
      <c r="F10316" s="1068"/>
      <c r="G10316" s="946"/>
      <c r="H10316" s="1031"/>
      <c r="I10316" s="948"/>
    </row>
    <row r="10317" spans="2:9" ht="15.75">
      <c r="C10317" s="949" t="s">
        <v>924</v>
      </c>
      <c r="D10317" s="953"/>
      <c r="E10317" s="954" t="str">
        <f>+VLOOKUP(C10317,'Basic (equilibrio) (2)'!B:D,2,FALSE)</f>
        <v>n/a</v>
      </c>
      <c r="F10317" s="1068">
        <f>+VLOOKUP(C10317,'Basic (equilibrio) (2)'!B:D,3,FALSE)</f>
        <v>0</v>
      </c>
      <c r="G10317" s="946">
        <v>0</v>
      </c>
      <c r="H10317" s="1031"/>
      <c r="I10317" s="948">
        <f>(D10317*F10317)</f>
        <v>0</v>
      </c>
    </row>
    <row r="10318" spans="2:9" ht="15.75">
      <c r="C10318" s="951" t="s">
        <v>918</v>
      </c>
      <c r="D10318" s="946"/>
      <c r="E10318" s="947"/>
      <c r="F10318" s="1054"/>
      <c r="G10318" s="946"/>
      <c r="H10318" s="1031"/>
      <c r="I10318" s="952">
        <f>SUM(I10317:I10317)</f>
        <v>0</v>
      </c>
    </row>
    <row r="10319" spans="2:9" ht="15.75">
      <c r="C10319" s="949"/>
      <c r="D10319" s="946"/>
      <c r="E10319" s="947"/>
      <c r="F10319" s="1054"/>
      <c r="G10319" s="946"/>
      <c r="H10319" s="1031"/>
      <c r="I10319" s="948"/>
    </row>
    <row r="10320" spans="2:9" ht="15.75">
      <c r="C10320" s="945" t="s">
        <v>923</v>
      </c>
      <c r="D10320" s="946"/>
      <c r="E10320" s="947"/>
      <c r="F10320" s="1054"/>
      <c r="G10320" s="946"/>
      <c r="H10320" s="1031"/>
      <c r="I10320" s="948"/>
    </row>
    <row r="10321" spans="2:9" ht="15.75">
      <c r="C10321" s="949" t="s">
        <v>924</v>
      </c>
      <c r="D10321" s="946"/>
      <c r="E10321" s="947" t="str">
        <f>+VLOOKUP(C10321,'Basic (equilibrio) (2)'!B:D,2,FALSE)</f>
        <v>n/a</v>
      </c>
      <c r="F10321" s="1054">
        <f>+VLOOKUP(C10321,'Basic (equilibrio) (2)'!B:D,3,FALSE)</f>
        <v>0</v>
      </c>
      <c r="G10321" s="946">
        <f>F10321-(F10321/1.18)</f>
        <v>0</v>
      </c>
      <c r="H10321" s="1039"/>
      <c r="I10321" s="955">
        <f>D10321*F10321</f>
        <v>0</v>
      </c>
    </row>
    <row r="10322" spans="2:9" ht="15.75">
      <c r="C10322" s="951" t="s">
        <v>918</v>
      </c>
      <c r="D10322" s="946"/>
      <c r="E10322" s="947"/>
      <c r="F10322" s="1054"/>
      <c r="G10322" s="946"/>
      <c r="H10322" s="1031"/>
      <c r="I10322" s="952">
        <f>SUM(I10321:I10321)</f>
        <v>0</v>
      </c>
    </row>
    <row r="10323" spans="2:9" ht="15.75">
      <c r="C10323" s="949"/>
      <c r="D10323" s="946"/>
      <c r="E10323" s="947"/>
      <c r="F10323" s="1054"/>
      <c r="G10323" s="946"/>
      <c r="H10323" s="1031"/>
      <c r="I10323" s="948"/>
    </row>
    <row r="10324" spans="2:9" ht="15.75">
      <c r="C10324" s="945" t="s">
        <v>925</v>
      </c>
      <c r="D10324" s="946"/>
      <c r="E10324" s="947"/>
      <c r="F10324" s="1054"/>
      <c r="G10324" s="946"/>
      <c r="H10324" s="1031"/>
      <c r="I10324" s="948"/>
    </row>
    <row r="10325" spans="2:9" ht="15.75">
      <c r="C10325" s="949" t="s">
        <v>924</v>
      </c>
      <c r="D10325" s="946"/>
      <c r="E10325" s="947" t="str">
        <f>+VLOOKUP(C10325,'Basic (equilibrio) (2)'!B:D,2,FALSE)</f>
        <v>n/a</v>
      </c>
      <c r="F10325" s="1054">
        <f>+VLOOKUP(C10325,'Basic (equilibrio) (2)'!B:D,3,FALSE)</f>
        <v>0</v>
      </c>
      <c r="G10325" s="946"/>
      <c r="H10325" s="1031"/>
      <c r="I10325" s="948">
        <f>D10325*F10325</f>
        <v>0</v>
      </c>
    </row>
    <row r="10326" spans="2:9" ht="15.75">
      <c r="C10326" s="951" t="s">
        <v>918</v>
      </c>
      <c r="D10326" s="946"/>
      <c r="E10326" s="947"/>
      <c r="F10326" s="1054"/>
      <c r="G10326" s="946"/>
      <c r="H10326" s="1031"/>
      <c r="I10326" s="952">
        <f>SUM(I10325)</f>
        <v>0</v>
      </c>
    </row>
    <row r="10327" spans="2:9" ht="15.75">
      <c r="C10327" s="951"/>
      <c r="D10327" s="946"/>
      <c r="E10327" s="947"/>
      <c r="F10327" s="1054"/>
      <c r="G10327" s="946"/>
      <c r="H10327" s="1031"/>
      <c r="I10327" s="952"/>
    </row>
    <row r="10328" spans="2:9" ht="15.75">
      <c r="C10328" s="956" t="s">
        <v>926</v>
      </c>
      <c r="D10328" s="957"/>
      <c r="E10328" s="958"/>
      <c r="F10328" s="1069"/>
      <c r="G10328" s="957"/>
      <c r="H10328" s="1032"/>
      <c r="I10328" s="959">
        <f>+I10314</f>
        <v>1016.53</v>
      </c>
    </row>
    <row r="10329" spans="2:9" ht="15.75">
      <c r="C10329" s="956" t="s">
        <v>927</v>
      </c>
      <c r="D10329" s="957"/>
      <c r="E10329" s="958"/>
      <c r="F10329" s="1069"/>
      <c r="G10329" s="957"/>
      <c r="H10329" s="1032"/>
      <c r="I10329" s="959">
        <f>+I10318</f>
        <v>0</v>
      </c>
    </row>
    <row r="10330" spans="2:9" ht="15.75">
      <c r="C10330" s="956" t="s">
        <v>928</v>
      </c>
      <c r="D10330" s="957"/>
      <c r="E10330" s="958"/>
      <c r="F10330" s="1069"/>
      <c r="G10330" s="957"/>
      <c r="H10330" s="1032"/>
      <c r="I10330" s="959">
        <f>+I10322</f>
        <v>0</v>
      </c>
    </row>
    <row r="10331" spans="2:9" ht="15.75">
      <c r="C10331" s="956" t="s">
        <v>929</v>
      </c>
      <c r="D10331" s="957"/>
      <c r="E10331" s="958"/>
      <c r="F10331" s="1069"/>
      <c r="G10331" s="957"/>
      <c r="H10331" s="1032"/>
      <c r="I10331" s="959">
        <f>+I10326</f>
        <v>0</v>
      </c>
    </row>
    <row r="10332" spans="2:9" ht="15.75">
      <c r="C10332" s="949"/>
      <c r="D10332" s="946"/>
      <c r="E10332" s="947"/>
      <c r="F10332" s="1054"/>
      <c r="G10332" s="946"/>
      <c r="H10332" s="1031"/>
      <c r="I10332" s="948"/>
    </row>
    <row r="10333" spans="2:9" ht="15.75">
      <c r="C10333" s="951" t="s">
        <v>930</v>
      </c>
      <c r="D10333" s="960"/>
      <c r="E10333" s="975" t="str">
        <f>+E10310</f>
        <v>lb</v>
      </c>
      <c r="F10333" s="1070"/>
      <c r="G10333" s="960"/>
      <c r="H10333" s="1033"/>
      <c r="I10333" s="952">
        <f>SUM(I10328:I10331)</f>
        <v>1016.53</v>
      </c>
    </row>
    <row r="10334" spans="2:9" ht="15.75">
      <c r="C10334" s="951"/>
      <c r="D10334" s="960"/>
      <c r="E10334" s="943"/>
      <c r="F10334" s="1070"/>
      <c r="G10334" s="960"/>
      <c r="H10334" s="1033"/>
      <c r="I10334" s="952"/>
    </row>
    <row r="10335" spans="2:9" ht="15.75">
      <c r="B10335" s="1026">
        <v>6.4</v>
      </c>
      <c r="C10335" s="937" t="str">
        <f>+Presupuesto!B605</f>
        <v>Placa base de 4 3/4" x 9 3/4" x 3/8"</v>
      </c>
      <c r="D10335" s="938"/>
      <c r="E10335" s="962" t="s">
        <v>1190</v>
      </c>
      <c r="F10335" s="1066"/>
      <c r="G10335" s="938"/>
      <c r="H10335" s="1029"/>
      <c r="I10335" s="940">
        <f>+I10358</f>
        <v>41.82</v>
      </c>
    </row>
    <row r="10336" spans="2:9" ht="15.75">
      <c r="C10336" s="941" t="s">
        <v>908</v>
      </c>
      <c r="D10336" s="942" t="s">
        <v>9</v>
      </c>
      <c r="E10336" s="943" t="s">
        <v>10</v>
      </c>
      <c r="F10336" s="1067" t="s">
        <v>909</v>
      </c>
      <c r="G10336" s="942" t="s">
        <v>910</v>
      </c>
      <c r="H10336" s="1030" t="s">
        <v>911</v>
      </c>
      <c r="I10336" s="944" t="s">
        <v>912</v>
      </c>
    </row>
    <row r="10337" spans="3:9" ht="15.75">
      <c r="C10337" s="945" t="s">
        <v>913</v>
      </c>
      <c r="D10337" s="946"/>
      <c r="E10337" s="947"/>
      <c r="F10337" s="1054"/>
      <c r="G10337" s="946"/>
      <c r="H10337" s="1031"/>
      <c r="I10337" s="948"/>
    </row>
    <row r="10338" spans="3:9" ht="15.75">
      <c r="C10338" s="949" t="s">
        <v>763</v>
      </c>
      <c r="D10338" s="946">
        <v>1.02</v>
      </c>
      <c r="E10338" s="947" t="str">
        <f>+VLOOKUP(C10338,'Basic (equilibrio) (2)'!B:D,2,FALSE)</f>
        <v>Lb</v>
      </c>
      <c r="F10338" s="1068">
        <f>'Basic (equilibrio) (2)'!$D$463</f>
        <v>41</v>
      </c>
      <c r="G10338" s="946">
        <f>F10338-(F10338/1.18)</f>
        <v>6.25</v>
      </c>
      <c r="H10338" s="1031"/>
      <c r="I10338" s="948">
        <f>D10338*F10338</f>
        <v>41.82</v>
      </c>
    </row>
    <row r="10339" spans="3:9" ht="15.75">
      <c r="C10339" s="951" t="s">
        <v>918</v>
      </c>
      <c r="D10339" s="946"/>
      <c r="E10339" s="947"/>
      <c r="F10339" s="1068"/>
      <c r="G10339" s="946"/>
      <c r="H10339" s="1031"/>
      <c r="I10339" s="952">
        <f>SUM(I10338:I10338)</f>
        <v>41.82</v>
      </c>
    </row>
    <row r="10340" spans="3:9" ht="15.75">
      <c r="C10340" s="949"/>
      <c r="D10340" s="946"/>
      <c r="E10340" s="947"/>
      <c r="F10340" s="1068"/>
      <c r="G10340" s="946"/>
      <c r="H10340" s="1031"/>
      <c r="I10340" s="948"/>
    </row>
    <row r="10341" spans="3:9" ht="15.75">
      <c r="C10341" s="945" t="s">
        <v>919</v>
      </c>
      <c r="D10341" s="946"/>
      <c r="E10341" s="947"/>
      <c r="F10341" s="1068"/>
      <c r="G10341" s="946"/>
      <c r="H10341" s="1031"/>
      <c r="I10341" s="948"/>
    </row>
    <row r="10342" spans="3:9" ht="15.75">
      <c r="C10342" s="949" t="s">
        <v>924</v>
      </c>
      <c r="D10342" s="953"/>
      <c r="E10342" s="954" t="str">
        <f>+VLOOKUP(C10342,'Basic (equilibrio) (2)'!B:D,2,FALSE)</f>
        <v>n/a</v>
      </c>
      <c r="F10342" s="1068">
        <f>+VLOOKUP(C10342,'Basic (equilibrio) (2)'!B:D,3,FALSE)</f>
        <v>0</v>
      </c>
      <c r="G10342" s="946">
        <v>0</v>
      </c>
      <c r="H10342" s="1031"/>
      <c r="I10342" s="948">
        <f>(D10342*F10342)</f>
        <v>0</v>
      </c>
    </row>
    <row r="10343" spans="3:9" ht="15.75">
      <c r="C10343" s="951" t="s">
        <v>918</v>
      </c>
      <c r="D10343" s="946"/>
      <c r="E10343" s="947"/>
      <c r="F10343" s="1054"/>
      <c r="G10343" s="946"/>
      <c r="H10343" s="1031"/>
      <c r="I10343" s="952">
        <f>SUM(I10342:I10342)</f>
        <v>0</v>
      </c>
    </row>
    <row r="10344" spans="3:9" ht="15.75">
      <c r="C10344" s="949"/>
      <c r="D10344" s="946"/>
      <c r="E10344" s="947"/>
      <c r="F10344" s="1054"/>
      <c r="G10344" s="946"/>
      <c r="H10344" s="1031"/>
      <c r="I10344" s="948"/>
    </row>
    <row r="10345" spans="3:9" ht="15.75">
      <c r="C10345" s="945" t="s">
        <v>923</v>
      </c>
      <c r="D10345" s="946"/>
      <c r="E10345" s="947"/>
      <c r="F10345" s="1054"/>
      <c r="G10345" s="946"/>
      <c r="H10345" s="1031"/>
      <c r="I10345" s="948"/>
    </row>
    <row r="10346" spans="3:9" ht="15.75">
      <c r="C10346" s="949" t="s">
        <v>924</v>
      </c>
      <c r="D10346" s="946"/>
      <c r="E10346" s="947" t="str">
        <f>+VLOOKUP(C10346,'Basic (equilibrio) (2)'!B:D,2,FALSE)</f>
        <v>n/a</v>
      </c>
      <c r="F10346" s="1054">
        <f>+VLOOKUP(C10346,'Basic (equilibrio) (2)'!B:D,3,FALSE)</f>
        <v>0</v>
      </c>
      <c r="G10346" s="946">
        <f>F10346-(F10346/1.18)</f>
        <v>0</v>
      </c>
      <c r="H10346" s="1039"/>
      <c r="I10346" s="955">
        <f>D10346*F10346</f>
        <v>0</v>
      </c>
    </row>
    <row r="10347" spans="3:9" ht="15.75">
      <c r="C10347" s="951" t="s">
        <v>918</v>
      </c>
      <c r="D10347" s="946"/>
      <c r="E10347" s="947"/>
      <c r="F10347" s="1054"/>
      <c r="G10347" s="946"/>
      <c r="H10347" s="1031"/>
      <c r="I10347" s="952">
        <f>SUM(I10346:I10346)</f>
        <v>0</v>
      </c>
    </row>
    <row r="10348" spans="3:9" ht="15.75">
      <c r="C10348" s="949"/>
      <c r="D10348" s="946"/>
      <c r="E10348" s="947"/>
      <c r="F10348" s="1054"/>
      <c r="G10348" s="946"/>
      <c r="H10348" s="1031"/>
      <c r="I10348" s="948"/>
    </row>
    <row r="10349" spans="3:9" ht="15.75">
      <c r="C10349" s="945" t="s">
        <v>925</v>
      </c>
      <c r="D10349" s="946"/>
      <c r="E10349" s="947"/>
      <c r="F10349" s="1054"/>
      <c r="G10349" s="946"/>
      <c r="H10349" s="1031"/>
      <c r="I10349" s="948"/>
    </row>
    <row r="10350" spans="3:9" ht="15.75">
      <c r="C10350" s="949" t="s">
        <v>924</v>
      </c>
      <c r="D10350" s="946"/>
      <c r="E10350" s="947" t="str">
        <f>+VLOOKUP(C10350,'Basic (equilibrio) (2)'!B:D,2,FALSE)</f>
        <v>n/a</v>
      </c>
      <c r="F10350" s="1054">
        <f>+VLOOKUP(C10350,'Basic (equilibrio) (2)'!B:D,3,FALSE)</f>
        <v>0</v>
      </c>
      <c r="G10350" s="946"/>
      <c r="H10350" s="1031"/>
      <c r="I10350" s="948">
        <f>D10350*F10350</f>
        <v>0</v>
      </c>
    </row>
    <row r="10351" spans="3:9" ht="15.75">
      <c r="C10351" s="951" t="s">
        <v>918</v>
      </c>
      <c r="D10351" s="946"/>
      <c r="E10351" s="947"/>
      <c r="F10351" s="1054"/>
      <c r="G10351" s="946"/>
      <c r="H10351" s="1031"/>
      <c r="I10351" s="952">
        <f>SUM(I10350)</f>
        <v>0</v>
      </c>
    </row>
    <row r="10352" spans="3:9" ht="15.75">
      <c r="C10352" s="951"/>
      <c r="D10352" s="946"/>
      <c r="E10352" s="947"/>
      <c r="F10352" s="1054"/>
      <c r="G10352" s="946"/>
      <c r="H10352" s="1031"/>
      <c r="I10352" s="952"/>
    </row>
    <row r="10353" spans="2:9" ht="15.75">
      <c r="C10353" s="956" t="s">
        <v>926</v>
      </c>
      <c r="D10353" s="957"/>
      <c r="E10353" s="958"/>
      <c r="F10353" s="1069"/>
      <c r="G10353" s="957"/>
      <c r="H10353" s="1032"/>
      <c r="I10353" s="959">
        <f>+I10339</f>
        <v>41.82</v>
      </c>
    </row>
    <row r="10354" spans="2:9" ht="15.75">
      <c r="C10354" s="956" t="s">
        <v>927</v>
      </c>
      <c r="D10354" s="957"/>
      <c r="E10354" s="958"/>
      <c r="F10354" s="1069"/>
      <c r="G10354" s="957"/>
      <c r="H10354" s="1032"/>
      <c r="I10354" s="959">
        <f>+I10343</f>
        <v>0</v>
      </c>
    </row>
    <row r="10355" spans="2:9" ht="15.75">
      <c r="C10355" s="956" t="s">
        <v>928</v>
      </c>
      <c r="D10355" s="957"/>
      <c r="E10355" s="958"/>
      <c r="F10355" s="1069"/>
      <c r="G10355" s="957"/>
      <c r="H10355" s="1032"/>
      <c r="I10355" s="959">
        <f>+I10347</f>
        <v>0</v>
      </c>
    </row>
    <row r="10356" spans="2:9" ht="15.75">
      <c r="C10356" s="956" t="s">
        <v>929</v>
      </c>
      <c r="D10356" s="957"/>
      <c r="E10356" s="958"/>
      <c r="F10356" s="1069"/>
      <c r="G10356" s="957"/>
      <c r="H10356" s="1032"/>
      <c r="I10356" s="959">
        <f>+I10351</f>
        <v>0</v>
      </c>
    </row>
    <row r="10357" spans="2:9" ht="15.75">
      <c r="C10357" s="949"/>
      <c r="D10357" s="946"/>
      <c r="E10357" s="947"/>
      <c r="F10357" s="1054"/>
      <c r="G10357" s="946"/>
      <c r="H10357" s="1031"/>
      <c r="I10357" s="948"/>
    </row>
    <row r="10358" spans="2:9" ht="15.75">
      <c r="C10358" s="951" t="s">
        <v>930</v>
      </c>
      <c r="D10358" s="960"/>
      <c r="E10358" s="975" t="str">
        <f>+E10335</f>
        <v>lb</v>
      </c>
      <c r="F10358" s="1070"/>
      <c r="G10358" s="960"/>
      <c r="H10358" s="1033"/>
      <c r="I10358" s="952">
        <f>SUM(I10353:I10356)</f>
        <v>41.82</v>
      </c>
    </row>
    <row r="10359" spans="2:9" ht="15.75">
      <c r="C10359" s="951"/>
      <c r="D10359" s="960"/>
      <c r="E10359" s="943"/>
      <c r="F10359" s="1070"/>
      <c r="G10359" s="960"/>
      <c r="H10359" s="1033"/>
      <c r="I10359" s="952"/>
    </row>
    <row r="10360" spans="2:9" ht="15.75">
      <c r="B10360" s="1026">
        <v>6.5</v>
      </c>
      <c r="C10360" s="937" t="str">
        <f>+Presupuesto!B606</f>
        <v>Placa base de 3 1/2" x 5 5/8" x 1/2"</v>
      </c>
      <c r="D10360" s="938"/>
      <c r="E10360" s="962" t="s">
        <v>1190</v>
      </c>
      <c r="F10360" s="1066"/>
      <c r="G10360" s="938"/>
      <c r="H10360" s="1029"/>
      <c r="I10360" s="940">
        <f>+I10383</f>
        <v>36.72</v>
      </c>
    </row>
    <row r="10361" spans="2:9" ht="15.75">
      <c r="C10361" s="941" t="s">
        <v>908</v>
      </c>
      <c r="D10361" s="942" t="s">
        <v>9</v>
      </c>
      <c r="E10361" s="943" t="s">
        <v>10</v>
      </c>
      <c r="F10361" s="1067" t="s">
        <v>909</v>
      </c>
      <c r="G10361" s="942" t="s">
        <v>910</v>
      </c>
      <c r="H10361" s="1030" t="s">
        <v>911</v>
      </c>
      <c r="I10361" s="944" t="s">
        <v>912</v>
      </c>
    </row>
    <row r="10362" spans="2:9" ht="15.75">
      <c r="C10362" s="945" t="s">
        <v>913</v>
      </c>
      <c r="D10362" s="946"/>
      <c r="E10362" s="947"/>
      <c r="F10362" s="1054"/>
      <c r="G10362" s="946"/>
      <c r="H10362" s="1031"/>
      <c r="I10362" s="948"/>
    </row>
    <row r="10363" spans="2:9" ht="15.75">
      <c r="C10363" s="949" t="s">
        <v>764</v>
      </c>
      <c r="D10363" s="946">
        <v>1.02</v>
      </c>
      <c r="E10363" s="947" t="str">
        <f>+VLOOKUP(C10363,'Basic (equilibrio) (2)'!B:D,2,FALSE)</f>
        <v>Lb</v>
      </c>
      <c r="F10363" s="1068">
        <f>'Basic (equilibrio) (2)'!$D$464</f>
        <v>36</v>
      </c>
      <c r="G10363" s="946">
        <f>F10363-(F10363/1.18)</f>
        <v>5.49</v>
      </c>
      <c r="H10363" s="1031"/>
      <c r="I10363" s="948">
        <f>D10363*F10363</f>
        <v>36.72</v>
      </c>
    </row>
    <row r="10364" spans="2:9" ht="15.75">
      <c r="C10364" s="951" t="s">
        <v>918</v>
      </c>
      <c r="D10364" s="946"/>
      <c r="E10364" s="947"/>
      <c r="F10364" s="1068"/>
      <c r="G10364" s="946"/>
      <c r="H10364" s="1031"/>
      <c r="I10364" s="952">
        <f>SUM(I10363:I10363)</f>
        <v>36.72</v>
      </c>
    </row>
    <row r="10365" spans="2:9" ht="15.75">
      <c r="C10365" s="949"/>
      <c r="D10365" s="946"/>
      <c r="E10365" s="947"/>
      <c r="F10365" s="1068"/>
      <c r="G10365" s="946"/>
      <c r="H10365" s="1031"/>
      <c r="I10365" s="948"/>
    </row>
    <row r="10366" spans="2:9" ht="15.75">
      <c r="C10366" s="945" t="s">
        <v>919</v>
      </c>
      <c r="D10366" s="946"/>
      <c r="E10366" s="947"/>
      <c r="F10366" s="1068"/>
      <c r="G10366" s="946"/>
      <c r="H10366" s="1031"/>
      <c r="I10366" s="948"/>
    </row>
    <row r="10367" spans="2:9" ht="15.75">
      <c r="C10367" s="949" t="s">
        <v>924</v>
      </c>
      <c r="D10367" s="953"/>
      <c r="E10367" s="954" t="str">
        <f>+VLOOKUP(C10367,'Basic (equilibrio) (2)'!B:D,2,FALSE)</f>
        <v>n/a</v>
      </c>
      <c r="F10367" s="1068">
        <f>+VLOOKUP(C10367,'Basic (equilibrio) (2)'!B:D,3,FALSE)</f>
        <v>0</v>
      </c>
      <c r="G10367" s="946">
        <v>0</v>
      </c>
      <c r="H10367" s="1031"/>
      <c r="I10367" s="948">
        <f>(D10367*F10367)</f>
        <v>0</v>
      </c>
    </row>
    <row r="10368" spans="2:9" ht="15.75">
      <c r="C10368" s="951" t="s">
        <v>918</v>
      </c>
      <c r="D10368" s="946"/>
      <c r="E10368" s="947"/>
      <c r="F10368" s="1054"/>
      <c r="G10368" s="946"/>
      <c r="H10368" s="1031"/>
      <c r="I10368" s="952">
        <f>SUM(I10367:I10367)</f>
        <v>0</v>
      </c>
    </row>
    <row r="10369" spans="3:9" ht="15.75">
      <c r="C10369" s="949"/>
      <c r="D10369" s="946"/>
      <c r="E10369" s="947"/>
      <c r="F10369" s="1054"/>
      <c r="G10369" s="946"/>
      <c r="H10369" s="1031"/>
      <c r="I10369" s="948"/>
    </row>
    <row r="10370" spans="3:9" ht="15.75">
      <c r="C10370" s="945" t="s">
        <v>923</v>
      </c>
      <c r="D10370" s="946"/>
      <c r="E10370" s="947"/>
      <c r="F10370" s="1054"/>
      <c r="G10370" s="946"/>
      <c r="H10370" s="1031"/>
      <c r="I10370" s="948"/>
    </row>
    <row r="10371" spans="3:9" ht="15.75">
      <c r="C10371" s="949" t="s">
        <v>924</v>
      </c>
      <c r="D10371" s="946"/>
      <c r="E10371" s="947" t="str">
        <f>+VLOOKUP(C10371,'Basic (equilibrio) (2)'!B:D,2,FALSE)</f>
        <v>n/a</v>
      </c>
      <c r="F10371" s="1054">
        <f>+VLOOKUP(C10371,'Basic (equilibrio) (2)'!B:D,3,FALSE)</f>
        <v>0</v>
      </c>
      <c r="G10371" s="946">
        <f>F10371-(F10371/1.18)</f>
        <v>0</v>
      </c>
      <c r="H10371" s="1039"/>
      <c r="I10371" s="955">
        <f>D10371*F10371</f>
        <v>0</v>
      </c>
    </row>
    <row r="10372" spans="3:9" ht="15.75">
      <c r="C10372" s="951" t="s">
        <v>918</v>
      </c>
      <c r="D10372" s="946"/>
      <c r="E10372" s="947"/>
      <c r="F10372" s="1054"/>
      <c r="G10372" s="946"/>
      <c r="H10372" s="1031"/>
      <c r="I10372" s="952">
        <f>SUM(I10371:I10371)</f>
        <v>0</v>
      </c>
    </row>
    <row r="10373" spans="3:9" ht="15.75">
      <c r="C10373" s="949"/>
      <c r="D10373" s="946"/>
      <c r="E10373" s="947"/>
      <c r="F10373" s="1054"/>
      <c r="G10373" s="946"/>
      <c r="H10373" s="1031"/>
      <c r="I10373" s="948"/>
    </row>
    <row r="10374" spans="3:9" ht="15.75">
      <c r="C10374" s="945" t="s">
        <v>925</v>
      </c>
      <c r="D10374" s="946"/>
      <c r="E10374" s="947"/>
      <c r="F10374" s="1054"/>
      <c r="G10374" s="946"/>
      <c r="H10374" s="1031"/>
      <c r="I10374" s="948"/>
    </row>
    <row r="10375" spans="3:9" ht="15.75">
      <c r="C10375" s="949" t="s">
        <v>924</v>
      </c>
      <c r="D10375" s="946"/>
      <c r="E10375" s="947" t="str">
        <f>+VLOOKUP(C10375,'Basic (equilibrio) (2)'!B:D,2,FALSE)</f>
        <v>n/a</v>
      </c>
      <c r="F10375" s="1054">
        <f>+VLOOKUP(C10375,'Basic (equilibrio) (2)'!B:D,3,FALSE)</f>
        <v>0</v>
      </c>
      <c r="G10375" s="946"/>
      <c r="H10375" s="1031"/>
      <c r="I10375" s="948">
        <f>D10375*F10375</f>
        <v>0</v>
      </c>
    </row>
    <row r="10376" spans="3:9" ht="15.75">
      <c r="C10376" s="951" t="s">
        <v>918</v>
      </c>
      <c r="D10376" s="946"/>
      <c r="E10376" s="947"/>
      <c r="F10376" s="1054"/>
      <c r="G10376" s="946"/>
      <c r="H10376" s="1031"/>
      <c r="I10376" s="952">
        <f>SUM(I10375)</f>
        <v>0</v>
      </c>
    </row>
    <row r="10377" spans="3:9" ht="15.75">
      <c r="C10377" s="951"/>
      <c r="D10377" s="946"/>
      <c r="E10377" s="947"/>
      <c r="F10377" s="1054"/>
      <c r="G10377" s="946"/>
      <c r="H10377" s="1031"/>
      <c r="I10377" s="952"/>
    </row>
    <row r="10378" spans="3:9" ht="15.75">
      <c r="C10378" s="956" t="s">
        <v>926</v>
      </c>
      <c r="D10378" s="957"/>
      <c r="E10378" s="958"/>
      <c r="F10378" s="1069"/>
      <c r="G10378" s="957"/>
      <c r="H10378" s="1032"/>
      <c r="I10378" s="959">
        <f>+I10364</f>
        <v>36.72</v>
      </c>
    </row>
    <row r="10379" spans="3:9" ht="15.75">
      <c r="C10379" s="956" t="s">
        <v>927</v>
      </c>
      <c r="D10379" s="957"/>
      <c r="E10379" s="958"/>
      <c r="F10379" s="1069"/>
      <c r="G10379" s="957"/>
      <c r="H10379" s="1032"/>
      <c r="I10379" s="959">
        <f>+I10368</f>
        <v>0</v>
      </c>
    </row>
    <row r="10380" spans="3:9" ht="15.75">
      <c r="C10380" s="956" t="s">
        <v>928</v>
      </c>
      <c r="D10380" s="957"/>
      <c r="E10380" s="958"/>
      <c r="F10380" s="1069"/>
      <c r="G10380" s="957"/>
      <c r="H10380" s="1032"/>
      <c r="I10380" s="959">
        <f>+I10372</f>
        <v>0</v>
      </c>
    </row>
    <row r="10381" spans="3:9" ht="15.75">
      <c r="C10381" s="956" t="s">
        <v>929</v>
      </c>
      <c r="D10381" s="957"/>
      <c r="E10381" s="958"/>
      <c r="F10381" s="1069"/>
      <c r="G10381" s="957"/>
      <c r="H10381" s="1032"/>
      <c r="I10381" s="959">
        <f>+I10376</f>
        <v>0</v>
      </c>
    </row>
    <row r="10382" spans="3:9" ht="15.75">
      <c r="C10382" s="949"/>
      <c r="D10382" s="946"/>
      <c r="E10382" s="947"/>
      <c r="F10382" s="1054"/>
      <c r="G10382" s="946"/>
      <c r="H10382" s="1031"/>
      <c r="I10382" s="948"/>
    </row>
    <row r="10383" spans="3:9" ht="15.75">
      <c r="C10383" s="951" t="s">
        <v>930</v>
      </c>
      <c r="D10383" s="960"/>
      <c r="E10383" s="975" t="str">
        <f>+E10360</f>
        <v>lb</v>
      </c>
      <c r="F10383" s="1070"/>
      <c r="G10383" s="960"/>
      <c r="H10383" s="1033"/>
      <c r="I10383" s="952">
        <f>SUM(I10378:I10381)</f>
        <v>36.72</v>
      </c>
    </row>
    <row r="10384" spans="3:9" ht="15.75">
      <c r="C10384" s="951"/>
      <c r="D10384" s="960"/>
      <c r="E10384" s="943"/>
      <c r="F10384" s="1070"/>
      <c r="G10384" s="960"/>
      <c r="H10384" s="1033"/>
      <c r="I10384" s="952"/>
    </row>
    <row r="10385" spans="2:9" ht="15.75">
      <c r="B10385" s="1026">
        <v>6.6</v>
      </c>
      <c r="C10385" s="937" t="str">
        <f>+Presupuesto!B607</f>
        <v>Placa base de 6" x 9 1/2" x 3/8"</v>
      </c>
      <c r="D10385" s="938"/>
      <c r="E10385" s="962" t="s">
        <v>1190</v>
      </c>
      <c r="F10385" s="1066"/>
      <c r="G10385" s="938"/>
      <c r="H10385" s="1029"/>
      <c r="I10385" s="940">
        <f>+I10408</f>
        <v>39.78</v>
      </c>
    </row>
    <row r="10386" spans="2:9" ht="15.75">
      <c r="C10386" s="941" t="s">
        <v>908</v>
      </c>
      <c r="D10386" s="942" t="s">
        <v>9</v>
      </c>
      <c r="E10386" s="943" t="s">
        <v>10</v>
      </c>
      <c r="F10386" s="1067" t="s">
        <v>909</v>
      </c>
      <c r="G10386" s="942" t="s">
        <v>910</v>
      </c>
      <c r="H10386" s="1030" t="s">
        <v>911</v>
      </c>
      <c r="I10386" s="944" t="s">
        <v>912</v>
      </c>
    </row>
    <row r="10387" spans="2:9" ht="15.75">
      <c r="C10387" s="945" t="s">
        <v>913</v>
      </c>
      <c r="D10387" s="946"/>
      <c r="E10387" s="947"/>
      <c r="F10387" s="1054"/>
      <c r="G10387" s="946"/>
      <c r="H10387" s="1031"/>
      <c r="I10387" s="948"/>
    </row>
    <row r="10388" spans="2:9" ht="15.75">
      <c r="C10388" s="949" t="s">
        <v>765</v>
      </c>
      <c r="D10388" s="946">
        <v>1.02</v>
      </c>
      <c r="E10388" s="947" t="str">
        <f>+VLOOKUP(C10388,'Basic (equilibrio) (2)'!B:D,2,FALSE)</f>
        <v>Lb</v>
      </c>
      <c r="F10388" s="1068">
        <f>'Basic (equilibrio) (2)'!$D$465</f>
        <v>39</v>
      </c>
      <c r="G10388" s="946">
        <f>F10388-(F10388/1.18)</f>
        <v>5.95</v>
      </c>
      <c r="H10388" s="1031"/>
      <c r="I10388" s="948">
        <f>D10388*F10388</f>
        <v>39.78</v>
      </c>
    </row>
    <row r="10389" spans="2:9" ht="15.75">
      <c r="C10389" s="951" t="s">
        <v>918</v>
      </c>
      <c r="D10389" s="946"/>
      <c r="E10389" s="947"/>
      <c r="F10389" s="1068"/>
      <c r="G10389" s="946"/>
      <c r="H10389" s="1031"/>
      <c r="I10389" s="952">
        <f>SUM(I10388:I10388)</f>
        <v>39.78</v>
      </c>
    </row>
    <row r="10390" spans="2:9" ht="15.75">
      <c r="C10390" s="949"/>
      <c r="D10390" s="946"/>
      <c r="E10390" s="947"/>
      <c r="F10390" s="1068"/>
      <c r="G10390" s="946"/>
      <c r="H10390" s="1031"/>
      <c r="I10390" s="948"/>
    </row>
    <row r="10391" spans="2:9" ht="15.75">
      <c r="C10391" s="945" t="s">
        <v>919</v>
      </c>
      <c r="D10391" s="946"/>
      <c r="E10391" s="947"/>
      <c r="F10391" s="1068"/>
      <c r="G10391" s="946"/>
      <c r="H10391" s="1031"/>
      <c r="I10391" s="948"/>
    </row>
    <row r="10392" spans="2:9" ht="15.75">
      <c r="C10392" s="949" t="s">
        <v>924</v>
      </c>
      <c r="D10392" s="953"/>
      <c r="E10392" s="954" t="str">
        <f>+VLOOKUP(C10392,'Basic (equilibrio) (2)'!B:D,2,FALSE)</f>
        <v>n/a</v>
      </c>
      <c r="F10392" s="1068">
        <f>+VLOOKUP(C10392,'Basic (equilibrio) (2)'!B:D,3,FALSE)</f>
        <v>0</v>
      </c>
      <c r="G10392" s="946">
        <v>0</v>
      </c>
      <c r="H10392" s="1031"/>
      <c r="I10392" s="948">
        <f>(D10392*F10392)</f>
        <v>0</v>
      </c>
    </row>
    <row r="10393" spans="2:9" ht="15.75">
      <c r="C10393" s="951" t="s">
        <v>918</v>
      </c>
      <c r="D10393" s="946"/>
      <c r="E10393" s="947"/>
      <c r="F10393" s="1054"/>
      <c r="G10393" s="946"/>
      <c r="H10393" s="1031"/>
      <c r="I10393" s="952">
        <f>SUM(I10392:I10392)</f>
        <v>0</v>
      </c>
    </row>
    <row r="10394" spans="2:9" ht="15.75">
      <c r="C10394" s="949"/>
      <c r="D10394" s="946"/>
      <c r="E10394" s="947"/>
      <c r="F10394" s="1054"/>
      <c r="G10394" s="946"/>
      <c r="H10394" s="1031"/>
      <c r="I10394" s="948"/>
    </row>
    <row r="10395" spans="2:9" ht="15.75">
      <c r="C10395" s="945" t="s">
        <v>923</v>
      </c>
      <c r="D10395" s="946"/>
      <c r="E10395" s="947"/>
      <c r="F10395" s="1054"/>
      <c r="G10395" s="946"/>
      <c r="H10395" s="1031"/>
      <c r="I10395" s="948"/>
    </row>
    <row r="10396" spans="2:9" ht="15.75">
      <c r="C10396" s="949" t="s">
        <v>924</v>
      </c>
      <c r="D10396" s="946"/>
      <c r="E10396" s="947" t="str">
        <f>+VLOOKUP(C10396,'Basic (equilibrio) (2)'!B:D,2,FALSE)</f>
        <v>n/a</v>
      </c>
      <c r="F10396" s="1054">
        <f>+VLOOKUP(C10396,'Basic (equilibrio) (2)'!B:D,3,FALSE)</f>
        <v>0</v>
      </c>
      <c r="G10396" s="946">
        <f>F10396-(F10396/1.18)</f>
        <v>0</v>
      </c>
      <c r="H10396" s="1039"/>
      <c r="I10396" s="955">
        <f>D10396*F10396</f>
        <v>0</v>
      </c>
    </row>
    <row r="10397" spans="2:9" ht="15.75">
      <c r="C10397" s="951" t="s">
        <v>918</v>
      </c>
      <c r="D10397" s="946"/>
      <c r="E10397" s="947"/>
      <c r="F10397" s="1054"/>
      <c r="G10397" s="946"/>
      <c r="H10397" s="1031"/>
      <c r="I10397" s="952">
        <f>SUM(I10396:I10396)</f>
        <v>0</v>
      </c>
    </row>
    <row r="10398" spans="2:9" ht="15.75">
      <c r="C10398" s="949"/>
      <c r="D10398" s="946"/>
      <c r="E10398" s="947"/>
      <c r="F10398" s="1054"/>
      <c r="G10398" s="946"/>
      <c r="H10398" s="1031"/>
      <c r="I10398" s="948"/>
    </row>
    <row r="10399" spans="2:9" ht="15.75">
      <c r="C10399" s="945" t="s">
        <v>925</v>
      </c>
      <c r="D10399" s="946"/>
      <c r="E10399" s="947"/>
      <c r="F10399" s="1054"/>
      <c r="G10399" s="946"/>
      <c r="H10399" s="1031"/>
      <c r="I10399" s="948"/>
    </row>
    <row r="10400" spans="2:9" ht="15.75">
      <c r="C10400" s="949" t="s">
        <v>924</v>
      </c>
      <c r="D10400" s="946"/>
      <c r="E10400" s="947" t="str">
        <f>+VLOOKUP(C10400,'Basic (equilibrio) (2)'!B:D,2,FALSE)</f>
        <v>n/a</v>
      </c>
      <c r="F10400" s="1054">
        <f>+VLOOKUP(C10400,'Basic (equilibrio) (2)'!B:D,3,FALSE)</f>
        <v>0</v>
      </c>
      <c r="G10400" s="946"/>
      <c r="H10400" s="1031"/>
      <c r="I10400" s="948">
        <f>D10400*F10400</f>
        <v>0</v>
      </c>
    </row>
    <row r="10401" spans="2:9" ht="15.75">
      <c r="C10401" s="951" t="s">
        <v>918</v>
      </c>
      <c r="D10401" s="946"/>
      <c r="E10401" s="947"/>
      <c r="F10401" s="1054"/>
      <c r="G10401" s="946"/>
      <c r="H10401" s="1031"/>
      <c r="I10401" s="952">
        <f>SUM(I10400)</f>
        <v>0</v>
      </c>
    </row>
    <row r="10402" spans="2:9" ht="15.75">
      <c r="C10402" s="951"/>
      <c r="D10402" s="946"/>
      <c r="E10402" s="947"/>
      <c r="F10402" s="1054"/>
      <c r="G10402" s="946"/>
      <c r="H10402" s="1031"/>
      <c r="I10402" s="952"/>
    </row>
    <row r="10403" spans="2:9" ht="15.75">
      <c r="C10403" s="956" t="s">
        <v>926</v>
      </c>
      <c r="D10403" s="957"/>
      <c r="E10403" s="958"/>
      <c r="F10403" s="1069"/>
      <c r="G10403" s="957"/>
      <c r="H10403" s="1032"/>
      <c r="I10403" s="959">
        <f>+I10389</f>
        <v>39.78</v>
      </c>
    </row>
    <row r="10404" spans="2:9" ht="15.75">
      <c r="C10404" s="956" t="s">
        <v>927</v>
      </c>
      <c r="D10404" s="957"/>
      <c r="E10404" s="958"/>
      <c r="F10404" s="1069"/>
      <c r="G10404" s="957"/>
      <c r="H10404" s="1032"/>
      <c r="I10404" s="959">
        <f>+I10393</f>
        <v>0</v>
      </c>
    </row>
    <row r="10405" spans="2:9" ht="15.75">
      <c r="C10405" s="956" t="s">
        <v>928</v>
      </c>
      <c r="D10405" s="957"/>
      <c r="E10405" s="958"/>
      <c r="F10405" s="1069"/>
      <c r="G10405" s="957"/>
      <c r="H10405" s="1032"/>
      <c r="I10405" s="959">
        <f>+I10397</f>
        <v>0</v>
      </c>
    </row>
    <row r="10406" spans="2:9" ht="15.75">
      <c r="C10406" s="956" t="s">
        <v>929</v>
      </c>
      <c r="D10406" s="957"/>
      <c r="E10406" s="958"/>
      <c r="F10406" s="1069"/>
      <c r="G10406" s="957"/>
      <c r="H10406" s="1032"/>
      <c r="I10406" s="959">
        <f>+I10401</f>
        <v>0</v>
      </c>
    </row>
    <row r="10407" spans="2:9" ht="15.75">
      <c r="C10407" s="949"/>
      <c r="D10407" s="946"/>
      <c r="E10407" s="947"/>
      <c r="F10407" s="1054"/>
      <c r="G10407" s="946"/>
      <c r="H10407" s="1031"/>
      <c r="I10407" s="948"/>
    </row>
    <row r="10408" spans="2:9" ht="15.75">
      <c r="C10408" s="951" t="s">
        <v>930</v>
      </c>
      <c r="D10408" s="960"/>
      <c r="E10408" s="975" t="str">
        <f>+E10385</f>
        <v>lb</v>
      </c>
      <c r="F10408" s="1070"/>
      <c r="G10408" s="960"/>
      <c r="H10408" s="1033"/>
      <c r="I10408" s="952">
        <f>SUM(I10403:I10406)</f>
        <v>39.78</v>
      </c>
    </row>
    <row r="10409" spans="2:9" ht="15.75">
      <c r="C10409" s="951"/>
      <c r="D10409" s="960"/>
      <c r="E10409" s="943"/>
      <c r="F10409" s="1070"/>
      <c r="G10409" s="960"/>
      <c r="H10409" s="1033"/>
      <c r="I10409" s="952"/>
    </row>
    <row r="10410" spans="2:9" ht="15.75">
      <c r="B10410" s="1026">
        <v>6.7</v>
      </c>
      <c r="C10410" s="937" t="str">
        <f>+Presupuesto!B608</f>
        <v>Placa base de 5 1/2" x 5 1/2" x 3/4"</v>
      </c>
      <c r="D10410" s="938"/>
      <c r="E10410" s="962" t="s">
        <v>1190</v>
      </c>
      <c r="F10410" s="1066"/>
      <c r="G10410" s="938"/>
      <c r="H10410" s="1029"/>
      <c r="I10410" s="940">
        <f>+I10433</f>
        <v>42.84</v>
      </c>
    </row>
    <row r="10411" spans="2:9" ht="15.75">
      <c r="C10411" s="941" t="s">
        <v>908</v>
      </c>
      <c r="D10411" s="942" t="s">
        <v>9</v>
      </c>
      <c r="E10411" s="943" t="s">
        <v>10</v>
      </c>
      <c r="F10411" s="1067" t="s">
        <v>909</v>
      </c>
      <c r="G10411" s="942" t="s">
        <v>910</v>
      </c>
      <c r="H10411" s="1030" t="s">
        <v>911</v>
      </c>
      <c r="I10411" s="944" t="s">
        <v>912</v>
      </c>
    </row>
    <row r="10412" spans="2:9" ht="15.75">
      <c r="C10412" s="945" t="s">
        <v>913</v>
      </c>
      <c r="D10412" s="946"/>
      <c r="E10412" s="947"/>
      <c r="F10412" s="1054"/>
      <c r="G10412" s="946"/>
      <c r="H10412" s="1031"/>
      <c r="I10412" s="948"/>
    </row>
    <row r="10413" spans="2:9" ht="15.75">
      <c r="C10413" s="949" t="s">
        <v>766</v>
      </c>
      <c r="D10413" s="946">
        <v>1.02</v>
      </c>
      <c r="E10413" s="947" t="str">
        <f>+VLOOKUP(C10413,'Basic (equilibrio) (2)'!B:D,2,FALSE)</f>
        <v>Lb</v>
      </c>
      <c r="F10413" s="1068">
        <f>'Basic (equilibrio) (2)'!$D$466</f>
        <v>42</v>
      </c>
      <c r="G10413" s="946">
        <f>F10413-(F10413/1.18)</f>
        <v>6.41</v>
      </c>
      <c r="H10413" s="1031"/>
      <c r="I10413" s="948">
        <f>D10413*F10413</f>
        <v>42.84</v>
      </c>
    </row>
    <row r="10414" spans="2:9" ht="15.75">
      <c r="C10414" s="951" t="s">
        <v>918</v>
      </c>
      <c r="D10414" s="946"/>
      <c r="E10414" s="947"/>
      <c r="F10414" s="1068"/>
      <c r="G10414" s="946"/>
      <c r="H10414" s="1031"/>
      <c r="I10414" s="952">
        <f>SUM(I10413:I10413)</f>
        <v>42.84</v>
      </c>
    </row>
    <row r="10415" spans="2:9" ht="15.75">
      <c r="C10415" s="949"/>
      <c r="D10415" s="946"/>
      <c r="E10415" s="947"/>
      <c r="F10415" s="1068"/>
      <c r="G10415" s="946"/>
      <c r="H10415" s="1031"/>
      <c r="I10415" s="948"/>
    </row>
    <row r="10416" spans="2:9" ht="15.75">
      <c r="C10416" s="945" t="s">
        <v>919</v>
      </c>
      <c r="D10416" s="946"/>
      <c r="E10416" s="947"/>
      <c r="F10416" s="1068"/>
      <c r="G10416" s="946"/>
      <c r="H10416" s="1031"/>
      <c r="I10416" s="948"/>
    </row>
    <row r="10417" spans="3:9" ht="15.75">
      <c r="C10417" s="949" t="s">
        <v>924</v>
      </c>
      <c r="D10417" s="953"/>
      <c r="E10417" s="954" t="str">
        <f>+VLOOKUP(C10417,'Basic (equilibrio) (2)'!B:D,2,FALSE)</f>
        <v>n/a</v>
      </c>
      <c r="F10417" s="1068">
        <f>+VLOOKUP(C10417,'Basic (equilibrio) (2)'!B:D,3,FALSE)</f>
        <v>0</v>
      </c>
      <c r="G10417" s="946">
        <v>0</v>
      </c>
      <c r="H10417" s="1031"/>
      <c r="I10417" s="948">
        <f>(D10417*F10417)</f>
        <v>0</v>
      </c>
    </row>
    <row r="10418" spans="3:9" ht="15.75">
      <c r="C10418" s="951" t="s">
        <v>918</v>
      </c>
      <c r="D10418" s="946"/>
      <c r="E10418" s="947"/>
      <c r="F10418" s="1054"/>
      <c r="G10418" s="946"/>
      <c r="H10418" s="1031"/>
      <c r="I10418" s="952">
        <f>SUM(I10417:I10417)</f>
        <v>0</v>
      </c>
    </row>
    <row r="10419" spans="3:9" ht="15.75">
      <c r="C10419" s="949"/>
      <c r="D10419" s="946"/>
      <c r="E10419" s="947"/>
      <c r="F10419" s="1054"/>
      <c r="G10419" s="946"/>
      <c r="H10419" s="1031"/>
      <c r="I10419" s="948"/>
    </row>
    <row r="10420" spans="3:9" ht="15.75">
      <c r="C10420" s="945" t="s">
        <v>923</v>
      </c>
      <c r="D10420" s="946"/>
      <c r="E10420" s="947"/>
      <c r="F10420" s="1054"/>
      <c r="G10420" s="946"/>
      <c r="H10420" s="1031"/>
      <c r="I10420" s="948"/>
    </row>
    <row r="10421" spans="3:9" ht="15.75">
      <c r="C10421" s="949" t="s">
        <v>924</v>
      </c>
      <c r="D10421" s="946"/>
      <c r="E10421" s="947" t="str">
        <f>+VLOOKUP(C10421,'Basic (equilibrio) (2)'!B:D,2,FALSE)</f>
        <v>n/a</v>
      </c>
      <c r="F10421" s="1054">
        <f>+VLOOKUP(C10421,'Basic (equilibrio) (2)'!B:D,3,FALSE)</f>
        <v>0</v>
      </c>
      <c r="G10421" s="946">
        <f>F10421-(F10421/1.18)</f>
        <v>0</v>
      </c>
      <c r="H10421" s="1039"/>
      <c r="I10421" s="955">
        <f>D10421*F10421</f>
        <v>0</v>
      </c>
    </row>
    <row r="10422" spans="3:9" ht="15.75">
      <c r="C10422" s="951" t="s">
        <v>918</v>
      </c>
      <c r="D10422" s="946"/>
      <c r="E10422" s="947"/>
      <c r="F10422" s="1054"/>
      <c r="G10422" s="946"/>
      <c r="H10422" s="1031"/>
      <c r="I10422" s="952">
        <f>SUM(I10421:I10421)</f>
        <v>0</v>
      </c>
    </row>
    <row r="10423" spans="3:9" ht="15.75">
      <c r="C10423" s="949"/>
      <c r="D10423" s="946"/>
      <c r="E10423" s="947"/>
      <c r="F10423" s="1054"/>
      <c r="G10423" s="946"/>
      <c r="H10423" s="1031"/>
      <c r="I10423" s="948"/>
    </row>
    <row r="10424" spans="3:9" ht="15.75">
      <c r="C10424" s="945" t="s">
        <v>925</v>
      </c>
      <c r="D10424" s="946"/>
      <c r="E10424" s="947"/>
      <c r="F10424" s="1054"/>
      <c r="G10424" s="946"/>
      <c r="H10424" s="1031"/>
      <c r="I10424" s="948"/>
    </row>
    <row r="10425" spans="3:9" ht="15.75">
      <c r="C10425" s="949" t="s">
        <v>924</v>
      </c>
      <c r="D10425" s="946"/>
      <c r="E10425" s="947" t="str">
        <f>+VLOOKUP(C10425,'Basic (equilibrio) (2)'!B:D,2,FALSE)</f>
        <v>n/a</v>
      </c>
      <c r="F10425" s="1054">
        <f>+VLOOKUP(C10425,'Basic (equilibrio) (2)'!B:D,3,FALSE)</f>
        <v>0</v>
      </c>
      <c r="G10425" s="946"/>
      <c r="H10425" s="1031"/>
      <c r="I10425" s="948">
        <f>D10425*F10425</f>
        <v>0</v>
      </c>
    </row>
    <row r="10426" spans="3:9" ht="15.75">
      <c r="C10426" s="951" t="s">
        <v>918</v>
      </c>
      <c r="D10426" s="946"/>
      <c r="E10426" s="947"/>
      <c r="F10426" s="1054"/>
      <c r="G10426" s="946"/>
      <c r="H10426" s="1031"/>
      <c r="I10426" s="952">
        <f>SUM(I10425)</f>
        <v>0</v>
      </c>
    </row>
    <row r="10427" spans="3:9" ht="15.75">
      <c r="C10427" s="951"/>
      <c r="D10427" s="946"/>
      <c r="E10427" s="947"/>
      <c r="F10427" s="1054"/>
      <c r="G10427" s="946"/>
      <c r="H10427" s="1031"/>
      <c r="I10427" s="952"/>
    </row>
    <row r="10428" spans="3:9" ht="15.75">
      <c r="C10428" s="956" t="s">
        <v>926</v>
      </c>
      <c r="D10428" s="957"/>
      <c r="E10428" s="958"/>
      <c r="F10428" s="1069"/>
      <c r="G10428" s="957"/>
      <c r="H10428" s="1032"/>
      <c r="I10428" s="959">
        <f>+I10414</f>
        <v>42.84</v>
      </c>
    </row>
    <row r="10429" spans="3:9" ht="15.75">
      <c r="C10429" s="956" t="s">
        <v>927</v>
      </c>
      <c r="D10429" s="957"/>
      <c r="E10429" s="958"/>
      <c r="F10429" s="1069"/>
      <c r="G10429" s="957"/>
      <c r="H10429" s="1032"/>
      <c r="I10429" s="959">
        <f>+I10418</f>
        <v>0</v>
      </c>
    </row>
    <row r="10430" spans="3:9" ht="15.75">
      <c r="C10430" s="956" t="s">
        <v>928</v>
      </c>
      <c r="D10430" s="957"/>
      <c r="E10430" s="958"/>
      <c r="F10430" s="1069"/>
      <c r="G10430" s="957"/>
      <c r="H10430" s="1032"/>
      <c r="I10430" s="959">
        <f>+I10422</f>
        <v>0</v>
      </c>
    </row>
    <row r="10431" spans="3:9" ht="15.75">
      <c r="C10431" s="956" t="s">
        <v>929</v>
      </c>
      <c r="D10431" s="957"/>
      <c r="E10431" s="958"/>
      <c r="F10431" s="1069"/>
      <c r="G10431" s="957"/>
      <c r="H10431" s="1032"/>
      <c r="I10431" s="959">
        <f>+I10426</f>
        <v>0</v>
      </c>
    </row>
    <row r="10432" spans="3:9" ht="15.75">
      <c r="C10432" s="949"/>
      <c r="D10432" s="946"/>
      <c r="E10432" s="947"/>
      <c r="F10432" s="1054"/>
      <c r="G10432" s="946"/>
      <c r="H10432" s="1031"/>
      <c r="I10432" s="948"/>
    </row>
    <row r="10433" spans="2:9" ht="15.75">
      <c r="C10433" s="951" t="s">
        <v>930</v>
      </c>
      <c r="D10433" s="960"/>
      <c r="E10433" s="975" t="str">
        <f>+E10410</f>
        <v>lb</v>
      </c>
      <c r="F10433" s="1070"/>
      <c r="G10433" s="960"/>
      <c r="H10433" s="1033"/>
      <c r="I10433" s="952">
        <f>SUM(I10428:I10431)</f>
        <v>42.84</v>
      </c>
    </row>
    <row r="10434" spans="2:9" ht="15.75">
      <c r="C10434" s="951"/>
      <c r="D10434" s="960"/>
      <c r="E10434" s="943"/>
      <c r="F10434" s="1070"/>
      <c r="G10434" s="960"/>
      <c r="H10434" s="1033"/>
      <c r="I10434" s="952"/>
    </row>
    <row r="10435" spans="2:9" ht="15.75">
      <c r="B10435" s="1026">
        <v>6.8</v>
      </c>
      <c r="C10435" s="937" t="str">
        <f>+Presupuesto!B609</f>
        <v>Pernos de Ø5/8" A325</v>
      </c>
      <c r="D10435" s="938"/>
      <c r="E10435" s="962" t="s">
        <v>1056</v>
      </c>
      <c r="F10435" s="1066"/>
      <c r="G10435" s="938"/>
      <c r="H10435" s="1029"/>
      <c r="I10435" s="940">
        <f>+I10458</f>
        <v>25.81</v>
      </c>
    </row>
    <row r="10436" spans="2:9" ht="15.75">
      <c r="C10436" s="941" t="s">
        <v>908</v>
      </c>
      <c r="D10436" s="942" t="s">
        <v>9</v>
      </c>
      <c r="E10436" s="943" t="s">
        <v>10</v>
      </c>
      <c r="F10436" s="1067" t="s">
        <v>909</v>
      </c>
      <c r="G10436" s="942" t="s">
        <v>910</v>
      </c>
      <c r="H10436" s="1030" t="s">
        <v>911</v>
      </c>
      <c r="I10436" s="944" t="s">
        <v>912</v>
      </c>
    </row>
    <row r="10437" spans="2:9" ht="15.75">
      <c r="C10437" s="945" t="s">
        <v>913</v>
      </c>
      <c r="D10437" s="946"/>
      <c r="E10437" s="947"/>
      <c r="F10437" s="1054"/>
      <c r="G10437" s="946"/>
      <c r="H10437" s="1031"/>
      <c r="I10437" s="948"/>
    </row>
    <row r="10438" spans="2:9" ht="15.75">
      <c r="C10438" s="949" t="s">
        <v>767</v>
      </c>
      <c r="D10438" s="946">
        <v>1.02</v>
      </c>
      <c r="E10438" s="947" t="str">
        <f>+VLOOKUP(C10438,'Basic (equilibrio) (2)'!B:D,2,FALSE)</f>
        <v>Ud</v>
      </c>
      <c r="F10438" s="1068">
        <f>'Basic (equilibrio) (2)'!$D$467</f>
        <v>25.3</v>
      </c>
      <c r="G10438" s="946">
        <f>F10438-(F10438/1.18)</f>
        <v>3.86</v>
      </c>
      <c r="H10438" s="1031"/>
      <c r="I10438" s="948">
        <f>D10438*F10438</f>
        <v>25.81</v>
      </c>
    </row>
    <row r="10439" spans="2:9" ht="15.75">
      <c r="C10439" s="951" t="s">
        <v>918</v>
      </c>
      <c r="D10439" s="946"/>
      <c r="E10439" s="947"/>
      <c r="F10439" s="1068"/>
      <c r="G10439" s="946"/>
      <c r="H10439" s="1031"/>
      <c r="I10439" s="952">
        <f>SUM(I10438:I10438)</f>
        <v>25.81</v>
      </c>
    </row>
    <row r="10440" spans="2:9" ht="15.75">
      <c r="C10440" s="949"/>
      <c r="D10440" s="946"/>
      <c r="E10440" s="947"/>
      <c r="F10440" s="1068"/>
      <c r="G10440" s="946"/>
      <c r="H10440" s="1031"/>
      <c r="I10440" s="948"/>
    </row>
    <row r="10441" spans="2:9" ht="15.75">
      <c r="C10441" s="945" t="s">
        <v>919</v>
      </c>
      <c r="D10441" s="946"/>
      <c r="E10441" s="947"/>
      <c r="F10441" s="1068"/>
      <c r="G10441" s="946"/>
      <c r="H10441" s="1031"/>
      <c r="I10441" s="948"/>
    </row>
    <row r="10442" spans="2:9" ht="15.75">
      <c r="C10442" s="949" t="s">
        <v>924</v>
      </c>
      <c r="D10442" s="953"/>
      <c r="E10442" s="954" t="str">
        <f>+VLOOKUP(C10442,'Basic (equilibrio) (2)'!B:D,2,FALSE)</f>
        <v>n/a</v>
      </c>
      <c r="F10442" s="1068">
        <f>+VLOOKUP(C10442,'Basic (equilibrio) (2)'!B:D,3,FALSE)</f>
        <v>0</v>
      </c>
      <c r="G10442" s="946">
        <v>0</v>
      </c>
      <c r="H10442" s="1031"/>
      <c r="I10442" s="948">
        <f>(D10442*F10442)</f>
        <v>0</v>
      </c>
    </row>
    <row r="10443" spans="2:9" ht="15.75">
      <c r="C10443" s="951" t="s">
        <v>918</v>
      </c>
      <c r="D10443" s="946"/>
      <c r="E10443" s="947"/>
      <c r="F10443" s="1054"/>
      <c r="G10443" s="946"/>
      <c r="H10443" s="1031"/>
      <c r="I10443" s="952">
        <f>SUM(I10442:I10442)</f>
        <v>0</v>
      </c>
    </row>
    <row r="10444" spans="2:9" ht="15.75">
      <c r="C10444" s="949"/>
      <c r="D10444" s="946"/>
      <c r="E10444" s="947"/>
      <c r="F10444" s="1054"/>
      <c r="G10444" s="946"/>
      <c r="H10444" s="1031"/>
      <c r="I10444" s="948"/>
    </row>
    <row r="10445" spans="2:9" ht="15.75">
      <c r="C10445" s="945" t="s">
        <v>923</v>
      </c>
      <c r="D10445" s="946"/>
      <c r="E10445" s="947"/>
      <c r="F10445" s="1054"/>
      <c r="G10445" s="946"/>
      <c r="H10445" s="1031"/>
      <c r="I10445" s="948"/>
    </row>
    <row r="10446" spans="2:9" ht="15.75">
      <c r="C10446" s="949" t="s">
        <v>924</v>
      </c>
      <c r="D10446" s="946"/>
      <c r="E10446" s="947" t="str">
        <f>+VLOOKUP(C10446,'Basic (equilibrio) (2)'!B:D,2,FALSE)</f>
        <v>n/a</v>
      </c>
      <c r="F10446" s="1054">
        <f>+VLOOKUP(C10446,'Basic (equilibrio) (2)'!B:D,3,FALSE)</f>
        <v>0</v>
      </c>
      <c r="G10446" s="946">
        <f>F10446-(F10446/1.18)</f>
        <v>0</v>
      </c>
      <c r="H10446" s="1039"/>
      <c r="I10446" s="955">
        <f>D10446*F10446</f>
        <v>0</v>
      </c>
    </row>
    <row r="10447" spans="2:9" ht="15.75">
      <c r="C10447" s="951" t="s">
        <v>918</v>
      </c>
      <c r="D10447" s="946"/>
      <c r="E10447" s="947"/>
      <c r="F10447" s="1054"/>
      <c r="G10447" s="946"/>
      <c r="H10447" s="1031"/>
      <c r="I10447" s="952">
        <f>SUM(I10446:I10446)</f>
        <v>0</v>
      </c>
    </row>
    <row r="10448" spans="2:9" ht="15.75">
      <c r="C10448" s="949"/>
      <c r="D10448" s="946"/>
      <c r="E10448" s="947"/>
      <c r="F10448" s="1054"/>
      <c r="G10448" s="946"/>
      <c r="H10448" s="1031"/>
      <c r="I10448" s="948"/>
    </row>
    <row r="10449" spans="2:9" ht="15.75">
      <c r="C10449" s="945" t="s">
        <v>925</v>
      </c>
      <c r="D10449" s="946"/>
      <c r="E10449" s="947"/>
      <c r="F10449" s="1054"/>
      <c r="G10449" s="946"/>
      <c r="H10449" s="1031"/>
      <c r="I10449" s="948"/>
    </row>
    <row r="10450" spans="2:9" ht="15.75">
      <c r="C10450" s="949" t="s">
        <v>924</v>
      </c>
      <c r="D10450" s="946"/>
      <c r="E10450" s="947" t="str">
        <f>+VLOOKUP(C10450,'Basic (equilibrio) (2)'!B:D,2,FALSE)</f>
        <v>n/a</v>
      </c>
      <c r="F10450" s="1054">
        <f>+VLOOKUP(C10450,'Basic (equilibrio) (2)'!B:D,3,FALSE)</f>
        <v>0</v>
      </c>
      <c r="G10450" s="946"/>
      <c r="H10450" s="1031"/>
      <c r="I10450" s="948">
        <f>D10450*F10450</f>
        <v>0</v>
      </c>
    </row>
    <row r="10451" spans="2:9" ht="15.75">
      <c r="C10451" s="951" t="s">
        <v>918</v>
      </c>
      <c r="D10451" s="946"/>
      <c r="E10451" s="947"/>
      <c r="F10451" s="1054"/>
      <c r="G10451" s="946"/>
      <c r="H10451" s="1031"/>
      <c r="I10451" s="952">
        <f>SUM(I10450)</f>
        <v>0</v>
      </c>
    </row>
    <row r="10452" spans="2:9" ht="15.75">
      <c r="C10452" s="951"/>
      <c r="D10452" s="946"/>
      <c r="E10452" s="947"/>
      <c r="F10452" s="1054"/>
      <c r="G10452" s="946"/>
      <c r="H10452" s="1031"/>
      <c r="I10452" s="952"/>
    </row>
    <row r="10453" spans="2:9" ht="15.75">
      <c r="C10453" s="956" t="s">
        <v>926</v>
      </c>
      <c r="D10453" s="957"/>
      <c r="E10453" s="958"/>
      <c r="F10453" s="1069"/>
      <c r="G10453" s="957"/>
      <c r="H10453" s="1032"/>
      <c r="I10453" s="959">
        <f>+I10439</f>
        <v>25.81</v>
      </c>
    </row>
    <row r="10454" spans="2:9" ht="15.75">
      <c r="C10454" s="956" t="s">
        <v>927</v>
      </c>
      <c r="D10454" s="957"/>
      <c r="E10454" s="958"/>
      <c r="F10454" s="1069"/>
      <c r="G10454" s="957"/>
      <c r="H10454" s="1032"/>
      <c r="I10454" s="959">
        <f>+I10443</f>
        <v>0</v>
      </c>
    </row>
    <row r="10455" spans="2:9" ht="15.75">
      <c r="C10455" s="956" t="s">
        <v>928</v>
      </c>
      <c r="D10455" s="957"/>
      <c r="E10455" s="958"/>
      <c r="F10455" s="1069"/>
      <c r="G10455" s="957"/>
      <c r="H10455" s="1032"/>
      <c r="I10455" s="959">
        <f>+I10447</f>
        <v>0</v>
      </c>
    </row>
    <row r="10456" spans="2:9" ht="15.75">
      <c r="C10456" s="956" t="s">
        <v>929</v>
      </c>
      <c r="D10456" s="957"/>
      <c r="E10456" s="958"/>
      <c r="F10456" s="1069"/>
      <c r="G10456" s="957"/>
      <c r="H10456" s="1032"/>
      <c r="I10456" s="959">
        <f>+I10451</f>
        <v>0</v>
      </c>
    </row>
    <row r="10457" spans="2:9" ht="15.75">
      <c r="C10457" s="949"/>
      <c r="D10457" s="946"/>
      <c r="E10457" s="947"/>
      <c r="F10457" s="1054"/>
      <c r="G10457" s="946"/>
      <c r="H10457" s="1031"/>
      <c r="I10457" s="948"/>
    </row>
    <row r="10458" spans="2:9" ht="15.75">
      <c r="C10458" s="951" t="s">
        <v>930</v>
      </c>
      <c r="D10458" s="960"/>
      <c r="E10458" s="975" t="str">
        <f>+E10435</f>
        <v>ud</v>
      </c>
      <c r="F10458" s="1070"/>
      <c r="G10458" s="960"/>
      <c r="H10458" s="1033"/>
      <c r="I10458" s="952">
        <f>SUM(I10453:I10456)</f>
        <v>25.81</v>
      </c>
    </row>
    <row r="10459" spans="2:9" ht="15.75">
      <c r="C10459" s="951"/>
      <c r="D10459" s="960"/>
      <c r="E10459" s="943"/>
      <c r="F10459" s="1070"/>
      <c r="G10459" s="960"/>
      <c r="H10459" s="1033"/>
      <c r="I10459" s="952"/>
    </row>
    <row r="10460" spans="2:9" ht="31.5">
      <c r="B10460" s="1026">
        <v>6.9</v>
      </c>
      <c r="C10460" s="937" t="str">
        <f>+Presupuesto!B610</f>
        <v>Pernos de Ø3/4" x 10" Hit-HY200+HIT-Z Acero Inoxidable (Incluye resina epóxica para anclajes)</v>
      </c>
      <c r="D10460" s="938"/>
      <c r="E10460" s="962" t="s">
        <v>1056</v>
      </c>
      <c r="F10460" s="1066"/>
      <c r="G10460" s="938"/>
      <c r="H10460" s="1029"/>
      <c r="I10460" s="940">
        <f>+I10483</f>
        <v>29.58</v>
      </c>
    </row>
    <row r="10461" spans="2:9" ht="15.75">
      <c r="C10461" s="941" t="s">
        <v>908</v>
      </c>
      <c r="D10461" s="942" t="s">
        <v>9</v>
      </c>
      <c r="E10461" s="943" t="s">
        <v>10</v>
      </c>
      <c r="F10461" s="1067" t="s">
        <v>909</v>
      </c>
      <c r="G10461" s="942" t="s">
        <v>910</v>
      </c>
      <c r="H10461" s="1030" t="s">
        <v>911</v>
      </c>
      <c r="I10461" s="944" t="s">
        <v>912</v>
      </c>
    </row>
    <row r="10462" spans="2:9" ht="15.75">
      <c r="C10462" s="945" t="s">
        <v>913</v>
      </c>
      <c r="D10462" s="946"/>
      <c r="E10462" s="947"/>
      <c r="F10462" s="1054"/>
      <c r="G10462" s="946"/>
      <c r="H10462" s="1031"/>
      <c r="I10462" s="948"/>
    </row>
    <row r="10463" spans="2:9" ht="31.5">
      <c r="C10463" s="949" t="s">
        <v>768</v>
      </c>
      <c r="D10463" s="946">
        <v>1.02</v>
      </c>
      <c r="E10463" s="947" t="str">
        <f>+VLOOKUP(C10463,'Basic (equilibrio) (2)'!B:D,2,FALSE)</f>
        <v>Ud</v>
      </c>
      <c r="F10463" s="1068">
        <f>'Basic (equilibrio) (2)'!$D$468</f>
        <v>29</v>
      </c>
      <c r="G10463" s="946">
        <f>F10463-(F10463/1.18)</f>
        <v>4.42</v>
      </c>
      <c r="H10463" s="1031"/>
      <c r="I10463" s="948">
        <f>D10463*F10463</f>
        <v>29.58</v>
      </c>
    </row>
    <row r="10464" spans="2:9" ht="15.75">
      <c r="C10464" s="951" t="s">
        <v>918</v>
      </c>
      <c r="D10464" s="946"/>
      <c r="E10464" s="947"/>
      <c r="F10464" s="1068"/>
      <c r="G10464" s="946"/>
      <c r="H10464" s="1031"/>
      <c r="I10464" s="952">
        <f>SUM(I10463:I10463)</f>
        <v>29.58</v>
      </c>
    </row>
    <row r="10465" spans="3:9" ht="15.75">
      <c r="C10465" s="949"/>
      <c r="D10465" s="946"/>
      <c r="E10465" s="947"/>
      <c r="F10465" s="1068"/>
      <c r="G10465" s="946"/>
      <c r="H10465" s="1031"/>
      <c r="I10465" s="948"/>
    </row>
    <row r="10466" spans="3:9" ht="15.75">
      <c r="C10466" s="945" t="s">
        <v>919</v>
      </c>
      <c r="D10466" s="946"/>
      <c r="E10466" s="947"/>
      <c r="F10466" s="1068"/>
      <c r="G10466" s="946"/>
      <c r="H10466" s="1031"/>
      <c r="I10466" s="948"/>
    </row>
    <row r="10467" spans="3:9" ht="15.75">
      <c r="C10467" s="949" t="s">
        <v>924</v>
      </c>
      <c r="D10467" s="953"/>
      <c r="E10467" s="954" t="str">
        <f>+VLOOKUP(C10467,'Basic (equilibrio) (2)'!B:D,2,FALSE)</f>
        <v>n/a</v>
      </c>
      <c r="F10467" s="1068">
        <f>+VLOOKUP(C10467,'Basic (equilibrio) (2)'!B:D,3,FALSE)</f>
        <v>0</v>
      </c>
      <c r="G10467" s="946">
        <v>0</v>
      </c>
      <c r="H10467" s="1031"/>
      <c r="I10467" s="948">
        <f>(D10467*F10467)</f>
        <v>0</v>
      </c>
    </row>
    <row r="10468" spans="3:9" ht="15.75">
      <c r="C10468" s="951" t="s">
        <v>918</v>
      </c>
      <c r="D10468" s="946"/>
      <c r="E10468" s="947"/>
      <c r="F10468" s="1054"/>
      <c r="G10468" s="946"/>
      <c r="H10468" s="1031"/>
      <c r="I10468" s="952">
        <f>SUM(I10467:I10467)</f>
        <v>0</v>
      </c>
    </row>
    <row r="10469" spans="3:9" ht="15.75">
      <c r="C10469" s="949"/>
      <c r="D10469" s="946"/>
      <c r="E10469" s="947"/>
      <c r="F10469" s="1054"/>
      <c r="G10469" s="946"/>
      <c r="H10469" s="1031"/>
      <c r="I10469" s="948"/>
    </row>
    <row r="10470" spans="3:9" ht="15.75">
      <c r="C10470" s="945" t="s">
        <v>923</v>
      </c>
      <c r="D10470" s="946"/>
      <c r="E10470" s="947"/>
      <c r="F10470" s="1054"/>
      <c r="G10470" s="946"/>
      <c r="H10470" s="1031"/>
      <c r="I10470" s="948"/>
    </row>
    <row r="10471" spans="3:9" ht="15.75">
      <c r="C10471" s="949" t="s">
        <v>924</v>
      </c>
      <c r="D10471" s="946"/>
      <c r="E10471" s="947" t="str">
        <f>+VLOOKUP(C10471,'Basic (equilibrio) (2)'!B:D,2,FALSE)</f>
        <v>n/a</v>
      </c>
      <c r="F10471" s="1054">
        <f>+VLOOKUP(C10471,'Basic (equilibrio) (2)'!B:D,3,FALSE)</f>
        <v>0</v>
      </c>
      <c r="G10471" s="946">
        <f>F10471-(F10471/1.18)</f>
        <v>0</v>
      </c>
      <c r="H10471" s="1039"/>
      <c r="I10471" s="955">
        <f>D10471*F10471</f>
        <v>0</v>
      </c>
    </row>
    <row r="10472" spans="3:9" ht="15.75">
      <c r="C10472" s="951" t="s">
        <v>918</v>
      </c>
      <c r="D10472" s="946"/>
      <c r="E10472" s="947"/>
      <c r="F10472" s="1054"/>
      <c r="G10472" s="946"/>
      <c r="H10472" s="1031"/>
      <c r="I10472" s="952">
        <f>SUM(I10471:I10471)</f>
        <v>0</v>
      </c>
    </row>
    <row r="10473" spans="3:9" ht="15.75">
      <c r="C10473" s="949"/>
      <c r="D10473" s="946"/>
      <c r="E10473" s="947"/>
      <c r="F10473" s="1054"/>
      <c r="G10473" s="946"/>
      <c r="H10473" s="1031"/>
      <c r="I10473" s="948"/>
    </row>
    <row r="10474" spans="3:9" ht="15.75">
      <c r="C10474" s="945" t="s">
        <v>925</v>
      </c>
      <c r="D10474" s="946"/>
      <c r="E10474" s="947"/>
      <c r="F10474" s="1054"/>
      <c r="G10474" s="946"/>
      <c r="H10474" s="1031"/>
      <c r="I10474" s="948"/>
    </row>
    <row r="10475" spans="3:9" ht="15.75">
      <c r="C10475" s="949" t="s">
        <v>924</v>
      </c>
      <c r="D10475" s="946"/>
      <c r="E10475" s="947" t="str">
        <f>+VLOOKUP(C10475,'Basic (equilibrio) (2)'!B:D,2,FALSE)</f>
        <v>n/a</v>
      </c>
      <c r="F10475" s="1054">
        <f>+VLOOKUP(C10475,'Basic (equilibrio) (2)'!B:D,3,FALSE)</f>
        <v>0</v>
      </c>
      <c r="G10475" s="946"/>
      <c r="H10475" s="1031"/>
      <c r="I10475" s="948">
        <f>D10475*F10475</f>
        <v>0</v>
      </c>
    </row>
    <row r="10476" spans="3:9" ht="15.75">
      <c r="C10476" s="951" t="s">
        <v>918</v>
      </c>
      <c r="D10476" s="946"/>
      <c r="E10476" s="947"/>
      <c r="F10476" s="1054"/>
      <c r="G10476" s="946"/>
      <c r="H10476" s="1031"/>
      <c r="I10476" s="952">
        <f>SUM(I10475)</f>
        <v>0</v>
      </c>
    </row>
    <row r="10477" spans="3:9" ht="15.75">
      <c r="C10477" s="951"/>
      <c r="D10477" s="946"/>
      <c r="E10477" s="947"/>
      <c r="F10477" s="1054"/>
      <c r="G10477" s="946"/>
      <c r="H10477" s="1031"/>
      <c r="I10477" s="952"/>
    </row>
    <row r="10478" spans="3:9" ht="15.75">
      <c r="C10478" s="956" t="s">
        <v>926</v>
      </c>
      <c r="D10478" s="957"/>
      <c r="E10478" s="958"/>
      <c r="F10478" s="1069"/>
      <c r="G10478" s="957"/>
      <c r="H10478" s="1032"/>
      <c r="I10478" s="959">
        <f>+I10464</f>
        <v>29.58</v>
      </c>
    </row>
    <row r="10479" spans="3:9" ht="15.75">
      <c r="C10479" s="956" t="s">
        <v>927</v>
      </c>
      <c r="D10479" s="957"/>
      <c r="E10479" s="958"/>
      <c r="F10479" s="1069"/>
      <c r="G10479" s="957"/>
      <c r="H10479" s="1032"/>
      <c r="I10479" s="959">
        <f>+I10468</f>
        <v>0</v>
      </c>
    </row>
    <row r="10480" spans="3:9" ht="15.75">
      <c r="C10480" s="956" t="s">
        <v>928</v>
      </c>
      <c r="D10480" s="957"/>
      <c r="E10480" s="958"/>
      <c r="F10480" s="1069"/>
      <c r="G10480" s="957"/>
      <c r="H10480" s="1032"/>
      <c r="I10480" s="959">
        <f>+I10472</f>
        <v>0</v>
      </c>
    </row>
    <row r="10481" spans="2:9" ht="15.75">
      <c r="C10481" s="956" t="s">
        <v>929</v>
      </c>
      <c r="D10481" s="957"/>
      <c r="E10481" s="958"/>
      <c r="F10481" s="1069"/>
      <c r="G10481" s="957"/>
      <c r="H10481" s="1032"/>
      <c r="I10481" s="959">
        <f>+I10476</f>
        <v>0</v>
      </c>
    </row>
    <row r="10482" spans="2:9" ht="15.75">
      <c r="C10482" s="949"/>
      <c r="D10482" s="946"/>
      <c r="E10482" s="947"/>
      <c r="F10482" s="1054"/>
      <c r="G10482" s="946"/>
      <c r="H10482" s="1031"/>
      <c r="I10482" s="948"/>
    </row>
    <row r="10483" spans="2:9" ht="15.75">
      <c r="C10483" s="951" t="s">
        <v>930</v>
      </c>
      <c r="D10483" s="960"/>
      <c r="E10483" s="975" t="str">
        <f>+E10460</f>
        <v>ud</v>
      </c>
      <c r="F10483" s="1070"/>
      <c r="G10483" s="960"/>
      <c r="H10483" s="1033"/>
      <c r="I10483" s="952">
        <f>SUM(I10478:I10481)</f>
        <v>29.58</v>
      </c>
    </row>
    <row r="10484" spans="2:9" ht="15.75">
      <c r="C10484" s="951"/>
      <c r="D10484" s="960"/>
      <c r="E10484" s="943"/>
      <c r="F10484" s="1070"/>
      <c r="G10484" s="960"/>
      <c r="H10484" s="1033"/>
      <c r="I10484" s="952"/>
    </row>
    <row r="10485" spans="2:9" ht="15.75">
      <c r="B10485" s="1026">
        <v>6.1</v>
      </c>
      <c r="C10485" s="937" t="str">
        <f>+Presupuesto!B611</f>
        <v>Tornillos de Ø1/2" A307</v>
      </c>
      <c r="D10485" s="938"/>
      <c r="E10485" s="962" t="s">
        <v>1056</v>
      </c>
      <c r="F10485" s="1066"/>
      <c r="G10485" s="938"/>
      <c r="H10485" s="1029"/>
      <c r="I10485" s="940">
        <f>+I10508</f>
        <v>4.79</v>
      </c>
    </row>
    <row r="10486" spans="2:9" ht="15.75">
      <c r="C10486" s="941" t="s">
        <v>908</v>
      </c>
      <c r="D10486" s="942" t="s">
        <v>9</v>
      </c>
      <c r="E10486" s="943" t="s">
        <v>10</v>
      </c>
      <c r="F10486" s="1067" t="s">
        <v>909</v>
      </c>
      <c r="G10486" s="942" t="s">
        <v>910</v>
      </c>
      <c r="H10486" s="1030" t="s">
        <v>911</v>
      </c>
      <c r="I10486" s="944" t="s">
        <v>912</v>
      </c>
    </row>
    <row r="10487" spans="2:9" ht="15.75">
      <c r="C10487" s="945" t="s">
        <v>913</v>
      </c>
      <c r="D10487" s="946"/>
      <c r="E10487" s="947"/>
      <c r="F10487" s="1054"/>
      <c r="G10487" s="946"/>
      <c r="H10487" s="1031"/>
      <c r="I10487" s="948"/>
    </row>
    <row r="10488" spans="2:9" ht="15.75">
      <c r="C10488" s="949" t="s">
        <v>769</v>
      </c>
      <c r="D10488" s="946">
        <v>1.02</v>
      </c>
      <c r="E10488" s="947" t="str">
        <f>+VLOOKUP(C10488,'Basic (equilibrio) (2)'!B:D,2,FALSE)</f>
        <v>Ud</v>
      </c>
      <c r="F10488" s="1068">
        <f>'Basic (equilibrio) (2)'!$D$469</f>
        <v>4.7</v>
      </c>
      <c r="G10488" s="946">
        <f>F10488-(F10488/1.18)</f>
        <v>0.72</v>
      </c>
      <c r="H10488" s="1031"/>
      <c r="I10488" s="948">
        <f>D10488*F10488</f>
        <v>4.79</v>
      </c>
    </row>
    <row r="10489" spans="2:9" ht="15.75">
      <c r="C10489" s="951" t="s">
        <v>918</v>
      </c>
      <c r="D10489" s="946"/>
      <c r="E10489" s="947"/>
      <c r="F10489" s="1068"/>
      <c r="G10489" s="946"/>
      <c r="H10489" s="1031"/>
      <c r="I10489" s="952">
        <f>SUM(I10488:I10488)</f>
        <v>4.79</v>
      </c>
    </row>
    <row r="10490" spans="2:9" ht="15.75">
      <c r="C10490" s="949"/>
      <c r="D10490" s="946"/>
      <c r="E10490" s="947"/>
      <c r="F10490" s="1068"/>
      <c r="G10490" s="946"/>
      <c r="H10490" s="1031"/>
      <c r="I10490" s="948"/>
    </row>
    <row r="10491" spans="2:9" ht="15.75">
      <c r="C10491" s="945" t="s">
        <v>919</v>
      </c>
      <c r="D10491" s="946"/>
      <c r="E10491" s="947"/>
      <c r="F10491" s="1068"/>
      <c r="G10491" s="946"/>
      <c r="H10491" s="1031"/>
      <c r="I10491" s="948"/>
    </row>
    <row r="10492" spans="2:9" ht="15.75">
      <c r="C10492" s="949" t="s">
        <v>924</v>
      </c>
      <c r="D10492" s="953"/>
      <c r="E10492" s="954" t="str">
        <f>+VLOOKUP(C10492,'Basic (equilibrio) (2)'!B:D,2,FALSE)</f>
        <v>n/a</v>
      </c>
      <c r="F10492" s="1068">
        <f>+VLOOKUP(C10492,'Basic (equilibrio) (2)'!B:D,3,FALSE)</f>
        <v>0</v>
      </c>
      <c r="G10492" s="946">
        <v>0</v>
      </c>
      <c r="H10492" s="1031"/>
      <c r="I10492" s="948">
        <f>(D10492*F10492)</f>
        <v>0</v>
      </c>
    </row>
    <row r="10493" spans="2:9" ht="15.75">
      <c r="C10493" s="951" t="s">
        <v>918</v>
      </c>
      <c r="D10493" s="946"/>
      <c r="E10493" s="947"/>
      <c r="F10493" s="1054"/>
      <c r="G10493" s="946"/>
      <c r="H10493" s="1031"/>
      <c r="I10493" s="952">
        <f>SUM(I10492:I10492)</f>
        <v>0</v>
      </c>
    </row>
    <row r="10494" spans="2:9" ht="15.75">
      <c r="C10494" s="949"/>
      <c r="D10494" s="946"/>
      <c r="E10494" s="947"/>
      <c r="F10494" s="1054"/>
      <c r="G10494" s="946"/>
      <c r="H10494" s="1031"/>
      <c r="I10494" s="948"/>
    </row>
    <row r="10495" spans="2:9" ht="15.75">
      <c r="C10495" s="945" t="s">
        <v>923</v>
      </c>
      <c r="D10495" s="946"/>
      <c r="E10495" s="947"/>
      <c r="F10495" s="1054"/>
      <c r="G10495" s="946"/>
      <c r="H10495" s="1031"/>
      <c r="I10495" s="948"/>
    </row>
    <row r="10496" spans="2:9" ht="15.75">
      <c r="C10496" s="949" t="s">
        <v>924</v>
      </c>
      <c r="D10496" s="946"/>
      <c r="E10496" s="947" t="str">
        <f>+VLOOKUP(C10496,'Basic (equilibrio) (2)'!B:D,2,FALSE)</f>
        <v>n/a</v>
      </c>
      <c r="F10496" s="1054">
        <f>+VLOOKUP(C10496,'Basic (equilibrio) (2)'!B:D,3,FALSE)</f>
        <v>0</v>
      </c>
      <c r="G10496" s="946">
        <f>F10496-(F10496/1.18)</f>
        <v>0</v>
      </c>
      <c r="H10496" s="1039"/>
      <c r="I10496" s="955">
        <f>D10496*F10496</f>
        <v>0</v>
      </c>
    </row>
    <row r="10497" spans="2:9" ht="15.75">
      <c r="C10497" s="951" t="s">
        <v>918</v>
      </c>
      <c r="D10497" s="946"/>
      <c r="E10497" s="947"/>
      <c r="F10497" s="1054"/>
      <c r="G10497" s="946"/>
      <c r="H10497" s="1031"/>
      <c r="I10497" s="952">
        <f>SUM(I10496:I10496)</f>
        <v>0</v>
      </c>
    </row>
    <row r="10498" spans="2:9" ht="15.75">
      <c r="C10498" s="949"/>
      <c r="D10498" s="946"/>
      <c r="E10498" s="947"/>
      <c r="F10498" s="1054"/>
      <c r="G10498" s="946"/>
      <c r="H10498" s="1031"/>
      <c r="I10498" s="948"/>
    </row>
    <row r="10499" spans="2:9" ht="15.75">
      <c r="C10499" s="945" t="s">
        <v>925</v>
      </c>
      <c r="D10499" s="946"/>
      <c r="E10499" s="947"/>
      <c r="F10499" s="1054"/>
      <c r="G10499" s="946"/>
      <c r="H10499" s="1031"/>
      <c r="I10499" s="948"/>
    </row>
    <row r="10500" spans="2:9" ht="15.75">
      <c r="C10500" s="949" t="s">
        <v>924</v>
      </c>
      <c r="D10500" s="946"/>
      <c r="E10500" s="947" t="str">
        <f>+VLOOKUP(C10500,'Basic (equilibrio) (2)'!B:D,2,FALSE)</f>
        <v>n/a</v>
      </c>
      <c r="F10500" s="1054">
        <f>+VLOOKUP(C10500,'Basic (equilibrio) (2)'!B:D,3,FALSE)</f>
        <v>0</v>
      </c>
      <c r="G10500" s="946"/>
      <c r="H10500" s="1031"/>
      <c r="I10500" s="948">
        <f>D10500*F10500</f>
        <v>0</v>
      </c>
    </row>
    <row r="10501" spans="2:9" ht="15.75">
      <c r="C10501" s="951" t="s">
        <v>918</v>
      </c>
      <c r="D10501" s="946"/>
      <c r="E10501" s="947"/>
      <c r="F10501" s="1054"/>
      <c r="G10501" s="946"/>
      <c r="H10501" s="1031"/>
      <c r="I10501" s="952">
        <f>SUM(I10500)</f>
        <v>0</v>
      </c>
    </row>
    <row r="10502" spans="2:9" ht="15.75">
      <c r="C10502" s="951"/>
      <c r="D10502" s="946"/>
      <c r="E10502" s="947"/>
      <c r="F10502" s="1054"/>
      <c r="G10502" s="946"/>
      <c r="H10502" s="1031"/>
      <c r="I10502" s="952"/>
    </row>
    <row r="10503" spans="2:9" ht="15.75">
      <c r="C10503" s="956" t="s">
        <v>926</v>
      </c>
      <c r="D10503" s="957"/>
      <c r="E10503" s="958"/>
      <c r="F10503" s="1069"/>
      <c r="G10503" s="957"/>
      <c r="H10503" s="1032"/>
      <c r="I10503" s="959">
        <f>+I10489</f>
        <v>4.79</v>
      </c>
    </row>
    <row r="10504" spans="2:9" ht="15.75">
      <c r="C10504" s="956" t="s">
        <v>927</v>
      </c>
      <c r="D10504" s="957"/>
      <c r="E10504" s="958"/>
      <c r="F10504" s="1069"/>
      <c r="G10504" s="957"/>
      <c r="H10504" s="1032"/>
      <c r="I10504" s="959">
        <f>+I10493</f>
        <v>0</v>
      </c>
    </row>
    <row r="10505" spans="2:9" ht="15.75">
      <c r="C10505" s="956" t="s">
        <v>928</v>
      </c>
      <c r="D10505" s="957"/>
      <c r="E10505" s="958"/>
      <c r="F10505" s="1069"/>
      <c r="G10505" s="957"/>
      <c r="H10505" s="1032"/>
      <c r="I10505" s="959">
        <f>+I10497</f>
        <v>0</v>
      </c>
    </row>
    <row r="10506" spans="2:9" ht="15.75">
      <c r="C10506" s="956" t="s">
        <v>929</v>
      </c>
      <c r="D10506" s="957"/>
      <c r="E10506" s="958"/>
      <c r="F10506" s="1069"/>
      <c r="G10506" s="957"/>
      <c r="H10506" s="1032"/>
      <c r="I10506" s="959">
        <f>+I10501</f>
        <v>0</v>
      </c>
    </row>
    <row r="10507" spans="2:9" ht="15.75">
      <c r="C10507" s="949"/>
      <c r="D10507" s="946"/>
      <c r="E10507" s="947"/>
      <c r="F10507" s="1054"/>
      <c r="G10507" s="946"/>
      <c r="H10507" s="1031"/>
      <c r="I10507" s="948"/>
    </row>
    <row r="10508" spans="2:9" ht="15.75">
      <c r="C10508" s="951" t="s">
        <v>930</v>
      </c>
      <c r="D10508" s="960"/>
      <c r="E10508" s="975" t="str">
        <f>+E10485</f>
        <v>ud</v>
      </c>
      <c r="F10508" s="1070"/>
      <c r="G10508" s="960"/>
      <c r="H10508" s="1033"/>
      <c r="I10508" s="952">
        <f>SUM(I10503:I10506)</f>
        <v>4.79</v>
      </c>
    </row>
    <row r="10509" spans="2:9" ht="15.75">
      <c r="C10509" s="951"/>
      <c r="D10509" s="960"/>
      <c r="E10509" s="943"/>
      <c r="F10509" s="1070"/>
      <c r="G10509" s="960"/>
      <c r="H10509" s="1033"/>
      <c r="I10509" s="952"/>
    </row>
    <row r="10510" spans="2:9" ht="15.75">
      <c r="B10510" s="1026">
        <v>7.1</v>
      </c>
      <c r="C10510" s="937" t="str">
        <f>+Presupuesto!B614</f>
        <v>Inodoro</v>
      </c>
      <c r="D10510" s="938"/>
      <c r="E10510" s="962" t="s">
        <v>10</v>
      </c>
      <c r="F10510" s="1066"/>
      <c r="G10510" s="938"/>
      <c r="H10510" s="1029"/>
      <c r="I10510" s="940">
        <f>+I10533</f>
        <v>13056</v>
      </c>
    </row>
    <row r="10511" spans="2:9" ht="15.75">
      <c r="C10511" s="941" t="s">
        <v>908</v>
      </c>
      <c r="D10511" s="942" t="s">
        <v>9</v>
      </c>
      <c r="E10511" s="943" t="s">
        <v>10</v>
      </c>
      <c r="F10511" s="1067" t="s">
        <v>909</v>
      </c>
      <c r="G10511" s="942" t="s">
        <v>910</v>
      </c>
      <c r="H10511" s="1030" t="s">
        <v>911</v>
      </c>
      <c r="I10511" s="944" t="s">
        <v>912</v>
      </c>
    </row>
    <row r="10512" spans="2:9" ht="15.75">
      <c r="C10512" s="945" t="s">
        <v>913</v>
      </c>
      <c r="D10512" s="946"/>
      <c r="E10512" s="947"/>
      <c r="F10512" s="1054"/>
      <c r="G10512" s="946"/>
      <c r="H10512" s="1031"/>
      <c r="I10512" s="948"/>
    </row>
    <row r="10513" spans="3:9" ht="15.75">
      <c r="C10513" s="949" t="s">
        <v>1596</v>
      </c>
      <c r="D10513" s="946">
        <v>1.02</v>
      </c>
      <c r="E10513" s="947" t="str">
        <f>+VLOOKUP(C10513,'Basic (equilibrio) (2)'!B:D,2,FALSE)</f>
        <v>ud</v>
      </c>
      <c r="F10513" s="1068">
        <f>'Basic (equilibrio) (2)'!$D$208</f>
        <v>12800</v>
      </c>
      <c r="G10513" s="946">
        <f>F10513-(F10513/1.18)</f>
        <v>1952.54</v>
      </c>
      <c r="H10513" s="1031"/>
      <c r="I10513" s="948">
        <f>D10513*F10513</f>
        <v>13056</v>
      </c>
    </row>
    <row r="10514" spans="3:9" ht="15.75">
      <c r="C10514" s="951" t="s">
        <v>918</v>
      </c>
      <c r="D10514" s="946"/>
      <c r="E10514" s="947"/>
      <c r="F10514" s="1068"/>
      <c r="G10514" s="946"/>
      <c r="H10514" s="1031"/>
      <c r="I10514" s="952">
        <f>SUM(I10513:I10513)</f>
        <v>13056</v>
      </c>
    </row>
    <row r="10515" spans="3:9" ht="15.75">
      <c r="C10515" s="949"/>
      <c r="D10515" s="946"/>
      <c r="E10515" s="947"/>
      <c r="F10515" s="1068"/>
      <c r="G10515" s="946"/>
      <c r="H10515" s="1031"/>
      <c r="I10515" s="948"/>
    </row>
    <row r="10516" spans="3:9" ht="15.75">
      <c r="C10516" s="945" t="s">
        <v>919</v>
      </c>
      <c r="D10516" s="946"/>
      <c r="E10516" s="947"/>
      <c r="F10516" s="1068"/>
      <c r="G10516" s="946"/>
      <c r="H10516" s="1031"/>
      <c r="I10516" s="948"/>
    </row>
    <row r="10517" spans="3:9" ht="15.75">
      <c r="C10517" s="949" t="s">
        <v>924</v>
      </c>
      <c r="D10517" s="953"/>
      <c r="E10517" s="954" t="str">
        <f>+VLOOKUP(C10517,'Basic (equilibrio) (2)'!B:D,2,FALSE)</f>
        <v>n/a</v>
      </c>
      <c r="F10517" s="1068">
        <f>+VLOOKUP(C10517,'Basic (equilibrio) (2)'!B:D,3,FALSE)</f>
        <v>0</v>
      </c>
      <c r="G10517" s="946">
        <v>0</v>
      </c>
      <c r="H10517" s="1031"/>
      <c r="I10517" s="948">
        <f>(D10517*F10517)</f>
        <v>0</v>
      </c>
    </row>
    <row r="10518" spans="3:9" ht="15.75">
      <c r="C10518" s="951" t="s">
        <v>918</v>
      </c>
      <c r="D10518" s="946"/>
      <c r="E10518" s="947"/>
      <c r="F10518" s="1054"/>
      <c r="G10518" s="946"/>
      <c r="H10518" s="1031"/>
      <c r="I10518" s="952">
        <f>SUM(I10517:I10517)</f>
        <v>0</v>
      </c>
    </row>
    <row r="10519" spans="3:9" ht="15.75">
      <c r="C10519" s="949"/>
      <c r="D10519" s="946"/>
      <c r="E10519" s="947"/>
      <c r="F10519" s="1054"/>
      <c r="G10519" s="946"/>
      <c r="H10519" s="1031"/>
      <c r="I10519" s="948"/>
    </row>
    <row r="10520" spans="3:9" ht="15.75">
      <c r="C10520" s="945" t="s">
        <v>923</v>
      </c>
      <c r="D10520" s="946"/>
      <c r="E10520" s="947"/>
      <c r="F10520" s="1054"/>
      <c r="G10520" s="946"/>
      <c r="H10520" s="1031"/>
      <c r="I10520" s="948"/>
    </row>
    <row r="10521" spans="3:9" ht="15.75">
      <c r="C10521" s="949" t="s">
        <v>924</v>
      </c>
      <c r="D10521" s="946"/>
      <c r="E10521" s="947" t="str">
        <f>+VLOOKUP(C10521,'Basic (equilibrio) (2)'!B:D,2,FALSE)</f>
        <v>n/a</v>
      </c>
      <c r="F10521" s="1054">
        <f>+VLOOKUP(C10521,'Basic (equilibrio) (2)'!B:D,3,FALSE)</f>
        <v>0</v>
      </c>
      <c r="G10521" s="946">
        <f>F10521-(F10521/1.18)</f>
        <v>0</v>
      </c>
      <c r="H10521" s="1039"/>
      <c r="I10521" s="955">
        <f>D10521*F10521</f>
        <v>0</v>
      </c>
    </row>
    <row r="10522" spans="3:9" ht="15.75">
      <c r="C10522" s="951" t="s">
        <v>918</v>
      </c>
      <c r="D10522" s="946"/>
      <c r="E10522" s="947"/>
      <c r="F10522" s="1054"/>
      <c r="G10522" s="946"/>
      <c r="H10522" s="1031"/>
      <c r="I10522" s="952">
        <f>SUM(I10521:I10521)</f>
        <v>0</v>
      </c>
    </row>
    <row r="10523" spans="3:9" ht="15.75">
      <c r="C10523" s="949"/>
      <c r="D10523" s="946"/>
      <c r="E10523" s="947"/>
      <c r="F10523" s="1054"/>
      <c r="G10523" s="946"/>
      <c r="H10523" s="1031"/>
      <c r="I10523" s="948"/>
    </row>
    <row r="10524" spans="3:9" ht="15.75">
      <c r="C10524" s="945" t="s">
        <v>925</v>
      </c>
      <c r="D10524" s="946"/>
      <c r="E10524" s="947"/>
      <c r="F10524" s="1054"/>
      <c r="G10524" s="946"/>
      <c r="H10524" s="1031"/>
      <c r="I10524" s="948"/>
    </row>
    <row r="10525" spans="3:9" ht="15.75">
      <c r="C10525" s="949" t="s">
        <v>924</v>
      </c>
      <c r="D10525" s="946"/>
      <c r="E10525" s="947" t="str">
        <f>+VLOOKUP(C10525,'Basic (equilibrio) (2)'!B:D,2,FALSE)</f>
        <v>n/a</v>
      </c>
      <c r="F10525" s="1054">
        <f>+VLOOKUP(C10525,'Basic (equilibrio) (2)'!B:D,3,FALSE)</f>
        <v>0</v>
      </c>
      <c r="G10525" s="946"/>
      <c r="H10525" s="1031"/>
      <c r="I10525" s="948">
        <f>D10525*F10525</f>
        <v>0</v>
      </c>
    </row>
    <row r="10526" spans="3:9" ht="15.75">
      <c r="C10526" s="951" t="s">
        <v>918</v>
      </c>
      <c r="D10526" s="946"/>
      <c r="E10526" s="947"/>
      <c r="F10526" s="1054"/>
      <c r="G10526" s="946"/>
      <c r="H10526" s="1031"/>
      <c r="I10526" s="952">
        <f>SUM(I10525)</f>
        <v>0</v>
      </c>
    </row>
    <row r="10527" spans="3:9" ht="15.75">
      <c r="C10527" s="951"/>
      <c r="D10527" s="946"/>
      <c r="E10527" s="947"/>
      <c r="F10527" s="1054"/>
      <c r="G10527" s="946"/>
      <c r="H10527" s="1031"/>
      <c r="I10527" s="952"/>
    </row>
    <row r="10528" spans="3:9" ht="15.75">
      <c r="C10528" s="956" t="s">
        <v>926</v>
      </c>
      <c r="D10528" s="957"/>
      <c r="E10528" s="958"/>
      <c r="F10528" s="1069"/>
      <c r="G10528" s="957"/>
      <c r="H10528" s="1032"/>
      <c r="I10528" s="959">
        <f>+I10514</f>
        <v>13056</v>
      </c>
    </row>
    <row r="10529" spans="2:9" ht="15.75">
      <c r="C10529" s="956" t="s">
        <v>927</v>
      </c>
      <c r="D10529" s="957"/>
      <c r="E10529" s="958"/>
      <c r="F10529" s="1069"/>
      <c r="G10529" s="957"/>
      <c r="H10529" s="1032"/>
      <c r="I10529" s="959">
        <f>+I10518</f>
        <v>0</v>
      </c>
    </row>
    <row r="10530" spans="2:9" ht="15.75">
      <c r="C10530" s="956" t="s">
        <v>928</v>
      </c>
      <c r="D10530" s="957"/>
      <c r="E10530" s="958"/>
      <c r="F10530" s="1069"/>
      <c r="G10530" s="957"/>
      <c r="H10530" s="1032"/>
      <c r="I10530" s="959">
        <f>+I10522</f>
        <v>0</v>
      </c>
    </row>
    <row r="10531" spans="2:9" ht="15.75">
      <c r="C10531" s="956" t="s">
        <v>929</v>
      </c>
      <c r="D10531" s="957"/>
      <c r="E10531" s="958"/>
      <c r="F10531" s="1069"/>
      <c r="G10531" s="957"/>
      <c r="H10531" s="1032"/>
      <c r="I10531" s="959">
        <f>+I10526</f>
        <v>0</v>
      </c>
    </row>
    <row r="10532" spans="2:9" ht="15.75">
      <c r="C10532" s="949"/>
      <c r="D10532" s="946"/>
      <c r="E10532" s="947"/>
      <c r="F10532" s="1054"/>
      <c r="G10532" s="946"/>
      <c r="H10532" s="1031"/>
      <c r="I10532" s="948"/>
    </row>
    <row r="10533" spans="2:9" ht="15.75">
      <c r="C10533" s="951" t="s">
        <v>930</v>
      </c>
      <c r="D10533" s="960"/>
      <c r="E10533" s="975" t="str">
        <f>+E10510</f>
        <v>Ud</v>
      </c>
      <c r="F10533" s="1070"/>
      <c r="G10533" s="960"/>
      <c r="H10533" s="1033"/>
      <c r="I10533" s="952">
        <f>SUM(I10528:I10531)</f>
        <v>13056</v>
      </c>
    </row>
    <row r="10534" spans="2:9" ht="15.75">
      <c r="C10534" s="951"/>
      <c r="D10534" s="960"/>
      <c r="E10534" s="943"/>
      <c r="F10534" s="1070"/>
      <c r="G10534" s="960"/>
      <c r="H10534" s="1033"/>
      <c r="I10534" s="952"/>
    </row>
    <row r="10535" spans="2:9" ht="15.75">
      <c r="B10535" s="1026">
        <v>7.2</v>
      </c>
      <c r="C10535" s="937" t="str">
        <f>+Presupuesto!B615</f>
        <v>Lavamanos</v>
      </c>
      <c r="D10535" s="938"/>
      <c r="E10535" s="962" t="s">
        <v>10</v>
      </c>
      <c r="F10535" s="1066"/>
      <c r="G10535" s="938"/>
      <c r="H10535" s="1029"/>
      <c r="I10535" s="940">
        <f>+I10558</f>
        <v>11034.77</v>
      </c>
    </row>
    <row r="10536" spans="2:9" ht="15.75">
      <c r="C10536" s="941" t="s">
        <v>908</v>
      </c>
      <c r="D10536" s="942" t="s">
        <v>9</v>
      </c>
      <c r="E10536" s="943" t="s">
        <v>10</v>
      </c>
      <c r="F10536" s="1067" t="s">
        <v>909</v>
      </c>
      <c r="G10536" s="942" t="s">
        <v>910</v>
      </c>
      <c r="H10536" s="1030" t="s">
        <v>911</v>
      </c>
      <c r="I10536" s="944" t="s">
        <v>912</v>
      </c>
    </row>
    <row r="10537" spans="2:9" ht="15.75">
      <c r="C10537" s="945" t="s">
        <v>913</v>
      </c>
      <c r="D10537" s="946"/>
      <c r="E10537" s="947"/>
      <c r="F10537" s="1054"/>
      <c r="G10537" s="946"/>
      <c r="H10537" s="1031"/>
      <c r="I10537" s="948"/>
    </row>
    <row r="10538" spans="2:9" ht="15.75">
      <c r="C10538" s="949" t="s">
        <v>1597</v>
      </c>
      <c r="D10538" s="946">
        <v>1.02</v>
      </c>
      <c r="E10538" s="947" t="str">
        <f>+VLOOKUP(C10538,'Basic (equilibrio) (2)'!B:D,2,FALSE)</f>
        <v>ud</v>
      </c>
      <c r="F10538" s="1068">
        <f>'Basic (equilibrio) (2)'!$D$209</f>
        <v>10818.4</v>
      </c>
      <c r="G10538" s="946">
        <f>F10538-(F10538/1.18)</f>
        <v>1650.26</v>
      </c>
      <c r="H10538" s="1031"/>
      <c r="I10538" s="948">
        <f>D10538*F10538</f>
        <v>11034.77</v>
      </c>
    </row>
    <row r="10539" spans="2:9" ht="15.75">
      <c r="C10539" s="951" t="s">
        <v>918</v>
      </c>
      <c r="D10539" s="946"/>
      <c r="E10539" s="947"/>
      <c r="F10539" s="1068"/>
      <c r="G10539" s="946"/>
      <c r="H10539" s="1031"/>
      <c r="I10539" s="952">
        <f>SUM(I10538:I10538)</f>
        <v>11034.77</v>
      </c>
    </row>
    <row r="10540" spans="2:9" ht="15.75">
      <c r="C10540" s="949"/>
      <c r="D10540" s="946"/>
      <c r="E10540" s="947"/>
      <c r="F10540" s="1068"/>
      <c r="G10540" s="946"/>
      <c r="H10540" s="1031"/>
      <c r="I10540" s="948"/>
    </row>
    <row r="10541" spans="2:9" ht="15.75">
      <c r="C10541" s="945" t="s">
        <v>919</v>
      </c>
      <c r="D10541" s="946"/>
      <c r="E10541" s="947"/>
      <c r="F10541" s="1068"/>
      <c r="G10541" s="946"/>
      <c r="H10541" s="1031"/>
      <c r="I10541" s="948"/>
    </row>
    <row r="10542" spans="2:9" ht="15.75">
      <c r="C10542" s="949" t="s">
        <v>924</v>
      </c>
      <c r="D10542" s="953"/>
      <c r="E10542" s="954" t="str">
        <f>+VLOOKUP(C10542,'Basic (equilibrio) (2)'!B:D,2,FALSE)</f>
        <v>n/a</v>
      </c>
      <c r="F10542" s="1068">
        <f>+VLOOKUP(C10542,'Basic (equilibrio) (2)'!B:D,3,FALSE)</f>
        <v>0</v>
      </c>
      <c r="G10542" s="946">
        <v>0</v>
      </c>
      <c r="H10542" s="1031"/>
      <c r="I10542" s="948">
        <f>(D10542*F10542)</f>
        <v>0</v>
      </c>
    </row>
    <row r="10543" spans="2:9" ht="15.75">
      <c r="C10543" s="951" t="s">
        <v>918</v>
      </c>
      <c r="D10543" s="946"/>
      <c r="E10543" s="947"/>
      <c r="F10543" s="1054"/>
      <c r="G10543" s="946"/>
      <c r="H10543" s="1031"/>
      <c r="I10543" s="952">
        <f>SUM(I10542:I10542)</f>
        <v>0</v>
      </c>
    </row>
    <row r="10544" spans="2:9" ht="15.75">
      <c r="C10544" s="949"/>
      <c r="D10544" s="946"/>
      <c r="E10544" s="947"/>
      <c r="F10544" s="1054"/>
      <c r="G10544" s="946"/>
      <c r="H10544" s="1031"/>
      <c r="I10544" s="948"/>
    </row>
    <row r="10545" spans="2:9" ht="15.75">
      <c r="C10545" s="945" t="s">
        <v>923</v>
      </c>
      <c r="D10545" s="946"/>
      <c r="E10545" s="947"/>
      <c r="F10545" s="1054"/>
      <c r="G10545" s="946"/>
      <c r="H10545" s="1031"/>
      <c r="I10545" s="948"/>
    </row>
    <row r="10546" spans="2:9" ht="15.75">
      <c r="C10546" s="949" t="s">
        <v>924</v>
      </c>
      <c r="D10546" s="946"/>
      <c r="E10546" s="947" t="str">
        <f>+VLOOKUP(C10546,'Basic (equilibrio) (2)'!B:D,2,FALSE)</f>
        <v>n/a</v>
      </c>
      <c r="F10546" s="1054">
        <f>+VLOOKUP(C10546,'Basic (equilibrio) (2)'!B:D,3,FALSE)</f>
        <v>0</v>
      </c>
      <c r="G10546" s="946">
        <f>F10546-(F10546/1.18)</f>
        <v>0</v>
      </c>
      <c r="H10546" s="1039"/>
      <c r="I10546" s="955">
        <f>D10546*F10546</f>
        <v>0</v>
      </c>
    </row>
    <row r="10547" spans="2:9" ht="15.75">
      <c r="C10547" s="951" t="s">
        <v>918</v>
      </c>
      <c r="D10547" s="946"/>
      <c r="E10547" s="947"/>
      <c r="F10547" s="1054"/>
      <c r="G10547" s="946"/>
      <c r="H10547" s="1031"/>
      <c r="I10547" s="952">
        <f>SUM(I10546:I10546)</f>
        <v>0</v>
      </c>
    </row>
    <row r="10548" spans="2:9" ht="15.75">
      <c r="C10548" s="949"/>
      <c r="D10548" s="946"/>
      <c r="E10548" s="947"/>
      <c r="F10548" s="1054"/>
      <c r="G10548" s="946"/>
      <c r="H10548" s="1031"/>
      <c r="I10548" s="948"/>
    </row>
    <row r="10549" spans="2:9" ht="15.75">
      <c r="C10549" s="945" t="s">
        <v>925</v>
      </c>
      <c r="D10549" s="946"/>
      <c r="E10549" s="947"/>
      <c r="F10549" s="1054"/>
      <c r="G10549" s="946"/>
      <c r="H10549" s="1031"/>
      <c r="I10549" s="948"/>
    </row>
    <row r="10550" spans="2:9" ht="15.75">
      <c r="C10550" s="949" t="s">
        <v>924</v>
      </c>
      <c r="D10550" s="946"/>
      <c r="E10550" s="947" t="str">
        <f>+VLOOKUP(C10550,'Basic (equilibrio) (2)'!B:D,2,FALSE)</f>
        <v>n/a</v>
      </c>
      <c r="F10550" s="1054">
        <f>+VLOOKUP(C10550,'Basic (equilibrio) (2)'!B:D,3,FALSE)</f>
        <v>0</v>
      </c>
      <c r="G10550" s="946"/>
      <c r="H10550" s="1031"/>
      <c r="I10550" s="948">
        <f>D10550*F10550</f>
        <v>0</v>
      </c>
    </row>
    <row r="10551" spans="2:9" ht="15.75">
      <c r="C10551" s="951" t="s">
        <v>918</v>
      </c>
      <c r="D10551" s="946"/>
      <c r="E10551" s="947"/>
      <c r="F10551" s="1054"/>
      <c r="G10551" s="946"/>
      <c r="H10551" s="1031"/>
      <c r="I10551" s="952">
        <f>SUM(I10550)</f>
        <v>0</v>
      </c>
    </row>
    <row r="10552" spans="2:9" ht="15.75">
      <c r="C10552" s="951"/>
      <c r="D10552" s="946"/>
      <c r="E10552" s="947"/>
      <c r="F10552" s="1054"/>
      <c r="G10552" s="946"/>
      <c r="H10552" s="1031"/>
      <c r="I10552" s="952"/>
    </row>
    <row r="10553" spans="2:9" ht="15.75">
      <c r="C10553" s="956" t="s">
        <v>926</v>
      </c>
      <c r="D10553" s="957"/>
      <c r="E10553" s="958"/>
      <c r="F10553" s="1069"/>
      <c r="G10553" s="957"/>
      <c r="H10553" s="1032"/>
      <c r="I10553" s="959">
        <f>+I10539</f>
        <v>11034.77</v>
      </c>
    </row>
    <row r="10554" spans="2:9" ht="15.75">
      <c r="C10554" s="956" t="s">
        <v>927</v>
      </c>
      <c r="D10554" s="957"/>
      <c r="E10554" s="958"/>
      <c r="F10554" s="1069"/>
      <c r="G10554" s="957"/>
      <c r="H10554" s="1032"/>
      <c r="I10554" s="959">
        <f>+I10543</f>
        <v>0</v>
      </c>
    </row>
    <row r="10555" spans="2:9" ht="15.75">
      <c r="C10555" s="956" t="s">
        <v>928</v>
      </c>
      <c r="D10555" s="957"/>
      <c r="E10555" s="958"/>
      <c r="F10555" s="1069"/>
      <c r="G10555" s="957"/>
      <c r="H10555" s="1032"/>
      <c r="I10555" s="959">
        <f>+I10547</f>
        <v>0</v>
      </c>
    </row>
    <row r="10556" spans="2:9" ht="15.75">
      <c r="C10556" s="956" t="s">
        <v>929</v>
      </c>
      <c r="D10556" s="957"/>
      <c r="E10556" s="958"/>
      <c r="F10556" s="1069"/>
      <c r="G10556" s="957"/>
      <c r="H10556" s="1032"/>
      <c r="I10556" s="959">
        <f>+I10551</f>
        <v>0</v>
      </c>
    </row>
    <row r="10557" spans="2:9" ht="15.75">
      <c r="C10557" s="949"/>
      <c r="D10557" s="946"/>
      <c r="E10557" s="947"/>
      <c r="F10557" s="1054"/>
      <c r="G10557" s="946"/>
      <c r="H10557" s="1031"/>
      <c r="I10557" s="948"/>
    </row>
    <row r="10558" spans="2:9" ht="15.75">
      <c r="C10558" s="951" t="s">
        <v>930</v>
      </c>
      <c r="D10558" s="960"/>
      <c r="E10558" s="975" t="str">
        <f>+E10535</f>
        <v>Ud</v>
      </c>
      <c r="F10558" s="1070"/>
      <c r="G10558" s="960"/>
      <c r="H10558" s="1033"/>
      <c r="I10558" s="952">
        <f>SUM(I10553:I10556)</f>
        <v>11034.77</v>
      </c>
    </row>
    <row r="10559" spans="2:9" ht="15.75">
      <c r="C10559" s="951"/>
      <c r="D10559" s="960"/>
      <c r="E10559" s="943"/>
      <c r="F10559" s="1070"/>
      <c r="G10559" s="960"/>
      <c r="H10559" s="1033"/>
      <c r="I10559" s="952"/>
    </row>
    <row r="10560" spans="2:9" ht="15.75">
      <c r="B10560" s="1026">
        <v>7.3</v>
      </c>
      <c r="C10560" s="937" t="str">
        <f>+Presupuesto!B616</f>
        <v>Desagüe de piso 2" parrilla acero inoxidable</v>
      </c>
      <c r="D10560" s="938"/>
      <c r="E10560" s="962" t="s">
        <v>10</v>
      </c>
      <c r="F10560" s="1066"/>
      <c r="G10560" s="938"/>
      <c r="H10560" s="1029"/>
      <c r="I10560" s="940">
        <f>+I10583</f>
        <v>1382.51</v>
      </c>
    </row>
    <row r="10561" spans="3:9" ht="15.75">
      <c r="C10561" s="941" t="s">
        <v>908</v>
      </c>
      <c r="D10561" s="942" t="s">
        <v>9</v>
      </c>
      <c r="E10561" s="943" t="s">
        <v>10</v>
      </c>
      <c r="F10561" s="1067" t="s">
        <v>909</v>
      </c>
      <c r="G10561" s="942" t="s">
        <v>910</v>
      </c>
      <c r="H10561" s="1030" t="s">
        <v>911</v>
      </c>
      <c r="I10561" s="944" t="s">
        <v>912</v>
      </c>
    </row>
    <row r="10562" spans="3:9" ht="15.75">
      <c r="C10562" s="945" t="s">
        <v>913</v>
      </c>
      <c r="D10562" s="946"/>
      <c r="E10562" s="947"/>
      <c r="F10562" s="1054"/>
      <c r="G10562" s="946"/>
      <c r="H10562" s="1031"/>
      <c r="I10562" s="948"/>
    </row>
    <row r="10563" spans="3:9" ht="15.75">
      <c r="C10563" s="949" t="s">
        <v>1601</v>
      </c>
      <c r="D10563" s="946">
        <v>1.02</v>
      </c>
      <c r="E10563" s="947" t="str">
        <f>+VLOOKUP(C10563,'Basic (equilibrio) (2)'!B:D,2,FALSE)</f>
        <v>ud</v>
      </c>
      <c r="F10563" s="1068">
        <f>'Basic (equilibrio) (2)'!$D$215</f>
        <v>1355.4</v>
      </c>
      <c r="G10563" s="946">
        <f>F10563-(F10563/1.18)</f>
        <v>206.76</v>
      </c>
      <c r="H10563" s="1031"/>
      <c r="I10563" s="948">
        <f>D10563*F10563</f>
        <v>1382.51</v>
      </c>
    </row>
    <row r="10564" spans="3:9" ht="15.75">
      <c r="C10564" s="951" t="s">
        <v>918</v>
      </c>
      <c r="D10564" s="946"/>
      <c r="E10564" s="947"/>
      <c r="F10564" s="1068"/>
      <c r="G10564" s="946"/>
      <c r="H10564" s="1031"/>
      <c r="I10564" s="952">
        <f>SUM(I10563:I10563)</f>
        <v>1382.51</v>
      </c>
    </row>
    <row r="10565" spans="3:9" ht="15.75">
      <c r="C10565" s="949"/>
      <c r="D10565" s="946"/>
      <c r="E10565" s="947"/>
      <c r="F10565" s="1068"/>
      <c r="G10565" s="946"/>
      <c r="H10565" s="1031"/>
      <c r="I10565" s="948"/>
    </row>
    <row r="10566" spans="3:9" ht="15.75">
      <c r="C10566" s="945" t="s">
        <v>919</v>
      </c>
      <c r="D10566" s="946"/>
      <c r="E10566" s="947"/>
      <c r="F10566" s="1068"/>
      <c r="G10566" s="946"/>
      <c r="H10566" s="1031"/>
      <c r="I10566" s="948"/>
    </row>
    <row r="10567" spans="3:9" ht="15.75">
      <c r="C10567" s="949" t="s">
        <v>924</v>
      </c>
      <c r="D10567" s="953"/>
      <c r="E10567" s="954" t="str">
        <f>+VLOOKUP(C10567,'Basic (equilibrio) (2)'!B:D,2,FALSE)</f>
        <v>n/a</v>
      </c>
      <c r="F10567" s="1068">
        <f>+VLOOKUP(C10567,'Basic (equilibrio) (2)'!B:D,3,FALSE)</f>
        <v>0</v>
      </c>
      <c r="G10567" s="946">
        <v>0</v>
      </c>
      <c r="H10567" s="1031"/>
      <c r="I10567" s="948">
        <f>(D10567*F10567)</f>
        <v>0</v>
      </c>
    </row>
    <row r="10568" spans="3:9" ht="15.75">
      <c r="C10568" s="951" t="s">
        <v>918</v>
      </c>
      <c r="D10568" s="946"/>
      <c r="E10568" s="947"/>
      <c r="F10568" s="1054"/>
      <c r="G10568" s="946"/>
      <c r="H10568" s="1031"/>
      <c r="I10568" s="952">
        <f>SUM(I10567:I10567)</f>
        <v>0</v>
      </c>
    </row>
    <row r="10569" spans="3:9" ht="15.75">
      <c r="C10569" s="949"/>
      <c r="D10569" s="946"/>
      <c r="E10569" s="947"/>
      <c r="F10569" s="1054"/>
      <c r="G10569" s="946"/>
      <c r="H10569" s="1031"/>
      <c r="I10569" s="948"/>
    </row>
    <row r="10570" spans="3:9" ht="15.75">
      <c r="C10570" s="945" t="s">
        <v>923</v>
      </c>
      <c r="D10570" s="946"/>
      <c r="E10570" s="947"/>
      <c r="F10570" s="1054"/>
      <c r="G10570" s="946"/>
      <c r="H10570" s="1031"/>
      <c r="I10570" s="948"/>
    </row>
    <row r="10571" spans="3:9" ht="15.75">
      <c r="C10571" s="949" t="s">
        <v>924</v>
      </c>
      <c r="D10571" s="946"/>
      <c r="E10571" s="947" t="str">
        <f>+VLOOKUP(C10571,'Basic (equilibrio) (2)'!B:D,2,FALSE)</f>
        <v>n/a</v>
      </c>
      <c r="F10571" s="1054">
        <f>+VLOOKUP(C10571,'Basic (equilibrio) (2)'!B:D,3,FALSE)</f>
        <v>0</v>
      </c>
      <c r="G10571" s="946">
        <f>F10571-(F10571/1.18)</f>
        <v>0</v>
      </c>
      <c r="H10571" s="1039"/>
      <c r="I10571" s="955">
        <f>D10571*F10571</f>
        <v>0</v>
      </c>
    </row>
    <row r="10572" spans="3:9" ht="15.75">
      <c r="C10572" s="951" t="s">
        <v>918</v>
      </c>
      <c r="D10572" s="946"/>
      <c r="E10572" s="947"/>
      <c r="F10572" s="1054"/>
      <c r="G10572" s="946"/>
      <c r="H10572" s="1031"/>
      <c r="I10572" s="952">
        <f>SUM(I10571:I10571)</f>
        <v>0</v>
      </c>
    </row>
    <row r="10573" spans="3:9" ht="15.75">
      <c r="C10573" s="949"/>
      <c r="D10573" s="946"/>
      <c r="E10573" s="947"/>
      <c r="F10573" s="1054"/>
      <c r="G10573" s="946"/>
      <c r="H10573" s="1031"/>
      <c r="I10573" s="948"/>
    </row>
    <row r="10574" spans="3:9" ht="15.75">
      <c r="C10574" s="945" t="s">
        <v>925</v>
      </c>
      <c r="D10574" s="946"/>
      <c r="E10574" s="947"/>
      <c r="F10574" s="1054"/>
      <c r="G10574" s="946"/>
      <c r="H10574" s="1031"/>
      <c r="I10574" s="948"/>
    </row>
    <row r="10575" spans="3:9" ht="15.75">
      <c r="C10575" s="949" t="s">
        <v>924</v>
      </c>
      <c r="D10575" s="946"/>
      <c r="E10575" s="947" t="str">
        <f>+VLOOKUP(C10575,'Basic (equilibrio) (2)'!B:D,2,FALSE)</f>
        <v>n/a</v>
      </c>
      <c r="F10575" s="1054">
        <f>+VLOOKUP(C10575,'Basic (equilibrio) (2)'!B:D,3,FALSE)</f>
        <v>0</v>
      </c>
      <c r="G10575" s="946"/>
      <c r="H10575" s="1031"/>
      <c r="I10575" s="948">
        <f>D10575*F10575</f>
        <v>0</v>
      </c>
    </row>
    <row r="10576" spans="3:9" ht="15.75">
      <c r="C10576" s="951" t="s">
        <v>918</v>
      </c>
      <c r="D10576" s="946"/>
      <c r="E10576" s="947"/>
      <c r="F10576" s="1054"/>
      <c r="G10576" s="946"/>
      <c r="H10576" s="1031"/>
      <c r="I10576" s="952">
        <f>SUM(I10575)</f>
        <v>0</v>
      </c>
    </row>
    <row r="10577" spans="2:9" ht="15.75">
      <c r="C10577" s="951"/>
      <c r="D10577" s="946"/>
      <c r="E10577" s="947"/>
      <c r="F10577" s="1054"/>
      <c r="G10577" s="946"/>
      <c r="H10577" s="1031"/>
      <c r="I10577" s="952"/>
    </row>
    <row r="10578" spans="2:9" ht="15.75">
      <c r="C10578" s="956" t="s">
        <v>926</v>
      </c>
      <c r="D10578" s="957"/>
      <c r="E10578" s="958"/>
      <c r="F10578" s="1069"/>
      <c r="G10578" s="957"/>
      <c r="H10578" s="1032"/>
      <c r="I10578" s="959">
        <f>+I10564</f>
        <v>1382.51</v>
      </c>
    </row>
    <row r="10579" spans="2:9" ht="15.75">
      <c r="C10579" s="956" t="s">
        <v>927</v>
      </c>
      <c r="D10579" s="957"/>
      <c r="E10579" s="958"/>
      <c r="F10579" s="1069"/>
      <c r="G10579" s="957"/>
      <c r="H10579" s="1032"/>
      <c r="I10579" s="959">
        <f>+I10568</f>
        <v>0</v>
      </c>
    </row>
    <row r="10580" spans="2:9" ht="15.75">
      <c r="C10580" s="956" t="s">
        <v>928</v>
      </c>
      <c r="D10580" s="957"/>
      <c r="E10580" s="958"/>
      <c r="F10580" s="1069"/>
      <c r="G10580" s="957"/>
      <c r="H10580" s="1032"/>
      <c r="I10580" s="959">
        <f>+I10572</f>
        <v>0</v>
      </c>
    </row>
    <row r="10581" spans="2:9" ht="15.75">
      <c r="C10581" s="956" t="s">
        <v>929</v>
      </c>
      <c r="D10581" s="957"/>
      <c r="E10581" s="958"/>
      <c r="F10581" s="1069"/>
      <c r="G10581" s="957"/>
      <c r="H10581" s="1032"/>
      <c r="I10581" s="959">
        <f>+I10576</f>
        <v>0</v>
      </c>
    </row>
    <row r="10582" spans="2:9" ht="15.75">
      <c r="C10582" s="949"/>
      <c r="D10582" s="946"/>
      <c r="E10582" s="947"/>
      <c r="F10582" s="1054"/>
      <c r="G10582" s="946"/>
      <c r="H10582" s="1031"/>
      <c r="I10582" s="948"/>
    </row>
    <row r="10583" spans="2:9" ht="15.75">
      <c r="C10583" s="951" t="s">
        <v>930</v>
      </c>
      <c r="D10583" s="960"/>
      <c r="E10583" s="975" t="str">
        <f>+E10560</f>
        <v>Ud</v>
      </c>
      <c r="F10583" s="1070"/>
      <c r="G10583" s="960"/>
      <c r="H10583" s="1033"/>
      <c r="I10583" s="952">
        <f>SUM(I10578:I10581)</f>
        <v>1382.51</v>
      </c>
    </row>
    <row r="10584" spans="2:9" ht="15.75">
      <c r="C10584" s="951"/>
      <c r="D10584" s="960"/>
      <c r="E10584" s="943"/>
      <c r="F10584" s="1070"/>
      <c r="G10584" s="960"/>
      <c r="H10584" s="1033"/>
      <c r="I10584" s="952"/>
    </row>
    <row r="10585" spans="2:9" ht="15.75">
      <c r="B10585" s="1026">
        <v>7.4</v>
      </c>
      <c r="C10585" s="937" t="str">
        <f>+Presupuesto!B617</f>
        <v xml:space="preserve">Fregadero acero inoxidable doble </v>
      </c>
      <c r="D10585" s="938"/>
      <c r="E10585" s="962" t="s">
        <v>10</v>
      </c>
      <c r="F10585" s="1066"/>
      <c r="G10585" s="938"/>
      <c r="H10585" s="1029"/>
      <c r="I10585" s="940">
        <f>+I10608</f>
        <v>12750.41</v>
      </c>
    </row>
    <row r="10586" spans="2:9" ht="15.75">
      <c r="C10586" s="941" t="s">
        <v>908</v>
      </c>
      <c r="D10586" s="942" t="s">
        <v>9</v>
      </c>
      <c r="E10586" s="943" t="s">
        <v>10</v>
      </c>
      <c r="F10586" s="1067" t="s">
        <v>909</v>
      </c>
      <c r="G10586" s="942" t="s">
        <v>910</v>
      </c>
      <c r="H10586" s="1030" t="s">
        <v>911</v>
      </c>
      <c r="I10586" s="944" t="s">
        <v>912</v>
      </c>
    </row>
    <row r="10587" spans="2:9" ht="15.75">
      <c r="C10587" s="945" t="s">
        <v>913</v>
      </c>
      <c r="D10587" s="946"/>
      <c r="E10587" s="947"/>
      <c r="F10587" s="1054"/>
      <c r="G10587" s="946"/>
      <c r="H10587" s="1031"/>
      <c r="I10587" s="948"/>
    </row>
    <row r="10588" spans="2:9" ht="15.75">
      <c r="C10588" s="949" t="s">
        <v>1598</v>
      </c>
      <c r="D10588" s="946">
        <v>1.02</v>
      </c>
      <c r="E10588" s="947" t="str">
        <f>+VLOOKUP(C10588,'Basic (equilibrio) (2)'!B:D,2,FALSE)</f>
        <v>ud</v>
      </c>
      <c r="F10588" s="1068">
        <f>'Basic (equilibrio) (2)'!$D$212</f>
        <v>12500.4</v>
      </c>
      <c r="G10588" s="946">
        <f>F10588-(F10588/1.18)</f>
        <v>1906.84</v>
      </c>
      <c r="H10588" s="1031"/>
      <c r="I10588" s="948">
        <f>D10588*F10588</f>
        <v>12750.41</v>
      </c>
    </row>
    <row r="10589" spans="2:9" ht="15.75">
      <c r="C10589" s="951" t="s">
        <v>918</v>
      </c>
      <c r="D10589" s="946"/>
      <c r="E10589" s="947"/>
      <c r="F10589" s="1068"/>
      <c r="G10589" s="946"/>
      <c r="H10589" s="1031"/>
      <c r="I10589" s="952">
        <f>SUM(I10588:I10588)</f>
        <v>12750.41</v>
      </c>
    </row>
    <row r="10590" spans="2:9" ht="15.75">
      <c r="C10590" s="949"/>
      <c r="D10590" s="946"/>
      <c r="E10590" s="947"/>
      <c r="F10590" s="1068"/>
      <c r="G10590" s="946"/>
      <c r="H10590" s="1031"/>
      <c r="I10590" s="948"/>
    </row>
    <row r="10591" spans="2:9" ht="15.75">
      <c r="C10591" s="945" t="s">
        <v>919</v>
      </c>
      <c r="D10591" s="946"/>
      <c r="E10591" s="947"/>
      <c r="F10591" s="1068"/>
      <c r="G10591" s="946"/>
      <c r="H10591" s="1031"/>
      <c r="I10591" s="948"/>
    </row>
    <row r="10592" spans="2:9" ht="15.75">
      <c r="C10592" s="949" t="s">
        <v>924</v>
      </c>
      <c r="D10592" s="953"/>
      <c r="E10592" s="954" t="str">
        <f>+VLOOKUP(C10592,'Basic (equilibrio) (2)'!B:D,2,FALSE)</f>
        <v>n/a</v>
      </c>
      <c r="F10592" s="1068">
        <f>+VLOOKUP(C10592,'Basic (equilibrio) (2)'!B:D,3,FALSE)</f>
        <v>0</v>
      </c>
      <c r="G10592" s="946">
        <v>0</v>
      </c>
      <c r="H10592" s="1031"/>
      <c r="I10592" s="948">
        <f>(D10592*F10592)</f>
        <v>0</v>
      </c>
    </row>
    <row r="10593" spans="3:9" ht="15.75">
      <c r="C10593" s="951" t="s">
        <v>918</v>
      </c>
      <c r="D10593" s="946"/>
      <c r="E10593" s="947"/>
      <c r="F10593" s="1054"/>
      <c r="G10593" s="946"/>
      <c r="H10593" s="1031"/>
      <c r="I10593" s="952">
        <f>SUM(I10592:I10592)</f>
        <v>0</v>
      </c>
    </row>
    <row r="10594" spans="3:9" ht="15.75">
      <c r="C10594" s="949"/>
      <c r="D10594" s="946"/>
      <c r="E10594" s="947"/>
      <c r="F10594" s="1054"/>
      <c r="G10594" s="946"/>
      <c r="H10594" s="1031"/>
      <c r="I10594" s="948"/>
    </row>
    <row r="10595" spans="3:9" ht="15.75">
      <c r="C10595" s="945" t="s">
        <v>923</v>
      </c>
      <c r="D10595" s="946"/>
      <c r="E10595" s="947"/>
      <c r="F10595" s="1054"/>
      <c r="G10595" s="946"/>
      <c r="H10595" s="1031"/>
      <c r="I10595" s="948"/>
    </row>
    <row r="10596" spans="3:9" ht="15.75">
      <c r="C10596" s="949" t="s">
        <v>924</v>
      </c>
      <c r="D10596" s="946"/>
      <c r="E10596" s="947" t="str">
        <f>+VLOOKUP(C10596,'Basic (equilibrio) (2)'!B:D,2,FALSE)</f>
        <v>n/a</v>
      </c>
      <c r="F10596" s="1054">
        <f>+VLOOKUP(C10596,'Basic (equilibrio) (2)'!B:D,3,FALSE)</f>
        <v>0</v>
      </c>
      <c r="G10596" s="946">
        <f>F10596-(F10596/1.18)</f>
        <v>0</v>
      </c>
      <c r="H10596" s="1039"/>
      <c r="I10596" s="955">
        <f>D10596*F10596</f>
        <v>0</v>
      </c>
    </row>
    <row r="10597" spans="3:9" ht="15.75">
      <c r="C10597" s="951" t="s">
        <v>918</v>
      </c>
      <c r="D10597" s="946"/>
      <c r="E10597" s="947"/>
      <c r="F10597" s="1054"/>
      <c r="G10597" s="946"/>
      <c r="H10597" s="1031"/>
      <c r="I10597" s="952">
        <f>SUM(I10596:I10596)</f>
        <v>0</v>
      </c>
    </row>
    <row r="10598" spans="3:9" ht="15.75">
      <c r="C10598" s="949"/>
      <c r="D10598" s="946"/>
      <c r="E10598" s="947"/>
      <c r="F10598" s="1054"/>
      <c r="G10598" s="946"/>
      <c r="H10598" s="1031"/>
      <c r="I10598" s="948"/>
    </row>
    <row r="10599" spans="3:9" ht="15.75">
      <c r="C10599" s="945" t="s">
        <v>925</v>
      </c>
      <c r="D10599" s="946"/>
      <c r="E10599" s="947"/>
      <c r="F10599" s="1054"/>
      <c r="G10599" s="946"/>
      <c r="H10599" s="1031"/>
      <c r="I10599" s="948"/>
    </row>
    <row r="10600" spans="3:9" ht="15.75">
      <c r="C10600" s="949" t="s">
        <v>924</v>
      </c>
      <c r="D10600" s="946"/>
      <c r="E10600" s="947" t="str">
        <f>+VLOOKUP(C10600,'Basic (equilibrio) (2)'!B:D,2,FALSE)</f>
        <v>n/a</v>
      </c>
      <c r="F10600" s="1054">
        <f>+VLOOKUP(C10600,'Basic (equilibrio) (2)'!B:D,3,FALSE)</f>
        <v>0</v>
      </c>
      <c r="G10600" s="946"/>
      <c r="H10600" s="1031"/>
      <c r="I10600" s="948">
        <f>D10600*F10600</f>
        <v>0</v>
      </c>
    </row>
    <row r="10601" spans="3:9" ht="15.75">
      <c r="C10601" s="951" t="s">
        <v>918</v>
      </c>
      <c r="D10601" s="946"/>
      <c r="E10601" s="947"/>
      <c r="F10601" s="1054"/>
      <c r="G10601" s="946"/>
      <c r="H10601" s="1031"/>
      <c r="I10601" s="952">
        <f>SUM(I10600)</f>
        <v>0</v>
      </c>
    </row>
    <row r="10602" spans="3:9" ht="15.75">
      <c r="C10602" s="951"/>
      <c r="D10602" s="946"/>
      <c r="E10602" s="947"/>
      <c r="F10602" s="1054"/>
      <c r="G10602" s="946"/>
      <c r="H10602" s="1031"/>
      <c r="I10602" s="952"/>
    </row>
    <row r="10603" spans="3:9" ht="15.75">
      <c r="C10603" s="956" t="s">
        <v>926</v>
      </c>
      <c r="D10603" s="957"/>
      <c r="E10603" s="958"/>
      <c r="F10603" s="1069"/>
      <c r="G10603" s="957"/>
      <c r="H10603" s="1032"/>
      <c r="I10603" s="959">
        <f>+I10589</f>
        <v>12750.41</v>
      </c>
    </row>
    <row r="10604" spans="3:9" ht="15.75">
      <c r="C10604" s="956" t="s">
        <v>927</v>
      </c>
      <c r="D10604" s="957"/>
      <c r="E10604" s="958"/>
      <c r="F10604" s="1069"/>
      <c r="G10604" s="957"/>
      <c r="H10604" s="1032"/>
      <c r="I10604" s="959">
        <f>+I10593</f>
        <v>0</v>
      </c>
    </row>
    <row r="10605" spans="3:9" ht="15.75">
      <c r="C10605" s="956" t="s">
        <v>928</v>
      </c>
      <c r="D10605" s="957"/>
      <c r="E10605" s="958"/>
      <c r="F10605" s="1069"/>
      <c r="G10605" s="957"/>
      <c r="H10605" s="1032"/>
      <c r="I10605" s="959">
        <f>+I10597</f>
        <v>0</v>
      </c>
    </row>
    <row r="10606" spans="3:9" ht="15.75">
      <c r="C10606" s="956" t="s">
        <v>929</v>
      </c>
      <c r="D10606" s="957"/>
      <c r="E10606" s="958"/>
      <c r="F10606" s="1069"/>
      <c r="G10606" s="957"/>
      <c r="H10606" s="1032"/>
      <c r="I10606" s="959">
        <f>+I10601</f>
        <v>0</v>
      </c>
    </row>
    <row r="10607" spans="3:9" ht="15.75">
      <c r="C10607" s="949"/>
      <c r="D10607" s="946"/>
      <c r="E10607" s="947"/>
      <c r="F10607" s="1054"/>
      <c r="G10607" s="946"/>
      <c r="H10607" s="1031"/>
      <c r="I10607" s="948"/>
    </row>
    <row r="10608" spans="3:9" ht="15.75">
      <c r="C10608" s="951" t="s">
        <v>930</v>
      </c>
      <c r="D10608" s="960"/>
      <c r="E10608" s="975" t="str">
        <f>+E10585</f>
        <v>Ud</v>
      </c>
      <c r="F10608" s="1070"/>
      <c r="G10608" s="960"/>
      <c r="H10608" s="1033"/>
      <c r="I10608" s="952">
        <f>SUM(I10603:I10606)</f>
        <v>12750.41</v>
      </c>
    </row>
    <row r="10609" spans="2:9" ht="15.75">
      <c r="C10609" s="951"/>
      <c r="D10609" s="960"/>
      <c r="E10609" s="943"/>
      <c r="F10609" s="1070"/>
      <c r="G10609" s="960"/>
      <c r="H10609" s="1033"/>
      <c r="I10609" s="952"/>
    </row>
    <row r="10610" spans="2:9" ht="15.75">
      <c r="B10610" s="1063">
        <v>7.5</v>
      </c>
      <c r="C10610" s="937" t="str">
        <f>+Presupuesto!B618</f>
        <v>Trampa de grasa (1.00m x 1.00m x 1.00m)</v>
      </c>
      <c r="D10610" s="938"/>
      <c r="E10610" s="962" t="s">
        <v>10</v>
      </c>
      <c r="F10610" s="1066"/>
      <c r="G10610" s="938"/>
      <c r="H10610" s="1029"/>
      <c r="I10610" s="940">
        <f>+I10633</f>
        <v>9874.82</v>
      </c>
    </row>
    <row r="10611" spans="2:9" ht="15.75">
      <c r="C10611" s="941" t="s">
        <v>908</v>
      </c>
      <c r="D10611" s="942" t="s">
        <v>9</v>
      </c>
      <c r="E10611" s="943" t="s">
        <v>10</v>
      </c>
      <c r="F10611" s="1067" t="s">
        <v>909</v>
      </c>
      <c r="G10611" s="942" t="s">
        <v>910</v>
      </c>
      <c r="H10611" s="1030" t="s">
        <v>911</v>
      </c>
      <c r="I10611" s="944" t="s">
        <v>912</v>
      </c>
    </row>
    <row r="10612" spans="2:9" ht="15.75">
      <c r="C10612" s="945" t="s">
        <v>913</v>
      </c>
      <c r="D10612" s="946"/>
      <c r="E10612" s="947"/>
      <c r="F10612" s="1054"/>
      <c r="G10612" s="946"/>
      <c r="H10612" s="1031"/>
      <c r="I10612" s="948"/>
    </row>
    <row r="10613" spans="2:9" ht="15.75">
      <c r="C10613" s="949" t="s">
        <v>1605</v>
      </c>
      <c r="D10613" s="946">
        <v>1.02</v>
      </c>
      <c r="E10613" s="947" t="str">
        <f>+VLOOKUP(C10613,'Basic (equilibrio) (2)'!B:D,2,FALSE)</f>
        <v>ud</v>
      </c>
      <c r="F10613" s="1068">
        <f>'Basic (equilibrio) (2)'!$D$220</f>
        <v>9681.2000000000007</v>
      </c>
      <c r="G10613" s="946">
        <f>F10613-(F10613/1.18)</f>
        <v>1476.79</v>
      </c>
      <c r="H10613" s="1031"/>
      <c r="I10613" s="948">
        <f>D10613*F10613</f>
        <v>9874.82</v>
      </c>
    </row>
    <row r="10614" spans="2:9" ht="15.75">
      <c r="C10614" s="951" t="s">
        <v>918</v>
      </c>
      <c r="D10614" s="946"/>
      <c r="E10614" s="947"/>
      <c r="F10614" s="1068"/>
      <c r="G10614" s="946"/>
      <c r="H10614" s="1031"/>
      <c r="I10614" s="952">
        <f>SUM(I10613:I10613)</f>
        <v>9874.82</v>
      </c>
    </row>
    <row r="10615" spans="2:9" ht="15.75">
      <c r="C10615" s="949"/>
      <c r="D10615" s="946"/>
      <c r="E10615" s="947"/>
      <c r="F10615" s="1068"/>
      <c r="G10615" s="946"/>
      <c r="H10615" s="1031"/>
      <c r="I10615" s="948"/>
    </row>
    <row r="10616" spans="2:9" ht="15.75">
      <c r="C10616" s="945" t="s">
        <v>919</v>
      </c>
      <c r="D10616" s="946"/>
      <c r="E10616" s="947"/>
      <c r="F10616" s="1068"/>
      <c r="G10616" s="946"/>
      <c r="H10616" s="1031"/>
      <c r="I10616" s="948"/>
    </row>
    <row r="10617" spans="2:9" ht="15.75">
      <c r="C10617" s="949" t="s">
        <v>924</v>
      </c>
      <c r="D10617" s="953"/>
      <c r="E10617" s="954" t="str">
        <f>+VLOOKUP(C10617,'Basic (equilibrio) (2)'!B:D,2,FALSE)</f>
        <v>n/a</v>
      </c>
      <c r="F10617" s="1068">
        <f>+VLOOKUP(C10617,'Basic (equilibrio) (2)'!B:D,3,FALSE)</f>
        <v>0</v>
      </c>
      <c r="G10617" s="946">
        <v>0</v>
      </c>
      <c r="H10617" s="1031"/>
      <c r="I10617" s="948">
        <f>(D10617*F10617)</f>
        <v>0</v>
      </c>
    </row>
    <row r="10618" spans="2:9" ht="15.75">
      <c r="C10618" s="951" t="s">
        <v>918</v>
      </c>
      <c r="D10618" s="946"/>
      <c r="E10618" s="947"/>
      <c r="F10618" s="1054"/>
      <c r="G10618" s="946"/>
      <c r="H10618" s="1031"/>
      <c r="I10618" s="952">
        <f>SUM(I10617:I10617)</f>
        <v>0</v>
      </c>
    </row>
    <row r="10619" spans="2:9" ht="15.75">
      <c r="C10619" s="949"/>
      <c r="D10619" s="946"/>
      <c r="E10619" s="947"/>
      <c r="F10619" s="1054"/>
      <c r="G10619" s="946"/>
      <c r="H10619" s="1031"/>
      <c r="I10619" s="948"/>
    </row>
    <row r="10620" spans="2:9" ht="15.75">
      <c r="C10620" s="945" t="s">
        <v>923</v>
      </c>
      <c r="D10620" s="946"/>
      <c r="E10620" s="947"/>
      <c r="F10620" s="1054"/>
      <c r="G10620" s="946"/>
      <c r="H10620" s="1031"/>
      <c r="I10620" s="948"/>
    </row>
    <row r="10621" spans="2:9" ht="15.75">
      <c r="C10621" s="949" t="s">
        <v>924</v>
      </c>
      <c r="D10621" s="946"/>
      <c r="E10621" s="947" t="str">
        <f>+VLOOKUP(C10621,'Basic (equilibrio) (2)'!B:D,2,FALSE)</f>
        <v>n/a</v>
      </c>
      <c r="F10621" s="1054">
        <f>+VLOOKUP(C10621,'Basic (equilibrio) (2)'!B:D,3,FALSE)</f>
        <v>0</v>
      </c>
      <c r="G10621" s="946">
        <f>F10621-(F10621/1.18)</f>
        <v>0</v>
      </c>
      <c r="H10621" s="1039"/>
      <c r="I10621" s="955">
        <f>D10621*F10621</f>
        <v>0</v>
      </c>
    </row>
    <row r="10622" spans="2:9" ht="15.75">
      <c r="C10622" s="951" t="s">
        <v>918</v>
      </c>
      <c r="D10622" s="946"/>
      <c r="E10622" s="947"/>
      <c r="F10622" s="1054"/>
      <c r="G10622" s="946"/>
      <c r="H10622" s="1031"/>
      <c r="I10622" s="952">
        <f>SUM(I10621:I10621)</f>
        <v>0</v>
      </c>
    </row>
    <row r="10623" spans="2:9" ht="15.75">
      <c r="C10623" s="949"/>
      <c r="D10623" s="946"/>
      <c r="E10623" s="947"/>
      <c r="F10623" s="1054"/>
      <c r="G10623" s="946"/>
      <c r="H10623" s="1031"/>
      <c r="I10623" s="948"/>
    </row>
    <row r="10624" spans="2:9" ht="15.75">
      <c r="C10624" s="945" t="s">
        <v>925</v>
      </c>
      <c r="D10624" s="946"/>
      <c r="E10624" s="947"/>
      <c r="F10624" s="1054"/>
      <c r="G10624" s="946"/>
      <c r="H10624" s="1031"/>
      <c r="I10624" s="948"/>
    </row>
    <row r="10625" spans="2:9" ht="15.75">
      <c r="C10625" s="949" t="s">
        <v>924</v>
      </c>
      <c r="D10625" s="946"/>
      <c r="E10625" s="947" t="str">
        <f>+VLOOKUP(C10625,'Basic (equilibrio) (2)'!B:D,2,FALSE)</f>
        <v>n/a</v>
      </c>
      <c r="F10625" s="1054">
        <f>+VLOOKUP(C10625,'Basic (equilibrio) (2)'!B:D,3,FALSE)</f>
        <v>0</v>
      </c>
      <c r="G10625" s="946"/>
      <c r="H10625" s="1031"/>
      <c r="I10625" s="948">
        <f>D10625*F10625</f>
        <v>0</v>
      </c>
    </row>
    <row r="10626" spans="2:9" ht="15.75">
      <c r="C10626" s="951" t="s">
        <v>918</v>
      </c>
      <c r="D10626" s="946"/>
      <c r="E10626" s="947"/>
      <c r="F10626" s="1054"/>
      <c r="G10626" s="946"/>
      <c r="H10626" s="1031"/>
      <c r="I10626" s="952">
        <f>SUM(I10625)</f>
        <v>0</v>
      </c>
    </row>
    <row r="10627" spans="2:9" ht="15.75">
      <c r="C10627" s="951"/>
      <c r="D10627" s="946"/>
      <c r="E10627" s="947"/>
      <c r="F10627" s="1054"/>
      <c r="G10627" s="946"/>
      <c r="H10627" s="1031"/>
      <c r="I10627" s="952"/>
    </row>
    <row r="10628" spans="2:9" ht="15.75">
      <c r="C10628" s="956" t="s">
        <v>926</v>
      </c>
      <c r="D10628" s="957"/>
      <c r="E10628" s="958"/>
      <c r="F10628" s="1069"/>
      <c r="G10628" s="957"/>
      <c r="H10628" s="1032"/>
      <c r="I10628" s="959">
        <f>+I10614</f>
        <v>9874.82</v>
      </c>
    </row>
    <row r="10629" spans="2:9" ht="15.75">
      <c r="C10629" s="956" t="s">
        <v>927</v>
      </c>
      <c r="D10629" s="957"/>
      <c r="E10629" s="958"/>
      <c r="F10629" s="1069"/>
      <c r="G10629" s="957"/>
      <c r="H10629" s="1032"/>
      <c r="I10629" s="959">
        <f>+I10618</f>
        <v>0</v>
      </c>
    </row>
    <row r="10630" spans="2:9" ht="15.75">
      <c r="C10630" s="956" t="s">
        <v>928</v>
      </c>
      <c r="D10630" s="957"/>
      <c r="E10630" s="958"/>
      <c r="F10630" s="1069"/>
      <c r="G10630" s="957"/>
      <c r="H10630" s="1032"/>
      <c r="I10630" s="959">
        <f>+I10622</f>
        <v>0</v>
      </c>
    </row>
    <row r="10631" spans="2:9" ht="15.75">
      <c r="C10631" s="956" t="s">
        <v>929</v>
      </c>
      <c r="D10631" s="957"/>
      <c r="E10631" s="958"/>
      <c r="F10631" s="1069"/>
      <c r="G10631" s="957"/>
      <c r="H10631" s="1032"/>
      <c r="I10631" s="959">
        <f>+I10626</f>
        <v>0</v>
      </c>
    </row>
    <row r="10632" spans="2:9" ht="15.75">
      <c r="C10632" s="949"/>
      <c r="D10632" s="946"/>
      <c r="E10632" s="947"/>
      <c r="F10632" s="1054"/>
      <c r="G10632" s="946"/>
      <c r="H10632" s="1031"/>
      <c r="I10632" s="948"/>
    </row>
    <row r="10633" spans="2:9" ht="15.75">
      <c r="C10633" s="951" t="s">
        <v>930</v>
      </c>
      <c r="D10633" s="960"/>
      <c r="E10633" s="975" t="str">
        <f>+E10610</f>
        <v>Ud</v>
      </c>
      <c r="F10633" s="1070"/>
      <c r="G10633" s="960"/>
      <c r="H10633" s="1033"/>
      <c r="I10633" s="952">
        <f>SUM(I10628:I10631)</f>
        <v>9874.82</v>
      </c>
    </row>
    <row r="10634" spans="2:9" ht="15.75">
      <c r="C10634" s="951"/>
      <c r="D10634" s="960"/>
      <c r="E10634" s="943"/>
      <c r="F10634" s="1070"/>
      <c r="G10634" s="960"/>
      <c r="H10634" s="1033"/>
      <c r="I10634" s="952"/>
    </row>
    <row r="10635" spans="2:9" ht="15.75">
      <c r="B10635" s="1063">
        <v>7.6</v>
      </c>
      <c r="C10635" s="937" t="str">
        <f>+Presupuesto!B619</f>
        <v>Cámara séptica (1.00m x 2.40m x 1.00m)</v>
      </c>
      <c r="D10635" s="938"/>
      <c r="E10635" s="962" t="s">
        <v>10</v>
      </c>
      <c r="F10635" s="1066"/>
      <c r="G10635" s="938"/>
      <c r="H10635" s="1029"/>
      <c r="I10635" s="940">
        <f>+I10658</f>
        <v>66139.960000000006</v>
      </c>
    </row>
    <row r="10636" spans="2:9" ht="15.75">
      <c r="C10636" s="941" t="s">
        <v>908</v>
      </c>
      <c r="D10636" s="942" t="s">
        <v>9</v>
      </c>
      <c r="E10636" s="943" t="s">
        <v>10</v>
      </c>
      <c r="F10636" s="1067" t="s">
        <v>909</v>
      </c>
      <c r="G10636" s="942" t="s">
        <v>910</v>
      </c>
      <c r="H10636" s="1030" t="s">
        <v>911</v>
      </c>
      <c r="I10636" s="944" t="s">
        <v>912</v>
      </c>
    </row>
    <row r="10637" spans="2:9" ht="15.75">
      <c r="C10637" s="945" t="s">
        <v>913</v>
      </c>
      <c r="D10637" s="946"/>
      <c r="E10637" s="947"/>
      <c r="F10637" s="1054"/>
      <c r="G10637" s="946"/>
      <c r="H10637" s="1031"/>
      <c r="I10637" s="948"/>
    </row>
    <row r="10638" spans="2:9" ht="15.75">
      <c r="C10638" s="949" t="s">
        <v>1608</v>
      </c>
      <c r="D10638" s="946">
        <v>1.02</v>
      </c>
      <c r="E10638" s="947" t="str">
        <f>+VLOOKUP(C10638,'Basic (equilibrio) (2)'!B:D,2,FALSE)</f>
        <v>ud</v>
      </c>
      <c r="F10638" s="1068">
        <f>'Basic (equilibrio) (2)'!$D$223</f>
        <v>64843.1</v>
      </c>
      <c r="G10638" s="946">
        <f>F10638-(F10638/1.18)</f>
        <v>9891.32</v>
      </c>
      <c r="H10638" s="1031"/>
      <c r="I10638" s="948">
        <f>D10638*F10638</f>
        <v>66139.960000000006</v>
      </c>
    </row>
    <row r="10639" spans="2:9" ht="15.75">
      <c r="C10639" s="951" t="s">
        <v>918</v>
      </c>
      <c r="D10639" s="946"/>
      <c r="E10639" s="947"/>
      <c r="F10639" s="1068"/>
      <c r="G10639" s="946"/>
      <c r="H10639" s="1031"/>
      <c r="I10639" s="952">
        <f>SUM(I10638:I10638)</f>
        <v>66139.960000000006</v>
      </c>
    </row>
    <row r="10640" spans="2:9" ht="15.75">
      <c r="C10640" s="949"/>
      <c r="D10640" s="946"/>
      <c r="E10640" s="947"/>
      <c r="F10640" s="1068"/>
      <c r="G10640" s="946"/>
      <c r="H10640" s="1031"/>
      <c r="I10640" s="948"/>
    </row>
    <row r="10641" spans="3:9" ht="15.75">
      <c r="C10641" s="945" t="s">
        <v>919</v>
      </c>
      <c r="D10641" s="946"/>
      <c r="E10641" s="947"/>
      <c r="F10641" s="1068"/>
      <c r="G10641" s="946"/>
      <c r="H10641" s="1031"/>
      <c r="I10641" s="948"/>
    </row>
    <row r="10642" spans="3:9" ht="15.75">
      <c r="C10642" s="949" t="s">
        <v>924</v>
      </c>
      <c r="D10642" s="953"/>
      <c r="E10642" s="954" t="str">
        <f>+VLOOKUP(C10642,'Basic (equilibrio) (2)'!B:D,2,FALSE)</f>
        <v>n/a</v>
      </c>
      <c r="F10642" s="1068">
        <f>+VLOOKUP(C10642,'Basic (equilibrio) (2)'!B:D,3,FALSE)</f>
        <v>0</v>
      </c>
      <c r="G10642" s="946">
        <v>0</v>
      </c>
      <c r="H10642" s="1031"/>
      <c r="I10642" s="948">
        <f>(D10642*F10642)</f>
        <v>0</v>
      </c>
    </row>
    <row r="10643" spans="3:9" ht="15.75">
      <c r="C10643" s="951" t="s">
        <v>918</v>
      </c>
      <c r="D10643" s="946"/>
      <c r="E10643" s="947"/>
      <c r="F10643" s="1054"/>
      <c r="G10643" s="946"/>
      <c r="H10643" s="1031"/>
      <c r="I10643" s="952">
        <f>SUM(I10642:I10642)</f>
        <v>0</v>
      </c>
    </row>
    <row r="10644" spans="3:9" ht="15.75">
      <c r="C10644" s="949"/>
      <c r="D10644" s="946"/>
      <c r="E10644" s="947"/>
      <c r="F10644" s="1054"/>
      <c r="G10644" s="946"/>
      <c r="H10644" s="1031"/>
      <c r="I10644" s="948"/>
    </row>
    <row r="10645" spans="3:9" ht="15.75">
      <c r="C10645" s="945" t="s">
        <v>923</v>
      </c>
      <c r="D10645" s="946"/>
      <c r="E10645" s="947"/>
      <c r="F10645" s="1054"/>
      <c r="G10645" s="946"/>
      <c r="H10645" s="1031"/>
      <c r="I10645" s="948"/>
    </row>
    <row r="10646" spans="3:9" ht="15.75">
      <c r="C10646" s="949" t="s">
        <v>924</v>
      </c>
      <c r="D10646" s="946"/>
      <c r="E10646" s="947" t="str">
        <f>+VLOOKUP(C10646,'Basic (equilibrio) (2)'!B:D,2,FALSE)</f>
        <v>n/a</v>
      </c>
      <c r="F10646" s="1054">
        <f>+VLOOKUP(C10646,'Basic (equilibrio) (2)'!B:D,3,FALSE)</f>
        <v>0</v>
      </c>
      <c r="G10646" s="946">
        <f>F10646-(F10646/1.18)</f>
        <v>0</v>
      </c>
      <c r="H10646" s="1039"/>
      <c r="I10646" s="955">
        <f>D10646*F10646</f>
        <v>0</v>
      </c>
    </row>
    <row r="10647" spans="3:9" ht="15.75">
      <c r="C10647" s="951" t="s">
        <v>918</v>
      </c>
      <c r="D10647" s="946"/>
      <c r="E10647" s="947"/>
      <c r="F10647" s="1054"/>
      <c r="G10647" s="946"/>
      <c r="H10647" s="1031"/>
      <c r="I10647" s="952">
        <f>SUM(I10646:I10646)</f>
        <v>0</v>
      </c>
    </row>
    <row r="10648" spans="3:9" ht="15.75">
      <c r="C10648" s="949"/>
      <c r="D10648" s="946"/>
      <c r="E10648" s="947"/>
      <c r="F10648" s="1054"/>
      <c r="G10648" s="946"/>
      <c r="H10648" s="1031"/>
      <c r="I10648" s="948"/>
    </row>
    <row r="10649" spans="3:9" ht="15.75">
      <c r="C10649" s="945" t="s">
        <v>925</v>
      </c>
      <c r="D10649" s="946"/>
      <c r="E10649" s="947"/>
      <c r="F10649" s="1054"/>
      <c r="G10649" s="946"/>
      <c r="H10649" s="1031"/>
      <c r="I10649" s="948"/>
    </row>
    <row r="10650" spans="3:9" ht="15.75">
      <c r="C10650" s="949" t="s">
        <v>924</v>
      </c>
      <c r="D10650" s="946"/>
      <c r="E10650" s="947" t="str">
        <f>+VLOOKUP(C10650,'Basic (equilibrio) (2)'!B:D,2,FALSE)</f>
        <v>n/a</v>
      </c>
      <c r="F10650" s="1054">
        <f>+VLOOKUP(C10650,'Basic (equilibrio) (2)'!B:D,3,FALSE)</f>
        <v>0</v>
      </c>
      <c r="G10650" s="946"/>
      <c r="H10650" s="1031"/>
      <c r="I10650" s="948">
        <f>D10650*F10650</f>
        <v>0</v>
      </c>
    </row>
    <row r="10651" spans="3:9" ht="15.75">
      <c r="C10651" s="951" t="s">
        <v>918</v>
      </c>
      <c r="D10651" s="946"/>
      <c r="E10651" s="947"/>
      <c r="F10651" s="1054"/>
      <c r="G10651" s="946"/>
      <c r="H10651" s="1031"/>
      <c r="I10651" s="952">
        <f>SUM(I10650)</f>
        <v>0</v>
      </c>
    </row>
    <row r="10652" spans="3:9" ht="15.75">
      <c r="C10652" s="951"/>
      <c r="D10652" s="946"/>
      <c r="E10652" s="947"/>
      <c r="F10652" s="1054"/>
      <c r="G10652" s="946"/>
      <c r="H10652" s="1031"/>
      <c r="I10652" s="952"/>
    </row>
    <row r="10653" spans="3:9" ht="15.75">
      <c r="C10653" s="956" t="s">
        <v>926</v>
      </c>
      <c r="D10653" s="957"/>
      <c r="E10653" s="958"/>
      <c r="F10653" s="1069"/>
      <c r="G10653" s="957"/>
      <c r="H10653" s="1032"/>
      <c r="I10653" s="959">
        <f>+I10639</f>
        <v>66139.960000000006</v>
      </c>
    </row>
    <row r="10654" spans="3:9" ht="15.75">
      <c r="C10654" s="956" t="s">
        <v>927</v>
      </c>
      <c r="D10654" s="957"/>
      <c r="E10654" s="958"/>
      <c r="F10654" s="1069"/>
      <c r="G10654" s="957"/>
      <c r="H10654" s="1032"/>
      <c r="I10654" s="959">
        <f>+I10643</f>
        <v>0</v>
      </c>
    </row>
    <row r="10655" spans="3:9" ht="15.75">
      <c r="C10655" s="956" t="s">
        <v>928</v>
      </c>
      <c r="D10655" s="957"/>
      <c r="E10655" s="958"/>
      <c r="F10655" s="1069"/>
      <c r="G10655" s="957"/>
      <c r="H10655" s="1032"/>
      <c r="I10655" s="959">
        <f>+I10647</f>
        <v>0</v>
      </c>
    </row>
    <row r="10656" spans="3:9" ht="15.75">
      <c r="C10656" s="956" t="s">
        <v>929</v>
      </c>
      <c r="D10656" s="957"/>
      <c r="E10656" s="958"/>
      <c r="F10656" s="1069"/>
      <c r="G10656" s="957"/>
      <c r="H10656" s="1032"/>
      <c r="I10656" s="959">
        <f>+I10651</f>
        <v>0</v>
      </c>
    </row>
    <row r="10657" spans="2:9" ht="15.75">
      <c r="C10657" s="949"/>
      <c r="D10657" s="946"/>
      <c r="E10657" s="947"/>
      <c r="F10657" s="1054"/>
      <c r="G10657" s="946"/>
      <c r="H10657" s="1031"/>
      <c r="I10657" s="948"/>
    </row>
    <row r="10658" spans="2:9" ht="15.75">
      <c r="C10658" s="951" t="s">
        <v>930</v>
      </c>
      <c r="D10658" s="960"/>
      <c r="E10658" s="975" t="str">
        <f>+E10635</f>
        <v>Ud</v>
      </c>
      <c r="F10658" s="1070"/>
      <c r="G10658" s="960"/>
      <c r="H10658" s="1033"/>
      <c r="I10658" s="952">
        <f>SUM(I10653:I10656)</f>
        <v>66139.960000000006</v>
      </c>
    </row>
    <row r="10659" spans="2:9" ht="15.75">
      <c r="C10659" s="951"/>
      <c r="D10659" s="960"/>
      <c r="E10659" s="943"/>
      <c r="F10659" s="1070"/>
      <c r="G10659" s="960"/>
      <c r="H10659" s="1033"/>
      <c r="I10659" s="952"/>
    </row>
    <row r="10660" spans="2:9" ht="15.75">
      <c r="B10660" s="1063">
        <v>7.7</v>
      </c>
      <c r="C10660" s="937" t="str">
        <f>+Presupuesto!B620</f>
        <v>Registro de inspección (0.60m x 0.60m x 0.75m)</v>
      </c>
      <c r="D10660" s="938"/>
      <c r="E10660" s="962" t="s">
        <v>10</v>
      </c>
      <c r="F10660" s="1066"/>
      <c r="G10660" s="938"/>
      <c r="H10660" s="1029"/>
      <c r="I10660" s="940">
        <f>+I10683</f>
        <v>5158.1400000000003</v>
      </c>
    </row>
    <row r="10661" spans="2:9" ht="15.75">
      <c r="C10661" s="941" t="s">
        <v>908</v>
      </c>
      <c r="D10661" s="942" t="s">
        <v>9</v>
      </c>
      <c r="E10661" s="943" t="s">
        <v>10</v>
      </c>
      <c r="F10661" s="1067" t="s">
        <v>909</v>
      </c>
      <c r="G10661" s="942" t="s">
        <v>910</v>
      </c>
      <c r="H10661" s="1030" t="s">
        <v>911</v>
      </c>
      <c r="I10661" s="944" t="s">
        <v>912</v>
      </c>
    </row>
    <row r="10662" spans="2:9" ht="15.75">
      <c r="C10662" s="945" t="s">
        <v>913</v>
      </c>
      <c r="D10662" s="946"/>
      <c r="E10662" s="947"/>
      <c r="F10662" s="1054"/>
      <c r="G10662" s="946"/>
      <c r="H10662" s="1031"/>
      <c r="I10662" s="948"/>
    </row>
    <row r="10663" spans="2:9" ht="15.75">
      <c r="C10663" s="949" t="s">
        <v>1606</v>
      </c>
      <c r="D10663" s="946">
        <v>1.02</v>
      </c>
      <c r="E10663" s="947" t="str">
        <f>+VLOOKUP(C10663,'Basic (equilibrio) (2)'!B:D,2,FALSE)</f>
        <v>ud</v>
      </c>
      <c r="F10663" s="1068">
        <f>'Basic (equilibrio) (2)'!$D$221</f>
        <v>5057</v>
      </c>
      <c r="G10663" s="946">
        <f>F10663-(F10663/1.18)</f>
        <v>771.41</v>
      </c>
      <c r="H10663" s="1031"/>
      <c r="I10663" s="948">
        <f>D10663*F10663</f>
        <v>5158.1400000000003</v>
      </c>
    </row>
    <row r="10664" spans="2:9" ht="15.75">
      <c r="C10664" s="951" t="s">
        <v>918</v>
      </c>
      <c r="D10664" s="946"/>
      <c r="E10664" s="947"/>
      <c r="F10664" s="1068"/>
      <c r="G10664" s="946"/>
      <c r="H10664" s="1031"/>
      <c r="I10664" s="952">
        <f>SUM(I10663:I10663)</f>
        <v>5158.1400000000003</v>
      </c>
    </row>
    <row r="10665" spans="2:9" ht="15.75">
      <c r="C10665" s="949"/>
      <c r="D10665" s="946"/>
      <c r="E10665" s="947"/>
      <c r="F10665" s="1068"/>
      <c r="G10665" s="946"/>
      <c r="H10665" s="1031"/>
      <c r="I10665" s="948"/>
    </row>
    <row r="10666" spans="2:9" ht="15.75">
      <c r="C10666" s="945" t="s">
        <v>919</v>
      </c>
      <c r="D10666" s="946"/>
      <c r="E10666" s="947"/>
      <c r="F10666" s="1068"/>
      <c r="G10666" s="946"/>
      <c r="H10666" s="1031"/>
      <c r="I10666" s="948"/>
    </row>
    <row r="10667" spans="2:9" ht="15.75">
      <c r="C10667" s="949" t="s">
        <v>924</v>
      </c>
      <c r="D10667" s="953"/>
      <c r="E10667" s="954" t="str">
        <f>+VLOOKUP(C10667,'Basic (equilibrio) (2)'!B:D,2,FALSE)</f>
        <v>n/a</v>
      </c>
      <c r="F10667" s="1068">
        <f>+VLOOKUP(C10667,'Basic (equilibrio) (2)'!B:D,3,FALSE)</f>
        <v>0</v>
      </c>
      <c r="G10667" s="946">
        <v>0</v>
      </c>
      <c r="H10667" s="1031"/>
      <c r="I10667" s="948">
        <f>(D10667*F10667)</f>
        <v>0</v>
      </c>
    </row>
    <row r="10668" spans="2:9" ht="15.75">
      <c r="C10668" s="951" t="s">
        <v>918</v>
      </c>
      <c r="D10668" s="946"/>
      <c r="E10668" s="947"/>
      <c r="F10668" s="1054"/>
      <c r="G10668" s="946"/>
      <c r="H10668" s="1031"/>
      <c r="I10668" s="952">
        <f>SUM(I10667:I10667)</f>
        <v>0</v>
      </c>
    </row>
    <row r="10669" spans="2:9" ht="15.75">
      <c r="C10669" s="949"/>
      <c r="D10669" s="946"/>
      <c r="E10669" s="947"/>
      <c r="F10669" s="1054"/>
      <c r="G10669" s="946"/>
      <c r="H10669" s="1031"/>
      <c r="I10669" s="948"/>
    </row>
    <row r="10670" spans="2:9" ht="15.75">
      <c r="C10670" s="945" t="s">
        <v>923</v>
      </c>
      <c r="D10670" s="946"/>
      <c r="E10670" s="947"/>
      <c r="F10670" s="1054"/>
      <c r="G10670" s="946"/>
      <c r="H10670" s="1031"/>
      <c r="I10670" s="948"/>
    </row>
    <row r="10671" spans="2:9" ht="15.75">
      <c r="C10671" s="949" t="s">
        <v>924</v>
      </c>
      <c r="D10671" s="946"/>
      <c r="E10671" s="947" t="str">
        <f>+VLOOKUP(C10671,'Basic (equilibrio) (2)'!B:D,2,FALSE)</f>
        <v>n/a</v>
      </c>
      <c r="F10671" s="1054">
        <f>+VLOOKUP(C10671,'Basic (equilibrio) (2)'!B:D,3,FALSE)</f>
        <v>0</v>
      </c>
      <c r="G10671" s="946">
        <f>F10671-(F10671/1.18)</f>
        <v>0</v>
      </c>
      <c r="H10671" s="1039"/>
      <c r="I10671" s="955">
        <f>D10671*F10671</f>
        <v>0</v>
      </c>
    </row>
    <row r="10672" spans="2:9" ht="15.75">
      <c r="C10672" s="951" t="s">
        <v>918</v>
      </c>
      <c r="D10672" s="946"/>
      <c r="E10672" s="947"/>
      <c r="F10672" s="1054"/>
      <c r="G10672" s="946"/>
      <c r="H10672" s="1031"/>
      <c r="I10672" s="952">
        <f>SUM(I10671:I10671)</f>
        <v>0</v>
      </c>
    </row>
    <row r="10673" spans="2:9" ht="15.75">
      <c r="C10673" s="949"/>
      <c r="D10673" s="946"/>
      <c r="E10673" s="947"/>
      <c r="F10673" s="1054"/>
      <c r="G10673" s="946"/>
      <c r="H10673" s="1031"/>
      <c r="I10673" s="948"/>
    </row>
    <row r="10674" spans="2:9" ht="15.75">
      <c r="C10674" s="945" t="s">
        <v>925</v>
      </c>
      <c r="D10674" s="946"/>
      <c r="E10674" s="947"/>
      <c r="F10674" s="1054"/>
      <c r="G10674" s="946"/>
      <c r="H10674" s="1031"/>
      <c r="I10674" s="948"/>
    </row>
    <row r="10675" spans="2:9" ht="15.75">
      <c r="C10675" s="949" t="s">
        <v>924</v>
      </c>
      <c r="D10675" s="946"/>
      <c r="E10675" s="947" t="str">
        <f>+VLOOKUP(C10675,'Basic (equilibrio) (2)'!B:D,2,FALSE)</f>
        <v>n/a</v>
      </c>
      <c r="F10675" s="1054">
        <f>+VLOOKUP(C10675,'Basic (equilibrio) (2)'!B:D,3,FALSE)</f>
        <v>0</v>
      </c>
      <c r="G10675" s="946"/>
      <c r="H10675" s="1031"/>
      <c r="I10675" s="948">
        <f>D10675*F10675</f>
        <v>0</v>
      </c>
    </row>
    <row r="10676" spans="2:9" ht="15.75">
      <c r="C10676" s="951" t="s">
        <v>918</v>
      </c>
      <c r="D10676" s="946"/>
      <c r="E10676" s="947"/>
      <c r="F10676" s="1054"/>
      <c r="G10676" s="946"/>
      <c r="H10676" s="1031"/>
      <c r="I10676" s="952">
        <f>SUM(I10675)</f>
        <v>0</v>
      </c>
    </row>
    <row r="10677" spans="2:9" ht="15.75">
      <c r="C10677" s="951"/>
      <c r="D10677" s="946"/>
      <c r="E10677" s="947"/>
      <c r="F10677" s="1054"/>
      <c r="G10677" s="946"/>
      <c r="H10677" s="1031"/>
      <c r="I10677" s="952"/>
    </row>
    <row r="10678" spans="2:9" ht="15.75">
      <c r="C10678" s="956" t="s">
        <v>926</v>
      </c>
      <c r="D10678" s="957"/>
      <c r="E10678" s="958"/>
      <c r="F10678" s="1069"/>
      <c r="G10678" s="957"/>
      <c r="H10678" s="1032"/>
      <c r="I10678" s="959">
        <f>+I10664</f>
        <v>5158.1400000000003</v>
      </c>
    </row>
    <row r="10679" spans="2:9" ht="15.75">
      <c r="C10679" s="956" t="s">
        <v>927</v>
      </c>
      <c r="D10679" s="957"/>
      <c r="E10679" s="958"/>
      <c r="F10679" s="1069"/>
      <c r="G10679" s="957"/>
      <c r="H10679" s="1032"/>
      <c r="I10679" s="959">
        <f>+I10668</f>
        <v>0</v>
      </c>
    </row>
    <row r="10680" spans="2:9" ht="15.75">
      <c r="C10680" s="956" t="s">
        <v>928</v>
      </c>
      <c r="D10680" s="957"/>
      <c r="E10680" s="958"/>
      <c r="F10680" s="1069"/>
      <c r="G10680" s="957"/>
      <c r="H10680" s="1032"/>
      <c r="I10680" s="959">
        <f>+I10672</f>
        <v>0</v>
      </c>
    </row>
    <row r="10681" spans="2:9" ht="15.75">
      <c r="C10681" s="956" t="s">
        <v>929</v>
      </c>
      <c r="D10681" s="957"/>
      <c r="E10681" s="958"/>
      <c r="F10681" s="1069"/>
      <c r="G10681" s="957"/>
      <c r="H10681" s="1032"/>
      <c r="I10681" s="959">
        <f>+I10676</f>
        <v>0</v>
      </c>
    </row>
    <row r="10682" spans="2:9" ht="15.75">
      <c r="C10682" s="949"/>
      <c r="D10682" s="946"/>
      <c r="E10682" s="947"/>
      <c r="F10682" s="1054"/>
      <c r="G10682" s="946"/>
      <c r="H10682" s="1031"/>
      <c r="I10682" s="948"/>
    </row>
    <row r="10683" spans="2:9" ht="15.75">
      <c r="C10683" s="951" t="s">
        <v>930</v>
      </c>
      <c r="D10683" s="960"/>
      <c r="E10683" s="975" t="str">
        <f>+E10660</f>
        <v>Ud</v>
      </c>
      <c r="F10683" s="1070"/>
      <c r="G10683" s="960"/>
      <c r="H10683" s="1033"/>
      <c r="I10683" s="952">
        <f>SUM(I10678:I10681)</f>
        <v>5158.1400000000003</v>
      </c>
    </row>
    <row r="10684" spans="2:9" ht="15.75">
      <c r="C10684" s="951"/>
      <c r="D10684" s="960"/>
      <c r="E10684" s="943"/>
      <c r="F10684" s="1070"/>
      <c r="G10684" s="960"/>
      <c r="H10684" s="1033"/>
      <c r="I10684" s="952"/>
    </row>
    <row r="10685" spans="2:9" ht="15.75">
      <c r="B10685" s="1063">
        <v>7.8</v>
      </c>
      <c r="C10685" s="937" t="str">
        <f>+Presupuesto!B621</f>
        <v>Tubería de descarga de Ø4"</v>
      </c>
      <c r="D10685" s="938"/>
      <c r="E10685" s="962" t="s">
        <v>1088</v>
      </c>
      <c r="F10685" s="1066"/>
      <c r="G10685" s="938"/>
      <c r="H10685" s="1029"/>
      <c r="I10685" s="940">
        <f>+I10708</f>
        <v>143.41</v>
      </c>
    </row>
    <row r="10686" spans="2:9" ht="15.75">
      <c r="C10686" s="941" t="s">
        <v>908</v>
      </c>
      <c r="D10686" s="942" t="s">
        <v>9</v>
      </c>
      <c r="E10686" s="943" t="s">
        <v>10</v>
      </c>
      <c r="F10686" s="1067" t="s">
        <v>909</v>
      </c>
      <c r="G10686" s="942" t="s">
        <v>910</v>
      </c>
      <c r="H10686" s="1030" t="s">
        <v>911</v>
      </c>
      <c r="I10686" s="944" t="s">
        <v>912</v>
      </c>
    </row>
    <row r="10687" spans="2:9" ht="15.75">
      <c r="C10687" s="945" t="s">
        <v>913</v>
      </c>
      <c r="D10687" s="946"/>
      <c r="E10687" s="947"/>
      <c r="F10687" s="1054"/>
      <c r="G10687" s="946"/>
      <c r="H10687" s="1031"/>
      <c r="I10687" s="948"/>
    </row>
    <row r="10688" spans="2:9" ht="15.75">
      <c r="C10688" s="949" t="s">
        <v>1664</v>
      </c>
      <c r="D10688" s="946">
        <v>1.02</v>
      </c>
      <c r="E10688" s="947" t="str">
        <f>+VLOOKUP(C10688,'Basic (equilibrio) (2)'!B:D,2,FALSE)</f>
        <v>m</v>
      </c>
      <c r="F10688" s="1068">
        <f>'Basic (equilibrio) (2)'!$D$268</f>
        <v>140.6</v>
      </c>
      <c r="G10688" s="946">
        <f>F10688-(F10688/1.18)</f>
        <v>21.45</v>
      </c>
      <c r="H10688" s="1031"/>
      <c r="I10688" s="948">
        <f>D10688*F10688</f>
        <v>143.41</v>
      </c>
    </row>
    <row r="10689" spans="3:9" ht="15.75">
      <c r="C10689" s="951" t="s">
        <v>918</v>
      </c>
      <c r="D10689" s="946"/>
      <c r="E10689" s="947"/>
      <c r="F10689" s="1068"/>
      <c r="G10689" s="946"/>
      <c r="H10689" s="1031"/>
      <c r="I10689" s="952">
        <f>SUM(I10688:I10688)</f>
        <v>143.41</v>
      </c>
    </row>
    <row r="10690" spans="3:9" ht="15.75">
      <c r="C10690" s="949"/>
      <c r="D10690" s="946"/>
      <c r="E10690" s="947"/>
      <c r="F10690" s="1068"/>
      <c r="G10690" s="946"/>
      <c r="H10690" s="1031"/>
      <c r="I10690" s="948"/>
    </row>
    <row r="10691" spans="3:9" ht="15.75">
      <c r="C10691" s="945" t="s">
        <v>919</v>
      </c>
      <c r="D10691" s="946"/>
      <c r="E10691" s="947"/>
      <c r="F10691" s="1068"/>
      <c r="G10691" s="946"/>
      <c r="H10691" s="1031"/>
      <c r="I10691" s="948"/>
    </row>
    <row r="10692" spans="3:9" ht="15.75">
      <c r="C10692" s="949" t="s">
        <v>924</v>
      </c>
      <c r="D10692" s="953"/>
      <c r="E10692" s="954" t="str">
        <f>+VLOOKUP(C10692,'Basic (equilibrio) (2)'!B:D,2,FALSE)</f>
        <v>n/a</v>
      </c>
      <c r="F10692" s="1068">
        <f>+VLOOKUP(C10692,'Basic (equilibrio) (2)'!B:D,3,FALSE)</f>
        <v>0</v>
      </c>
      <c r="G10692" s="946">
        <v>0</v>
      </c>
      <c r="H10692" s="1031"/>
      <c r="I10692" s="948">
        <f>(D10692*F10692)</f>
        <v>0</v>
      </c>
    </row>
    <row r="10693" spans="3:9" ht="15.75">
      <c r="C10693" s="951" t="s">
        <v>918</v>
      </c>
      <c r="D10693" s="946"/>
      <c r="E10693" s="947"/>
      <c r="F10693" s="1054"/>
      <c r="G10693" s="946"/>
      <c r="H10693" s="1031"/>
      <c r="I10693" s="952">
        <f>SUM(I10692:I10692)</f>
        <v>0</v>
      </c>
    </row>
    <row r="10694" spans="3:9" ht="15.75">
      <c r="C10694" s="949"/>
      <c r="D10694" s="946"/>
      <c r="E10694" s="947"/>
      <c r="F10694" s="1054"/>
      <c r="G10694" s="946"/>
      <c r="H10694" s="1031"/>
      <c r="I10694" s="948"/>
    </row>
    <row r="10695" spans="3:9" ht="15.75">
      <c r="C10695" s="945" t="s">
        <v>923</v>
      </c>
      <c r="D10695" s="946"/>
      <c r="E10695" s="947"/>
      <c r="F10695" s="1054"/>
      <c r="G10695" s="946"/>
      <c r="H10695" s="1031"/>
      <c r="I10695" s="948"/>
    </row>
    <row r="10696" spans="3:9" ht="15.75">
      <c r="C10696" s="949" t="s">
        <v>924</v>
      </c>
      <c r="D10696" s="946"/>
      <c r="E10696" s="947" t="str">
        <f>+VLOOKUP(C10696,'Basic (equilibrio) (2)'!B:D,2,FALSE)</f>
        <v>n/a</v>
      </c>
      <c r="F10696" s="1054">
        <f>+VLOOKUP(C10696,'Basic (equilibrio) (2)'!B:D,3,FALSE)</f>
        <v>0</v>
      </c>
      <c r="G10696" s="946">
        <f>F10696-(F10696/1.18)</f>
        <v>0</v>
      </c>
      <c r="H10696" s="1039"/>
      <c r="I10696" s="955">
        <f>D10696*F10696</f>
        <v>0</v>
      </c>
    </row>
    <row r="10697" spans="3:9" ht="15.75">
      <c r="C10697" s="951" t="s">
        <v>918</v>
      </c>
      <c r="D10697" s="946"/>
      <c r="E10697" s="947"/>
      <c r="F10697" s="1054"/>
      <c r="G10697" s="946"/>
      <c r="H10697" s="1031"/>
      <c r="I10697" s="952">
        <f>SUM(I10696:I10696)</f>
        <v>0</v>
      </c>
    </row>
    <row r="10698" spans="3:9" ht="15.75">
      <c r="C10698" s="949"/>
      <c r="D10698" s="946"/>
      <c r="E10698" s="947"/>
      <c r="F10698" s="1054"/>
      <c r="G10698" s="946"/>
      <c r="H10698" s="1031"/>
      <c r="I10698" s="948"/>
    </row>
    <row r="10699" spans="3:9" ht="15.75">
      <c r="C10699" s="945" t="s">
        <v>925</v>
      </c>
      <c r="D10699" s="946"/>
      <c r="E10699" s="947"/>
      <c r="F10699" s="1054"/>
      <c r="G10699" s="946"/>
      <c r="H10699" s="1031"/>
      <c r="I10699" s="948"/>
    </row>
    <row r="10700" spans="3:9" ht="15.75">
      <c r="C10700" s="949" t="s">
        <v>924</v>
      </c>
      <c r="D10700" s="946"/>
      <c r="E10700" s="947" t="str">
        <f>+VLOOKUP(C10700,'Basic (equilibrio) (2)'!B:D,2,FALSE)</f>
        <v>n/a</v>
      </c>
      <c r="F10700" s="1054">
        <f>+VLOOKUP(C10700,'Basic (equilibrio) (2)'!B:D,3,FALSE)</f>
        <v>0</v>
      </c>
      <c r="G10700" s="946"/>
      <c r="H10700" s="1031"/>
      <c r="I10700" s="948">
        <f>D10700*F10700</f>
        <v>0</v>
      </c>
    </row>
    <row r="10701" spans="3:9" ht="15.75">
      <c r="C10701" s="951" t="s">
        <v>918</v>
      </c>
      <c r="D10701" s="946"/>
      <c r="E10701" s="947"/>
      <c r="F10701" s="1054"/>
      <c r="G10701" s="946"/>
      <c r="H10701" s="1031"/>
      <c r="I10701" s="952">
        <f>SUM(I10700)</f>
        <v>0</v>
      </c>
    </row>
    <row r="10702" spans="3:9" ht="15.75">
      <c r="C10702" s="951"/>
      <c r="D10702" s="946"/>
      <c r="E10702" s="947"/>
      <c r="F10702" s="1054"/>
      <c r="G10702" s="946"/>
      <c r="H10702" s="1031"/>
      <c r="I10702" s="952"/>
    </row>
    <row r="10703" spans="3:9" ht="15.75">
      <c r="C10703" s="956" t="s">
        <v>926</v>
      </c>
      <c r="D10703" s="957"/>
      <c r="E10703" s="958"/>
      <c r="F10703" s="1069"/>
      <c r="G10703" s="957"/>
      <c r="H10703" s="1032"/>
      <c r="I10703" s="959">
        <f>+I10689</f>
        <v>143.41</v>
      </c>
    </row>
    <row r="10704" spans="3:9" ht="15.75">
      <c r="C10704" s="956" t="s">
        <v>927</v>
      </c>
      <c r="D10704" s="957"/>
      <c r="E10704" s="958"/>
      <c r="F10704" s="1069"/>
      <c r="G10704" s="957"/>
      <c r="H10704" s="1032"/>
      <c r="I10704" s="959">
        <f>+I10693</f>
        <v>0</v>
      </c>
    </row>
    <row r="10705" spans="2:9" ht="15.75">
      <c r="C10705" s="956" t="s">
        <v>928</v>
      </c>
      <c r="D10705" s="957"/>
      <c r="E10705" s="958"/>
      <c r="F10705" s="1069"/>
      <c r="G10705" s="957"/>
      <c r="H10705" s="1032"/>
      <c r="I10705" s="959">
        <f>+I10697</f>
        <v>0</v>
      </c>
    </row>
    <row r="10706" spans="2:9" ht="15.75">
      <c r="C10706" s="956" t="s">
        <v>929</v>
      </c>
      <c r="D10706" s="957"/>
      <c r="E10706" s="958"/>
      <c r="F10706" s="1069"/>
      <c r="G10706" s="957"/>
      <c r="H10706" s="1032"/>
      <c r="I10706" s="959">
        <f>+I10701</f>
        <v>0</v>
      </c>
    </row>
    <row r="10707" spans="2:9" ht="15.75">
      <c r="C10707" s="949"/>
      <c r="D10707" s="946"/>
      <c r="E10707" s="947"/>
      <c r="F10707" s="1054"/>
      <c r="G10707" s="946"/>
      <c r="H10707" s="1031"/>
      <c r="I10707" s="948"/>
    </row>
    <row r="10708" spans="2:9" ht="15.75">
      <c r="C10708" s="951" t="s">
        <v>930</v>
      </c>
      <c r="D10708" s="960"/>
      <c r="E10708" s="975" t="str">
        <f>+E10685</f>
        <v>m</v>
      </c>
      <c r="F10708" s="1070"/>
      <c r="G10708" s="960"/>
      <c r="H10708" s="1033"/>
      <c r="I10708" s="952">
        <f>SUM(I10703:I10706)</f>
        <v>143.41</v>
      </c>
    </row>
    <row r="10709" spans="2:9" ht="15.75">
      <c r="C10709" s="951"/>
      <c r="D10709" s="960"/>
      <c r="E10709" s="943"/>
      <c r="F10709" s="1070"/>
      <c r="G10709" s="960"/>
      <c r="H10709" s="1033"/>
      <c r="I10709" s="952"/>
    </row>
    <row r="10710" spans="2:9" ht="15.75">
      <c r="B10710" s="1063">
        <v>7.9</v>
      </c>
      <c r="C10710" s="937" t="str">
        <f>+Presupuesto!B622</f>
        <v>Tubería de descarga de Ø3"</v>
      </c>
      <c r="D10710" s="938"/>
      <c r="E10710" s="962" t="s">
        <v>1088</v>
      </c>
      <c r="F10710" s="1066"/>
      <c r="G10710" s="938"/>
      <c r="H10710" s="1029"/>
      <c r="I10710" s="940">
        <f>+I10733</f>
        <v>98.43</v>
      </c>
    </row>
    <row r="10711" spans="2:9" ht="15.75">
      <c r="C10711" s="941" t="s">
        <v>908</v>
      </c>
      <c r="D10711" s="942" t="s">
        <v>9</v>
      </c>
      <c r="E10711" s="943" t="s">
        <v>10</v>
      </c>
      <c r="F10711" s="1067" t="s">
        <v>909</v>
      </c>
      <c r="G10711" s="942" t="s">
        <v>910</v>
      </c>
      <c r="H10711" s="1030" t="s">
        <v>911</v>
      </c>
      <c r="I10711" s="944" t="s">
        <v>912</v>
      </c>
    </row>
    <row r="10712" spans="2:9" ht="15.75">
      <c r="C10712" s="945" t="s">
        <v>913</v>
      </c>
      <c r="D10712" s="946"/>
      <c r="E10712" s="947"/>
      <c r="F10712" s="1054"/>
      <c r="G10712" s="946"/>
      <c r="H10712" s="1031"/>
      <c r="I10712" s="948"/>
    </row>
    <row r="10713" spans="2:9" ht="15.75">
      <c r="C10713" s="949" t="s">
        <v>1665</v>
      </c>
      <c r="D10713" s="946">
        <v>1.02</v>
      </c>
      <c r="E10713" s="947" t="str">
        <f>+VLOOKUP(C10713,'Basic (equilibrio) (2)'!B:D,2,FALSE)</f>
        <v>m</v>
      </c>
      <c r="F10713" s="1068">
        <f>'Basic (equilibrio) (2)'!$D$269</f>
        <v>96.5</v>
      </c>
      <c r="G10713" s="946">
        <f>F10713-(F10713/1.18)</f>
        <v>14.72</v>
      </c>
      <c r="H10713" s="1031"/>
      <c r="I10713" s="948">
        <f>D10713*F10713</f>
        <v>98.43</v>
      </c>
    </row>
    <row r="10714" spans="2:9" ht="15.75">
      <c r="C10714" s="951" t="s">
        <v>918</v>
      </c>
      <c r="D10714" s="946"/>
      <c r="E10714" s="947"/>
      <c r="F10714" s="1068"/>
      <c r="G10714" s="946"/>
      <c r="H10714" s="1031"/>
      <c r="I10714" s="952">
        <f>SUM(I10713:I10713)</f>
        <v>98.43</v>
      </c>
    </row>
    <row r="10715" spans="2:9" ht="15.75">
      <c r="C10715" s="949"/>
      <c r="D10715" s="946"/>
      <c r="E10715" s="947"/>
      <c r="F10715" s="1068"/>
      <c r="G10715" s="946"/>
      <c r="H10715" s="1031"/>
      <c r="I10715" s="948"/>
    </row>
    <row r="10716" spans="2:9" ht="15.75">
      <c r="C10716" s="945" t="s">
        <v>919</v>
      </c>
      <c r="D10716" s="946"/>
      <c r="E10716" s="947"/>
      <c r="F10716" s="1068"/>
      <c r="G10716" s="946"/>
      <c r="H10716" s="1031"/>
      <c r="I10716" s="948"/>
    </row>
    <row r="10717" spans="2:9" ht="15.75">
      <c r="C10717" s="949" t="s">
        <v>924</v>
      </c>
      <c r="D10717" s="953"/>
      <c r="E10717" s="954" t="str">
        <f>+VLOOKUP(C10717,'Basic (equilibrio) (2)'!B:D,2,FALSE)</f>
        <v>n/a</v>
      </c>
      <c r="F10717" s="1068">
        <f>+VLOOKUP(C10717,'Basic (equilibrio) (2)'!B:D,3,FALSE)</f>
        <v>0</v>
      </c>
      <c r="G10717" s="946">
        <v>0</v>
      </c>
      <c r="H10717" s="1031"/>
      <c r="I10717" s="948">
        <f>(D10717*F10717)</f>
        <v>0</v>
      </c>
    </row>
    <row r="10718" spans="2:9" ht="15.75">
      <c r="C10718" s="951" t="s">
        <v>918</v>
      </c>
      <c r="D10718" s="946"/>
      <c r="E10718" s="947"/>
      <c r="F10718" s="1054"/>
      <c r="G10718" s="946"/>
      <c r="H10718" s="1031"/>
      <c r="I10718" s="952">
        <f>SUM(I10717:I10717)</f>
        <v>0</v>
      </c>
    </row>
    <row r="10719" spans="2:9" ht="15.75">
      <c r="C10719" s="949"/>
      <c r="D10719" s="946"/>
      <c r="E10719" s="947"/>
      <c r="F10719" s="1054"/>
      <c r="G10719" s="946"/>
      <c r="H10719" s="1031"/>
      <c r="I10719" s="948"/>
    </row>
    <row r="10720" spans="2:9" ht="15.75">
      <c r="C10720" s="945" t="s">
        <v>923</v>
      </c>
      <c r="D10720" s="946"/>
      <c r="E10720" s="947"/>
      <c r="F10720" s="1054"/>
      <c r="G10720" s="946"/>
      <c r="H10720" s="1031"/>
      <c r="I10720" s="948"/>
    </row>
    <row r="10721" spans="2:9" ht="15.75">
      <c r="C10721" s="949" t="s">
        <v>924</v>
      </c>
      <c r="D10721" s="946"/>
      <c r="E10721" s="947" t="str">
        <f>+VLOOKUP(C10721,'Basic (equilibrio) (2)'!B:D,2,FALSE)</f>
        <v>n/a</v>
      </c>
      <c r="F10721" s="1054">
        <f>+VLOOKUP(C10721,'Basic (equilibrio) (2)'!B:D,3,FALSE)</f>
        <v>0</v>
      </c>
      <c r="G10721" s="946">
        <f>F10721-(F10721/1.18)</f>
        <v>0</v>
      </c>
      <c r="H10721" s="1039"/>
      <c r="I10721" s="955">
        <f>D10721*F10721</f>
        <v>0</v>
      </c>
    </row>
    <row r="10722" spans="2:9" ht="15.75">
      <c r="C10722" s="951" t="s">
        <v>918</v>
      </c>
      <c r="D10722" s="946"/>
      <c r="E10722" s="947"/>
      <c r="F10722" s="1054"/>
      <c r="G10722" s="946"/>
      <c r="H10722" s="1031"/>
      <c r="I10722" s="952">
        <f>SUM(I10721:I10721)</f>
        <v>0</v>
      </c>
    </row>
    <row r="10723" spans="2:9" ht="15.75">
      <c r="C10723" s="949"/>
      <c r="D10723" s="946"/>
      <c r="E10723" s="947"/>
      <c r="F10723" s="1054"/>
      <c r="G10723" s="946"/>
      <c r="H10723" s="1031"/>
      <c r="I10723" s="948"/>
    </row>
    <row r="10724" spans="2:9" ht="15.75">
      <c r="C10724" s="945" t="s">
        <v>925</v>
      </c>
      <c r="D10724" s="946"/>
      <c r="E10724" s="947"/>
      <c r="F10724" s="1054"/>
      <c r="G10724" s="946"/>
      <c r="H10724" s="1031"/>
      <c r="I10724" s="948"/>
    </row>
    <row r="10725" spans="2:9" ht="15.75">
      <c r="C10725" s="949" t="s">
        <v>924</v>
      </c>
      <c r="D10725" s="946"/>
      <c r="E10725" s="947" t="str">
        <f>+VLOOKUP(C10725,'Basic (equilibrio) (2)'!B:D,2,FALSE)</f>
        <v>n/a</v>
      </c>
      <c r="F10725" s="1054">
        <f>+VLOOKUP(C10725,'Basic (equilibrio) (2)'!B:D,3,FALSE)</f>
        <v>0</v>
      </c>
      <c r="G10725" s="946"/>
      <c r="H10725" s="1031"/>
      <c r="I10725" s="948">
        <f>D10725*F10725</f>
        <v>0</v>
      </c>
    </row>
    <row r="10726" spans="2:9" ht="15.75">
      <c r="C10726" s="951" t="s">
        <v>918</v>
      </c>
      <c r="D10726" s="946"/>
      <c r="E10726" s="947"/>
      <c r="F10726" s="1054"/>
      <c r="G10726" s="946"/>
      <c r="H10726" s="1031"/>
      <c r="I10726" s="952">
        <f>SUM(I10725)</f>
        <v>0</v>
      </c>
    </row>
    <row r="10727" spans="2:9" ht="15.75">
      <c r="C10727" s="951"/>
      <c r="D10727" s="946"/>
      <c r="E10727" s="947"/>
      <c r="F10727" s="1054"/>
      <c r="G10727" s="946"/>
      <c r="H10727" s="1031"/>
      <c r="I10727" s="952"/>
    </row>
    <row r="10728" spans="2:9" ht="15.75">
      <c r="C10728" s="956" t="s">
        <v>926</v>
      </c>
      <c r="D10728" s="957"/>
      <c r="E10728" s="958"/>
      <c r="F10728" s="1069"/>
      <c r="G10728" s="957"/>
      <c r="H10728" s="1032"/>
      <c r="I10728" s="959">
        <f>+I10714</f>
        <v>98.43</v>
      </c>
    </row>
    <row r="10729" spans="2:9" ht="15.75">
      <c r="C10729" s="956" t="s">
        <v>927</v>
      </c>
      <c r="D10729" s="957"/>
      <c r="E10729" s="958"/>
      <c r="F10729" s="1069"/>
      <c r="G10729" s="957"/>
      <c r="H10729" s="1032"/>
      <c r="I10729" s="959">
        <f>+I10718</f>
        <v>0</v>
      </c>
    </row>
    <row r="10730" spans="2:9" ht="15.75">
      <c r="C10730" s="956" t="s">
        <v>928</v>
      </c>
      <c r="D10730" s="957"/>
      <c r="E10730" s="958"/>
      <c r="F10730" s="1069"/>
      <c r="G10730" s="957"/>
      <c r="H10730" s="1032"/>
      <c r="I10730" s="959">
        <f>+I10722</f>
        <v>0</v>
      </c>
    </row>
    <row r="10731" spans="2:9" ht="15.75">
      <c r="C10731" s="956" t="s">
        <v>929</v>
      </c>
      <c r="D10731" s="957"/>
      <c r="E10731" s="958"/>
      <c r="F10731" s="1069"/>
      <c r="G10731" s="957"/>
      <c r="H10731" s="1032"/>
      <c r="I10731" s="959">
        <f>+I10726</f>
        <v>0</v>
      </c>
    </row>
    <row r="10732" spans="2:9" ht="15.75">
      <c r="C10732" s="949"/>
      <c r="D10732" s="946"/>
      <c r="E10732" s="947"/>
      <c r="F10732" s="1054"/>
      <c r="G10732" s="946"/>
      <c r="H10732" s="1031"/>
      <c r="I10732" s="948"/>
    </row>
    <row r="10733" spans="2:9" ht="15.75">
      <c r="C10733" s="951" t="s">
        <v>930</v>
      </c>
      <c r="D10733" s="960"/>
      <c r="E10733" s="975" t="str">
        <f>+E10710</f>
        <v>m</v>
      </c>
      <c r="F10733" s="1070"/>
      <c r="G10733" s="960"/>
      <c r="H10733" s="1033"/>
      <c r="I10733" s="952">
        <f>SUM(I10728:I10731)</f>
        <v>98.43</v>
      </c>
    </row>
    <row r="10734" spans="2:9" ht="15.75">
      <c r="C10734" s="951"/>
      <c r="D10734" s="960"/>
      <c r="E10734" s="943"/>
      <c r="F10734" s="1070"/>
      <c r="G10734" s="960"/>
      <c r="H10734" s="1033"/>
      <c r="I10734" s="952"/>
    </row>
    <row r="10735" spans="2:9" ht="15.75">
      <c r="B10735" s="1062">
        <v>7.1</v>
      </c>
      <c r="C10735" s="937" t="str">
        <f>+Presupuesto!B623</f>
        <v>Tubería de descarga de Ø2"</v>
      </c>
      <c r="D10735" s="938"/>
      <c r="E10735" s="962" t="s">
        <v>1088</v>
      </c>
      <c r="F10735" s="1066"/>
      <c r="G10735" s="938"/>
      <c r="H10735" s="1029"/>
      <c r="I10735" s="940">
        <f>+I10758</f>
        <v>46.1</v>
      </c>
    </row>
    <row r="10736" spans="2:9" ht="15.75">
      <c r="C10736" s="941" t="s">
        <v>908</v>
      </c>
      <c r="D10736" s="942" t="s">
        <v>9</v>
      </c>
      <c r="E10736" s="943" t="s">
        <v>10</v>
      </c>
      <c r="F10736" s="1067" t="s">
        <v>909</v>
      </c>
      <c r="G10736" s="942" t="s">
        <v>910</v>
      </c>
      <c r="H10736" s="1030" t="s">
        <v>911</v>
      </c>
      <c r="I10736" s="944" t="s">
        <v>912</v>
      </c>
    </row>
    <row r="10737" spans="3:9" ht="15.75">
      <c r="C10737" s="945" t="s">
        <v>913</v>
      </c>
      <c r="D10737" s="946"/>
      <c r="E10737" s="947"/>
      <c r="F10737" s="1054"/>
      <c r="G10737" s="946"/>
      <c r="H10737" s="1031"/>
      <c r="I10737" s="948"/>
    </row>
    <row r="10738" spans="3:9" ht="15.75">
      <c r="C10738" s="949" t="s">
        <v>1666</v>
      </c>
      <c r="D10738" s="946">
        <v>1.02</v>
      </c>
      <c r="E10738" s="947" t="str">
        <f>+VLOOKUP(C10738,'Basic (equilibrio) (2)'!B:D,2,FALSE)</f>
        <v>m</v>
      </c>
      <c r="F10738" s="1068">
        <f>'Basic (equilibrio) (2)'!$D$270</f>
        <v>45.2</v>
      </c>
      <c r="G10738" s="946">
        <f>F10738-(F10738/1.18)</f>
        <v>6.89</v>
      </c>
      <c r="H10738" s="1031"/>
      <c r="I10738" s="948">
        <f>D10738*F10738</f>
        <v>46.1</v>
      </c>
    </row>
    <row r="10739" spans="3:9" ht="15.75">
      <c r="C10739" s="951" t="s">
        <v>918</v>
      </c>
      <c r="D10739" s="946"/>
      <c r="E10739" s="947"/>
      <c r="F10739" s="1068"/>
      <c r="G10739" s="946"/>
      <c r="H10739" s="1031"/>
      <c r="I10739" s="952">
        <f>SUM(I10738:I10738)</f>
        <v>46.1</v>
      </c>
    </row>
    <row r="10740" spans="3:9" ht="15.75">
      <c r="C10740" s="949"/>
      <c r="D10740" s="946"/>
      <c r="E10740" s="947"/>
      <c r="F10740" s="1068"/>
      <c r="G10740" s="946"/>
      <c r="H10740" s="1031"/>
      <c r="I10740" s="948"/>
    </row>
    <row r="10741" spans="3:9" ht="15.75">
      <c r="C10741" s="945" t="s">
        <v>919</v>
      </c>
      <c r="D10741" s="946"/>
      <c r="E10741" s="947"/>
      <c r="F10741" s="1068"/>
      <c r="G10741" s="946"/>
      <c r="H10741" s="1031"/>
      <c r="I10741" s="948"/>
    </row>
    <row r="10742" spans="3:9" ht="15.75">
      <c r="C10742" s="949" t="s">
        <v>924</v>
      </c>
      <c r="D10742" s="953"/>
      <c r="E10742" s="954" t="str">
        <f>+VLOOKUP(C10742,'Basic (equilibrio) (2)'!B:D,2,FALSE)</f>
        <v>n/a</v>
      </c>
      <c r="F10742" s="1068">
        <f>+VLOOKUP(C10742,'Basic (equilibrio) (2)'!B:D,3,FALSE)</f>
        <v>0</v>
      </c>
      <c r="G10742" s="946">
        <v>0</v>
      </c>
      <c r="H10742" s="1031"/>
      <c r="I10742" s="948">
        <f>(D10742*F10742)</f>
        <v>0</v>
      </c>
    </row>
    <row r="10743" spans="3:9" ht="15.75">
      <c r="C10743" s="951" t="s">
        <v>918</v>
      </c>
      <c r="D10743" s="946"/>
      <c r="E10743" s="947"/>
      <c r="F10743" s="1054"/>
      <c r="G10743" s="946"/>
      <c r="H10743" s="1031"/>
      <c r="I10743" s="952">
        <f>SUM(I10742:I10742)</f>
        <v>0</v>
      </c>
    </row>
    <row r="10744" spans="3:9" ht="15.75">
      <c r="C10744" s="949"/>
      <c r="D10744" s="946"/>
      <c r="E10744" s="947"/>
      <c r="F10744" s="1054"/>
      <c r="G10744" s="946"/>
      <c r="H10744" s="1031"/>
      <c r="I10744" s="948"/>
    </row>
    <row r="10745" spans="3:9" ht="15.75">
      <c r="C10745" s="945" t="s">
        <v>923</v>
      </c>
      <c r="D10745" s="946"/>
      <c r="E10745" s="947"/>
      <c r="F10745" s="1054"/>
      <c r="G10745" s="946"/>
      <c r="H10745" s="1031"/>
      <c r="I10745" s="948"/>
    </row>
    <row r="10746" spans="3:9" ht="15.75">
      <c r="C10746" s="949" t="s">
        <v>924</v>
      </c>
      <c r="D10746" s="946"/>
      <c r="E10746" s="947" t="str">
        <f>+VLOOKUP(C10746,'Basic (equilibrio) (2)'!B:D,2,FALSE)</f>
        <v>n/a</v>
      </c>
      <c r="F10746" s="1054">
        <f>+VLOOKUP(C10746,'Basic (equilibrio) (2)'!B:D,3,FALSE)</f>
        <v>0</v>
      </c>
      <c r="G10746" s="946">
        <f>F10746-(F10746/1.18)</f>
        <v>0</v>
      </c>
      <c r="H10746" s="1039"/>
      <c r="I10746" s="955">
        <f>D10746*F10746</f>
        <v>0</v>
      </c>
    </row>
    <row r="10747" spans="3:9" ht="15.75">
      <c r="C10747" s="951" t="s">
        <v>918</v>
      </c>
      <c r="D10747" s="946"/>
      <c r="E10747" s="947"/>
      <c r="F10747" s="1054"/>
      <c r="G10747" s="946"/>
      <c r="H10747" s="1031"/>
      <c r="I10747" s="952">
        <f>SUM(I10746:I10746)</f>
        <v>0</v>
      </c>
    </row>
    <row r="10748" spans="3:9" ht="15.75">
      <c r="C10748" s="949"/>
      <c r="D10748" s="946"/>
      <c r="E10748" s="947"/>
      <c r="F10748" s="1054"/>
      <c r="G10748" s="946"/>
      <c r="H10748" s="1031"/>
      <c r="I10748" s="948"/>
    </row>
    <row r="10749" spans="3:9" ht="15.75">
      <c r="C10749" s="945" t="s">
        <v>925</v>
      </c>
      <c r="D10749" s="946"/>
      <c r="E10749" s="947"/>
      <c r="F10749" s="1054"/>
      <c r="G10749" s="946"/>
      <c r="H10749" s="1031"/>
      <c r="I10749" s="948"/>
    </row>
    <row r="10750" spans="3:9" ht="15.75">
      <c r="C10750" s="949" t="s">
        <v>924</v>
      </c>
      <c r="D10750" s="946"/>
      <c r="E10750" s="947" t="str">
        <f>+VLOOKUP(C10750,'Basic (equilibrio) (2)'!B:D,2,FALSE)</f>
        <v>n/a</v>
      </c>
      <c r="F10750" s="1054">
        <f>+VLOOKUP(C10750,'Basic (equilibrio) (2)'!B:D,3,FALSE)</f>
        <v>0</v>
      </c>
      <c r="G10750" s="946"/>
      <c r="H10750" s="1031"/>
      <c r="I10750" s="948">
        <f>D10750*F10750</f>
        <v>0</v>
      </c>
    </row>
    <row r="10751" spans="3:9" ht="15.75">
      <c r="C10751" s="951" t="s">
        <v>918</v>
      </c>
      <c r="D10751" s="946"/>
      <c r="E10751" s="947"/>
      <c r="F10751" s="1054"/>
      <c r="G10751" s="946"/>
      <c r="H10751" s="1031"/>
      <c r="I10751" s="952">
        <f>SUM(I10750)</f>
        <v>0</v>
      </c>
    </row>
    <row r="10752" spans="3:9" ht="15.75">
      <c r="C10752" s="951"/>
      <c r="D10752" s="946"/>
      <c r="E10752" s="947"/>
      <c r="F10752" s="1054"/>
      <c r="G10752" s="946"/>
      <c r="H10752" s="1031"/>
      <c r="I10752" s="952"/>
    </row>
    <row r="10753" spans="2:9" ht="15.75">
      <c r="C10753" s="956" t="s">
        <v>926</v>
      </c>
      <c r="D10753" s="957"/>
      <c r="E10753" s="958"/>
      <c r="F10753" s="1069"/>
      <c r="G10753" s="957"/>
      <c r="H10753" s="1032"/>
      <c r="I10753" s="959">
        <f>+I10739</f>
        <v>46.1</v>
      </c>
    </row>
    <row r="10754" spans="2:9" ht="15.75">
      <c r="C10754" s="956" t="s">
        <v>927</v>
      </c>
      <c r="D10754" s="957"/>
      <c r="E10754" s="958"/>
      <c r="F10754" s="1069"/>
      <c r="G10754" s="957"/>
      <c r="H10754" s="1032"/>
      <c r="I10754" s="959">
        <f>+I10743</f>
        <v>0</v>
      </c>
    </row>
    <row r="10755" spans="2:9" ht="15.75">
      <c r="C10755" s="956" t="s">
        <v>928</v>
      </c>
      <c r="D10755" s="957"/>
      <c r="E10755" s="958"/>
      <c r="F10755" s="1069"/>
      <c r="G10755" s="957"/>
      <c r="H10755" s="1032"/>
      <c r="I10755" s="959">
        <f>+I10747</f>
        <v>0</v>
      </c>
    </row>
    <row r="10756" spans="2:9" ht="15.75">
      <c r="C10756" s="956" t="s">
        <v>929</v>
      </c>
      <c r="D10756" s="957"/>
      <c r="E10756" s="958"/>
      <c r="F10756" s="1069"/>
      <c r="G10756" s="957"/>
      <c r="H10756" s="1032"/>
      <c r="I10756" s="959">
        <f>+I10751</f>
        <v>0</v>
      </c>
    </row>
    <row r="10757" spans="2:9" ht="15.75">
      <c r="C10757" s="949"/>
      <c r="D10757" s="946"/>
      <c r="E10757" s="947"/>
      <c r="F10757" s="1054"/>
      <c r="G10757" s="946"/>
      <c r="H10757" s="1031"/>
      <c r="I10757" s="948"/>
    </row>
    <row r="10758" spans="2:9" ht="15.75">
      <c r="C10758" s="951" t="s">
        <v>930</v>
      </c>
      <c r="D10758" s="960"/>
      <c r="E10758" s="975" t="str">
        <f>+E10735</f>
        <v>m</v>
      </c>
      <c r="F10758" s="1070"/>
      <c r="G10758" s="960"/>
      <c r="H10758" s="1033"/>
      <c r="I10758" s="952">
        <f>SUM(I10753:I10756)</f>
        <v>46.1</v>
      </c>
    </row>
    <row r="10759" spans="2:9" ht="15.75">
      <c r="C10759" s="951"/>
      <c r="D10759" s="960"/>
      <c r="E10759" s="943"/>
      <c r="F10759" s="1070"/>
      <c r="G10759" s="960"/>
      <c r="H10759" s="1033"/>
      <c r="I10759" s="952"/>
    </row>
    <row r="10760" spans="2:9" ht="15.75">
      <c r="B10760" s="1062">
        <v>7.11</v>
      </c>
      <c r="C10760" s="937" t="str">
        <f>+Presupuesto!B624</f>
        <v>Tubería  Ø2" PVC presión (SCH-40)</v>
      </c>
      <c r="D10760" s="938"/>
      <c r="E10760" s="962" t="s">
        <v>1088</v>
      </c>
      <c r="F10760" s="1066"/>
      <c r="G10760" s="938"/>
      <c r="H10760" s="1029"/>
      <c r="I10760" s="940">
        <f>+I10783</f>
        <v>191.56</v>
      </c>
    </row>
    <row r="10761" spans="2:9" ht="15.75">
      <c r="C10761" s="941" t="s">
        <v>908</v>
      </c>
      <c r="D10761" s="942" t="s">
        <v>9</v>
      </c>
      <c r="E10761" s="943" t="s">
        <v>10</v>
      </c>
      <c r="F10761" s="1067" t="s">
        <v>909</v>
      </c>
      <c r="G10761" s="942" t="s">
        <v>910</v>
      </c>
      <c r="H10761" s="1030" t="s">
        <v>911</v>
      </c>
      <c r="I10761" s="944" t="s">
        <v>912</v>
      </c>
    </row>
    <row r="10762" spans="2:9" ht="15.75">
      <c r="C10762" s="945" t="s">
        <v>913</v>
      </c>
      <c r="D10762" s="946"/>
      <c r="E10762" s="947"/>
      <c r="F10762" s="1054"/>
      <c r="G10762" s="946"/>
      <c r="H10762" s="1031"/>
      <c r="I10762" s="948"/>
    </row>
    <row r="10763" spans="2:9" ht="15.75">
      <c r="C10763" s="949" t="s">
        <v>1667</v>
      </c>
      <c r="D10763" s="946">
        <v>1.02</v>
      </c>
      <c r="E10763" s="947" t="str">
        <f>+VLOOKUP(C10763,'Basic (equilibrio) (2)'!B:D,2,FALSE)</f>
        <v>m</v>
      </c>
      <c r="F10763" s="1068">
        <f>'Basic (equilibrio) (2)'!$D$271</f>
        <v>187.8</v>
      </c>
      <c r="G10763" s="946">
        <f>F10763-(F10763/1.18)</f>
        <v>28.65</v>
      </c>
      <c r="H10763" s="1031"/>
      <c r="I10763" s="948">
        <f>D10763*F10763</f>
        <v>191.56</v>
      </c>
    </row>
    <row r="10764" spans="2:9" ht="15.75">
      <c r="C10764" s="951" t="s">
        <v>918</v>
      </c>
      <c r="D10764" s="946"/>
      <c r="E10764" s="947"/>
      <c r="F10764" s="1068"/>
      <c r="G10764" s="946"/>
      <c r="H10764" s="1031"/>
      <c r="I10764" s="952">
        <f>SUM(I10763:I10763)</f>
        <v>191.56</v>
      </c>
    </row>
    <row r="10765" spans="2:9" ht="15.75">
      <c r="C10765" s="949"/>
      <c r="D10765" s="946"/>
      <c r="E10765" s="947"/>
      <c r="F10765" s="1068"/>
      <c r="G10765" s="946"/>
      <c r="H10765" s="1031"/>
      <c r="I10765" s="948"/>
    </row>
    <row r="10766" spans="2:9" ht="15.75">
      <c r="C10766" s="945" t="s">
        <v>919</v>
      </c>
      <c r="D10766" s="946"/>
      <c r="E10766" s="947"/>
      <c r="F10766" s="1068"/>
      <c r="G10766" s="946"/>
      <c r="H10766" s="1031"/>
      <c r="I10766" s="948"/>
    </row>
    <row r="10767" spans="2:9" ht="15.75">
      <c r="C10767" s="949" t="s">
        <v>924</v>
      </c>
      <c r="D10767" s="953"/>
      <c r="E10767" s="954" t="str">
        <f>+VLOOKUP(C10767,'Basic (equilibrio) (2)'!B:D,2,FALSE)</f>
        <v>n/a</v>
      </c>
      <c r="F10767" s="1068">
        <f>+VLOOKUP(C10767,'Basic (equilibrio) (2)'!B:D,3,FALSE)</f>
        <v>0</v>
      </c>
      <c r="G10767" s="946">
        <v>0</v>
      </c>
      <c r="H10767" s="1031"/>
      <c r="I10767" s="948">
        <f>(D10767*F10767)</f>
        <v>0</v>
      </c>
    </row>
    <row r="10768" spans="2:9" ht="15.75">
      <c r="C10768" s="951" t="s">
        <v>918</v>
      </c>
      <c r="D10768" s="946"/>
      <c r="E10768" s="947"/>
      <c r="F10768" s="1054"/>
      <c r="G10768" s="946"/>
      <c r="H10768" s="1031"/>
      <c r="I10768" s="952">
        <f>SUM(I10767:I10767)</f>
        <v>0</v>
      </c>
    </row>
    <row r="10769" spans="3:9" ht="15.75">
      <c r="C10769" s="949"/>
      <c r="D10769" s="946"/>
      <c r="E10769" s="947"/>
      <c r="F10769" s="1054"/>
      <c r="G10769" s="946"/>
      <c r="H10769" s="1031"/>
      <c r="I10769" s="948"/>
    </row>
    <row r="10770" spans="3:9" ht="15.75">
      <c r="C10770" s="945" t="s">
        <v>923</v>
      </c>
      <c r="D10770" s="946"/>
      <c r="E10770" s="947"/>
      <c r="F10770" s="1054"/>
      <c r="G10770" s="946"/>
      <c r="H10770" s="1031"/>
      <c r="I10770" s="948"/>
    </row>
    <row r="10771" spans="3:9" ht="15.75">
      <c r="C10771" s="949" t="s">
        <v>924</v>
      </c>
      <c r="D10771" s="946"/>
      <c r="E10771" s="947" t="str">
        <f>+VLOOKUP(C10771,'Basic (equilibrio) (2)'!B:D,2,FALSE)</f>
        <v>n/a</v>
      </c>
      <c r="F10771" s="1054">
        <f>+VLOOKUP(C10771,'Basic (equilibrio) (2)'!B:D,3,FALSE)</f>
        <v>0</v>
      </c>
      <c r="G10771" s="946">
        <f>F10771-(F10771/1.18)</f>
        <v>0</v>
      </c>
      <c r="H10771" s="1039"/>
      <c r="I10771" s="955">
        <f>D10771*F10771</f>
        <v>0</v>
      </c>
    </row>
    <row r="10772" spans="3:9" ht="15.75">
      <c r="C10772" s="951" t="s">
        <v>918</v>
      </c>
      <c r="D10772" s="946"/>
      <c r="E10772" s="947"/>
      <c r="F10772" s="1054"/>
      <c r="G10772" s="946"/>
      <c r="H10772" s="1031"/>
      <c r="I10772" s="952">
        <f>SUM(I10771:I10771)</f>
        <v>0</v>
      </c>
    </row>
    <row r="10773" spans="3:9" ht="15.75">
      <c r="C10773" s="949"/>
      <c r="D10773" s="946"/>
      <c r="E10773" s="947"/>
      <c r="F10773" s="1054"/>
      <c r="G10773" s="946"/>
      <c r="H10773" s="1031"/>
      <c r="I10773" s="948"/>
    </row>
    <row r="10774" spans="3:9" ht="15.75">
      <c r="C10774" s="945" t="s">
        <v>925</v>
      </c>
      <c r="D10774" s="946"/>
      <c r="E10774" s="947"/>
      <c r="F10774" s="1054"/>
      <c r="G10774" s="946"/>
      <c r="H10774" s="1031"/>
      <c r="I10774" s="948"/>
    </row>
    <row r="10775" spans="3:9" ht="15.75">
      <c r="C10775" s="949" t="s">
        <v>924</v>
      </c>
      <c r="D10775" s="946"/>
      <c r="E10775" s="947" t="str">
        <f>+VLOOKUP(C10775,'Basic (equilibrio) (2)'!B:D,2,FALSE)</f>
        <v>n/a</v>
      </c>
      <c r="F10775" s="1054">
        <f>+VLOOKUP(C10775,'Basic (equilibrio) (2)'!B:D,3,FALSE)</f>
        <v>0</v>
      </c>
      <c r="G10775" s="946"/>
      <c r="H10775" s="1031"/>
      <c r="I10775" s="948">
        <f>D10775*F10775</f>
        <v>0</v>
      </c>
    </row>
    <row r="10776" spans="3:9" ht="15.75">
      <c r="C10776" s="951" t="s">
        <v>918</v>
      </c>
      <c r="D10776" s="946"/>
      <c r="E10776" s="947"/>
      <c r="F10776" s="1054"/>
      <c r="G10776" s="946"/>
      <c r="H10776" s="1031"/>
      <c r="I10776" s="952">
        <f>SUM(I10775)</f>
        <v>0</v>
      </c>
    </row>
    <row r="10777" spans="3:9" ht="15.75">
      <c r="C10777" s="951"/>
      <c r="D10777" s="946"/>
      <c r="E10777" s="947"/>
      <c r="F10777" s="1054"/>
      <c r="G10777" s="946"/>
      <c r="H10777" s="1031"/>
      <c r="I10777" s="952"/>
    </row>
    <row r="10778" spans="3:9" ht="15.75">
      <c r="C10778" s="956" t="s">
        <v>926</v>
      </c>
      <c r="D10778" s="957"/>
      <c r="E10778" s="958"/>
      <c r="F10778" s="1069"/>
      <c r="G10778" s="957"/>
      <c r="H10778" s="1032"/>
      <c r="I10778" s="959">
        <f>+I10764</f>
        <v>191.56</v>
      </c>
    </row>
    <row r="10779" spans="3:9" ht="15.75">
      <c r="C10779" s="956" t="s">
        <v>927</v>
      </c>
      <c r="D10779" s="957"/>
      <c r="E10779" s="958"/>
      <c r="F10779" s="1069"/>
      <c r="G10779" s="957"/>
      <c r="H10779" s="1032"/>
      <c r="I10779" s="959">
        <f>+I10768</f>
        <v>0</v>
      </c>
    </row>
    <row r="10780" spans="3:9" ht="15.75">
      <c r="C10780" s="956" t="s">
        <v>928</v>
      </c>
      <c r="D10780" s="957"/>
      <c r="E10780" s="958"/>
      <c r="F10780" s="1069"/>
      <c r="G10780" s="957"/>
      <c r="H10780" s="1032"/>
      <c r="I10780" s="959">
        <f>+I10772</f>
        <v>0</v>
      </c>
    </row>
    <row r="10781" spans="3:9" ht="15.75">
      <c r="C10781" s="956" t="s">
        <v>929</v>
      </c>
      <c r="D10781" s="957"/>
      <c r="E10781" s="958"/>
      <c r="F10781" s="1069"/>
      <c r="G10781" s="957"/>
      <c r="H10781" s="1032"/>
      <c r="I10781" s="959">
        <f>+I10776</f>
        <v>0</v>
      </c>
    </row>
    <row r="10782" spans="3:9" ht="15.75">
      <c r="C10782" s="949"/>
      <c r="D10782" s="946"/>
      <c r="E10782" s="947"/>
      <c r="F10782" s="1054"/>
      <c r="G10782" s="946"/>
      <c r="H10782" s="1031"/>
      <c r="I10782" s="948"/>
    </row>
    <row r="10783" spans="3:9" ht="15.75">
      <c r="C10783" s="951" t="s">
        <v>930</v>
      </c>
      <c r="D10783" s="960"/>
      <c r="E10783" s="975" t="str">
        <f>+E10760</f>
        <v>m</v>
      </c>
      <c r="F10783" s="1070"/>
      <c r="G10783" s="960"/>
      <c r="H10783" s="1033"/>
      <c r="I10783" s="952">
        <f>SUM(I10778:I10781)</f>
        <v>191.56</v>
      </c>
    </row>
    <row r="10784" spans="3:9" ht="15.75">
      <c r="C10784" s="951"/>
      <c r="D10784" s="960"/>
      <c r="E10784" s="943"/>
      <c r="F10784" s="1070"/>
      <c r="G10784" s="960"/>
      <c r="H10784" s="1033"/>
      <c r="I10784" s="952"/>
    </row>
    <row r="10785" spans="2:9" ht="15.75">
      <c r="B10785" s="1062">
        <v>7.12</v>
      </c>
      <c r="C10785" s="937" t="str">
        <f>+Presupuesto!B625</f>
        <v>Tubería  Ø1" PVC presión (SCH-40)</v>
      </c>
      <c r="D10785" s="938"/>
      <c r="E10785" s="962" t="s">
        <v>1088</v>
      </c>
      <c r="F10785" s="1066"/>
      <c r="G10785" s="938"/>
      <c r="H10785" s="1029"/>
      <c r="I10785" s="940">
        <f>+I10808</f>
        <v>88.03</v>
      </c>
    </row>
    <row r="10786" spans="2:9" ht="15.75">
      <c r="C10786" s="941" t="s">
        <v>908</v>
      </c>
      <c r="D10786" s="942" t="s">
        <v>9</v>
      </c>
      <c r="E10786" s="943" t="s">
        <v>10</v>
      </c>
      <c r="F10786" s="1067" t="s">
        <v>909</v>
      </c>
      <c r="G10786" s="942" t="s">
        <v>910</v>
      </c>
      <c r="H10786" s="1030" t="s">
        <v>911</v>
      </c>
      <c r="I10786" s="944" t="s">
        <v>912</v>
      </c>
    </row>
    <row r="10787" spans="2:9" ht="15.75">
      <c r="C10787" s="945" t="s">
        <v>913</v>
      </c>
      <c r="D10787" s="946"/>
      <c r="E10787" s="947"/>
      <c r="F10787" s="1054"/>
      <c r="G10787" s="946"/>
      <c r="H10787" s="1031"/>
      <c r="I10787" s="948"/>
    </row>
    <row r="10788" spans="2:9" ht="15.75">
      <c r="C10788" s="949" t="s">
        <v>1668</v>
      </c>
      <c r="D10788" s="946">
        <v>1.02</v>
      </c>
      <c r="E10788" s="947" t="str">
        <f>+VLOOKUP(C10788,'Basic (equilibrio) (2)'!B:D,2,FALSE)</f>
        <v>m</v>
      </c>
      <c r="F10788" s="1068">
        <f>'Basic (equilibrio) (2)'!$D$272</f>
        <v>86.3</v>
      </c>
      <c r="G10788" s="946">
        <f>F10788-(F10788/1.18)</f>
        <v>13.16</v>
      </c>
      <c r="H10788" s="1031"/>
      <c r="I10788" s="948">
        <f>D10788*F10788</f>
        <v>88.03</v>
      </c>
    </row>
    <row r="10789" spans="2:9" ht="15.75">
      <c r="C10789" s="951" t="s">
        <v>918</v>
      </c>
      <c r="D10789" s="946"/>
      <c r="E10789" s="947"/>
      <c r="F10789" s="1068"/>
      <c r="G10789" s="946"/>
      <c r="H10789" s="1031"/>
      <c r="I10789" s="952">
        <f>SUM(I10788:I10788)</f>
        <v>88.03</v>
      </c>
    </row>
    <row r="10790" spans="2:9" ht="15.75">
      <c r="C10790" s="949"/>
      <c r="D10790" s="946"/>
      <c r="E10790" s="947"/>
      <c r="F10790" s="1068"/>
      <c r="G10790" s="946"/>
      <c r="H10790" s="1031"/>
      <c r="I10790" s="948"/>
    </row>
    <row r="10791" spans="2:9" ht="15.75">
      <c r="C10791" s="945" t="s">
        <v>919</v>
      </c>
      <c r="D10791" s="946"/>
      <c r="E10791" s="947"/>
      <c r="F10791" s="1068"/>
      <c r="G10791" s="946"/>
      <c r="H10791" s="1031"/>
      <c r="I10791" s="948"/>
    </row>
    <row r="10792" spans="2:9" ht="15.75">
      <c r="C10792" s="949" t="s">
        <v>924</v>
      </c>
      <c r="D10792" s="953"/>
      <c r="E10792" s="954" t="str">
        <f>+VLOOKUP(C10792,'Basic (equilibrio) (2)'!B:D,2,FALSE)</f>
        <v>n/a</v>
      </c>
      <c r="F10792" s="1068">
        <f>+VLOOKUP(C10792,'Basic (equilibrio) (2)'!B:D,3,FALSE)</f>
        <v>0</v>
      </c>
      <c r="G10792" s="946">
        <v>0</v>
      </c>
      <c r="H10792" s="1031"/>
      <c r="I10792" s="948">
        <f>(D10792*F10792)</f>
        <v>0</v>
      </c>
    </row>
    <row r="10793" spans="2:9" ht="15.75">
      <c r="C10793" s="951" t="s">
        <v>918</v>
      </c>
      <c r="D10793" s="946"/>
      <c r="E10793" s="947"/>
      <c r="F10793" s="1054"/>
      <c r="G10793" s="946"/>
      <c r="H10793" s="1031"/>
      <c r="I10793" s="952">
        <f>SUM(I10792:I10792)</f>
        <v>0</v>
      </c>
    </row>
    <row r="10794" spans="2:9" ht="15.75">
      <c r="C10794" s="949"/>
      <c r="D10794" s="946"/>
      <c r="E10794" s="947"/>
      <c r="F10794" s="1054"/>
      <c r="G10794" s="946"/>
      <c r="H10794" s="1031"/>
      <c r="I10794" s="948"/>
    </row>
    <row r="10795" spans="2:9" ht="15.75">
      <c r="C10795" s="945" t="s">
        <v>923</v>
      </c>
      <c r="D10795" s="946"/>
      <c r="E10795" s="947"/>
      <c r="F10795" s="1054"/>
      <c r="G10795" s="946"/>
      <c r="H10795" s="1031"/>
      <c r="I10795" s="948"/>
    </row>
    <row r="10796" spans="2:9" ht="15.75">
      <c r="C10796" s="949" t="s">
        <v>924</v>
      </c>
      <c r="D10796" s="946"/>
      <c r="E10796" s="947" t="str">
        <f>+VLOOKUP(C10796,'Basic (equilibrio) (2)'!B:D,2,FALSE)</f>
        <v>n/a</v>
      </c>
      <c r="F10796" s="1054">
        <f>+VLOOKUP(C10796,'Basic (equilibrio) (2)'!B:D,3,FALSE)</f>
        <v>0</v>
      </c>
      <c r="G10796" s="946">
        <f>F10796-(F10796/1.18)</f>
        <v>0</v>
      </c>
      <c r="H10796" s="1039"/>
      <c r="I10796" s="955">
        <f>D10796*F10796</f>
        <v>0</v>
      </c>
    </row>
    <row r="10797" spans="2:9" ht="15.75">
      <c r="C10797" s="951" t="s">
        <v>918</v>
      </c>
      <c r="D10797" s="946"/>
      <c r="E10797" s="947"/>
      <c r="F10797" s="1054"/>
      <c r="G10797" s="946"/>
      <c r="H10797" s="1031"/>
      <c r="I10797" s="952">
        <f>SUM(I10796:I10796)</f>
        <v>0</v>
      </c>
    </row>
    <row r="10798" spans="2:9" ht="15.75">
      <c r="C10798" s="949"/>
      <c r="D10798" s="946"/>
      <c r="E10798" s="947"/>
      <c r="F10798" s="1054"/>
      <c r="G10798" s="946"/>
      <c r="H10798" s="1031"/>
      <c r="I10798" s="948"/>
    </row>
    <row r="10799" spans="2:9" ht="15.75">
      <c r="C10799" s="945" t="s">
        <v>925</v>
      </c>
      <c r="D10799" s="946"/>
      <c r="E10799" s="947"/>
      <c r="F10799" s="1054"/>
      <c r="G10799" s="946"/>
      <c r="H10799" s="1031"/>
      <c r="I10799" s="948"/>
    </row>
    <row r="10800" spans="2:9" ht="15.75">
      <c r="C10800" s="949" t="s">
        <v>924</v>
      </c>
      <c r="D10800" s="946"/>
      <c r="E10800" s="947" t="str">
        <f>+VLOOKUP(C10800,'Basic (equilibrio) (2)'!B:D,2,FALSE)</f>
        <v>n/a</v>
      </c>
      <c r="F10800" s="1054">
        <f>+VLOOKUP(C10800,'Basic (equilibrio) (2)'!B:D,3,FALSE)</f>
        <v>0</v>
      </c>
      <c r="G10800" s="946"/>
      <c r="H10800" s="1031"/>
      <c r="I10800" s="948">
        <f>D10800*F10800</f>
        <v>0</v>
      </c>
    </row>
    <row r="10801" spans="2:9" ht="15.75">
      <c r="C10801" s="951" t="s">
        <v>918</v>
      </c>
      <c r="D10801" s="946"/>
      <c r="E10801" s="947"/>
      <c r="F10801" s="1054"/>
      <c r="G10801" s="946"/>
      <c r="H10801" s="1031"/>
      <c r="I10801" s="952">
        <f>SUM(I10800)</f>
        <v>0</v>
      </c>
    </row>
    <row r="10802" spans="2:9" ht="15.75">
      <c r="C10802" s="951"/>
      <c r="D10802" s="946"/>
      <c r="E10802" s="947"/>
      <c r="F10802" s="1054"/>
      <c r="G10802" s="946"/>
      <c r="H10802" s="1031"/>
      <c r="I10802" s="952"/>
    </row>
    <row r="10803" spans="2:9" ht="15.75">
      <c r="C10803" s="956" t="s">
        <v>926</v>
      </c>
      <c r="D10803" s="957"/>
      <c r="E10803" s="958"/>
      <c r="F10803" s="1069"/>
      <c r="G10803" s="957"/>
      <c r="H10803" s="1032"/>
      <c r="I10803" s="959">
        <f>+I10789</f>
        <v>88.03</v>
      </c>
    </row>
    <row r="10804" spans="2:9" ht="15.75">
      <c r="C10804" s="956" t="s">
        <v>927</v>
      </c>
      <c r="D10804" s="957"/>
      <c r="E10804" s="958"/>
      <c r="F10804" s="1069"/>
      <c r="G10804" s="957"/>
      <c r="H10804" s="1032"/>
      <c r="I10804" s="959">
        <f>+I10793</f>
        <v>0</v>
      </c>
    </row>
    <row r="10805" spans="2:9" ht="15.75">
      <c r="C10805" s="956" t="s">
        <v>928</v>
      </c>
      <c r="D10805" s="957"/>
      <c r="E10805" s="958"/>
      <c r="F10805" s="1069"/>
      <c r="G10805" s="957"/>
      <c r="H10805" s="1032"/>
      <c r="I10805" s="959">
        <f>+I10797</f>
        <v>0</v>
      </c>
    </row>
    <row r="10806" spans="2:9" ht="15.75">
      <c r="C10806" s="956" t="s">
        <v>929</v>
      </c>
      <c r="D10806" s="957"/>
      <c r="E10806" s="958"/>
      <c r="F10806" s="1069"/>
      <c r="G10806" s="957"/>
      <c r="H10806" s="1032"/>
      <c r="I10806" s="959">
        <f>+I10801</f>
        <v>0</v>
      </c>
    </row>
    <row r="10807" spans="2:9" ht="15.75">
      <c r="C10807" s="949"/>
      <c r="D10807" s="946"/>
      <c r="E10807" s="947"/>
      <c r="F10807" s="1054"/>
      <c r="G10807" s="946"/>
      <c r="H10807" s="1031"/>
      <c r="I10807" s="948"/>
    </row>
    <row r="10808" spans="2:9" ht="15.75">
      <c r="C10808" s="951" t="s">
        <v>930</v>
      </c>
      <c r="D10808" s="960"/>
      <c r="E10808" s="975" t="str">
        <f>+E10785</f>
        <v>m</v>
      </c>
      <c r="F10808" s="1070"/>
      <c r="G10808" s="960"/>
      <c r="H10808" s="1033"/>
      <c r="I10808" s="952">
        <f>SUM(I10803:I10806)</f>
        <v>88.03</v>
      </c>
    </row>
    <row r="10809" spans="2:9" ht="15.75">
      <c r="C10809" s="951"/>
      <c r="D10809" s="960"/>
      <c r="E10809" s="943"/>
      <c r="F10809" s="1070"/>
      <c r="G10809" s="960"/>
      <c r="H10809" s="1033"/>
      <c r="I10809" s="952"/>
    </row>
    <row r="10810" spans="2:9" ht="15.75">
      <c r="B10810" s="1062">
        <v>7.13</v>
      </c>
      <c r="C10810" s="937" t="str">
        <f>+Presupuesto!B626</f>
        <v>Tubería  Ø3/4" PVC presión (SCH-40)</v>
      </c>
      <c r="D10810" s="938"/>
      <c r="E10810" s="962" t="s">
        <v>1088</v>
      </c>
      <c r="F10810" s="1066"/>
      <c r="G10810" s="938"/>
      <c r="H10810" s="1029"/>
      <c r="I10810" s="940">
        <f>+I10833</f>
        <v>51.61</v>
      </c>
    </row>
    <row r="10811" spans="2:9" ht="15.75">
      <c r="C10811" s="941" t="s">
        <v>908</v>
      </c>
      <c r="D10811" s="942" t="s">
        <v>9</v>
      </c>
      <c r="E10811" s="943" t="s">
        <v>10</v>
      </c>
      <c r="F10811" s="1067" t="s">
        <v>909</v>
      </c>
      <c r="G10811" s="942" t="s">
        <v>910</v>
      </c>
      <c r="H10811" s="1030" t="s">
        <v>911</v>
      </c>
      <c r="I10811" s="944" t="s">
        <v>912</v>
      </c>
    </row>
    <row r="10812" spans="2:9" ht="15.75">
      <c r="C10812" s="945" t="s">
        <v>913</v>
      </c>
      <c r="D10812" s="946"/>
      <c r="E10812" s="947"/>
      <c r="F10812" s="1054"/>
      <c r="G10812" s="946"/>
      <c r="H10812" s="1031"/>
      <c r="I10812" s="948"/>
    </row>
    <row r="10813" spans="2:9" ht="15.75">
      <c r="C10813" s="949" t="s">
        <v>1669</v>
      </c>
      <c r="D10813" s="946">
        <v>1.02</v>
      </c>
      <c r="E10813" s="947" t="str">
        <f>+VLOOKUP(C10813,'Basic (equilibrio) (2)'!B:D,2,FALSE)</f>
        <v>m</v>
      </c>
      <c r="F10813" s="1068">
        <f>'Basic (equilibrio) (2)'!$D$273</f>
        <v>50.6</v>
      </c>
      <c r="G10813" s="946">
        <f>F10813-(F10813/1.18)</f>
        <v>7.72</v>
      </c>
      <c r="H10813" s="1031"/>
      <c r="I10813" s="948">
        <f>D10813*F10813</f>
        <v>51.61</v>
      </c>
    </row>
    <row r="10814" spans="2:9" ht="15.75">
      <c r="C10814" s="951" t="s">
        <v>918</v>
      </c>
      <c r="D10814" s="946"/>
      <c r="E10814" s="947"/>
      <c r="F10814" s="1068"/>
      <c r="G10814" s="946"/>
      <c r="H10814" s="1031"/>
      <c r="I10814" s="952">
        <f>SUM(I10813:I10813)</f>
        <v>51.61</v>
      </c>
    </row>
    <row r="10815" spans="2:9" ht="15.75">
      <c r="C10815" s="949"/>
      <c r="D10815" s="946"/>
      <c r="E10815" s="947"/>
      <c r="F10815" s="1068"/>
      <c r="G10815" s="946"/>
      <c r="H10815" s="1031"/>
      <c r="I10815" s="948"/>
    </row>
    <row r="10816" spans="2:9" ht="15.75">
      <c r="C10816" s="945" t="s">
        <v>919</v>
      </c>
      <c r="D10816" s="946"/>
      <c r="E10816" s="947"/>
      <c r="F10816" s="1068"/>
      <c r="G10816" s="946"/>
      <c r="H10816" s="1031"/>
      <c r="I10816" s="948"/>
    </row>
    <row r="10817" spans="3:9" ht="15.75">
      <c r="C10817" s="949" t="s">
        <v>924</v>
      </c>
      <c r="D10817" s="953"/>
      <c r="E10817" s="954" t="str">
        <f>+VLOOKUP(C10817,'Basic (equilibrio) (2)'!B:D,2,FALSE)</f>
        <v>n/a</v>
      </c>
      <c r="F10817" s="1068">
        <f>+VLOOKUP(C10817,'Basic (equilibrio) (2)'!B:D,3,FALSE)</f>
        <v>0</v>
      </c>
      <c r="G10817" s="946">
        <v>0</v>
      </c>
      <c r="H10817" s="1031"/>
      <c r="I10817" s="948">
        <f>(D10817*F10817)</f>
        <v>0</v>
      </c>
    </row>
    <row r="10818" spans="3:9" ht="15.75">
      <c r="C10818" s="951" t="s">
        <v>918</v>
      </c>
      <c r="D10818" s="946"/>
      <c r="E10818" s="947"/>
      <c r="F10818" s="1054"/>
      <c r="G10818" s="946"/>
      <c r="H10818" s="1031"/>
      <c r="I10818" s="952">
        <f>SUM(I10817:I10817)</f>
        <v>0</v>
      </c>
    </row>
    <row r="10819" spans="3:9" ht="15.75">
      <c r="C10819" s="949"/>
      <c r="D10819" s="946"/>
      <c r="E10819" s="947"/>
      <c r="F10819" s="1054"/>
      <c r="G10819" s="946"/>
      <c r="H10819" s="1031"/>
      <c r="I10819" s="948"/>
    </row>
    <row r="10820" spans="3:9" ht="15.75">
      <c r="C10820" s="945" t="s">
        <v>923</v>
      </c>
      <c r="D10820" s="946"/>
      <c r="E10820" s="947"/>
      <c r="F10820" s="1054"/>
      <c r="G10820" s="946"/>
      <c r="H10820" s="1031"/>
      <c r="I10820" s="948"/>
    </row>
    <row r="10821" spans="3:9" ht="15.75">
      <c r="C10821" s="949" t="s">
        <v>924</v>
      </c>
      <c r="D10821" s="946"/>
      <c r="E10821" s="947" t="str">
        <f>+VLOOKUP(C10821,'Basic (equilibrio) (2)'!B:D,2,FALSE)</f>
        <v>n/a</v>
      </c>
      <c r="F10821" s="1054">
        <f>+VLOOKUP(C10821,'Basic (equilibrio) (2)'!B:D,3,FALSE)</f>
        <v>0</v>
      </c>
      <c r="G10821" s="946">
        <f>F10821-(F10821/1.18)</f>
        <v>0</v>
      </c>
      <c r="H10821" s="1039"/>
      <c r="I10821" s="955">
        <f>D10821*F10821</f>
        <v>0</v>
      </c>
    </row>
    <row r="10822" spans="3:9" ht="15.75">
      <c r="C10822" s="951" t="s">
        <v>918</v>
      </c>
      <c r="D10822" s="946"/>
      <c r="E10822" s="947"/>
      <c r="F10822" s="1054"/>
      <c r="G10822" s="946"/>
      <c r="H10822" s="1031"/>
      <c r="I10822" s="952">
        <f>SUM(I10821:I10821)</f>
        <v>0</v>
      </c>
    </row>
    <row r="10823" spans="3:9" ht="15.75">
      <c r="C10823" s="949"/>
      <c r="D10823" s="946"/>
      <c r="E10823" s="947"/>
      <c r="F10823" s="1054"/>
      <c r="G10823" s="946"/>
      <c r="H10823" s="1031"/>
      <c r="I10823" s="948"/>
    </row>
    <row r="10824" spans="3:9" ht="15.75">
      <c r="C10824" s="945" t="s">
        <v>925</v>
      </c>
      <c r="D10824" s="946"/>
      <c r="E10824" s="947"/>
      <c r="F10824" s="1054"/>
      <c r="G10824" s="946"/>
      <c r="H10824" s="1031"/>
      <c r="I10824" s="948"/>
    </row>
    <row r="10825" spans="3:9" ht="15.75">
      <c r="C10825" s="949" t="s">
        <v>924</v>
      </c>
      <c r="D10825" s="946"/>
      <c r="E10825" s="947" t="str">
        <f>+VLOOKUP(C10825,'Basic (equilibrio) (2)'!B:D,2,FALSE)</f>
        <v>n/a</v>
      </c>
      <c r="F10825" s="1054">
        <f>+VLOOKUP(C10825,'Basic (equilibrio) (2)'!B:D,3,FALSE)</f>
        <v>0</v>
      </c>
      <c r="G10825" s="946"/>
      <c r="H10825" s="1031"/>
      <c r="I10825" s="948">
        <f>D10825*F10825</f>
        <v>0</v>
      </c>
    </row>
    <row r="10826" spans="3:9" ht="15.75">
      <c r="C10826" s="951" t="s">
        <v>918</v>
      </c>
      <c r="D10826" s="946"/>
      <c r="E10826" s="947"/>
      <c r="F10826" s="1054"/>
      <c r="G10826" s="946"/>
      <c r="H10826" s="1031"/>
      <c r="I10826" s="952">
        <f>SUM(I10825)</f>
        <v>0</v>
      </c>
    </row>
    <row r="10827" spans="3:9" ht="15.75">
      <c r="C10827" s="951"/>
      <c r="D10827" s="946"/>
      <c r="E10827" s="947"/>
      <c r="F10827" s="1054"/>
      <c r="G10827" s="946"/>
      <c r="H10827" s="1031"/>
      <c r="I10827" s="952"/>
    </row>
    <row r="10828" spans="3:9" ht="15.75">
      <c r="C10828" s="956" t="s">
        <v>926</v>
      </c>
      <c r="D10828" s="957"/>
      <c r="E10828" s="958"/>
      <c r="F10828" s="1069"/>
      <c r="G10828" s="957"/>
      <c r="H10828" s="1032"/>
      <c r="I10828" s="959">
        <f>+I10814</f>
        <v>51.61</v>
      </c>
    </row>
    <row r="10829" spans="3:9" ht="15.75">
      <c r="C10829" s="956" t="s">
        <v>927</v>
      </c>
      <c r="D10829" s="957"/>
      <c r="E10829" s="958"/>
      <c r="F10829" s="1069"/>
      <c r="G10829" s="957"/>
      <c r="H10829" s="1032"/>
      <c r="I10829" s="959">
        <f>+I10818</f>
        <v>0</v>
      </c>
    </row>
    <row r="10830" spans="3:9" ht="15.75">
      <c r="C10830" s="956" t="s">
        <v>928</v>
      </c>
      <c r="D10830" s="957"/>
      <c r="E10830" s="958"/>
      <c r="F10830" s="1069"/>
      <c r="G10830" s="957"/>
      <c r="H10830" s="1032"/>
      <c r="I10830" s="959">
        <f>+I10822</f>
        <v>0</v>
      </c>
    </row>
    <row r="10831" spans="3:9" ht="15.75">
      <c r="C10831" s="956" t="s">
        <v>929</v>
      </c>
      <c r="D10831" s="957"/>
      <c r="E10831" s="958"/>
      <c r="F10831" s="1069"/>
      <c r="G10831" s="957"/>
      <c r="H10831" s="1032"/>
      <c r="I10831" s="959">
        <f>+I10826</f>
        <v>0</v>
      </c>
    </row>
    <row r="10832" spans="3:9" ht="15.75">
      <c r="C10832" s="949"/>
      <c r="D10832" s="946"/>
      <c r="E10832" s="947"/>
      <c r="F10832" s="1054"/>
      <c r="G10832" s="946"/>
      <c r="H10832" s="1031"/>
      <c r="I10832" s="948"/>
    </row>
    <row r="10833" spans="2:9" ht="15.75">
      <c r="C10833" s="951" t="s">
        <v>930</v>
      </c>
      <c r="D10833" s="960"/>
      <c r="E10833" s="975" t="str">
        <f>+E10810</f>
        <v>m</v>
      </c>
      <c r="F10833" s="1070"/>
      <c r="G10833" s="960"/>
      <c r="H10833" s="1033"/>
      <c r="I10833" s="952">
        <f>SUM(I10828:I10831)</f>
        <v>51.61</v>
      </c>
    </row>
    <row r="10834" spans="2:9" ht="15.75">
      <c r="C10834" s="951"/>
      <c r="D10834" s="960"/>
      <c r="E10834" s="943"/>
      <c r="F10834" s="1070"/>
      <c r="G10834" s="960"/>
      <c r="H10834" s="1033"/>
      <c r="I10834" s="952"/>
    </row>
    <row r="10835" spans="2:9" ht="15.75">
      <c r="B10835" s="1062">
        <v>7.14</v>
      </c>
      <c r="C10835" s="937" t="str">
        <f>+Presupuesto!B627</f>
        <v>Tubería  Ø1/2" PVC presión (SCH-40)</v>
      </c>
      <c r="D10835" s="938"/>
      <c r="E10835" s="962" t="s">
        <v>1088</v>
      </c>
      <c r="F10835" s="1066"/>
      <c r="G10835" s="938"/>
      <c r="H10835" s="1029"/>
      <c r="I10835" s="940">
        <f>+I10858</f>
        <v>44.98</v>
      </c>
    </row>
    <row r="10836" spans="2:9" ht="15.75">
      <c r="C10836" s="941" t="s">
        <v>908</v>
      </c>
      <c r="D10836" s="942" t="s">
        <v>9</v>
      </c>
      <c r="E10836" s="943" t="s">
        <v>10</v>
      </c>
      <c r="F10836" s="1067" t="s">
        <v>909</v>
      </c>
      <c r="G10836" s="942" t="s">
        <v>910</v>
      </c>
      <c r="H10836" s="1030" t="s">
        <v>911</v>
      </c>
      <c r="I10836" s="944" t="s">
        <v>912</v>
      </c>
    </row>
    <row r="10837" spans="2:9" ht="15.75">
      <c r="C10837" s="945" t="s">
        <v>913</v>
      </c>
      <c r="D10837" s="946"/>
      <c r="E10837" s="947"/>
      <c r="F10837" s="1054"/>
      <c r="G10837" s="946"/>
      <c r="H10837" s="1031"/>
      <c r="I10837" s="948"/>
    </row>
    <row r="10838" spans="2:9" ht="15.75">
      <c r="C10838" s="949" t="s">
        <v>1673</v>
      </c>
      <c r="D10838" s="946">
        <v>1.02</v>
      </c>
      <c r="E10838" s="947" t="str">
        <f>+VLOOKUP(C10838,'Basic (equilibrio) (2)'!B:D,2,FALSE)</f>
        <v>m</v>
      </c>
      <c r="F10838" s="1068">
        <f>'Basic (equilibrio) (2)'!$D$274</f>
        <v>44.1</v>
      </c>
      <c r="G10838" s="946">
        <f>F10838-(F10838/1.18)</f>
        <v>6.73</v>
      </c>
      <c r="H10838" s="1031"/>
      <c r="I10838" s="948">
        <f>D10838*F10838</f>
        <v>44.98</v>
      </c>
    </row>
    <row r="10839" spans="2:9" ht="15.75">
      <c r="C10839" s="951" t="s">
        <v>918</v>
      </c>
      <c r="D10839" s="946"/>
      <c r="E10839" s="947"/>
      <c r="F10839" s="1068"/>
      <c r="G10839" s="946"/>
      <c r="H10839" s="1031"/>
      <c r="I10839" s="952">
        <f>SUM(I10838:I10838)</f>
        <v>44.98</v>
      </c>
    </row>
    <row r="10840" spans="2:9" ht="15.75">
      <c r="C10840" s="949"/>
      <c r="D10840" s="946"/>
      <c r="E10840" s="947"/>
      <c r="F10840" s="1068"/>
      <c r="G10840" s="946"/>
      <c r="H10840" s="1031"/>
      <c r="I10840" s="948"/>
    </row>
    <row r="10841" spans="2:9" ht="15.75">
      <c r="C10841" s="945" t="s">
        <v>919</v>
      </c>
      <c r="D10841" s="946"/>
      <c r="E10841" s="947"/>
      <c r="F10841" s="1068"/>
      <c r="G10841" s="946"/>
      <c r="H10841" s="1031"/>
      <c r="I10841" s="948"/>
    </row>
    <row r="10842" spans="2:9" ht="15.75">
      <c r="C10842" s="949" t="s">
        <v>924</v>
      </c>
      <c r="D10842" s="953"/>
      <c r="E10842" s="954" t="str">
        <f>+VLOOKUP(C10842,'Basic (equilibrio) (2)'!B:D,2,FALSE)</f>
        <v>n/a</v>
      </c>
      <c r="F10842" s="1068">
        <f>+VLOOKUP(C10842,'Basic (equilibrio) (2)'!B:D,3,FALSE)</f>
        <v>0</v>
      </c>
      <c r="G10842" s="946">
        <v>0</v>
      </c>
      <c r="H10842" s="1031"/>
      <c r="I10842" s="948">
        <f>(D10842*F10842)</f>
        <v>0</v>
      </c>
    </row>
    <row r="10843" spans="2:9" ht="15.75">
      <c r="C10843" s="951" t="s">
        <v>918</v>
      </c>
      <c r="D10843" s="946"/>
      <c r="E10843" s="947"/>
      <c r="F10843" s="1054"/>
      <c r="G10843" s="946"/>
      <c r="H10843" s="1031"/>
      <c r="I10843" s="952">
        <f>SUM(I10842:I10842)</f>
        <v>0</v>
      </c>
    </row>
    <row r="10844" spans="2:9" ht="15.75">
      <c r="C10844" s="949"/>
      <c r="D10844" s="946"/>
      <c r="E10844" s="947"/>
      <c r="F10844" s="1054"/>
      <c r="G10844" s="946"/>
      <c r="H10844" s="1031"/>
      <c r="I10844" s="948"/>
    </row>
    <row r="10845" spans="2:9" ht="15.75">
      <c r="C10845" s="945" t="s">
        <v>923</v>
      </c>
      <c r="D10845" s="946"/>
      <c r="E10845" s="947"/>
      <c r="F10845" s="1054"/>
      <c r="G10845" s="946"/>
      <c r="H10845" s="1031"/>
      <c r="I10845" s="948"/>
    </row>
    <row r="10846" spans="2:9" ht="15.75">
      <c r="C10846" s="949" t="s">
        <v>924</v>
      </c>
      <c r="D10846" s="946"/>
      <c r="E10846" s="947" t="str">
        <f>+VLOOKUP(C10846,'Basic (equilibrio) (2)'!B:D,2,FALSE)</f>
        <v>n/a</v>
      </c>
      <c r="F10846" s="1054">
        <f>+VLOOKUP(C10846,'Basic (equilibrio) (2)'!B:D,3,FALSE)</f>
        <v>0</v>
      </c>
      <c r="G10846" s="946">
        <f>F10846-(F10846/1.18)</f>
        <v>0</v>
      </c>
      <c r="H10846" s="1039"/>
      <c r="I10846" s="955">
        <f>D10846*F10846</f>
        <v>0</v>
      </c>
    </row>
    <row r="10847" spans="2:9" ht="15.75">
      <c r="C10847" s="951" t="s">
        <v>918</v>
      </c>
      <c r="D10847" s="946"/>
      <c r="E10847" s="947"/>
      <c r="F10847" s="1054"/>
      <c r="G10847" s="946"/>
      <c r="H10847" s="1031"/>
      <c r="I10847" s="952">
        <f>SUM(I10846:I10846)</f>
        <v>0</v>
      </c>
    </row>
    <row r="10848" spans="2:9" ht="15.75">
      <c r="C10848" s="949"/>
      <c r="D10848" s="946"/>
      <c r="E10848" s="947"/>
      <c r="F10848" s="1054"/>
      <c r="G10848" s="946"/>
      <c r="H10848" s="1031"/>
      <c r="I10848" s="948"/>
    </row>
    <row r="10849" spans="2:9" ht="15.75">
      <c r="C10849" s="945" t="s">
        <v>925</v>
      </c>
      <c r="D10849" s="946"/>
      <c r="E10849" s="947"/>
      <c r="F10849" s="1054"/>
      <c r="G10849" s="946"/>
      <c r="H10849" s="1031"/>
      <c r="I10849" s="948"/>
    </row>
    <row r="10850" spans="2:9" ht="15.75">
      <c r="C10850" s="949" t="s">
        <v>924</v>
      </c>
      <c r="D10850" s="946"/>
      <c r="E10850" s="947" t="str">
        <f>+VLOOKUP(C10850,'Basic (equilibrio) (2)'!B:D,2,FALSE)</f>
        <v>n/a</v>
      </c>
      <c r="F10850" s="1054">
        <f>+VLOOKUP(C10850,'Basic (equilibrio) (2)'!B:D,3,FALSE)</f>
        <v>0</v>
      </c>
      <c r="G10850" s="946"/>
      <c r="H10850" s="1031"/>
      <c r="I10850" s="948">
        <f>D10850*F10850</f>
        <v>0</v>
      </c>
    </row>
    <row r="10851" spans="2:9" ht="15.75">
      <c r="C10851" s="951" t="s">
        <v>918</v>
      </c>
      <c r="D10851" s="946"/>
      <c r="E10851" s="947"/>
      <c r="F10851" s="1054"/>
      <c r="G10851" s="946"/>
      <c r="H10851" s="1031"/>
      <c r="I10851" s="952">
        <f>SUM(I10850)</f>
        <v>0</v>
      </c>
    </row>
    <row r="10852" spans="2:9" ht="15.75">
      <c r="C10852" s="951"/>
      <c r="D10852" s="946"/>
      <c r="E10852" s="947"/>
      <c r="F10852" s="1054"/>
      <c r="G10852" s="946"/>
      <c r="H10852" s="1031"/>
      <c r="I10852" s="952"/>
    </row>
    <row r="10853" spans="2:9" ht="15.75">
      <c r="C10853" s="956" t="s">
        <v>926</v>
      </c>
      <c r="D10853" s="957"/>
      <c r="E10853" s="958"/>
      <c r="F10853" s="1069"/>
      <c r="G10853" s="957"/>
      <c r="H10853" s="1032"/>
      <c r="I10853" s="959">
        <f>+I10839</f>
        <v>44.98</v>
      </c>
    </row>
    <row r="10854" spans="2:9" ht="15.75">
      <c r="C10854" s="956" t="s">
        <v>927</v>
      </c>
      <c r="D10854" s="957"/>
      <c r="E10854" s="958"/>
      <c r="F10854" s="1069"/>
      <c r="G10854" s="957"/>
      <c r="H10854" s="1032"/>
      <c r="I10854" s="959">
        <f>+I10843</f>
        <v>0</v>
      </c>
    </row>
    <row r="10855" spans="2:9" ht="15.75">
      <c r="C10855" s="956" t="s">
        <v>928</v>
      </c>
      <c r="D10855" s="957"/>
      <c r="E10855" s="958"/>
      <c r="F10855" s="1069"/>
      <c r="G10855" s="957"/>
      <c r="H10855" s="1032"/>
      <c r="I10855" s="959">
        <f>+I10847</f>
        <v>0</v>
      </c>
    </row>
    <row r="10856" spans="2:9" ht="15.75">
      <c r="C10856" s="956" t="s">
        <v>929</v>
      </c>
      <c r="D10856" s="957"/>
      <c r="E10856" s="958"/>
      <c r="F10856" s="1069"/>
      <c r="G10856" s="957"/>
      <c r="H10856" s="1032"/>
      <c r="I10856" s="959">
        <f>+I10851</f>
        <v>0</v>
      </c>
    </row>
    <row r="10857" spans="2:9" ht="15.75">
      <c r="C10857" s="949"/>
      <c r="D10857" s="946"/>
      <c r="E10857" s="947"/>
      <c r="F10857" s="1054"/>
      <c r="G10857" s="946"/>
      <c r="H10857" s="1031"/>
      <c r="I10857" s="948"/>
    </row>
    <row r="10858" spans="2:9" ht="15.75">
      <c r="C10858" s="951" t="s">
        <v>930</v>
      </c>
      <c r="D10858" s="960"/>
      <c r="E10858" s="975" t="str">
        <f>+E10835</f>
        <v>m</v>
      </c>
      <c r="F10858" s="1070"/>
      <c r="G10858" s="960"/>
      <c r="H10858" s="1033"/>
      <c r="I10858" s="952">
        <f>SUM(I10853:I10856)</f>
        <v>44.98</v>
      </c>
    </row>
    <row r="10859" spans="2:9" ht="15.75">
      <c r="C10859" s="951"/>
      <c r="D10859" s="960"/>
      <c r="E10859" s="943"/>
      <c r="F10859" s="1070"/>
      <c r="G10859" s="960"/>
      <c r="H10859" s="1033"/>
      <c r="I10859" s="952"/>
    </row>
    <row r="10860" spans="2:9" ht="15.75">
      <c r="B10860" s="1062">
        <v>7.15</v>
      </c>
      <c r="C10860" s="937" t="str">
        <f>+Presupuesto!B628</f>
        <v xml:space="preserve">Llave de paso Ø2" </v>
      </c>
      <c r="D10860" s="938"/>
      <c r="E10860" s="962" t="s">
        <v>1056</v>
      </c>
      <c r="F10860" s="1066"/>
      <c r="G10860" s="938"/>
      <c r="H10860" s="1029"/>
      <c r="I10860" s="940">
        <f>+I10883</f>
        <v>1249.5</v>
      </c>
    </row>
    <row r="10861" spans="2:9" ht="15.75">
      <c r="C10861" s="941" t="s">
        <v>908</v>
      </c>
      <c r="D10861" s="942" t="s">
        <v>9</v>
      </c>
      <c r="E10861" s="943" t="s">
        <v>10</v>
      </c>
      <c r="F10861" s="1067" t="s">
        <v>909</v>
      </c>
      <c r="G10861" s="942" t="s">
        <v>910</v>
      </c>
      <c r="H10861" s="1030" t="s">
        <v>911</v>
      </c>
      <c r="I10861" s="944" t="s">
        <v>912</v>
      </c>
    </row>
    <row r="10862" spans="2:9" ht="15.75">
      <c r="C10862" s="945" t="s">
        <v>913</v>
      </c>
      <c r="D10862" s="946"/>
      <c r="E10862" s="947"/>
      <c r="F10862" s="1054"/>
      <c r="G10862" s="946"/>
      <c r="H10862" s="1031"/>
      <c r="I10862" s="948"/>
    </row>
    <row r="10863" spans="2:9" ht="15.75">
      <c r="C10863" s="949" t="s">
        <v>1670</v>
      </c>
      <c r="D10863" s="946">
        <v>1.02</v>
      </c>
      <c r="E10863" s="947" t="str">
        <f>+VLOOKUP(C10863,'Basic (equilibrio) (2)'!B:D,2,FALSE)</f>
        <v>ud</v>
      </c>
      <c r="F10863" s="1068">
        <f>'Basic (equilibrio) (2)'!$D$275</f>
        <v>1225</v>
      </c>
      <c r="G10863" s="946">
        <f>F10863-(F10863/1.18)</f>
        <v>186.86</v>
      </c>
      <c r="H10863" s="1031"/>
      <c r="I10863" s="948">
        <f>D10863*F10863</f>
        <v>1249.5</v>
      </c>
    </row>
    <row r="10864" spans="2:9" ht="15.75">
      <c r="C10864" s="951" t="s">
        <v>918</v>
      </c>
      <c r="D10864" s="946"/>
      <c r="E10864" s="947"/>
      <c r="F10864" s="1068"/>
      <c r="G10864" s="946"/>
      <c r="H10864" s="1031"/>
      <c r="I10864" s="952">
        <f>SUM(I10863:I10863)</f>
        <v>1249.5</v>
      </c>
    </row>
    <row r="10865" spans="3:9" ht="15.75">
      <c r="C10865" s="949"/>
      <c r="D10865" s="946"/>
      <c r="E10865" s="947"/>
      <c r="F10865" s="1068"/>
      <c r="G10865" s="946"/>
      <c r="H10865" s="1031"/>
      <c r="I10865" s="948"/>
    </row>
    <row r="10866" spans="3:9" ht="15.75">
      <c r="C10866" s="945" t="s">
        <v>919</v>
      </c>
      <c r="D10866" s="946"/>
      <c r="E10866" s="947"/>
      <c r="F10866" s="1068"/>
      <c r="G10866" s="946"/>
      <c r="H10866" s="1031"/>
      <c r="I10866" s="948"/>
    </row>
    <row r="10867" spans="3:9" ht="15.75">
      <c r="C10867" s="949" t="s">
        <v>924</v>
      </c>
      <c r="D10867" s="953"/>
      <c r="E10867" s="954" t="str">
        <f>+VLOOKUP(C10867,'Basic (equilibrio) (2)'!B:D,2,FALSE)</f>
        <v>n/a</v>
      </c>
      <c r="F10867" s="1068">
        <f>+VLOOKUP(C10867,'Basic (equilibrio) (2)'!B:D,3,FALSE)</f>
        <v>0</v>
      </c>
      <c r="G10867" s="946">
        <v>0</v>
      </c>
      <c r="H10867" s="1031"/>
      <c r="I10867" s="948">
        <f>(D10867*F10867)</f>
        <v>0</v>
      </c>
    </row>
    <row r="10868" spans="3:9" ht="15.75">
      <c r="C10868" s="951" t="s">
        <v>918</v>
      </c>
      <c r="D10868" s="946"/>
      <c r="E10868" s="947"/>
      <c r="F10868" s="1054"/>
      <c r="G10868" s="946"/>
      <c r="H10868" s="1031"/>
      <c r="I10868" s="952">
        <f>SUM(I10867:I10867)</f>
        <v>0</v>
      </c>
    </row>
    <row r="10869" spans="3:9" ht="15.75">
      <c r="C10869" s="949"/>
      <c r="D10869" s="946"/>
      <c r="E10869" s="947"/>
      <c r="F10869" s="1054"/>
      <c r="G10869" s="946"/>
      <c r="H10869" s="1031"/>
      <c r="I10869" s="948"/>
    </row>
    <row r="10870" spans="3:9" ht="15.75">
      <c r="C10870" s="945" t="s">
        <v>923</v>
      </c>
      <c r="D10870" s="946"/>
      <c r="E10870" s="947"/>
      <c r="F10870" s="1054"/>
      <c r="G10870" s="946"/>
      <c r="H10870" s="1031"/>
      <c r="I10870" s="948"/>
    </row>
    <row r="10871" spans="3:9" ht="15.75">
      <c r="C10871" s="949" t="s">
        <v>924</v>
      </c>
      <c r="D10871" s="946"/>
      <c r="E10871" s="947" t="str">
        <f>+VLOOKUP(C10871,'Basic (equilibrio) (2)'!B:D,2,FALSE)</f>
        <v>n/a</v>
      </c>
      <c r="F10871" s="1054">
        <f>+VLOOKUP(C10871,'Basic (equilibrio) (2)'!B:D,3,FALSE)</f>
        <v>0</v>
      </c>
      <c r="G10871" s="946">
        <f>F10871-(F10871/1.18)</f>
        <v>0</v>
      </c>
      <c r="H10871" s="1039"/>
      <c r="I10871" s="955">
        <f>D10871*F10871</f>
        <v>0</v>
      </c>
    </row>
    <row r="10872" spans="3:9" ht="15.75">
      <c r="C10872" s="951" t="s">
        <v>918</v>
      </c>
      <c r="D10872" s="946"/>
      <c r="E10872" s="947"/>
      <c r="F10872" s="1054"/>
      <c r="G10872" s="946"/>
      <c r="H10872" s="1031"/>
      <c r="I10872" s="952">
        <f>SUM(I10871:I10871)</f>
        <v>0</v>
      </c>
    </row>
    <row r="10873" spans="3:9" ht="15.75">
      <c r="C10873" s="949"/>
      <c r="D10873" s="946"/>
      <c r="E10873" s="947"/>
      <c r="F10873" s="1054"/>
      <c r="G10873" s="946"/>
      <c r="H10873" s="1031"/>
      <c r="I10873" s="948"/>
    </row>
    <row r="10874" spans="3:9" ht="15.75">
      <c r="C10874" s="945" t="s">
        <v>925</v>
      </c>
      <c r="D10874" s="946"/>
      <c r="E10874" s="947"/>
      <c r="F10874" s="1054"/>
      <c r="G10874" s="946"/>
      <c r="H10874" s="1031"/>
      <c r="I10874" s="948"/>
    </row>
    <row r="10875" spans="3:9" ht="15.75">
      <c r="C10875" s="949" t="s">
        <v>924</v>
      </c>
      <c r="D10875" s="946"/>
      <c r="E10875" s="947" t="str">
        <f>+VLOOKUP(C10875,'Basic (equilibrio) (2)'!B:D,2,FALSE)</f>
        <v>n/a</v>
      </c>
      <c r="F10875" s="1054">
        <f>+VLOOKUP(C10875,'Basic (equilibrio) (2)'!B:D,3,FALSE)</f>
        <v>0</v>
      </c>
      <c r="G10875" s="946"/>
      <c r="H10875" s="1031"/>
      <c r="I10875" s="948">
        <f>D10875*F10875</f>
        <v>0</v>
      </c>
    </row>
    <row r="10876" spans="3:9" ht="15.75">
      <c r="C10876" s="951" t="s">
        <v>918</v>
      </c>
      <c r="D10876" s="946"/>
      <c r="E10876" s="947"/>
      <c r="F10876" s="1054"/>
      <c r="G10876" s="946"/>
      <c r="H10876" s="1031"/>
      <c r="I10876" s="952">
        <f>SUM(I10875)</f>
        <v>0</v>
      </c>
    </row>
    <row r="10877" spans="3:9" ht="15.75">
      <c r="C10877" s="951"/>
      <c r="D10877" s="946"/>
      <c r="E10877" s="947"/>
      <c r="F10877" s="1054"/>
      <c r="G10877" s="946"/>
      <c r="H10877" s="1031"/>
      <c r="I10877" s="952"/>
    </row>
    <row r="10878" spans="3:9" ht="15.75">
      <c r="C10878" s="956" t="s">
        <v>926</v>
      </c>
      <c r="D10878" s="957"/>
      <c r="E10878" s="958"/>
      <c r="F10878" s="1069"/>
      <c r="G10878" s="957"/>
      <c r="H10878" s="1032"/>
      <c r="I10878" s="959">
        <f>+I10864</f>
        <v>1249.5</v>
      </c>
    </row>
    <row r="10879" spans="3:9" ht="15.75">
      <c r="C10879" s="956" t="s">
        <v>927</v>
      </c>
      <c r="D10879" s="957"/>
      <c r="E10879" s="958"/>
      <c r="F10879" s="1069"/>
      <c r="G10879" s="957"/>
      <c r="H10879" s="1032"/>
      <c r="I10879" s="959">
        <f>+I10868</f>
        <v>0</v>
      </c>
    </row>
    <row r="10880" spans="3:9" ht="15.75">
      <c r="C10880" s="956" t="s">
        <v>928</v>
      </c>
      <c r="D10880" s="957"/>
      <c r="E10880" s="958"/>
      <c r="F10880" s="1069"/>
      <c r="G10880" s="957"/>
      <c r="H10880" s="1032"/>
      <c r="I10880" s="959">
        <f>+I10872</f>
        <v>0</v>
      </c>
    </row>
    <row r="10881" spans="2:9" ht="15.75">
      <c r="C10881" s="956" t="s">
        <v>929</v>
      </c>
      <c r="D10881" s="957"/>
      <c r="E10881" s="958"/>
      <c r="F10881" s="1069"/>
      <c r="G10881" s="957"/>
      <c r="H10881" s="1032"/>
      <c r="I10881" s="959">
        <f>+I10876</f>
        <v>0</v>
      </c>
    </row>
    <row r="10882" spans="2:9" ht="15.75">
      <c r="C10882" s="949"/>
      <c r="D10882" s="946"/>
      <c r="E10882" s="947"/>
      <c r="F10882" s="1054"/>
      <c r="G10882" s="946"/>
      <c r="H10882" s="1031"/>
      <c r="I10882" s="948"/>
    </row>
    <row r="10883" spans="2:9" ht="15.75">
      <c r="C10883" s="951" t="s">
        <v>930</v>
      </c>
      <c r="D10883" s="960"/>
      <c r="E10883" s="975" t="str">
        <f>+E10860</f>
        <v>ud</v>
      </c>
      <c r="F10883" s="1070"/>
      <c r="G10883" s="960"/>
      <c r="H10883" s="1033"/>
      <c r="I10883" s="952">
        <f>SUM(I10878:I10881)</f>
        <v>1249.5</v>
      </c>
    </row>
    <row r="10884" spans="2:9" ht="15.75">
      <c r="C10884" s="951"/>
      <c r="D10884" s="960"/>
      <c r="E10884" s="943"/>
      <c r="F10884" s="1070"/>
      <c r="G10884" s="960"/>
      <c r="H10884" s="1033"/>
      <c r="I10884" s="952"/>
    </row>
    <row r="10885" spans="2:9" ht="15.75">
      <c r="B10885" s="1062">
        <v>7.16</v>
      </c>
      <c r="C10885" s="937" t="str">
        <f>+Presupuesto!B629</f>
        <v xml:space="preserve">Llave de paso Ø1/2" </v>
      </c>
      <c r="D10885" s="938"/>
      <c r="E10885" s="962" t="s">
        <v>1056</v>
      </c>
      <c r="F10885" s="1066"/>
      <c r="G10885" s="938"/>
      <c r="H10885" s="1029"/>
      <c r="I10885" s="940">
        <f>+I10908</f>
        <v>979.2</v>
      </c>
    </row>
    <row r="10886" spans="2:9" ht="15.75">
      <c r="C10886" s="941" t="s">
        <v>908</v>
      </c>
      <c r="D10886" s="942" t="s">
        <v>9</v>
      </c>
      <c r="E10886" s="943" t="s">
        <v>10</v>
      </c>
      <c r="F10886" s="1067" t="s">
        <v>909</v>
      </c>
      <c r="G10886" s="942" t="s">
        <v>910</v>
      </c>
      <c r="H10886" s="1030" t="s">
        <v>911</v>
      </c>
      <c r="I10886" s="944" t="s">
        <v>912</v>
      </c>
    </row>
    <row r="10887" spans="2:9" ht="15.75">
      <c r="C10887" s="945" t="s">
        <v>913</v>
      </c>
      <c r="D10887" s="946"/>
      <c r="E10887" s="947"/>
      <c r="F10887" s="1054"/>
      <c r="G10887" s="946"/>
      <c r="H10887" s="1031"/>
      <c r="I10887" s="948"/>
    </row>
    <row r="10888" spans="2:9" ht="15.75">
      <c r="C10888" s="949" t="s">
        <v>1671</v>
      </c>
      <c r="D10888" s="946">
        <v>1.02</v>
      </c>
      <c r="E10888" s="947" t="str">
        <f>+VLOOKUP(C10888,'Basic (equilibrio) (2)'!B:D,2,FALSE)</f>
        <v>ud</v>
      </c>
      <c r="F10888" s="1068">
        <f>'Basic (equilibrio) (2)'!$D$276</f>
        <v>960</v>
      </c>
      <c r="G10888" s="946">
        <f>F10888-(F10888/1.18)</f>
        <v>146.44</v>
      </c>
      <c r="H10888" s="1031"/>
      <c r="I10888" s="948">
        <f>D10888*F10888</f>
        <v>979.2</v>
      </c>
    </row>
    <row r="10889" spans="2:9" ht="15.75">
      <c r="C10889" s="951" t="s">
        <v>918</v>
      </c>
      <c r="D10889" s="946"/>
      <c r="E10889" s="947"/>
      <c r="F10889" s="1068"/>
      <c r="G10889" s="946"/>
      <c r="H10889" s="1031"/>
      <c r="I10889" s="952">
        <f>SUM(I10888:I10888)</f>
        <v>979.2</v>
      </c>
    </row>
    <row r="10890" spans="2:9" ht="15.75">
      <c r="C10890" s="949"/>
      <c r="D10890" s="946"/>
      <c r="E10890" s="947"/>
      <c r="F10890" s="1068"/>
      <c r="G10890" s="946"/>
      <c r="H10890" s="1031"/>
      <c r="I10890" s="948"/>
    </row>
    <row r="10891" spans="2:9" ht="15.75">
      <c r="C10891" s="945" t="s">
        <v>919</v>
      </c>
      <c r="D10891" s="946"/>
      <c r="E10891" s="947"/>
      <c r="F10891" s="1068"/>
      <c r="G10891" s="946"/>
      <c r="H10891" s="1031"/>
      <c r="I10891" s="948"/>
    </row>
    <row r="10892" spans="2:9" ht="15.75">
      <c r="C10892" s="949" t="s">
        <v>924</v>
      </c>
      <c r="D10892" s="953"/>
      <c r="E10892" s="954" t="str">
        <f>+VLOOKUP(C10892,'Basic (equilibrio) (2)'!B:D,2,FALSE)</f>
        <v>n/a</v>
      </c>
      <c r="F10892" s="1068">
        <f>+VLOOKUP(C10892,'Basic (equilibrio) (2)'!B:D,3,FALSE)</f>
        <v>0</v>
      </c>
      <c r="G10892" s="946">
        <v>0</v>
      </c>
      <c r="H10892" s="1031"/>
      <c r="I10892" s="948">
        <f>(D10892*F10892)</f>
        <v>0</v>
      </c>
    </row>
    <row r="10893" spans="2:9" ht="15.75">
      <c r="C10893" s="951" t="s">
        <v>918</v>
      </c>
      <c r="D10893" s="946"/>
      <c r="E10893" s="947"/>
      <c r="F10893" s="1054"/>
      <c r="G10893" s="946"/>
      <c r="H10893" s="1031"/>
      <c r="I10893" s="952">
        <f>SUM(I10892:I10892)</f>
        <v>0</v>
      </c>
    </row>
    <row r="10894" spans="2:9" ht="15.75">
      <c r="C10894" s="949"/>
      <c r="D10894" s="946"/>
      <c r="E10894" s="947"/>
      <c r="F10894" s="1054"/>
      <c r="G10894" s="946"/>
      <c r="H10894" s="1031"/>
      <c r="I10894" s="948"/>
    </row>
    <row r="10895" spans="2:9" ht="15.75">
      <c r="C10895" s="945" t="s">
        <v>923</v>
      </c>
      <c r="D10895" s="946"/>
      <c r="E10895" s="947"/>
      <c r="F10895" s="1054"/>
      <c r="G10895" s="946"/>
      <c r="H10895" s="1031"/>
      <c r="I10895" s="948"/>
    </row>
    <row r="10896" spans="2:9" ht="15.75">
      <c r="C10896" s="949" t="s">
        <v>924</v>
      </c>
      <c r="D10896" s="946"/>
      <c r="E10896" s="947" t="str">
        <f>+VLOOKUP(C10896,'Basic (equilibrio) (2)'!B:D,2,FALSE)</f>
        <v>n/a</v>
      </c>
      <c r="F10896" s="1054">
        <f>+VLOOKUP(C10896,'Basic (equilibrio) (2)'!B:D,3,FALSE)</f>
        <v>0</v>
      </c>
      <c r="G10896" s="946">
        <f>F10896-(F10896/1.18)</f>
        <v>0</v>
      </c>
      <c r="H10896" s="1039"/>
      <c r="I10896" s="955">
        <f>D10896*F10896</f>
        <v>0</v>
      </c>
    </row>
    <row r="10897" spans="2:9" ht="15.75">
      <c r="C10897" s="951" t="s">
        <v>918</v>
      </c>
      <c r="D10897" s="946"/>
      <c r="E10897" s="947"/>
      <c r="F10897" s="1054"/>
      <c r="G10897" s="946"/>
      <c r="H10897" s="1031"/>
      <c r="I10897" s="952">
        <f>SUM(I10896:I10896)</f>
        <v>0</v>
      </c>
    </row>
    <row r="10898" spans="2:9" ht="15.75">
      <c r="C10898" s="949"/>
      <c r="D10898" s="946"/>
      <c r="E10898" s="947"/>
      <c r="F10898" s="1054"/>
      <c r="G10898" s="946"/>
      <c r="H10898" s="1031"/>
      <c r="I10898" s="948"/>
    </row>
    <row r="10899" spans="2:9" ht="15.75">
      <c r="C10899" s="945" t="s">
        <v>925</v>
      </c>
      <c r="D10899" s="946"/>
      <c r="E10899" s="947"/>
      <c r="F10899" s="1054"/>
      <c r="G10899" s="946"/>
      <c r="H10899" s="1031"/>
      <c r="I10899" s="948"/>
    </row>
    <row r="10900" spans="2:9" ht="15.75">
      <c r="C10900" s="949" t="s">
        <v>924</v>
      </c>
      <c r="D10900" s="946"/>
      <c r="E10900" s="947" t="str">
        <f>+VLOOKUP(C10900,'Basic (equilibrio) (2)'!B:D,2,FALSE)</f>
        <v>n/a</v>
      </c>
      <c r="F10900" s="1054">
        <f>+VLOOKUP(C10900,'Basic (equilibrio) (2)'!B:D,3,FALSE)</f>
        <v>0</v>
      </c>
      <c r="G10900" s="946"/>
      <c r="H10900" s="1031"/>
      <c r="I10900" s="948">
        <f>D10900*F10900</f>
        <v>0</v>
      </c>
    </row>
    <row r="10901" spans="2:9" ht="15.75">
      <c r="C10901" s="951" t="s">
        <v>918</v>
      </c>
      <c r="D10901" s="946"/>
      <c r="E10901" s="947"/>
      <c r="F10901" s="1054"/>
      <c r="G10901" s="946"/>
      <c r="H10901" s="1031"/>
      <c r="I10901" s="952">
        <f>SUM(I10900)</f>
        <v>0</v>
      </c>
    </row>
    <row r="10902" spans="2:9" ht="15.75">
      <c r="C10902" s="951"/>
      <c r="D10902" s="946"/>
      <c r="E10902" s="947"/>
      <c r="F10902" s="1054"/>
      <c r="G10902" s="946"/>
      <c r="H10902" s="1031"/>
      <c r="I10902" s="952"/>
    </row>
    <row r="10903" spans="2:9" ht="15.75">
      <c r="C10903" s="956" t="s">
        <v>926</v>
      </c>
      <c r="D10903" s="957"/>
      <c r="E10903" s="958"/>
      <c r="F10903" s="1069"/>
      <c r="G10903" s="957"/>
      <c r="H10903" s="1032"/>
      <c r="I10903" s="959">
        <f>+I10889</f>
        <v>979.2</v>
      </c>
    </row>
    <row r="10904" spans="2:9" ht="15.75">
      <c r="C10904" s="956" t="s">
        <v>927</v>
      </c>
      <c r="D10904" s="957"/>
      <c r="E10904" s="958"/>
      <c r="F10904" s="1069"/>
      <c r="G10904" s="957"/>
      <c r="H10904" s="1032"/>
      <c r="I10904" s="959">
        <f>+I10893</f>
        <v>0</v>
      </c>
    </row>
    <row r="10905" spans="2:9" ht="15.75">
      <c r="C10905" s="956" t="s">
        <v>928</v>
      </c>
      <c r="D10905" s="957"/>
      <c r="E10905" s="958"/>
      <c r="F10905" s="1069"/>
      <c r="G10905" s="957"/>
      <c r="H10905" s="1032"/>
      <c r="I10905" s="959">
        <f>+I10897</f>
        <v>0</v>
      </c>
    </row>
    <row r="10906" spans="2:9" ht="15.75">
      <c r="C10906" s="956" t="s">
        <v>929</v>
      </c>
      <c r="D10906" s="957"/>
      <c r="E10906" s="958"/>
      <c r="F10906" s="1069"/>
      <c r="G10906" s="957"/>
      <c r="H10906" s="1032"/>
      <c r="I10906" s="959">
        <f>+I10901</f>
        <v>0</v>
      </c>
    </row>
    <row r="10907" spans="2:9" ht="15.75">
      <c r="C10907" s="949"/>
      <c r="D10907" s="946"/>
      <c r="E10907" s="947"/>
      <c r="F10907" s="1054"/>
      <c r="G10907" s="946"/>
      <c r="H10907" s="1031"/>
      <c r="I10907" s="948"/>
    </row>
    <row r="10908" spans="2:9" ht="15.75">
      <c r="C10908" s="951" t="s">
        <v>930</v>
      </c>
      <c r="D10908" s="960"/>
      <c r="E10908" s="975" t="str">
        <f>+E10885</f>
        <v>ud</v>
      </c>
      <c r="F10908" s="1070"/>
      <c r="G10908" s="960"/>
      <c r="H10908" s="1033"/>
      <c r="I10908" s="952">
        <f>SUM(I10903:I10906)</f>
        <v>979.2</v>
      </c>
    </row>
    <row r="10909" spans="2:9" ht="15.75">
      <c r="C10909" s="951"/>
      <c r="D10909" s="960"/>
      <c r="E10909" s="943"/>
      <c r="F10909" s="1070"/>
      <c r="G10909" s="960"/>
      <c r="H10909" s="1033"/>
      <c r="I10909" s="952"/>
    </row>
    <row r="10910" spans="2:9" ht="15.75">
      <c r="B10910" s="1062">
        <v>7.17</v>
      </c>
      <c r="C10910" s="937" t="str">
        <f>+Presupuesto!B630</f>
        <v>Llave de chorro de Ø1/2"</v>
      </c>
      <c r="D10910" s="938"/>
      <c r="E10910" s="962" t="s">
        <v>1056</v>
      </c>
      <c r="F10910" s="1066"/>
      <c r="G10910" s="938"/>
      <c r="H10910" s="1029"/>
      <c r="I10910" s="940">
        <f>+I10933</f>
        <v>877.2</v>
      </c>
    </row>
    <row r="10911" spans="2:9" ht="15.75">
      <c r="C10911" s="941" t="s">
        <v>908</v>
      </c>
      <c r="D10911" s="942" t="s">
        <v>9</v>
      </c>
      <c r="E10911" s="943" t="s">
        <v>10</v>
      </c>
      <c r="F10911" s="1067" t="s">
        <v>909</v>
      </c>
      <c r="G10911" s="942" t="s">
        <v>910</v>
      </c>
      <c r="H10911" s="1030" t="s">
        <v>911</v>
      </c>
      <c r="I10911" s="944" t="s">
        <v>912</v>
      </c>
    </row>
    <row r="10912" spans="2:9" ht="15.75">
      <c r="C10912" s="945" t="s">
        <v>913</v>
      </c>
      <c r="D10912" s="946"/>
      <c r="E10912" s="947"/>
      <c r="F10912" s="1054"/>
      <c r="G10912" s="946"/>
      <c r="H10912" s="1031"/>
      <c r="I10912" s="948"/>
    </row>
    <row r="10913" spans="3:9" ht="15.75">
      <c r="C10913" s="949" t="s">
        <v>1672</v>
      </c>
      <c r="D10913" s="946">
        <v>1.02</v>
      </c>
      <c r="E10913" s="947" t="str">
        <f>+VLOOKUP(C10913,'Basic (equilibrio) (2)'!B:D,2,FALSE)</f>
        <v>ud</v>
      </c>
      <c r="F10913" s="1068">
        <f>'Basic (equilibrio) (2)'!$D$277</f>
        <v>860</v>
      </c>
      <c r="G10913" s="946">
        <f>F10913-(F10913/1.18)</f>
        <v>131.19</v>
      </c>
      <c r="H10913" s="1031"/>
      <c r="I10913" s="948">
        <f>D10913*F10913</f>
        <v>877.2</v>
      </c>
    </row>
    <row r="10914" spans="3:9" ht="15.75">
      <c r="C10914" s="951" t="s">
        <v>918</v>
      </c>
      <c r="D10914" s="946"/>
      <c r="E10914" s="947"/>
      <c r="F10914" s="1068"/>
      <c r="G10914" s="946"/>
      <c r="H10914" s="1031"/>
      <c r="I10914" s="952">
        <f>SUM(I10913:I10913)</f>
        <v>877.2</v>
      </c>
    </row>
    <row r="10915" spans="3:9" ht="15.75">
      <c r="C10915" s="949"/>
      <c r="D10915" s="946"/>
      <c r="E10915" s="947"/>
      <c r="F10915" s="1068"/>
      <c r="G10915" s="946"/>
      <c r="H10915" s="1031"/>
      <c r="I10915" s="948"/>
    </row>
    <row r="10916" spans="3:9" ht="15.75">
      <c r="C10916" s="945" t="s">
        <v>919</v>
      </c>
      <c r="D10916" s="946"/>
      <c r="E10916" s="947"/>
      <c r="F10916" s="1068"/>
      <c r="G10916" s="946"/>
      <c r="H10916" s="1031"/>
      <c r="I10916" s="948"/>
    </row>
    <row r="10917" spans="3:9" ht="15.75">
      <c r="C10917" s="949" t="s">
        <v>924</v>
      </c>
      <c r="D10917" s="953"/>
      <c r="E10917" s="954" t="str">
        <f>+VLOOKUP(C10917,'Basic (equilibrio) (2)'!B:D,2,FALSE)</f>
        <v>n/a</v>
      </c>
      <c r="F10917" s="1068">
        <f>+VLOOKUP(C10917,'Basic (equilibrio) (2)'!B:D,3,FALSE)</f>
        <v>0</v>
      </c>
      <c r="G10917" s="946">
        <v>0</v>
      </c>
      <c r="H10917" s="1031"/>
      <c r="I10917" s="948">
        <f>(D10917*F10917)</f>
        <v>0</v>
      </c>
    </row>
    <row r="10918" spans="3:9" ht="15.75">
      <c r="C10918" s="951" t="s">
        <v>918</v>
      </c>
      <c r="D10918" s="946"/>
      <c r="E10918" s="947"/>
      <c r="F10918" s="1054"/>
      <c r="G10918" s="946"/>
      <c r="H10918" s="1031"/>
      <c r="I10918" s="952">
        <f>SUM(I10917:I10917)</f>
        <v>0</v>
      </c>
    </row>
    <row r="10919" spans="3:9" ht="15.75">
      <c r="C10919" s="949"/>
      <c r="D10919" s="946"/>
      <c r="E10919" s="947"/>
      <c r="F10919" s="1054"/>
      <c r="G10919" s="946"/>
      <c r="H10919" s="1031"/>
      <c r="I10919" s="948"/>
    </row>
    <row r="10920" spans="3:9" ht="15.75">
      <c r="C10920" s="945" t="s">
        <v>923</v>
      </c>
      <c r="D10920" s="946"/>
      <c r="E10920" s="947"/>
      <c r="F10920" s="1054"/>
      <c r="G10920" s="946"/>
      <c r="H10920" s="1031"/>
      <c r="I10920" s="948"/>
    </row>
    <row r="10921" spans="3:9" ht="15.75">
      <c r="C10921" s="949" t="s">
        <v>924</v>
      </c>
      <c r="D10921" s="946"/>
      <c r="E10921" s="947" t="str">
        <f>+VLOOKUP(C10921,'Basic (equilibrio) (2)'!B:D,2,FALSE)</f>
        <v>n/a</v>
      </c>
      <c r="F10921" s="1054">
        <f>+VLOOKUP(C10921,'Basic (equilibrio) (2)'!B:D,3,FALSE)</f>
        <v>0</v>
      </c>
      <c r="G10921" s="946">
        <f>F10921-(F10921/1.18)</f>
        <v>0</v>
      </c>
      <c r="H10921" s="1039"/>
      <c r="I10921" s="955">
        <f>D10921*F10921</f>
        <v>0</v>
      </c>
    </row>
    <row r="10922" spans="3:9" ht="15.75">
      <c r="C10922" s="951" t="s">
        <v>918</v>
      </c>
      <c r="D10922" s="946"/>
      <c r="E10922" s="947"/>
      <c r="F10922" s="1054"/>
      <c r="G10922" s="946"/>
      <c r="H10922" s="1031"/>
      <c r="I10922" s="952">
        <f>SUM(I10921:I10921)</f>
        <v>0</v>
      </c>
    </row>
    <row r="10923" spans="3:9" ht="15.75">
      <c r="C10923" s="949"/>
      <c r="D10923" s="946"/>
      <c r="E10923" s="947"/>
      <c r="F10923" s="1054"/>
      <c r="G10923" s="946"/>
      <c r="H10923" s="1031"/>
      <c r="I10923" s="948"/>
    </row>
    <row r="10924" spans="3:9" ht="15.75">
      <c r="C10924" s="945" t="s">
        <v>925</v>
      </c>
      <c r="D10924" s="946"/>
      <c r="E10924" s="947"/>
      <c r="F10924" s="1054"/>
      <c r="G10924" s="946"/>
      <c r="H10924" s="1031"/>
      <c r="I10924" s="948"/>
    </row>
    <row r="10925" spans="3:9" ht="15.75">
      <c r="C10925" s="949" t="s">
        <v>924</v>
      </c>
      <c r="D10925" s="946"/>
      <c r="E10925" s="947" t="str">
        <f>+VLOOKUP(C10925,'Basic (equilibrio) (2)'!B:D,2,FALSE)</f>
        <v>n/a</v>
      </c>
      <c r="F10925" s="1054">
        <f>+VLOOKUP(C10925,'Basic (equilibrio) (2)'!B:D,3,FALSE)</f>
        <v>0</v>
      </c>
      <c r="G10925" s="946"/>
      <c r="H10925" s="1031"/>
      <c r="I10925" s="948">
        <f>D10925*F10925</f>
        <v>0</v>
      </c>
    </row>
    <row r="10926" spans="3:9" ht="15.75">
      <c r="C10926" s="951" t="s">
        <v>918</v>
      </c>
      <c r="D10926" s="946"/>
      <c r="E10926" s="947"/>
      <c r="F10926" s="1054"/>
      <c r="G10926" s="946"/>
      <c r="H10926" s="1031"/>
      <c r="I10926" s="952">
        <f>SUM(I10925)</f>
        <v>0</v>
      </c>
    </row>
    <row r="10927" spans="3:9" ht="15.75">
      <c r="C10927" s="951"/>
      <c r="D10927" s="946"/>
      <c r="E10927" s="947"/>
      <c r="F10927" s="1054"/>
      <c r="G10927" s="946"/>
      <c r="H10927" s="1031"/>
      <c r="I10927" s="952"/>
    </row>
    <row r="10928" spans="3:9" ht="15.75">
      <c r="C10928" s="956" t="s">
        <v>926</v>
      </c>
      <c r="D10928" s="957"/>
      <c r="E10928" s="958"/>
      <c r="F10928" s="1069"/>
      <c r="G10928" s="957"/>
      <c r="H10928" s="1032"/>
      <c r="I10928" s="959">
        <f>+I10914</f>
        <v>877.2</v>
      </c>
    </row>
    <row r="10929" spans="2:9" ht="15.75">
      <c r="C10929" s="956" t="s">
        <v>927</v>
      </c>
      <c r="D10929" s="957"/>
      <c r="E10929" s="958"/>
      <c r="F10929" s="1069"/>
      <c r="G10929" s="957"/>
      <c r="H10929" s="1032"/>
      <c r="I10929" s="959">
        <f>+I10918</f>
        <v>0</v>
      </c>
    </row>
    <row r="10930" spans="2:9" ht="15.75">
      <c r="C10930" s="956" t="s">
        <v>928</v>
      </c>
      <c r="D10930" s="957"/>
      <c r="E10930" s="958"/>
      <c r="F10930" s="1069"/>
      <c r="G10930" s="957"/>
      <c r="H10930" s="1032"/>
      <c r="I10930" s="959">
        <f>+I10922</f>
        <v>0</v>
      </c>
    </row>
    <row r="10931" spans="2:9" ht="15.75">
      <c r="C10931" s="956" t="s">
        <v>929</v>
      </c>
      <c r="D10931" s="957"/>
      <c r="E10931" s="958"/>
      <c r="F10931" s="1069"/>
      <c r="G10931" s="957"/>
      <c r="H10931" s="1032"/>
      <c r="I10931" s="959">
        <f>+I10926</f>
        <v>0</v>
      </c>
    </row>
    <row r="10932" spans="2:9" ht="15.75">
      <c r="C10932" s="949"/>
      <c r="D10932" s="946"/>
      <c r="E10932" s="947"/>
      <c r="F10932" s="1054"/>
      <c r="G10932" s="946"/>
      <c r="H10932" s="1031"/>
      <c r="I10932" s="948"/>
    </row>
    <row r="10933" spans="2:9" ht="15.75">
      <c r="C10933" s="951" t="s">
        <v>930</v>
      </c>
      <c r="D10933" s="960"/>
      <c r="E10933" s="975" t="str">
        <f>+E10910</f>
        <v>ud</v>
      </c>
      <c r="F10933" s="1070"/>
      <c r="G10933" s="960"/>
      <c r="H10933" s="1033"/>
      <c r="I10933" s="952">
        <f>SUM(I10928:I10931)</f>
        <v>877.2</v>
      </c>
    </row>
    <row r="10934" spans="2:9" ht="15.75">
      <c r="C10934" s="951"/>
      <c r="D10934" s="960"/>
      <c r="E10934" s="943"/>
      <c r="F10934" s="1070"/>
      <c r="G10934" s="960"/>
      <c r="H10934" s="1033"/>
      <c r="I10934" s="952"/>
    </row>
    <row r="10935" spans="2:9" ht="15.75">
      <c r="B10935" s="1063">
        <v>8.1</v>
      </c>
      <c r="C10935" s="937" t="str">
        <f>+Presupuesto!B633</f>
        <v>Salida luces cenitales</v>
      </c>
      <c r="D10935" s="938"/>
      <c r="E10935" s="962">
        <f>+Presupuesto!D3509</f>
        <v>0</v>
      </c>
      <c r="F10935" s="1066"/>
      <c r="G10935" s="938"/>
      <c r="H10935" s="1029"/>
      <c r="I10935" s="940">
        <f>+I10958</f>
        <v>1945.14</v>
      </c>
    </row>
    <row r="10936" spans="2:9" ht="15.75">
      <c r="C10936" s="941" t="s">
        <v>908</v>
      </c>
      <c r="D10936" s="942" t="s">
        <v>9</v>
      </c>
      <c r="E10936" s="943" t="s">
        <v>10</v>
      </c>
      <c r="F10936" s="1067" t="s">
        <v>909</v>
      </c>
      <c r="G10936" s="942" t="s">
        <v>910</v>
      </c>
      <c r="H10936" s="1030" t="s">
        <v>911</v>
      </c>
      <c r="I10936" s="944" t="s">
        <v>912</v>
      </c>
    </row>
    <row r="10937" spans="2:9" ht="15.75">
      <c r="C10937" s="945" t="s">
        <v>913</v>
      </c>
      <c r="D10937" s="946"/>
      <c r="E10937" s="947"/>
      <c r="F10937" s="1054"/>
      <c r="G10937" s="946"/>
      <c r="H10937" s="1031"/>
      <c r="I10937" s="948"/>
    </row>
    <row r="10938" spans="2:9" ht="15.75">
      <c r="C10938" s="949" t="s">
        <v>1620</v>
      </c>
      <c r="D10938" s="946">
        <v>1.02</v>
      </c>
      <c r="E10938" s="947" t="str">
        <f>+VLOOKUP(C10938,'Basic (equilibrio) (2)'!B:D,2,FALSE)</f>
        <v>ud</v>
      </c>
      <c r="F10938" s="1068">
        <f>'Basic (equilibrio) (2)'!$D$234</f>
        <v>1907</v>
      </c>
      <c r="G10938" s="946">
        <f>F10938-(F10938/1.18)</f>
        <v>290.89999999999998</v>
      </c>
      <c r="H10938" s="1031"/>
      <c r="I10938" s="948">
        <f>D10938*F10938</f>
        <v>1945.14</v>
      </c>
    </row>
    <row r="10939" spans="2:9" ht="15.75">
      <c r="C10939" s="951" t="s">
        <v>918</v>
      </c>
      <c r="D10939" s="946"/>
      <c r="E10939" s="947"/>
      <c r="F10939" s="1068"/>
      <c r="G10939" s="946"/>
      <c r="H10939" s="1031"/>
      <c r="I10939" s="952">
        <f>SUM(I10938:I10938)</f>
        <v>1945.14</v>
      </c>
    </row>
    <row r="10940" spans="2:9" ht="15.75">
      <c r="C10940" s="949"/>
      <c r="D10940" s="946"/>
      <c r="E10940" s="947"/>
      <c r="F10940" s="1068"/>
      <c r="G10940" s="946"/>
      <c r="H10940" s="1031"/>
      <c r="I10940" s="948"/>
    </row>
    <row r="10941" spans="2:9" ht="15.75">
      <c r="C10941" s="945" t="s">
        <v>919</v>
      </c>
      <c r="D10941" s="946"/>
      <c r="E10941" s="947"/>
      <c r="F10941" s="1068"/>
      <c r="G10941" s="946"/>
      <c r="H10941" s="1031"/>
      <c r="I10941" s="948"/>
    </row>
    <row r="10942" spans="2:9" ht="15.75">
      <c r="C10942" s="949" t="s">
        <v>924</v>
      </c>
      <c r="D10942" s="953"/>
      <c r="E10942" s="954" t="str">
        <f>+VLOOKUP(C10942,'Basic (equilibrio) (2)'!B:D,2,FALSE)</f>
        <v>n/a</v>
      </c>
      <c r="F10942" s="1068">
        <f>+VLOOKUP(C10942,'Basic (equilibrio) (2)'!B:D,3,FALSE)</f>
        <v>0</v>
      </c>
      <c r="G10942" s="946">
        <v>0</v>
      </c>
      <c r="H10942" s="1031"/>
      <c r="I10942" s="948">
        <f>(D10942*F10942)</f>
        <v>0</v>
      </c>
    </row>
    <row r="10943" spans="2:9" ht="15.75">
      <c r="C10943" s="951" t="s">
        <v>918</v>
      </c>
      <c r="D10943" s="946"/>
      <c r="E10943" s="947"/>
      <c r="F10943" s="1054"/>
      <c r="G10943" s="946"/>
      <c r="H10943" s="1031"/>
      <c r="I10943" s="952">
        <f>SUM(I10942:I10942)</f>
        <v>0</v>
      </c>
    </row>
    <row r="10944" spans="2:9" ht="15.75">
      <c r="C10944" s="949"/>
      <c r="D10944" s="946"/>
      <c r="E10944" s="947"/>
      <c r="F10944" s="1054"/>
      <c r="G10944" s="946"/>
      <c r="H10944" s="1031"/>
      <c r="I10944" s="948"/>
    </row>
    <row r="10945" spans="2:9" ht="15.75">
      <c r="C10945" s="945" t="s">
        <v>923</v>
      </c>
      <c r="D10945" s="946"/>
      <c r="E10945" s="947"/>
      <c r="F10945" s="1054"/>
      <c r="G10945" s="946"/>
      <c r="H10945" s="1031"/>
      <c r="I10945" s="948"/>
    </row>
    <row r="10946" spans="2:9" ht="15.75">
      <c r="C10946" s="949" t="s">
        <v>924</v>
      </c>
      <c r="D10946" s="946"/>
      <c r="E10946" s="947" t="str">
        <f>+VLOOKUP(C10946,'Basic (equilibrio) (2)'!B:D,2,FALSE)</f>
        <v>n/a</v>
      </c>
      <c r="F10946" s="1054">
        <f>+VLOOKUP(C10946,'Basic (equilibrio) (2)'!B:D,3,FALSE)</f>
        <v>0</v>
      </c>
      <c r="G10946" s="946">
        <f>F10946-(F10946/1.18)</f>
        <v>0</v>
      </c>
      <c r="H10946" s="1039"/>
      <c r="I10946" s="955">
        <f>D10946*F10946</f>
        <v>0</v>
      </c>
    </row>
    <row r="10947" spans="2:9" ht="15.75">
      <c r="C10947" s="951" t="s">
        <v>918</v>
      </c>
      <c r="D10947" s="946"/>
      <c r="E10947" s="947"/>
      <c r="F10947" s="1054"/>
      <c r="G10947" s="946"/>
      <c r="H10947" s="1031"/>
      <c r="I10947" s="952">
        <f>SUM(I10946:I10946)</f>
        <v>0</v>
      </c>
    </row>
    <row r="10948" spans="2:9" ht="15.75">
      <c r="C10948" s="949"/>
      <c r="D10948" s="946"/>
      <c r="E10948" s="947"/>
      <c r="F10948" s="1054"/>
      <c r="G10948" s="946"/>
      <c r="H10948" s="1031"/>
      <c r="I10948" s="948"/>
    </row>
    <row r="10949" spans="2:9" ht="15.75">
      <c r="C10949" s="945" t="s">
        <v>925</v>
      </c>
      <c r="D10949" s="946"/>
      <c r="E10949" s="947"/>
      <c r="F10949" s="1054"/>
      <c r="G10949" s="946"/>
      <c r="H10949" s="1031"/>
      <c r="I10949" s="948"/>
    </row>
    <row r="10950" spans="2:9" ht="15.75">
      <c r="C10950" s="949" t="s">
        <v>924</v>
      </c>
      <c r="D10950" s="946"/>
      <c r="E10950" s="947" t="str">
        <f>+VLOOKUP(C10950,'Basic (equilibrio) (2)'!B:D,2,FALSE)</f>
        <v>n/a</v>
      </c>
      <c r="F10950" s="1054">
        <f>+VLOOKUP(C10950,'Basic (equilibrio) (2)'!B:D,3,FALSE)</f>
        <v>0</v>
      </c>
      <c r="G10950" s="946"/>
      <c r="H10950" s="1031"/>
      <c r="I10950" s="948">
        <f>D10950*F10950</f>
        <v>0</v>
      </c>
    </row>
    <row r="10951" spans="2:9" ht="15.75">
      <c r="C10951" s="951" t="s">
        <v>918</v>
      </c>
      <c r="D10951" s="946"/>
      <c r="E10951" s="947"/>
      <c r="F10951" s="1054"/>
      <c r="G10951" s="946"/>
      <c r="H10951" s="1031"/>
      <c r="I10951" s="952">
        <f>SUM(I10950)</f>
        <v>0</v>
      </c>
    </row>
    <row r="10952" spans="2:9" ht="15.75">
      <c r="C10952" s="951"/>
      <c r="D10952" s="946"/>
      <c r="E10952" s="947"/>
      <c r="F10952" s="1054"/>
      <c r="G10952" s="946"/>
      <c r="H10952" s="1031"/>
      <c r="I10952" s="952"/>
    </row>
    <row r="10953" spans="2:9" ht="15.75">
      <c r="C10953" s="956" t="s">
        <v>926</v>
      </c>
      <c r="D10953" s="957"/>
      <c r="E10953" s="958"/>
      <c r="F10953" s="1069"/>
      <c r="G10953" s="957"/>
      <c r="H10953" s="1032"/>
      <c r="I10953" s="959">
        <f>+I10939</f>
        <v>1945.14</v>
      </c>
    </row>
    <row r="10954" spans="2:9" ht="15.75">
      <c r="C10954" s="956" t="s">
        <v>927</v>
      </c>
      <c r="D10954" s="957"/>
      <c r="E10954" s="958"/>
      <c r="F10954" s="1069"/>
      <c r="G10954" s="957"/>
      <c r="H10954" s="1032"/>
      <c r="I10954" s="959">
        <f>+I10943</f>
        <v>0</v>
      </c>
    </row>
    <row r="10955" spans="2:9" ht="15.75">
      <c r="C10955" s="956" t="s">
        <v>928</v>
      </c>
      <c r="D10955" s="957"/>
      <c r="E10955" s="958"/>
      <c r="F10955" s="1069"/>
      <c r="G10955" s="957"/>
      <c r="H10955" s="1032"/>
      <c r="I10955" s="959">
        <f>+I10947</f>
        <v>0</v>
      </c>
    </row>
    <row r="10956" spans="2:9" ht="15.75">
      <c r="C10956" s="956" t="s">
        <v>929</v>
      </c>
      <c r="D10956" s="957"/>
      <c r="E10956" s="958"/>
      <c r="F10956" s="1069"/>
      <c r="G10956" s="957"/>
      <c r="H10956" s="1032"/>
      <c r="I10956" s="959">
        <f>+I10951</f>
        <v>0</v>
      </c>
    </row>
    <row r="10957" spans="2:9" ht="15.75">
      <c r="C10957" s="949"/>
      <c r="D10957" s="946"/>
      <c r="E10957" s="947"/>
      <c r="F10957" s="1054"/>
      <c r="G10957" s="946"/>
      <c r="H10957" s="1031"/>
      <c r="I10957" s="948"/>
    </row>
    <row r="10958" spans="2:9" ht="15.75">
      <c r="C10958" s="951" t="s">
        <v>930</v>
      </c>
      <c r="D10958" s="960"/>
      <c r="E10958" s="975">
        <f>+E10935</f>
        <v>0</v>
      </c>
      <c r="F10958" s="1070"/>
      <c r="G10958" s="960"/>
      <c r="H10958" s="1033"/>
      <c r="I10958" s="952">
        <f>SUM(I10953:I10956)</f>
        <v>1945.14</v>
      </c>
    </row>
    <row r="10959" spans="2:9" ht="15.75">
      <c r="C10959" s="951"/>
      <c r="D10959" s="960"/>
      <c r="E10959" s="943"/>
      <c r="F10959" s="1070"/>
      <c r="G10959" s="960"/>
      <c r="H10959" s="1033"/>
      <c r="I10959" s="952"/>
    </row>
    <row r="10960" spans="2:9" ht="15.75">
      <c r="B10960" s="1063">
        <v>8.1999999999999993</v>
      </c>
      <c r="C10960" s="937" t="str">
        <f>+Presupuesto!B634</f>
        <v>Salida interruptor sencillo</v>
      </c>
      <c r="D10960" s="938"/>
      <c r="E10960" s="962" t="s">
        <v>1056</v>
      </c>
      <c r="F10960" s="1066"/>
      <c r="G10960" s="938"/>
      <c r="H10960" s="1029"/>
      <c r="I10960" s="940">
        <f>+I10983</f>
        <v>1974.72</v>
      </c>
    </row>
    <row r="10961" spans="3:9" ht="15.75">
      <c r="C10961" s="941" t="s">
        <v>908</v>
      </c>
      <c r="D10961" s="942" t="s">
        <v>9</v>
      </c>
      <c r="E10961" s="943" t="s">
        <v>10</v>
      </c>
      <c r="F10961" s="1067" t="s">
        <v>909</v>
      </c>
      <c r="G10961" s="942" t="s">
        <v>910</v>
      </c>
      <c r="H10961" s="1030" t="s">
        <v>911</v>
      </c>
      <c r="I10961" s="944" t="s">
        <v>912</v>
      </c>
    </row>
    <row r="10962" spans="3:9" ht="15.75">
      <c r="C10962" s="945" t="s">
        <v>913</v>
      </c>
      <c r="D10962" s="946"/>
      <c r="E10962" s="947"/>
      <c r="F10962" s="1054"/>
      <c r="G10962" s="946"/>
      <c r="H10962" s="1031"/>
      <c r="I10962" s="948"/>
    </row>
    <row r="10963" spans="3:9" ht="15.75">
      <c r="C10963" s="949" t="s">
        <v>1621</v>
      </c>
      <c r="D10963" s="946">
        <v>1.02</v>
      </c>
      <c r="E10963" s="947" t="str">
        <f>+VLOOKUP(C10963,'Basic (equilibrio) (2)'!B:D,2,FALSE)</f>
        <v>ud</v>
      </c>
      <c r="F10963" s="1068">
        <f>'Basic (equilibrio) (2)'!$D$235</f>
        <v>1936</v>
      </c>
      <c r="G10963" s="946">
        <f>F10963-(F10963/1.18)</f>
        <v>295.32</v>
      </c>
      <c r="H10963" s="1031"/>
      <c r="I10963" s="948">
        <f>D10963*F10963</f>
        <v>1974.72</v>
      </c>
    </row>
    <row r="10964" spans="3:9" ht="15.75">
      <c r="C10964" s="951" t="s">
        <v>918</v>
      </c>
      <c r="D10964" s="946"/>
      <c r="E10964" s="947"/>
      <c r="F10964" s="1068"/>
      <c r="G10964" s="946"/>
      <c r="H10964" s="1031"/>
      <c r="I10964" s="952">
        <f>SUM(I10963:I10963)</f>
        <v>1974.72</v>
      </c>
    </row>
    <row r="10965" spans="3:9" ht="15.75">
      <c r="C10965" s="949"/>
      <c r="D10965" s="946"/>
      <c r="E10965" s="947"/>
      <c r="F10965" s="1068"/>
      <c r="G10965" s="946"/>
      <c r="H10965" s="1031"/>
      <c r="I10965" s="948"/>
    </row>
    <row r="10966" spans="3:9" ht="15.75">
      <c r="C10966" s="945" t="s">
        <v>919</v>
      </c>
      <c r="D10966" s="946"/>
      <c r="E10966" s="947"/>
      <c r="F10966" s="1068"/>
      <c r="G10966" s="946"/>
      <c r="H10966" s="1031"/>
      <c r="I10966" s="948"/>
    </row>
    <row r="10967" spans="3:9" ht="15.75">
      <c r="C10967" s="949" t="s">
        <v>924</v>
      </c>
      <c r="D10967" s="953"/>
      <c r="E10967" s="954" t="str">
        <f>+VLOOKUP(C10967,'Basic (equilibrio) (2)'!B:D,2,FALSE)</f>
        <v>n/a</v>
      </c>
      <c r="F10967" s="1068">
        <f>+VLOOKUP(C10967,'Basic (equilibrio) (2)'!B:D,3,FALSE)</f>
        <v>0</v>
      </c>
      <c r="G10967" s="946">
        <v>0</v>
      </c>
      <c r="H10967" s="1031"/>
      <c r="I10967" s="948">
        <f>(D10967*F10967)</f>
        <v>0</v>
      </c>
    </row>
    <row r="10968" spans="3:9" ht="15.75">
      <c r="C10968" s="951" t="s">
        <v>918</v>
      </c>
      <c r="D10968" s="946"/>
      <c r="E10968" s="947"/>
      <c r="F10968" s="1054"/>
      <c r="G10968" s="946"/>
      <c r="H10968" s="1031"/>
      <c r="I10968" s="952">
        <f>SUM(I10967:I10967)</f>
        <v>0</v>
      </c>
    </row>
    <row r="10969" spans="3:9" ht="15.75">
      <c r="C10969" s="949"/>
      <c r="D10969" s="946"/>
      <c r="E10969" s="947"/>
      <c r="F10969" s="1054"/>
      <c r="G10969" s="946"/>
      <c r="H10969" s="1031"/>
      <c r="I10969" s="948"/>
    </row>
    <row r="10970" spans="3:9" ht="15.75">
      <c r="C10970" s="945" t="s">
        <v>923</v>
      </c>
      <c r="D10970" s="946"/>
      <c r="E10970" s="947"/>
      <c r="F10970" s="1054"/>
      <c r="G10970" s="946"/>
      <c r="H10970" s="1031"/>
      <c r="I10970" s="948"/>
    </row>
    <row r="10971" spans="3:9" ht="15.75">
      <c r="C10971" s="949" t="s">
        <v>924</v>
      </c>
      <c r="D10971" s="946"/>
      <c r="E10971" s="947" t="str">
        <f>+VLOOKUP(C10971,'Basic (equilibrio) (2)'!B:D,2,FALSE)</f>
        <v>n/a</v>
      </c>
      <c r="F10971" s="1054">
        <f>+VLOOKUP(C10971,'Basic (equilibrio) (2)'!B:D,3,FALSE)</f>
        <v>0</v>
      </c>
      <c r="G10971" s="946">
        <f>F10971-(F10971/1.18)</f>
        <v>0</v>
      </c>
      <c r="H10971" s="1039"/>
      <c r="I10971" s="955">
        <f>D10971*F10971</f>
        <v>0</v>
      </c>
    </row>
    <row r="10972" spans="3:9" ht="15.75">
      <c r="C10972" s="951" t="s">
        <v>918</v>
      </c>
      <c r="D10972" s="946"/>
      <c r="E10972" s="947"/>
      <c r="F10972" s="1054"/>
      <c r="G10972" s="946"/>
      <c r="H10972" s="1031"/>
      <c r="I10972" s="952">
        <f>SUM(I10971:I10971)</f>
        <v>0</v>
      </c>
    </row>
    <row r="10973" spans="3:9" ht="15.75">
      <c r="C10973" s="949"/>
      <c r="D10973" s="946"/>
      <c r="E10973" s="947"/>
      <c r="F10973" s="1054"/>
      <c r="G10973" s="946"/>
      <c r="H10973" s="1031"/>
      <c r="I10973" s="948"/>
    </row>
    <row r="10974" spans="3:9" ht="15.75">
      <c r="C10974" s="945" t="s">
        <v>925</v>
      </c>
      <c r="D10974" s="946"/>
      <c r="E10974" s="947"/>
      <c r="F10974" s="1054"/>
      <c r="G10974" s="946"/>
      <c r="H10974" s="1031"/>
      <c r="I10974" s="948"/>
    </row>
    <row r="10975" spans="3:9" ht="15.75">
      <c r="C10975" s="949" t="s">
        <v>924</v>
      </c>
      <c r="D10975" s="946"/>
      <c r="E10975" s="947" t="str">
        <f>+VLOOKUP(C10975,'Basic (equilibrio) (2)'!B:D,2,FALSE)</f>
        <v>n/a</v>
      </c>
      <c r="F10975" s="1054">
        <f>+VLOOKUP(C10975,'Basic (equilibrio) (2)'!B:D,3,FALSE)</f>
        <v>0</v>
      </c>
      <c r="G10975" s="946"/>
      <c r="H10975" s="1031"/>
      <c r="I10975" s="948">
        <f>D10975*F10975</f>
        <v>0</v>
      </c>
    </row>
    <row r="10976" spans="3:9" ht="15.75">
      <c r="C10976" s="951" t="s">
        <v>918</v>
      </c>
      <c r="D10976" s="946"/>
      <c r="E10976" s="947"/>
      <c r="F10976" s="1054"/>
      <c r="G10976" s="946"/>
      <c r="H10976" s="1031"/>
      <c r="I10976" s="952">
        <f>SUM(I10975)</f>
        <v>0</v>
      </c>
    </row>
    <row r="10977" spans="2:9" ht="15.75">
      <c r="C10977" s="951"/>
      <c r="D10977" s="946"/>
      <c r="E10977" s="947"/>
      <c r="F10977" s="1054"/>
      <c r="G10977" s="946"/>
      <c r="H10977" s="1031"/>
      <c r="I10977" s="952"/>
    </row>
    <row r="10978" spans="2:9" ht="15.75">
      <c r="C10978" s="956" t="s">
        <v>926</v>
      </c>
      <c r="D10978" s="957"/>
      <c r="E10978" s="958"/>
      <c r="F10978" s="1069"/>
      <c r="G10978" s="957"/>
      <c r="H10978" s="1032"/>
      <c r="I10978" s="959">
        <f>+I10964</f>
        <v>1974.72</v>
      </c>
    </row>
    <row r="10979" spans="2:9" ht="15.75">
      <c r="C10979" s="956" t="s">
        <v>927</v>
      </c>
      <c r="D10979" s="957"/>
      <c r="E10979" s="958"/>
      <c r="F10979" s="1069"/>
      <c r="G10979" s="957"/>
      <c r="H10979" s="1032"/>
      <c r="I10979" s="959">
        <f>+I10968</f>
        <v>0</v>
      </c>
    </row>
    <row r="10980" spans="2:9" ht="15.75">
      <c r="C10980" s="956" t="s">
        <v>928</v>
      </c>
      <c r="D10980" s="957"/>
      <c r="E10980" s="958"/>
      <c r="F10980" s="1069"/>
      <c r="G10980" s="957"/>
      <c r="H10980" s="1032"/>
      <c r="I10980" s="959">
        <f>+I10972</f>
        <v>0</v>
      </c>
    </row>
    <row r="10981" spans="2:9" ht="15.75">
      <c r="C10981" s="956" t="s">
        <v>929</v>
      </c>
      <c r="D10981" s="957"/>
      <c r="E10981" s="958"/>
      <c r="F10981" s="1069"/>
      <c r="G10981" s="957"/>
      <c r="H10981" s="1032"/>
      <c r="I10981" s="959">
        <f>+I10976</f>
        <v>0</v>
      </c>
    </row>
    <row r="10982" spans="2:9" ht="15.75">
      <c r="C10982" s="949"/>
      <c r="D10982" s="946"/>
      <c r="E10982" s="947"/>
      <c r="F10982" s="1054"/>
      <c r="G10982" s="946"/>
      <c r="H10982" s="1031"/>
      <c r="I10982" s="948"/>
    </row>
    <row r="10983" spans="2:9" ht="15.75">
      <c r="C10983" s="951" t="s">
        <v>930</v>
      </c>
      <c r="D10983" s="960"/>
      <c r="E10983" s="975" t="str">
        <f>+E10960</f>
        <v>ud</v>
      </c>
      <c r="F10983" s="1070"/>
      <c r="G10983" s="960"/>
      <c r="H10983" s="1033"/>
      <c r="I10983" s="952">
        <f>SUM(I10978:I10981)</f>
        <v>1974.72</v>
      </c>
    </row>
    <row r="10984" spans="2:9" ht="15.75">
      <c r="C10984" s="951"/>
      <c r="D10984" s="960"/>
      <c r="E10984" s="943"/>
      <c r="F10984" s="1070"/>
      <c r="G10984" s="960"/>
      <c r="H10984" s="1033"/>
      <c r="I10984" s="952"/>
    </row>
    <row r="10985" spans="2:9" ht="15.75">
      <c r="B10985" s="1063">
        <v>8.3000000000000007</v>
      </c>
      <c r="C10985" s="937" t="str">
        <f>+Presupuesto!B635</f>
        <v>Salida interruptor triple</v>
      </c>
      <c r="D10985" s="938"/>
      <c r="E10985" s="962" t="s">
        <v>1056</v>
      </c>
      <c r="F10985" s="1066"/>
      <c r="G10985" s="938"/>
      <c r="H10985" s="1029"/>
      <c r="I10985" s="940">
        <f>+I11008</f>
        <v>1882.92</v>
      </c>
    </row>
    <row r="10986" spans="2:9" ht="15.75">
      <c r="C10986" s="941" t="s">
        <v>908</v>
      </c>
      <c r="D10986" s="942" t="s">
        <v>9</v>
      </c>
      <c r="E10986" s="943" t="s">
        <v>10</v>
      </c>
      <c r="F10986" s="1067" t="s">
        <v>909</v>
      </c>
      <c r="G10986" s="942" t="s">
        <v>910</v>
      </c>
      <c r="H10986" s="1030" t="s">
        <v>911</v>
      </c>
      <c r="I10986" s="944" t="s">
        <v>912</v>
      </c>
    </row>
    <row r="10987" spans="2:9" ht="15.75">
      <c r="C10987" s="945" t="s">
        <v>913</v>
      </c>
      <c r="D10987" s="946"/>
      <c r="E10987" s="947"/>
      <c r="F10987" s="1054"/>
      <c r="G10987" s="946"/>
      <c r="H10987" s="1031"/>
      <c r="I10987" s="948"/>
    </row>
    <row r="10988" spans="2:9" ht="15.75">
      <c r="C10988" s="949" t="s">
        <v>1674</v>
      </c>
      <c r="D10988" s="946">
        <v>1.02</v>
      </c>
      <c r="E10988" s="947" t="str">
        <f>+VLOOKUP(C10988,'Basic (equilibrio) (2)'!B:D,2,FALSE)</f>
        <v>ud</v>
      </c>
      <c r="F10988" s="1068">
        <f>'Basic (equilibrio) (2)'!$D$278</f>
        <v>1846</v>
      </c>
      <c r="G10988" s="946">
        <f>F10988-(F10988/1.18)</f>
        <v>281.58999999999997</v>
      </c>
      <c r="H10988" s="1031"/>
      <c r="I10988" s="948">
        <f>D10988*F10988</f>
        <v>1882.92</v>
      </c>
    </row>
    <row r="10989" spans="2:9" ht="15.75">
      <c r="C10989" s="951" t="s">
        <v>918</v>
      </c>
      <c r="D10989" s="946"/>
      <c r="E10989" s="947"/>
      <c r="F10989" s="1068"/>
      <c r="G10989" s="946"/>
      <c r="H10989" s="1031"/>
      <c r="I10989" s="952">
        <f>SUM(I10988:I10988)</f>
        <v>1882.92</v>
      </c>
    </row>
    <row r="10990" spans="2:9" ht="15.75">
      <c r="C10990" s="949"/>
      <c r="D10990" s="946"/>
      <c r="E10990" s="947"/>
      <c r="F10990" s="1068"/>
      <c r="G10990" s="946"/>
      <c r="H10990" s="1031"/>
      <c r="I10990" s="948"/>
    </row>
    <row r="10991" spans="2:9" ht="15.75">
      <c r="C10991" s="945" t="s">
        <v>919</v>
      </c>
      <c r="D10991" s="946"/>
      <c r="E10991" s="947"/>
      <c r="F10991" s="1068"/>
      <c r="G10991" s="946"/>
      <c r="H10991" s="1031"/>
      <c r="I10991" s="948"/>
    </row>
    <row r="10992" spans="2:9" ht="15.75">
      <c r="C10992" s="949" t="s">
        <v>924</v>
      </c>
      <c r="D10992" s="953"/>
      <c r="E10992" s="954" t="str">
        <f>+VLOOKUP(C10992,'Basic (equilibrio) (2)'!B:D,2,FALSE)</f>
        <v>n/a</v>
      </c>
      <c r="F10992" s="1068">
        <f>+VLOOKUP(C10992,'Basic (equilibrio) (2)'!B:D,3,FALSE)</f>
        <v>0</v>
      </c>
      <c r="G10992" s="946">
        <v>0</v>
      </c>
      <c r="H10992" s="1031"/>
      <c r="I10992" s="948">
        <f>(D10992*F10992)</f>
        <v>0</v>
      </c>
    </row>
    <row r="10993" spans="3:9" ht="15.75">
      <c r="C10993" s="951" t="s">
        <v>918</v>
      </c>
      <c r="D10993" s="946"/>
      <c r="E10993" s="947"/>
      <c r="F10993" s="1054"/>
      <c r="G10993" s="946"/>
      <c r="H10993" s="1031"/>
      <c r="I10993" s="952">
        <f>SUM(I10992:I10992)</f>
        <v>0</v>
      </c>
    </row>
    <row r="10994" spans="3:9" ht="15.75">
      <c r="C10994" s="949"/>
      <c r="D10994" s="946"/>
      <c r="E10994" s="947"/>
      <c r="F10994" s="1054"/>
      <c r="G10994" s="946"/>
      <c r="H10994" s="1031"/>
      <c r="I10994" s="948"/>
    </row>
    <row r="10995" spans="3:9" ht="15.75">
      <c r="C10995" s="945" t="s">
        <v>923</v>
      </c>
      <c r="D10995" s="946"/>
      <c r="E10995" s="947"/>
      <c r="F10995" s="1054"/>
      <c r="G10995" s="946"/>
      <c r="H10995" s="1031"/>
      <c r="I10995" s="948"/>
    </row>
    <row r="10996" spans="3:9" ht="15.75">
      <c r="C10996" s="949" t="s">
        <v>924</v>
      </c>
      <c r="D10996" s="946"/>
      <c r="E10996" s="947" t="str">
        <f>+VLOOKUP(C10996,'Basic (equilibrio) (2)'!B:D,2,FALSE)</f>
        <v>n/a</v>
      </c>
      <c r="F10996" s="1054">
        <f>+VLOOKUP(C10996,'Basic (equilibrio) (2)'!B:D,3,FALSE)</f>
        <v>0</v>
      </c>
      <c r="G10996" s="946">
        <f>F10996-(F10996/1.18)</f>
        <v>0</v>
      </c>
      <c r="H10996" s="1039"/>
      <c r="I10996" s="955">
        <f>D10996*F10996</f>
        <v>0</v>
      </c>
    </row>
    <row r="10997" spans="3:9" ht="15.75">
      <c r="C10997" s="951" t="s">
        <v>918</v>
      </c>
      <c r="D10997" s="946"/>
      <c r="E10997" s="947"/>
      <c r="F10997" s="1054"/>
      <c r="G10997" s="946"/>
      <c r="H10997" s="1031"/>
      <c r="I10997" s="952">
        <f>SUM(I10996:I10996)</f>
        <v>0</v>
      </c>
    </row>
    <row r="10998" spans="3:9" ht="15.75">
      <c r="C10998" s="949"/>
      <c r="D10998" s="946"/>
      <c r="E10998" s="947"/>
      <c r="F10998" s="1054"/>
      <c r="G10998" s="946"/>
      <c r="H10998" s="1031"/>
      <c r="I10998" s="948"/>
    </row>
    <row r="10999" spans="3:9" ht="15.75">
      <c r="C10999" s="945" t="s">
        <v>925</v>
      </c>
      <c r="D10999" s="946"/>
      <c r="E10999" s="947"/>
      <c r="F10999" s="1054"/>
      <c r="G10999" s="946"/>
      <c r="H10999" s="1031"/>
      <c r="I10999" s="948"/>
    </row>
    <row r="11000" spans="3:9" ht="15.75">
      <c r="C11000" s="949" t="s">
        <v>924</v>
      </c>
      <c r="D11000" s="946"/>
      <c r="E11000" s="947" t="str">
        <f>+VLOOKUP(C11000,'Basic (equilibrio) (2)'!B:D,2,FALSE)</f>
        <v>n/a</v>
      </c>
      <c r="F11000" s="1054">
        <f>+VLOOKUP(C11000,'Basic (equilibrio) (2)'!B:D,3,FALSE)</f>
        <v>0</v>
      </c>
      <c r="G11000" s="946"/>
      <c r="H11000" s="1031"/>
      <c r="I11000" s="948">
        <f>D11000*F11000</f>
        <v>0</v>
      </c>
    </row>
    <row r="11001" spans="3:9" ht="15.75">
      <c r="C11001" s="951" t="s">
        <v>918</v>
      </c>
      <c r="D11001" s="946"/>
      <c r="E11001" s="947"/>
      <c r="F11001" s="1054"/>
      <c r="G11001" s="946"/>
      <c r="H11001" s="1031"/>
      <c r="I11001" s="952">
        <f>SUM(I11000)</f>
        <v>0</v>
      </c>
    </row>
    <row r="11002" spans="3:9" ht="15.75">
      <c r="C11002" s="951"/>
      <c r="D11002" s="946"/>
      <c r="E11002" s="947"/>
      <c r="F11002" s="1054"/>
      <c r="G11002" s="946"/>
      <c r="H11002" s="1031"/>
      <c r="I11002" s="952"/>
    </row>
    <row r="11003" spans="3:9" ht="15.75">
      <c r="C11003" s="956" t="s">
        <v>926</v>
      </c>
      <c r="D11003" s="957"/>
      <c r="E11003" s="958"/>
      <c r="F11003" s="1069"/>
      <c r="G11003" s="957"/>
      <c r="H11003" s="1032"/>
      <c r="I11003" s="959">
        <f>+I10989</f>
        <v>1882.92</v>
      </c>
    </row>
    <row r="11004" spans="3:9" ht="15.75">
      <c r="C11004" s="956" t="s">
        <v>927</v>
      </c>
      <c r="D11004" s="957"/>
      <c r="E11004" s="958"/>
      <c r="F11004" s="1069"/>
      <c r="G11004" s="957"/>
      <c r="H11004" s="1032"/>
      <c r="I11004" s="959">
        <f>+I10993</f>
        <v>0</v>
      </c>
    </row>
    <row r="11005" spans="3:9" ht="15.75">
      <c r="C11005" s="956" t="s">
        <v>928</v>
      </c>
      <c r="D11005" s="957"/>
      <c r="E11005" s="958"/>
      <c r="F11005" s="1069"/>
      <c r="G11005" s="957"/>
      <c r="H11005" s="1032"/>
      <c r="I11005" s="959">
        <f>+I10997</f>
        <v>0</v>
      </c>
    </row>
    <row r="11006" spans="3:9" ht="15.75">
      <c r="C11006" s="956" t="s">
        <v>929</v>
      </c>
      <c r="D11006" s="957"/>
      <c r="E11006" s="958"/>
      <c r="F11006" s="1069"/>
      <c r="G11006" s="957"/>
      <c r="H11006" s="1032"/>
      <c r="I11006" s="959">
        <f>+I11001</f>
        <v>0</v>
      </c>
    </row>
    <row r="11007" spans="3:9" ht="15.75">
      <c r="C11007" s="949"/>
      <c r="D11007" s="946"/>
      <c r="E11007" s="947"/>
      <c r="F11007" s="1054"/>
      <c r="G11007" s="946"/>
      <c r="H11007" s="1031"/>
      <c r="I11007" s="948"/>
    </row>
    <row r="11008" spans="3:9" ht="15.75">
      <c r="C11008" s="951" t="s">
        <v>930</v>
      </c>
      <c r="D11008" s="960"/>
      <c r="E11008" s="975" t="str">
        <f>+E10985</f>
        <v>ud</v>
      </c>
      <c r="F11008" s="1070"/>
      <c r="G11008" s="960"/>
      <c r="H11008" s="1033"/>
      <c r="I11008" s="952">
        <f>SUM(I11003:I11006)</f>
        <v>1882.92</v>
      </c>
    </row>
    <row r="11009" spans="2:9" ht="15.75">
      <c r="C11009" s="951"/>
      <c r="D11009" s="960"/>
      <c r="E11009" s="943"/>
      <c r="F11009" s="1070"/>
      <c r="G11009" s="960"/>
      <c r="H11009" s="1033"/>
      <c r="I11009" s="952"/>
    </row>
    <row r="11010" spans="2:9" ht="15.75">
      <c r="B11010" s="1063">
        <v>8.4</v>
      </c>
      <c r="C11010" s="937" t="str">
        <f>+Presupuesto!B636</f>
        <v>Tomacorriente doble 120V</v>
      </c>
      <c r="D11010" s="938"/>
      <c r="E11010" s="962" t="s">
        <v>1056</v>
      </c>
      <c r="F11010" s="1066"/>
      <c r="G11010" s="938"/>
      <c r="H11010" s="1029"/>
      <c r="I11010" s="940">
        <f>+I11033</f>
        <v>2175.66</v>
      </c>
    </row>
    <row r="11011" spans="2:9" ht="15.75">
      <c r="C11011" s="941" t="s">
        <v>908</v>
      </c>
      <c r="D11011" s="942" t="s">
        <v>9</v>
      </c>
      <c r="E11011" s="943" t="s">
        <v>10</v>
      </c>
      <c r="F11011" s="1067" t="s">
        <v>909</v>
      </c>
      <c r="G11011" s="942" t="s">
        <v>910</v>
      </c>
      <c r="H11011" s="1030" t="s">
        <v>911</v>
      </c>
      <c r="I11011" s="944" t="s">
        <v>912</v>
      </c>
    </row>
    <row r="11012" spans="2:9" ht="15.75">
      <c r="C11012" s="945" t="s">
        <v>913</v>
      </c>
      <c r="D11012" s="946"/>
      <c r="E11012" s="947"/>
      <c r="F11012" s="1054"/>
      <c r="G11012" s="946"/>
      <c r="H11012" s="1031"/>
      <c r="I11012" s="948"/>
    </row>
    <row r="11013" spans="2:9" ht="15.75">
      <c r="C11013" s="949" t="s">
        <v>1622</v>
      </c>
      <c r="D11013" s="946">
        <v>1.02</v>
      </c>
      <c r="E11013" s="947" t="str">
        <f>+VLOOKUP(C11013,'Basic (equilibrio) (2)'!B:D,2,FALSE)</f>
        <v>ud</v>
      </c>
      <c r="F11013" s="1068">
        <f>'Basic (equilibrio) (2)'!$D$237</f>
        <v>2133</v>
      </c>
      <c r="G11013" s="946">
        <f>F11013-(F11013/1.18)</f>
        <v>325.37</v>
      </c>
      <c r="H11013" s="1031"/>
      <c r="I11013" s="948">
        <f>D11013*F11013</f>
        <v>2175.66</v>
      </c>
    </row>
    <row r="11014" spans="2:9" ht="15.75">
      <c r="C11014" s="951" t="s">
        <v>918</v>
      </c>
      <c r="D11014" s="946"/>
      <c r="E11014" s="947"/>
      <c r="F11014" s="1068"/>
      <c r="G11014" s="946"/>
      <c r="H11014" s="1031"/>
      <c r="I11014" s="952">
        <f>SUM(I11013:I11013)</f>
        <v>2175.66</v>
      </c>
    </row>
    <row r="11015" spans="2:9" ht="15.75">
      <c r="C11015" s="949"/>
      <c r="D11015" s="946"/>
      <c r="E11015" s="947"/>
      <c r="F11015" s="1068"/>
      <c r="G11015" s="946"/>
      <c r="H11015" s="1031"/>
      <c r="I11015" s="948"/>
    </row>
    <row r="11016" spans="2:9" ht="15.75">
      <c r="C11016" s="945" t="s">
        <v>919</v>
      </c>
      <c r="D11016" s="946"/>
      <c r="E11016" s="947"/>
      <c r="F11016" s="1068"/>
      <c r="G11016" s="946"/>
      <c r="H11016" s="1031"/>
      <c r="I11016" s="948"/>
    </row>
    <row r="11017" spans="2:9" ht="15.75">
      <c r="C11017" s="949" t="s">
        <v>924</v>
      </c>
      <c r="D11017" s="953"/>
      <c r="E11017" s="954" t="str">
        <f>+VLOOKUP(C11017,'Basic (equilibrio) (2)'!B:D,2,FALSE)</f>
        <v>n/a</v>
      </c>
      <c r="F11017" s="1068">
        <f>+VLOOKUP(C11017,'Basic (equilibrio) (2)'!B:D,3,FALSE)</f>
        <v>0</v>
      </c>
      <c r="G11017" s="946">
        <v>0</v>
      </c>
      <c r="H11017" s="1031"/>
      <c r="I11017" s="948">
        <f>(D11017*F11017)</f>
        <v>0</v>
      </c>
    </row>
    <row r="11018" spans="2:9" ht="15.75">
      <c r="C11018" s="951" t="s">
        <v>918</v>
      </c>
      <c r="D11018" s="946"/>
      <c r="E11018" s="947"/>
      <c r="F11018" s="1054"/>
      <c r="G11018" s="946"/>
      <c r="H11018" s="1031"/>
      <c r="I11018" s="952">
        <f>SUM(I11017:I11017)</f>
        <v>0</v>
      </c>
    </row>
    <row r="11019" spans="2:9" ht="15.75">
      <c r="C11019" s="949"/>
      <c r="D11019" s="946"/>
      <c r="E11019" s="947"/>
      <c r="F11019" s="1054"/>
      <c r="G11019" s="946"/>
      <c r="H11019" s="1031"/>
      <c r="I11019" s="948"/>
    </row>
    <row r="11020" spans="2:9" ht="15.75">
      <c r="C11020" s="945" t="s">
        <v>923</v>
      </c>
      <c r="D11020" s="946"/>
      <c r="E11020" s="947"/>
      <c r="F11020" s="1054"/>
      <c r="G11020" s="946"/>
      <c r="H11020" s="1031"/>
      <c r="I11020" s="948"/>
    </row>
    <row r="11021" spans="2:9" ht="15.75">
      <c r="C11021" s="949" t="s">
        <v>924</v>
      </c>
      <c r="D11021" s="946"/>
      <c r="E11021" s="947" t="str">
        <f>+VLOOKUP(C11021,'Basic (equilibrio) (2)'!B:D,2,FALSE)</f>
        <v>n/a</v>
      </c>
      <c r="F11021" s="1054">
        <f>+VLOOKUP(C11021,'Basic (equilibrio) (2)'!B:D,3,FALSE)</f>
        <v>0</v>
      </c>
      <c r="G11021" s="946">
        <f>F11021-(F11021/1.18)</f>
        <v>0</v>
      </c>
      <c r="H11021" s="1039"/>
      <c r="I11021" s="955">
        <f>D11021*F11021</f>
        <v>0</v>
      </c>
    </row>
    <row r="11022" spans="2:9" ht="15.75">
      <c r="C11022" s="951" t="s">
        <v>918</v>
      </c>
      <c r="D11022" s="946"/>
      <c r="E11022" s="947"/>
      <c r="F11022" s="1054"/>
      <c r="G11022" s="946"/>
      <c r="H11022" s="1031"/>
      <c r="I11022" s="952">
        <f>SUM(I11021:I11021)</f>
        <v>0</v>
      </c>
    </row>
    <row r="11023" spans="2:9" ht="15.75">
      <c r="C11023" s="949"/>
      <c r="D11023" s="946"/>
      <c r="E11023" s="947"/>
      <c r="F11023" s="1054"/>
      <c r="G11023" s="946"/>
      <c r="H11023" s="1031"/>
      <c r="I11023" s="948"/>
    </row>
    <row r="11024" spans="2:9" ht="15.75">
      <c r="C11024" s="945" t="s">
        <v>925</v>
      </c>
      <c r="D11024" s="946"/>
      <c r="E11024" s="947"/>
      <c r="F11024" s="1054"/>
      <c r="G11024" s="946"/>
      <c r="H11024" s="1031"/>
      <c r="I11024" s="948"/>
    </row>
    <row r="11025" spans="2:9" ht="15.75">
      <c r="C11025" s="949" t="s">
        <v>924</v>
      </c>
      <c r="D11025" s="946"/>
      <c r="E11025" s="947" t="str">
        <f>+VLOOKUP(C11025,'Basic (equilibrio) (2)'!B:D,2,FALSE)</f>
        <v>n/a</v>
      </c>
      <c r="F11025" s="1054">
        <f>+VLOOKUP(C11025,'Basic (equilibrio) (2)'!B:D,3,FALSE)</f>
        <v>0</v>
      </c>
      <c r="G11025" s="946"/>
      <c r="H11025" s="1031"/>
      <c r="I11025" s="948">
        <f>D11025*F11025</f>
        <v>0</v>
      </c>
    </row>
    <row r="11026" spans="2:9" ht="15.75">
      <c r="C11026" s="951" t="s">
        <v>918</v>
      </c>
      <c r="D11026" s="946"/>
      <c r="E11026" s="947"/>
      <c r="F11026" s="1054"/>
      <c r="G11026" s="946"/>
      <c r="H11026" s="1031"/>
      <c r="I11026" s="952">
        <f>SUM(I11025)</f>
        <v>0</v>
      </c>
    </row>
    <row r="11027" spans="2:9" ht="15.75">
      <c r="C11027" s="951"/>
      <c r="D11027" s="946"/>
      <c r="E11027" s="947"/>
      <c r="F11027" s="1054"/>
      <c r="G11027" s="946"/>
      <c r="H11027" s="1031"/>
      <c r="I11027" s="952"/>
    </row>
    <row r="11028" spans="2:9" ht="15.75">
      <c r="C11028" s="956" t="s">
        <v>926</v>
      </c>
      <c r="D11028" s="957"/>
      <c r="E11028" s="958"/>
      <c r="F11028" s="1069"/>
      <c r="G11028" s="957"/>
      <c r="H11028" s="1032"/>
      <c r="I11028" s="959">
        <f>+I11014</f>
        <v>2175.66</v>
      </c>
    </row>
    <row r="11029" spans="2:9" ht="15.75">
      <c r="C11029" s="956" t="s">
        <v>927</v>
      </c>
      <c r="D11029" s="957"/>
      <c r="E11029" s="958"/>
      <c r="F11029" s="1069"/>
      <c r="G11029" s="957"/>
      <c r="H11029" s="1032"/>
      <c r="I11029" s="959">
        <f>+I11018</f>
        <v>0</v>
      </c>
    </row>
    <row r="11030" spans="2:9" ht="15.75">
      <c r="C11030" s="956" t="s">
        <v>928</v>
      </c>
      <c r="D11030" s="957"/>
      <c r="E11030" s="958"/>
      <c r="F11030" s="1069"/>
      <c r="G11030" s="957"/>
      <c r="H11030" s="1032"/>
      <c r="I11030" s="959">
        <f>+I11022</f>
        <v>0</v>
      </c>
    </row>
    <row r="11031" spans="2:9" ht="15.75">
      <c r="C11031" s="956" t="s">
        <v>929</v>
      </c>
      <c r="D11031" s="957"/>
      <c r="E11031" s="958"/>
      <c r="F11031" s="1069"/>
      <c r="G11031" s="957"/>
      <c r="H11031" s="1032"/>
      <c r="I11031" s="959">
        <f>+I11026</f>
        <v>0</v>
      </c>
    </row>
    <row r="11032" spans="2:9" ht="15.75">
      <c r="C11032" s="949"/>
      <c r="D11032" s="946"/>
      <c r="E11032" s="947"/>
      <c r="F11032" s="1054"/>
      <c r="G11032" s="946"/>
      <c r="H11032" s="1031"/>
      <c r="I11032" s="948"/>
    </row>
    <row r="11033" spans="2:9" ht="15.75">
      <c r="C11033" s="951" t="s">
        <v>930</v>
      </c>
      <c r="D11033" s="960"/>
      <c r="E11033" s="975" t="str">
        <f>+E11010</f>
        <v>ud</v>
      </c>
      <c r="F11033" s="1070"/>
      <c r="G11033" s="960"/>
      <c r="H11033" s="1033"/>
      <c r="I11033" s="952">
        <f>SUM(I11028:I11031)</f>
        <v>2175.66</v>
      </c>
    </row>
    <row r="11034" spans="2:9" ht="15.75">
      <c r="C11034" s="951"/>
      <c r="D11034" s="960"/>
      <c r="E11034" s="943"/>
      <c r="F11034" s="1070"/>
      <c r="G11034" s="960"/>
      <c r="H11034" s="1033"/>
      <c r="I11034" s="952"/>
    </row>
    <row r="11035" spans="2:9" ht="15.75">
      <c r="C11035" s="951"/>
      <c r="D11035" s="960"/>
      <c r="E11035" s="943"/>
      <c r="F11035" s="1070"/>
      <c r="G11035" s="960"/>
      <c r="H11035" s="1033"/>
      <c r="I11035" s="952"/>
    </row>
    <row r="11036" spans="2:9" ht="15.75">
      <c r="B11036" s="1063">
        <v>8.5</v>
      </c>
      <c r="C11036" s="937" t="str">
        <f>+Presupuesto!B637</f>
        <v>Tomacorriente doble 120v sobre meseta</v>
      </c>
      <c r="D11036" s="938"/>
      <c r="E11036" s="962" t="s">
        <v>1056</v>
      </c>
      <c r="F11036" s="1066"/>
      <c r="G11036" s="938"/>
      <c r="H11036" s="1029"/>
      <c r="I11036" s="940">
        <f>+I11059</f>
        <v>2175.66</v>
      </c>
    </row>
    <row r="11037" spans="2:9" ht="15.75">
      <c r="C11037" s="941" t="s">
        <v>908</v>
      </c>
      <c r="D11037" s="942" t="s">
        <v>9</v>
      </c>
      <c r="E11037" s="943" t="s">
        <v>10</v>
      </c>
      <c r="F11037" s="1067" t="s">
        <v>909</v>
      </c>
      <c r="G11037" s="942" t="s">
        <v>910</v>
      </c>
      <c r="H11037" s="1030" t="s">
        <v>911</v>
      </c>
      <c r="I11037" s="944" t="s">
        <v>912</v>
      </c>
    </row>
    <row r="11038" spans="2:9" ht="15.75">
      <c r="C11038" s="945" t="s">
        <v>913</v>
      </c>
      <c r="D11038" s="946"/>
      <c r="E11038" s="947"/>
      <c r="F11038" s="1054"/>
      <c r="G11038" s="946"/>
      <c r="H11038" s="1031"/>
      <c r="I11038" s="948"/>
    </row>
    <row r="11039" spans="2:9" ht="15.75">
      <c r="C11039" s="949" t="s">
        <v>1622</v>
      </c>
      <c r="D11039" s="946">
        <v>1.02</v>
      </c>
      <c r="E11039" s="947" t="str">
        <f>+VLOOKUP(C11039,'Basic (equilibrio) (2)'!B:D,2,FALSE)</f>
        <v>ud</v>
      </c>
      <c r="F11039" s="1068">
        <f>'Basic (equilibrio) (2)'!$D$237</f>
        <v>2133</v>
      </c>
      <c r="G11039" s="946">
        <f>F11039-(F11039/1.18)</f>
        <v>325.37</v>
      </c>
      <c r="H11039" s="1031"/>
      <c r="I11039" s="948">
        <f>D11039*F11039</f>
        <v>2175.66</v>
      </c>
    </row>
    <row r="11040" spans="2:9" ht="15.75">
      <c r="C11040" s="951" t="s">
        <v>918</v>
      </c>
      <c r="D11040" s="946"/>
      <c r="E11040" s="947"/>
      <c r="F11040" s="1068"/>
      <c r="G11040" s="946"/>
      <c r="H11040" s="1031"/>
      <c r="I11040" s="952">
        <f>SUM(I11039:I11039)</f>
        <v>2175.66</v>
      </c>
    </row>
    <row r="11041" spans="3:9" ht="15.75">
      <c r="C11041" s="949"/>
      <c r="D11041" s="946"/>
      <c r="E11041" s="947"/>
      <c r="F11041" s="1068"/>
      <c r="G11041" s="946"/>
      <c r="H11041" s="1031"/>
      <c r="I11041" s="948"/>
    </row>
    <row r="11042" spans="3:9" ht="15.75">
      <c r="C11042" s="945" t="s">
        <v>919</v>
      </c>
      <c r="D11042" s="946"/>
      <c r="E11042" s="947"/>
      <c r="F11042" s="1068"/>
      <c r="G11042" s="946"/>
      <c r="H11042" s="1031"/>
      <c r="I11042" s="948"/>
    </row>
    <row r="11043" spans="3:9" ht="15.75">
      <c r="C11043" s="949" t="s">
        <v>924</v>
      </c>
      <c r="D11043" s="953"/>
      <c r="E11043" s="954" t="str">
        <f>+VLOOKUP(C11043,'Basic (equilibrio) (2)'!B:D,2,FALSE)</f>
        <v>n/a</v>
      </c>
      <c r="F11043" s="1068">
        <f>+VLOOKUP(C11043,'Basic (equilibrio) (2)'!B:D,3,FALSE)</f>
        <v>0</v>
      </c>
      <c r="G11043" s="946">
        <v>0</v>
      </c>
      <c r="H11043" s="1031"/>
      <c r="I11043" s="948">
        <f>(D11043*F11043)</f>
        <v>0</v>
      </c>
    </row>
    <row r="11044" spans="3:9" ht="15.75">
      <c r="C11044" s="951" t="s">
        <v>918</v>
      </c>
      <c r="D11044" s="946"/>
      <c r="E11044" s="947"/>
      <c r="F11044" s="1054"/>
      <c r="G11044" s="946"/>
      <c r="H11044" s="1031"/>
      <c r="I11044" s="952">
        <f>SUM(I11043:I11043)</f>
        <v>0</v>
      </c>
    </row>
    <row r="11045" spans="3:9" ht="15.75">
      <c r="C11045" s="949"/>
      <c r="D11045" s="946"/>
      <c r="E11045" s="947"/>
      <c r="F11045" s="1054"/>
      <c r="G11045" s="946"/>
      <c r="H11045" s="1031"/>
      <c r="I11045" s="948"/>
    </row>
    <row r="11046" spans="3:9" ht="15.75">
      <c r="C11046" s="945" t="s">
        <v>923</v>
      </c>
      <c r="D11046" s="946"/>
      <c r="E11046" s="947"/>
      <c r="F11046" s="1054"/>
      <c r="G11046" s="946"/>
      <c r="H11046" s="1031"/>
      <c r="I11046" s="948"/>
    </row>
    <row r="11047" spans="3:9" ht="15.75">
      <c r="C11047" s="949" t="s">
        <v>924</v>
      </c>
      <c r="D11047" s="946"/>
      <c r="E11047" s="947" t="str">
        <f>+VLOOKUP(C11047,'Basic (equilibrio) (2)'!B:D,2,FALSE)</f>
        <v>n/a</v>
      </c>
      <c r="F11047" s="1054">
        <f>+VLOOKUP(C11047,'Basic (equilibrio) (2)'!B:D,3,FALSE)</f>
        <v>0</v>
      </c>
      <c r="G11047" s="946">
        <f>F11047-(F11047/1.18)</f>
        <v>0</v>
      </c>
      <c r="H11047" s="1039"/>
      <c r="I11047" s="955">
        <f>D11047*F11047</f>
        <v>0</v>
      </c>
    </row>
    <row r="11048" spans="3:9" ht="15.75">
      <c r="C11048" s="951" t="s">
        <v>918</v>
      </c>
      <c r="D11048" s="946"/>
      <c r="E11048" s="947"/>
      <c r="F11048" s="1054"/>
      <c r="G11048" s="946"/>
      <c r="H11048" s="1031"/>
      <c r="I11048" s="952">
        <f>SUM(I11047:I11047)</f>
        <v>0</v>
      </c>
    </row>
    <row r="11049" spans="3:9" ht="15.75">
      <c r="C11049" s="949"/>
      <c r="D11049" s="946"/>
      <c r="E11049" s="947"/>
      <c r="F11049" s="1054"/>
      <c r="G11049" s="946"/>
      <c r="H11049" s="1031"/>
      <c r="I11049" s="948"/>
    </row>
    <row r="11050" spans="3:9" ht="15.75">
      <c r="C11050" s="945" t="s">
        <v>925</v>
      </c>
      <c r="D11050" s="946"/>
      <c r="E11050" s="947"/>
      <c r="F11050" s="1054"/>
      <c r="G11050" s="946"/>
      <c r="H11050" s="1031"/>
      <c r="I11050" s="948"/>
    </row>
    <row r="11051" spans="3:9" ht="15.75">
      <c r="C11051" s="949" t="s">
        <v>924</v>
      </c>
      <c r="D11051" s="946"/>
      <c r="E11051" s="947" t="str">
        <f>+VLOOKUP(C11051,'Basic (equilibrio) (2)'!B:D,2,FALSE)</f>
        <v>n/a</v>
      </c>
      <c r="F11051" s="1054">
        <f>+VLOOKUP(C11051,'Basic (equilibrio) (2)'!B:D,3,FALSE)</f>
        <v>0</v>
      </c>
      <c r="G11051" s="946"/>
      <c r="H11051" s="1031"/>
      <c r="I11051" s="948">
        <f>D11051*F11051</f>
        <v>0</v>
      </c>
    </row>
    <row r="11052" spans="3:9" ht="15.75">
      <c r="C11052" s="951" t="s">
        <v>918</v>
      </c>
      <c r="D11052" s="946"/>
      <c r="E11052" s="947"/>
      <c r="F11052" s="1054"/>
      <c r="G11052" s="946"/>
      <c r="H11052" s="1031"/>
      <c r="I11052" s="952">
        <f>SUM(I11051)</f>
        <v>0</v>
      </c>
    </row>
    <row r="11053" spans="3:9" ht="15.75">
      <c r="C11053" s="951"/>
      <c r="D11053" s="946"/>
      <c r="E11053" s="947"/>
      <c r="F11053" s="1054"/>
      <c r="G11053" s="946"/>
      <c r="H11053" s="1031"/>
      <c r="I11053" s="952"/>
    </row>
    <row r="11054" spans="3:9" ht="15.75">
      <c r="C11054" s="956" t="s">
        <v>926</v>
      </c>
      <c r="D11054" s="957"/>
      <c r="E11054" s="958"/>
      <c r="F11054" s="1069"/>
      <c r="G11054" s="957"/>
      <c r="H11054" s="1032"/>
      <c r="I11054" s="959">
        <f>+I11040</f>
        <v>2175.66</v>
      </c>
    </row>
    <row r="11055" spans="3:9" ht="15.75">
      <c r="C11055" s="956" t="s">
        <v>927</v>
      </c>
      <c r="D11055" s="957"/>
      <c r="E11055" s="958"/>
      <c r="F11055" s="1069"/>
      <c r="G11055" s="957"/>
      <c r="H11055" s="1032"/>
      <c r="I11055" s="959">
        <f>+I11044</f>
        <v>0</v>
      </c>
    </row>
    <row r="11056" spans="3:9" ht="15.75">
      <c r="C11056" s="956" t="s">
        <v>928</v>
      </c>
      <c r="D11056" s="957"/>
      <c r="E11056" s="958"/>
      <c r="F11056" s="1069"/>
      <c r="G11056" s="957"/>
      <c r="H11056" s="1032"/>
      <c r="I11056" s="959">
        <f>+I11048</f>
        <v>0</v>
      </c>
    </row>
    <row r="11057" spans="2:9" ht="15.75">
      <c r="C11057" s="956" t="s">
        <v>929</v>
      </c>
      <c r="D11057" s="957"/>
      <c r="E11057" s="958"/>
      <c r="F11057" s="1069"/>
      <c r="G11057" s="957"/>
      <c r="H11057" s="1032"/>
      <c r="I11057" s="959">
        <f>+I11052</f>
        <v>0</v>
      </c>
    </row>
    <row r="11058" spans="2:9" ht="15.75">
      <c r="C11058" s="949"/>
      <c r="D11058" s="946"/>
      <c r="E11058" s="947"/>
      <c r="F11058" s="1054"/>
      <c r="G11058" s="946"/>
      <c r="H11058" s="1031"/>
      <c r="I11058" s="948"/>
    </row>
    <row r="11059" spans="2:9" ht="15.75">
      <c r="C11059" s="951" t="s">
        <v>930</v>
      </c>
      <c r="D11059" s="960"/>
      <c r="E11059" s="975" t="str">
        <f>+E11036</f>
        <v>ud</v>
      </c>
      <c r="F11059" s="1070"/>
      <c r="G11059" s="960"/>
      <c r="H11059" s="1033"/>
      <c r="I11059" s="952">
        <f>SUM(I11054:I11057)</f>
        <v>2175.66</v>
      </c>
    </row>
    <row r="11060" spans="2:9" ht="15.75">
      <c r="C11060" s="951"/>
      <c r="D11060" s="960"/>
      <c r="E11060" s="943"/>
      <c r="F11060" s="1070"/>
      <c r="G11060" s="960"/>
      <c r="H11060" s="1033"/>
      <c r="I11060" s="952"/>
    </row>
    <row r="11061" spans="2:9" ht="15.75">
      <c r="B11061" s="1063">
        <v>8.6</v>
      </c>
      <c r="C11061" s="937" t="str">
        <f>+Presupuesto!B638</f>
        <v>Panel distribución 12 espacios con Breaker</v>
      </c>
      <c r="D11061" s="938"/>
      <c r="E11061" s="962" t="s">
        <v>1056</v>
      </c>
      <c r="F11061" s="1066"/>
      <c r="G11061" s="938"/>
      <c r="H11061" s="1029"/>
      <c r="I11061" s="940">
        <f>+I11084</f>
        <v>9537</v>
      </c>
    </row>
    <row r="11062" spans="2:9" ht="15.75">
      <c r="C11062" s="941" t="s">
        <v>908</v>
      </c>
      <c r="D11062" s="942" t="s">
        <v>9</v>
      </c>
      <c r="E11062" s="943" t="s">
        <v>10</v>
      </c>
      <c r="F11062" s="1067" t="s">
        <v>909</v>
      </c>
      <c r="G11062" s="942" t="s">
        <v>910</v>
      </c>
      <c r="H11062" s="1030" t="s">
        <v>911</v>
      </c>
      <c r="I11062" s="944" t="s">
        <v>912</v>
      </c>
    </row>
    <row r="11063" spans="2:9" ht="15.75">
      <c r="C11063" s="945" t="s">
        <v>913</v>
      </c>
      <c r="D11063" s="946"/>
      <c r="E11063" s="947"/>
      <c r="F11063" s="1054"/>
      <c r="G11063" s="946"/>
      <c r="H11063" s="1031"/>
      <c r="I11063" s="948"/>
    </row>
    <row r="11064" spans="2:9" ht="15.75">
      <c r="C11064" s="949" t="s">
        <v>1675</v>
      </c>
      <c r="D11064" s="946">
        <v>1.02</v>
      </c>
      <c r="E11064" s="947" t="str">
        <f>+VLOOKUP(C11064,'Basic (equilibrio) (2)'!B:D,2,FALSE)</f>
        <v>ud</v>
      </c>
      <c r="F11064" s="1068">
        <f>'Basic (equilibrio) (2)'!$D$279</f>
        <v>9350</v>
      </c>
      <c r="G11064" s="946">
        <f>F11064-(F11064/1.18)</f>
        <v>1426.27</v>
      </c>
      <c r="H11064" s="1031"/>
      <c r="I11064" s="948">
        <f>D11064*F11064</f>
        <v>9537</v>
      </c>
    </row>
    <row r="11065" spans="2:9" ht="15.75">
      <c r="C11065" s="951" t="s">
        <v>918</v>
      </c>
      <c r="D11065" s="946"/>
      <c r="E11065" s="947"/>
      <c r="F11065" s="1068"/>
      <c r="G11065" s="946"/>
      <c r="H11065" s="1031"/>
      <c r="I11065" s="952">
        <f>SUM(I11064:I11064)</f>
        <v>9537</v>
      </c>
    </row>
    <row r="11066" spans="2:9" ht="15.75">
      <c r="C11066" s="949"/>
      <c r="D11066" s="946"/>
      <c r="E11066" s="947"/>
      <c r="F11066" s="1068"/>
      <c r="G11066" s="946"/>
      <c r="H11066" s="1031"/>
      <c r="I11066" s="948"/>
    </row>
    <row r="11067" spans="2:9" ht="15.75">
      <c r="C11067" s="945" t="s">
        <v>919</v>
      </c>
      <c r="D11067" s="946"/>
      <c r="E11067" s="947"/>
      <c r="F11067" s="1068"/>
      <c r="G11067" s="946"/>
      <c r="H11067" s="1031"/>
      <c r="I11067" s="948"/>
    </row>
    <row r="11068" spans="2:9" ht="15.75">
      <c r="C11068" s="949" t="s">
        <v>924</v>
      </c>
      <c r="D11068" s="953"/>
      <c r="E11068" s="954" t="str">
        <f>+VLOOKUP(C11068,'Basic (equilibrio) (2)'!B:D,2,FALSE)</f>
        <v>n/a</v>
      </c>
      <c r="F11068" s="1068">
        <f>+VLOOKUP(C11068,'Basic (equilibrio) (2)'!B:D,3,FALSE)</f>
        <v>0</v>
      </c>
      <c r="G11068" s="946">
        <v>0</v>
      </c>
      <c r="H11068" s="1031"/>
      <c r="I11068" s="948">
        <f>(D11068*F11068)</f>
        <v>0</v>
      </c>
    </row>
    <row r="11069" spans="2:9" ht="15.75">
      <c r="C11069" s="951" t="s">
        <v>918</v>
      </c>
      <c r="D11069" s="946"/>
      <c r="E11069" s="947"/>
      <c r="F11069" s="1054"/>
      <c r="G11069" s="946"/>
      <c r="H11069" s="1031"/>
      <c r="I11069" s="952">
        <f>SUM(I11068:I11068)</f>
        <v>0</v>
      </c>
    </row>
    <row r="11070" spans="2:9" ht="15.75">
      <c r="C11070" s="949"/>
      <c r="D11070" s="946"/>
      <c r="E11070" s="947"/>
      <c r="F11070" s="1054"/>
      <c r="G11070" s="946"/>
      <c r="H11070" s="1031"/>
      <c r="I11070" s="948"/>
    </row>
    <row r="11071" spans="2:9" ht="15.75">
      <c r="C11071" s="945" t="s">
        <v>923</v>
      </c>
      <c r="D11071" s="946"/>
      <c r="E11071" s="947"/>
      <c r="F11071" s="1054"/>
      <c r="G11071" s="946"/>
      <c r="H11071" s="1031"/>
      <c r="I11071" s="948"/>
    </row>
    <row r="11072" spans="2:9" ht="15.75">
      <c r="C11072" s="949" t="s">
        <v>924</v>
      </c>
      <c r="D11072" s="946"/>
      <c r="E11072" s="947" t="str">
        <f>+VLOOKUP(C11072,'Basic (equilibrio) (2)'!B:D,2,FALSE)</f>
        <v>n/a</v>
      </c>
      <c r="F11072" s="1054">
        <f>+VLOOKUP(C11072,'Basic (equilibrio) (2)'!B:D,3,FALSE)</f>
        <v>0</v>
      </c>
      <c r="G11072" s="946">
        <f>F11072-(F11072/1.18)</f>
        <v>0</v>
      </c>
      <c r="H11072" s="1039"/>
      <c r="I11072" s="955">
        <f>D11072*F11072</f>
        <v>0</v>
      </c>
    </row>
    <row r="11073" spans="2:9" ht="15.75">
      <c r="C11073" s="951" t="s">
        <v>918</v>
      </c>
      <c r="D11073" s="946"/>
      <c r="E11073" s="947"/>
      <c r="F11073" s="1054"/>
      <c r="G11073" s="946"/>
      <c r="H11073" s="1031"/>
      <c r="I11073" s="952">
        <f>SUM(I11072:I11072)</f>
        <v>0</v>
      </c>
    </row>
    <row r="11074" spans="2:9" ht="15.75">
      <c r="C11074" s="949"/>
      <c r="D11074" s="946"/>
      <c r="E11074" s="947"/>
      <c r="F11074" s="1054"/>
      <c r="G11074" s="946"/>
      <c r="H11074" s="1031"/>
      <c r="I11074" s="948"/>
    </row>
    <row r="11075" spans="2:9" ht="15.75">
      <c r="C11075" s="945" t="s">
        <v>925</v>
      </c>
      <c r="D11075" s="946"/>
      <c r="E11075" s="947"/>
      <c r="F11075" s="1054"/>
      <c r="G11075" s="946"/>
      <c r="H11075" s="1031"/>
      <c r="I11075" s="948"/>
    </row>
    <row r="11076" spans="2:9" ht="15.75">
      <c r="C11076" s="949" t="s">
        <v>924</v>
      </c>
      <c r="D11076" s="946"/>
      <c r="E11076" s="947" t="str">
        <f>+VLOOKUP(C11076,'Basic (equilibrio) (2)'!B:D,2,FALSE)</f>
        <v>n/a</v>
      </c>
      <c r="F11076" s="1054">
        <f>+VLOOKUP(C11076,'Basic (equilibrio) (2)'!B:D,3,FALSE)</f>
        <v>0</v>
      </c>
      <c r="G11076" s="946"/>
      <c r="H11076" s="1031"/>
      <c r="I11076" s="948">
        <f>D11076*F11076</f>
        <v>0</v>
      </c>
    </row>
    <row r="11077" spans="2:9" ht="15.75">
      <c r="C11077" s="951" t="s">
        <v>918</v>
      </c>
      <c r="D11077" s="946"/>
      <c r="E11077" s="947"/>
      <c r="F11077" s="1054"/>
      <c r="G11077" s="946"/>
      <c r="H11077" s="1031"/>
      <c r="I11077" s="952">
        <f>SUM(I11076)</f>
        <v>0</v>
      </c>
    </row>
    <row r="11078" spans="2:9" ht="15.75">
      <c r="C11078" s="951"/>
      <c r="D11078" s="946"/>
      <c r="E11078" s="947"/>
      <c r="F11078" s="1054"/>
      <c r="G11078" s="946"/>
      <c r="H11078" s="1031"/>
      <c r="I11078" s="952"/>
    </row>
    <row r="11079" spans="2:9" ht="15.75">
      <c r="C11079" s="956" t="s">
        <v>926</v>
      </c>
      <c r="D11079" s="957"/>
      <c r="E11079" s="958"/>
      <c r="F11079" s="1069"/>
      <c r="G11079" s="957"/>
      <c r="H11079" s="1032"/>
      <c r="I11079" s="959">
        <f>+I11065</f>
        <v>9537</v>
      </c>
    </row>
    <row r="11080" spans="2:9" ht="15.75">
      <c r="C11080" s="956" t="s">
        <v>927</v>
      </c>
      <c r="D11080" s="957"/>
      <c r="E11080" s="958"/>
      <c r="F11080" s="1069"/>
      <c r="G11080" s="957"/>
      <c r="H11080" s="1032"/>
      <c r="I11080" s="959">
        <f>+I11069</f>
        <v>0</v>
      </c>
    </row>
    <row r="11081" spans="2:9" ht="15.75">
      <c r="C11081" s="956" t="s">
        <v>928</v>
      </c>
      <c r="D11081" s="957"/>
      <c r="E11081" s="958"/>
      <c r="F11081" s="1069"/>
      <c r="G11081" s="957"/>
      <c r="H11081" s="1032"/>
      <c r="I11081" s="959">
        <f>+I11073</f>
        <v>0</v>
      </c>
    </row>
    <row r="11082" spans="2:9" ht="15.75">
      <c r="C11082" s="956" t="s">
        <v>929</v>
      </c>
      <c r="D11082" s="957"/>
      <c r="E11082" s="958"/>
      <c r="F11082" s="1069"/>
      <c r="G11082" s="957"/>
      <c r="H11082" s="1032"/>
      <c r="I11082" s="959">
        <f>+I11077</f>
        <v>0</v>
      </c>
    </row>
    <row r="11083" spans="2:9" ht="15.75">
      <c r="C11083" s="949"/>
      <c r="D11083" s="946"/>
      <c r="E11083" s="947"/>
      <c r="F11083" s="1054"/>
      <c r="G11083" s="946"/>
      <c r="H11083" s="1031"/>
      <c r="I11083" s="948"/>
    </row>
    <row r="11084" spans="2:9" ht="15.75">
      <c r="C11084" s="951" t="s">
        <v>930</v>
      </c>
      <c r="D11084" s="960"/>
      <c r="E11084" s="975" t="str">
        <f>+E11061</f>
        <v>ud</v>
      </c>
      <c r="F11084" s="1070"/>
      <c r="G11084" s="960"/>
      <c r="H11084" s="1033"/>
      <c r="I11084" s="952">
        <f>SUM(I11079:I11082)</f>
        <v>9537</v>
      </c>
    </row>
    <row r="11085" spans="2:9" ht="15.75">
      <c r="C11085" s="951"/>
      <c r="D11085" s="960"/>
      <c r="E11085" s="943"/>
      <c r="F11085" s="1070"/>
      <c r="G11085" s="960"/>
      <c r="H11085" s="1033"/>
      <c r="I11085" s="952"/>
    </row>
    <row r="11086" spans="2:9" ht="15.75">
      <c r="B11086" s="1026">
        <v>9.1</v>
      </c>
      <c r="C11086" s="937" t="str">
        <f>+Presupuesto!B641</f>
        <v>Piso de granito (0.30m x 0.30m) fondo gris</v>
      </c>
      <c r="D11086" s="938"/>
      <c r="E11086" s="962" t="s">
        <v>1000</v>
      </c>
      <c r="F11086" s="1066"/>
      <c r="G11086" s="938"/>
      <c r="H11086" s="1029"/>
      <c r="I11086" s="940">
        <f>+I11109</f>
        <v>1479.31</v>
      </c>
    </row>
    <row r="11087" spans="2:9" ht="15.75">
      <c r="C11087" s="941" t="s">
        <v>908</v>
      </c>
      <c r="D11087" s="942" t="s">
        <v>9</v>
      </c>
      <c r="E11087" s="943" t="s">
        <v>10</v>
      </c>
      <c r="F11087" s="1067" t="s">
        <v>909</v>
      </c>
      <c r="G11087" s="942" t="s">
        <v>910</v>
      </c>
      <c r="H11087" s="1030" t="s">
        <v>911</v>
      </c>
      <c r="I11087" s="944" t="s">
        <v>912</v>
      </c>
    </row>
    <row r="11088" spans="2:9" ht="15.75">
      <c r="C11088" s="945" t="s">
        <v>913</v>
      </c>
      <c r="D11088" s="946"/>
      <c r="E11088" s="947"/>
      <c r="F11088" s="1054"/>
      <c r="G11088" s="946"/>
      <c r="H11088" s="1031"/>
      <c r="I11088" s="948"/>
    </row>
    <row r="11089" spans="3:9" ht="15.75">
      <c r="C11089" s="949" t="s">
        <v>1676</v>
      </c>
      <c r="D11089" s="946">
        <v>1.02</v>
      </c>
      <c r="E11089" s="947" t="str">
        <f>+VLOOKUP(C11089,'Basic (equilibrio) (2)'!B:D,2,FALSE)</f>
        <v>m2</v>
      </c>
      <c r="F11089" s="1068">
        <f>'Basic (equilibrio) (2)'!$D$280</f>
        <v>1450.3</v>
      </c>
      <c r="G11089" s="946">
        <f>F11089-(F11089/1.18)</f>
        <v>221.23</v>
      </c>
      <c r="H11089" s="1031"/>
      <c r="I11089" s="948">
        <f>D11089*F11089</f>
        <v>1479.31</v>
      </c>
    </row>
    <row r="11090" spans="3:9" ht="15.75">
      <c r="C11090" s="951" t="s">
        <v>918</v>
      </c>
      <c r="D11090" s="946"/>
      <c r="E11090" s="947"/>
      <c r="F11090" s="1068"/>
      <c r="G11090" s="946"/>
      <c r="H11090" s="1031"/>
      <c r="I11090" s="952">
        <f>SUM(I11089:I11089)</f>
        <v>1479.31</v>
      </c>
    </row>
    <row r="11091" spans="3:9" ht="15.75">
      <c r="C11091" s="949"/>
      <c r="D11091" s="946"/>
      <c r="E11091" s="947"/>
      <c r="F11091" s="1068"/>
      <c r="G11091" s="946"/>
      <c r="H11091" s="1031"/>
      <c r="I11091" s="948"/>
    </row>
    <row r="11092" spans="3:9" ht="15.75">
      <c r="C11092" s="945" t="s">
        <v>919</v>
      </c>
      <c r="D11092" s="946"/>
      <c r="E11092" s="947"/>
      <c r="F11092" s="1068"/>
      <c r="G11092" s="946"/>
      <c r="H11092" s="1031"/>
      <c r="I11092" s="948"/>
    </row>
    <row r="11093" spans="3:9" ht="15.75">
      <c r="C11093" s="949" t="s">
        <v>924</v>
      </c>
      <c r="D11093" s="953">
        <v>8.33</v>
      </c>
      <c r="E11093" s="954" t="str">
        <f>+VLOOKUP(C11093,'Basic (equilibrio) (2)'!B:D,2,FALSE)</f>
        <v>n/a</v>
      </c>
      <c r="F11093" s="1068">
        <f>+VLOOKUP(C11093,'Basic (equilibrio) (2)'!B:D,3,FALSE)</f>
        <v>0</v>
      </c>
      <c r="G11093" s="946">
        <v>0</v>
      </c>
      <c r="H11093" s="1031"/>
      <c r="I11093" s="948">
        <f>(D11093*F11093)</f>
        <v>0</v>
      </c>
    </row>
    <row r="11094" spans="3:9" ht="15.75">
      <c r="C11094" s="951" t="s">
        <v>918</v>
      </c>
      <c r="D11094" s="946"/>
      <c r="E11094" s="947"/>
      <c r="F11094" s="1054"/>
      <c r="G11094" s="946"/>
      <c r="H11094" s="1031"/>
      <c r="I11094" s="952">
        <f>SUM(I11093:I11093)</f>
        <v>0</v>
      </c>
    </row>
    <row r="11095" spans="3:9" ht="15.75">
      <c r="C11095" s="949"/>
      <c r="D11095" s="946"/>
      <c r="E11095" s="947"/>
      <c r="F11095" s="1054"/>
      <c r="G11095" s="946"/>
      <c r="H11095" s="1031"/>
      <c r="I11095" s="948"/>
    </row>
    <row r="11096" spans="3:9" ht="15.75">
      <c r="C11096" s="945" t="s">
        <v>923</v>
      </c>
      <c r="D11096" s="946"/>
      <c r="E11096" s="947"/>
      <c r="F11096" s="1054"/>
      <c r="G11096" s="946"/>
      <c r="H11096" s="1031"/>
      <c r="I11096" s="948"/>
    </row>
    <row r="11097" spans="3:9" ht="15.75">
      <c r="C11097" s="949" t="s">
        <v>924</v>
      </c>
      <c r="D11097" s="946"/>
      <c r="E11097" s="947" t="str">
        <f>+VLOOKUP(C11097,'Basic (equilibrio) (2)'!B:D,2,FALSE)</f>
        <v>n/a</v>
      </c>
      <c r="F11097" s="1054">
        <f>+VLOOKUP(C11097,'Basic (equilibrio) (2)'!B:D,3,FALSE)</f>
        <v>0</v>
      </c>
      <c r="G11097" s="946">
        <f>F11097-(F11097/1.18)</f>
        <v>0</v>
      </c>
      <c r="H11097" s="1039"/>
      <c r="I11097" s="955">
        <f>D11097*F11097</f>
        <v>0</v>
      </c>
    </row>
    <row r="11098" spans="3:9" ht="15.75">
      <c r="C11098" s="951" t="s">
        <v>918</v>
      </c>
      <c r="D11098" s="946"/>
      <c r="E11098" s="947"/>
      <c r="F11098" s="1054"/>
      <c r="G11098" s="946"/>
      <c r="H11098" s="1031"/>
      <c r="I11098" s="952">
        <f>SUM(I11097:I11097)</f>
        <v>0</v>
      </c>
    </row>
    <row r="11099" spans="3:9" ht="15.75">
      <c r="C11099" s="949"/>
      <c r="D11099" s="946"/>
      <c r="E11099" s="947"/>
      <c r="F11099" s="1054"/>
      <c r="G11099" s="946"/>
      <c r="H11099" s="1031"/>
      <c r="I11099" s="948"/>
    </row>
    <row r="11100" spans="3:9" ht="15.75">
      <c r="C11100" s="945" t="s">
        <v>925</v>
      </c>
      <c r="D11100" s="946"/>
      <c r="E11100" s="947"/>
      <c r="F11100" s="1054"/>
      <c r="G11100" s="946"/>
      <c r="H11100" s="1031"/>
      <c r="I11100" s="948"/>
    </row>
    <row r="11101" spans="3:9" ht="15.75">
      <c r="C11101" s="949" t="s">
        <v>924</v>
      </c>
      <c r="D11101" s="946"/>
      <c r="E11101" s="947" t="str">
        <f>+VLOOKUP(C11101,'Basic (equilibrio) (2)'!B:D,2,FALSE)</f>
        <v>n/a</v>
      </c>
      <c r="F11101" s="1054">
        <f>+VLOOKUP(C11101,'Basic (equilibrio) (2)'!B:D,3,FALSE)</f>
        <v>0</v>
      </c>
      <c r="G11101" s="946"/>
      <c r="H11101" s="1031"/>
      <c r="I11101" s="948">
        <f>D11101*F11101</f>
        <v>0</v>
      </c>
    </row>
    <row r="11102" spans="3:9" ht="15.75">
      <c r="C11102" s="951" t="s">
        <v>918</v>
      </c>
      <c r="D11102" s="946"/>
      <c r="E11102" s="947"/>
      <c r="F11102" s="1054"/>
      <c r="G11102" s="946"/>
      <c r="H11102" s="1031"/>
      <c r="I11102" s="952">
        <f>SUM(I11101)</f>
        <v>0</v>
      </c>
    </row>
    <row r="11103" spans="3:9" ht="15.75">
      <c r="C11103" s="951"/>
      <c r="D11103" s="946"/>
      <c r="E11103" s="947"/>
      <c r="F11103" s="1054"/>
      <c r="G11103" s="946"/>
      <c r="H11103" s="1031"/>
      <c r="I11103" s="952"/>
    </row>
    <row r="11104" spans="3:9" ht="15.75">
      <c r="C11104" s="956" t="s">
        <v>926</v>
      </c>
      <c r="D11104" s="957"/>
      <c r="E11104" s="958"/>
      <c r="F11104" s="1069"/>
      <c r="G11104" s="957"/>
      <c r="H11104" s="1032"/>
      <c r="I11104" s="959">
        <f>+I11090</f>
        <v>1479.31</v>
      </c>
    </row>
    <row r="11105" spans="2:9" ht="15.75">
      <c r="C11105" s="956" t="s">
        <v>927</v>
      </c>
      <c r="D11105" s="957"/>
      <c r="E11105" s="958"/>
      <c r="F11105" s="1069"/>
      <c r="G11105" s="957"/>
      <c r="H11105" s="1032"/>
      <c r="I11105" s="959">
        <f>+I11094</f>
        <v>0</v>
      </c>
    </row>
    <row r="11106" spans="2:9" ht="15.75">
      <c r="C11106" s="956" t="s">
        <v>928</v>
      </c>
      <c r="D11106" s="957"/>
      <c r="E11106" s="958"/>
      <c r="F11106" s="1069"/>
      <c r="G11106" s="957"/>
      <c r="H11106" s="1032"/>
      <c r="I11106" s="959">
        <f>+I11098</f>
        <v>0</v>
      </c>
    </row>
    <row r="11107" spans="2:9" ht="15.75">
      <c r="C11107" s="956" t="s">
        <v>929</v>
      </c>
      <c r="D11107" s="957"/>
      <c r="E11107" s="958"/>
      <c r="F11107" s="1069"/>
      <c r="G11107" s="957"/>
      <c r="H11107" s="1032"/>
      <c r="I11107" s="959">
        <f>+I11102</f>
        <v>0</v>
      </c>
    </row>
    <row r="11108" spans="2:9" ht="15.75">
      <c r="C11108" s="949"/>
      <c r="D11108" s="946"/>
      <c r="E11108" s="947"/>
      <c r="F11108" s="1054"/>
      <c r="G11108" s="946"/>
      <c r="H11108" s="1031"/>
      <c r="I11108" s="948"/>
    </row>
    <row r="11109" spans="2:9" ht="15.75">
      <c r="C11109" s="951" t="s">
        <v>930</v>
      </c>
      <c r="D11109" s="960"/>
      <c r="E11109" s="975" t="str">
        <f>+E11086</f>
        <v>m2</v>
      </c>
      <c r="F11109" s="1070"/>
      <c r="G11109" s="960"/>
      <c r="H11109" s="1033"/>
      <c r="I11109" s="952">
        <f>SUM(I11104:I11107)</f>
        <v>1479.31</v>
      </c>
    </row>
    <row r="11110" spans="2:9" ht="15.75">
      <c r="C11110" s="951"/>
      <c r="D11110" s="960"/>
      <c r="E11110" s="943"/>
      <c r="F11110" s="1070"/>
      <c r="G11110" s="960"/>
      <c r="H11110" s="1033"/>
      <c r="I11110" s="952"/>
    </row>
    <row r="11111" spans="2:9" ht="15.75">
      <c r="B11111" s="1026">
        <v>9.1999999999999993</v>
      </c>
      <c r="C11111" s="937" t="str">
        <f>+Presupuesto!B642</f>
        <v xml:space="preserve">Zócalos de granito (0.07m x 0.30m) fondo gris </v>
      </c>
      <c r="D11111" s="938"/>
      <c r="E11111" s="962" t="s">
        <v>1000</v>
      </c>
      <c r="F11111" s="1066"/>
      <c r="G11111" s="938"/>
      <c r="H11111" s="1029"/>
      <c r="I11111" s="940">
        <f>+I11134</f>
        <v>317.22000000000003</v>
      </c>
    </row>
    <row r="11112" spans="2:9" ht="15.75">
      <c r="C11112" s="941" t="s">
        <v>908</v>
      </c>
      <c r="D11112" s="942" t="s">
        <v>9</v>
      </c>
      <c r="E11112" s="943" t="s">
        <v>10</v>
      </c>
      <c r="F11112" s="1067" t="s">
        <v>909</v>
      </c>
      <c r="G11112" s="942" t="s">
        <v>910</v>
      </c>
      <c r="H11112" s="1030" t="s">
        <v>911</v>
      </c>
      <c r="I11112" s="944" t="s">
        <v>912</v>
      </c>
    </row>
    <row r="11113" spans="2:9" ht="15.75">
      <c r="C11113" s="945" t="s">
        <v>913</v>
      </c>
      <c r="D11113" s="946"/>
      <c r="E11113" s="947"/>
      <c r="F11113" s="1054"/>
      <c r="G11113" s="946"/>
      <c r="H11113" s="1031"/>
      <c r="I11113" s="948"/>
    </row>
    <row r="11114" spans="2:9" ht="15.75">
      <c r="C11114" s="949" t="s">
        <v>1677</v>
      </c>
      <c r="D11114" s="946">
        <v>1.02</v>
      </c>
      <c r="E11114" s="947" t="str">
        <f>+VLOOKUP(C11114,'Basic (equilibrio) (2)'!B:D,2,FALSE)</f>
        <v>m</v>
      </c>
      <c r="F11114" s="1068">
        <f>'Basic (equilibrio) (2)'!$D$281</f>
        <v>311</v>
      </c>
      <c r="G11114" s="946">
        <f>F11114-(F11114/1.18)</f>
        <v>47.44</v>
      </c>
      <c r="H11114" s="1031"/>
      <c r="I11114" s="948">
        <f>D11114*F11114</f>
        <v>317.22000000000003</v>
      </c>
    </row>
    <row r="11115" spans="2:9" ht="15.75">
      <c r="C11115" s="951" t="s">
        <v>918</v>
      </c>
      <c r="D11115" s="946"/>
      <c r="E11115" s="947"/>
      <c r="F11115" s="1068"/>
      <c r="G11115" s="946"/>
      <c r="H11115" s="1031"/>
      <c r="I11115" s="952">
        <f>SUM(I11114:I11114)</f>
        <v>317.22000000000003</v>
      </c>
    </row>
    <row r="11116" spans="2:9" ht="15.75">
      <c r="C11116" s="949"/>
      <c r="D11116" s="946"/>
      <c r="E11116" s="947"/>
      <c r="F11116" s="1068"/>
      <c r="G11116" s="946"/>
      <c r="H11116" s="1031"/>
      <c r="I11116" s="948"/>
    </row>
    <row r="11117" spans="2:9" ht="15.75">
      <c r="C11117" s="945" t="s">
        <v>919</v>
      </c>
      <c r="D11117" s="946"/>
      <c r="E11117" s="947"/>
      <c r="F11117" s="1068"/>
      <c r="G11117" s="946"/>
      <c r="H11117" s="1031"/>
      <c r="I11117" s="948"/>
    </row>
    <row r="11118" spans="2:9" ht="15.75">
      <c r="C11118" s="949" t="s">
        <v>924</v>
      </c>
      <c r="D11118" s="953">
        <v>8.33</v>
      </c>
      <c r="E11118" s="954" t="str">
        <f>+VLOOKUP(C11118,'Basic (equilibrio) (2)'!B:D,2,FALSE)</f>
        <v>n/a</v>
      </c>
      <c r="F11118" s="1068">
        <f>+VLOOKUP(C11118,'Basic (equilibrio) (2)'!B:D,3,FALSE)</f>
        <v>0</v>
      </c>
      <c r="G11118" s="946">
        <v>0</v>
      </c>
      <c r="H11118" s="1031"/>
      <c r="I11118" s="948">
        <f>(D11118*F11118)</f>
        <v>0</v>
      </c>
    </row>
    <row r="11119" spans="2:9" ht="15.75">
      <c r="C11119" s="951" t="s">
        <v>918</v>
      </c>
      <c r="D11119" s="946"/>
      <c r="E11119" s="947"/>
      <c r="F11119" s="1054"/>
      <c r="G11119" s="946"/>
      <c r="H11119" s="1031"/>
      <c r="I11119" s="952">
        <f>SUM(I11118:I11118)</f>
        <v>0</v>
      </c>
    </row>
    <row r="11120" spans="2:9" ht="15.75">
      <c r="C11120" s="949"/>
      <c r="D11120" s="946"/>
      <c r="E11120" s="947"/>
      <c r="F11120" s="1054"/>
      <c r="G11120" s="946"/>
      <c r="H11120" s="1031"/>
      <c r="I11120" s="948"/>
    </row>
    <row r="11121" spans="2:9" ht="15.75">
      <c r="C11121" s="945" t="s">
        <v>923</v>
      </c>
      <c r="D11121" s="946"/>
      <c r="E11121" s="947"/>
      <c r="F11121" s="1054"/>
      <c r="G11121" s="946"/>
      <c r="H11121" s="1031"/>
      <c r="I11121" s="948"/>
    </row>
    <row r="11122" spans="2:9" ht="15.75">
      <c r="C11122" s="949" t="s">
        <v>924</v>
      </c>
      <c r="D11122" s="946"/>
      <c r="E11122" s="947" t="str">
        <f>+VLOOKUP(C11122,'Basic (equilibrio) (2)'!B:D,2,FALSE)</f>
        <v>n/a</v>
      </c>
      <c r="F11122" s="1054">
        <f>+VLOOKUP(C11122,'Basic (equilibrio) (2)'!B:D,3,FALSE)</f>
        <v>0</v>
      </c>
      <c r="G11122" s="946">
        <f>F11122-(F11122/1.18)</f>
        <v>0</v>
      </c>
      <c r="H11122" s="1039"/>
      <c r="I11122" s="955">
        <f>D11122*F11122</f>
        <v>0</v>
      </c>
    </row>
    <row r="11123" spans="2:9" ht="15.75">
      <c r="C11123" s="951" t="s">
        <v>918</v>
      </c>
      <c r="D11123" s="946"/>
      <c r="E11123" s="947"/>
      <c r="F11123" s="1054"/>
      <c r="G11123" s="946"/>
      <c r="H11123" s="1031"/>
      <c r="I11123" s="952">
        <f>SUM(I11122:I11122)</f>
        <v>0</v>
      </c>
    </row>
    <row r="11124" spans="2:9" ht="15.75">
      <c r="C11124" s="949"/>
      <c r="D11124" s="946"/>
      <c r="E11124" s="947"/>
      <c r="F11124" s="1054"/>
      <c r="G11124" s="946"/>
      <c r="H11124" s="1031"/>
      <c r="I11124" s="948"/>
    </row>
    <row r="11125" spans="2:9" ht="15.75">
      <c r="C11125" s="945" t="s">
        <v>925</v>
      </c>
      <c r="D11125" s="946"/>
      <c r="E11125" s="947"/>
      <c r="F11125" s="1054"/>
      <c r="G11125" s="946"/>
      <c r="H11125" s="1031"/>
      <c r="I11125" s="948"/>
    </row>
    <row r="11126" spans="2:9" ht="15.75">
      <c r="C11126" s="949" t="s">
        <v>924</v>
      </c>
      <c r="D11126" s="946"/>
      <c r="E11126" s="947" t="str">
        <f>+VLOOKUP(C11126,'Basic (equilibrio) (2)'!B:D,2,FALSE)</f>
        <v>n/a</v>
      </c>
      <c r="F11126" s="1054">
        <f>+VLOOKUP(C11126,'Basic (equilibrio) (2)'!B:D,3,FALSE)</f>
        <v>0</v>
      </c>
      <c r="G11126" s="946"/>
      <c r="H11126" s="1031"/>
      <c r="I11126" s="948">
        <f>D11126*F11126</f>
        <v>0</v>
      </c>
    </row>
    <row r="11127" spans="2:9" ht="15.75">
      <c r="C11127" s="951" t="s">
        <v>918</v>
      </c>
      <c r="D11127" s="946"/>
      <c r="E11127" s="947"/>
      <c r="F11127" s="1054"/>
      <c r="G11127" s="946"/>
      <c r="H11127" s="1031"/>
      <c r="I11127" s="952">
        <f>SUM(I11126)</f>
        <v>0</v>
      </c>
    </row>
    <row r="11128" spans="2:9" ht="15.75">
      <c r="C11128" s="951"/>
      <c r="D11128" s="946"/>
      <c r="E11128" s="947"/>
      <c r="F11128" s="1054"/>
      <c r="G11128" s="946"/>
      <c r="H11128" s="1031"/>
      <c r="I11128" s="952"/>
    </row>
    <row r="11129" spans="2:9" ht="15.75">
      <c r="C11129" s="956" t="s">
        <v>926</v>
      </c>
      <c r="D11129" s="957"/>
      <c r="E11129" s="958"/>
      <c r="F11129" s="1069"/>
      <c r="G11129" s="957"/>
      <c r="H11129" s="1032"/>
      <c r="I11129" s="959">
        <f>+I11115</f>
        <v>317.22000000000003</v>
      </c>
    </row>
    <row r="11130" spans="2:9" ht="15.75">
      <c r="C11130" s="956" t="s">
        <v>927</v>
      </c>
      <c r="D11130" s="957"/>
      <c r="E11130" s="958"/>
      <c r="F11130" s="1069"/>
      <c r="G11130" s="957"/>
      <c r="H11130" s="1032"/>
      <c r="I11130" s="959">
        <f>+I11119</f>
        <v>0</v>
      </c>
    </row>
    <row r="11131" spans="2:9" ht="15.75">
      <c r="C11131" s="956" t="s">
        <v>928</v>
      </c>
      <c r="D11131" s="957"/>
      <c r="E11131" s="958"/>
      <c r="F11131" s="1069"/>
      <c r="G11131" s="957"/>
      <c r="H11131" s="1032"/>
      <c r="I11131" s="959">
        <f>+I11123</f>
        <v>0</v>
      </c>
    </row>
    <row r="11132" spans="2:9" ht="15.75">
      <c r="C11132" s="956" t="s">
        <v>929</v>
      </c>
      <c r="D11132" s="957"/>
      <c r="E11132" s="958"/>
      <c r="F11132" s="1069"/>
      <c r="G11132" s="957"/>
      <c r="H11132" s="1032"/>
      <c r="I11132" s="959">
        <f>+I11127</f>
        <v>0</v>
      </c>
    </row>
    <row r="11133" spans="2:9" ht="15.75">
      <c r="C11133" s="949"/>
      <c r="D11133" s="946"/>
      <c r="E11133" s="947"/>
      <c r="F11133" s="1054"/>
      <c r="G11133" s="946"/>
      <c r="H11133" s="1031"/>
      <c r="I11133" s="948"/>
    </row>
    <row r="11134" spans="2:9" ht="15.75">
      <c r="C11134" s="951" t="s">
        <v>930</v>
      </c>
      <c r="D11134" s="960"/>
      <c r="E11134" s="975" t="str">
        <f>+E11111</f>
        <v>m2</v>
      </c>
      <c r="F11134" s="1070"/>
      <c r="G11134" s="960"/>
      <c r="H11134" s="1033"/>
      <c r="I11134" s="952">
        <f>SUM(I11129:I11132)</f>
        <v>317.22000000000003</v>
      </c>
    </row>
    <row r="11135" spans="2:9" ht="15.75">
      <c r="C11135" s="951"/>
      <c r="D11135" s="960"/>
      <c r="E11135" s="943"/>
      <c r="F11135" s="1070"/>
      <c r="G11135" s="960"/>
      <c r="H11135" s="1033"/>
      <c r="I11135" s="952"/>
    </row>
    <row r="11136" spans="2:9" ht="15.75">
      <c r="B11136" s="1026">
        <v>9.3000000000000007</v>
      </c>
      <c r="C11136" s="937" t="str">
        <f>+Presupuesto!B643</f>
        <v>Cerámica económica cocina</v>
      </c>
      <c r="D11136" s="938"/>
      <c r="E11136" s="962" t="s">
        <v>1000</v>
      </c>
      <c r="F11136" s="1066"/>
      <c r="G11136" s="938"/>
      <c r="H11136" s="1029"/>
      <c r="I11136" s="940">
        <f>+I11159</f>
        <v>1887</v>
      </c>
    </row>
    <row r="11137" spans="3:9" ht="15.75">
      <c r="C11137" s="941" t="s">
        <v>908</v>
      </c>
      <c r="D11137" s="942" t="s">
        <v>9</v>
      </c>
      <c r="E11137" s="943" t="s">
        <v>10</v>
      </c>
      <c r="F11137" s="1067" t="s">
        <v>909</v>
      </c>
      <c r="G11137" s="942" t="s">
        <v>910</v>
      </c>
      <c r="H11137" s="1030" t="s">
        <v>911</v>
      </c>
      <c r="I11137" s="944" t="s">
        <v>912</v>
      </c>
    </row>
    <row r="11138" spans="3:9" ht="15.75">
      <c r="C11138" s="945" t="s">
        <v>913</v>
      </c>
      <c r="D11138" s="946"/>
      <c r="E11138" s="947"/>
      <c r="F11138" s="1054"/>
      <c r="G11138" s="946"/>
      <c r="H11138" s="1031"/>
      <c r="I11138" s="948"/>
    </row>
    <row r="11139" spans="3:9" ht="15.75">
      <c r="C11139" s="949" t="s">
        <v>1595</v>
      </c>
      <c r="D11139" s="946">
        <v>1.02</v>
      </c>
      <c r="E11139" s="947" t="str">
        <f>+VLOOKUP(C11139,'Basic (equilibrio) (2)'!B:D,2,FALSE)</f>
        <v>m2</v>
      </c>
      <c r="F11139" s="1068">
        <f>'Basic (equilibrio) (2)'!$D$202</f>
        <v>1850</v>
      </c>
      <c r="G11139" s="946">
        <f>F11139-(F11139/1.18)</f>
        <v>282.2</v>
      </c>
      <c r="H11139" s="1031"/>
      <c r="I11139" s="948">
        <f>D11139*F11139</f>
        <v>1887</v>
      </c>
    </row>
    <row r="11140" spans="3:9" ht="15.75">
      <c r="C11140" s="951" t="s">
        <v>918</v>
      </c>
      <c r="D11140" s="946"/>
      <c r="E11140" s="947"/>
      <c r="F11140" s="1068"/>
      <c r="G11140" s="946"/>
      <c r="H11140" s="1031"/>
      <c r="I11140" s="952">
        <f>SUM(I11139:I11139)</f>
        <v>1887</v>
      </c>
    </row>
    <row r="11141" spans="3:9" ht="15.75">
      <c r="C11141" s="949"/>
      <c r="D11141" s="946"/>
      <c r="E11141" s="947"/>
      <c r="F11141" s="1068"/>
      <c r="G11141" s="946"/>
      <c r="H11141" s="1031"/>
      <c r="I11141" s="948"/>
    </row>
    <row r="11142" spans="3:9" ht="15.75">
      <c r="C11142" s="945" t="s">
        <v>919</v>
      </c>
      <c r="D11142" s="946"/>
      <c r="E11142" s="947"/>
      <c r="F11142" s="1068"/>
      <c r="G11142" s="946"/>
      <c r="H11142" s="1031"/>
      <c r="I11142" s="948"/>
    </row>
    <row r="11143" spans="3:9" ht="15.75">
      <c r="C11143" s="949" t="s">
        <v>924</v>
      </c>
      <c r="D11143" s="953"/>
      <c r="E11143" s="954" t="str">
        <f>+VLOOKUP(C11143,'Basic (equilibrio) (2)'!B:D,2,FALSE)</f>
        <v>n/a</v>
      </c>
      <c r="F11143" s="1068">
        <f>+VLOOKUP(C11143,'Basic (equilibrio) (2)'!B:D,3,FALSE)</f>
        <v>0</v>
      </c>
      <c r="G11143" s="946">
        <v>0</v>
      </c>
      <c r="H11143" s="1031"/>
      <c r="I11143" s="948">
        <f>(D11143*F11143)</f>
        <v>0</v>
      </c>
    </row>
    <row r="11144" spans="3:9" ht="15.75">
      <c r="C11144" s="951" t="s">
        <v>918</v>
      </c>
      <c r="D11144" s="946"/>
      <c r="E11144" s="947"/>
      <c r="F11144" s="1054"/>
      <c r="G11144" s="946"/>
      <c r="H11144" s="1031"/>
      <c r="I11144" s="952">
        <f>SUM(I11143:I11143)</f>
        <v>0</v>
      </c>
    </row>
    <row r="11145" spans="3:9" ht="15.75">
      <c r="C11145" s="949"/>
      <c r="D11145" s="946"/>
      <c r="E11145" s="947"/>
      <c r="F11145" s="1054"/>
      <c r="G11145" s="946"/>
      <c r="H11145" s="1031"/>
      <c r="I11145" s="948"/>
    </row>
    <row r="11146" spans="3:9" ht="15.75">
      <c r="C11146" s="945" t="s">
        <v>923</v>
      </c>
      <c r="D11146" s="946"/>
      <c r="E11146" s="947"/>
      <c r="F11146" s="1054"/>
      <c r="G11146" s="946"/>
      <c r="H11146" s="1031"/>
      <c r="I11146" s="948"/>
    </row>
    <row r="11147" spans="3:9" ht="15.75">
      <c r="C11147" s="949" t="s">
        <v>924</v>
      </c>
      <c r="D11147" s="946"/>
      <c r="E11147" s="947" t="str">
        <f>+VLOOKUP(C11147,'Basic (equilibrio) (2)'!B:D,2,FALSE)</f>
        <v>n/a</v>
      </c>
      <c r="F11147" s="1054">
        <f>+VLOOKUP(C11147,'Basic (equilibrio) (2)'!B:D,3,FALSE)</f>
        <v>0</v>
      </c>
      <c r="G11147" s="946">
        <f>F11147-(F11147/1.18)</f>
        <v>0</v>
      </c>
      <c r="H11147" s="1039"/>
      <c r="I11147" s="955">
        <f>D11147*F11147</f>
        <v>0</v>
      </c>
    </row>
    <row r="11148" spans="3:9" ht="15.75">
      <c r="C11148" s="951" t="s">
        <v>918</v>
      </c>
      <c r="D11148" s="946"/>
      <c r="E11148" s="947"/>
      <c r="F11148" s="1054"/>
      <c r="G11148" s="946"/>
      <c r="H11148" s="1031"/>
      <c r="I11148" s="952">
        <f>SUM(I11147:I11147)</f>
        <v>0</v>
      </c>
    </row>
    <row r="11149" spans="3:9" ht="15.75">
      <c r="C11149" s="949"/>
      <c r="D11149" s="946"/>
      <c r="E11149" s="947"/>
      <c r="F11149" s="1054"/>
      <c r="G11149" s="946"/>
      <c r="H11149" s="1031"/>
      <c r="I11149" s="948"/>
    </row>
    <row r="11150" spans="3:9" ht="15.75">
      <c r="C11150" s="945" t="s">
        <v>925</v>
      </c>
      <c r="D11150" s="946"/>
      <c r="E11150" s="947"/>
      <c r="F11150" s="1054"/>
      <c r="G11150" s="946"/>
      <c r="H11150" s="1031"/>
      <c r="I11150" s="948"/>
    </row>
    <row r="11151" spans="3:9" ht="15.75">
      <c r="C11151" s="949" t="s">
        <v>924</v>
      </c>
      <c r="D11151" s="946"/>
      <c r="E11151" s="947" t="str">
        <f>+VLOOKUP(C11151,'Basic (equilibrio) (2)'!B:D,2,FALSE)</f>
        <v>n/a</v>
      </c>
      <c r="F11151" s="1054">
        <f>+VLOOKUP(C11151,'Basic (equilibrio) (2)'!B:D,3,FALSE)</f>
        <v>0</v>
      </c>
      <c r="G11151" s="946"/>
      <c r="H11151" s="1031"/>
      <c r="I11151" s="948">
        <f>D11151*F11151</f>
        <v>0</v>
      </c>
    </row>
    <row r="11152" spans="3:9" ht="15.75">
      <c r="C11152" s="951" t="s">
        <v>918</v>
      </c>
      <c r="D11152" s="946"/>
      <c r="E11152" s="947"/>
      <c r="F11152" s="1054"/>
      <c r="G11152" s="946"/>
      <c r="H11152" s="1031"/>
      <c r="I11152" s="952">
        <f>SUM(I11151)</f>
        <v>0</v>
      </c>
    </row>
    <row r="11153" spans="2:9" ht="15.75">
      <c r="C11153" s="951"/>
      <c r="D11153" s="946"/>
      <c r="E11153" s="947"/>
      <c r="F11153" s="1054"/>
      <c r="G11153" s="946"/>
      <c r="H11153" s="1031"/>
      <c r="I11153" s="952"/>
    </row>
    <row r="11154" spans="2:9" ht="15.75">
      <c r="C11154" s="956" t="s">
        <v>926</v>
      </c>
      <c r="D11154" s="957"/>
      <c r="E11154" s="958"/>
      <c r="F11154" s="1069"/>
      <c r="G11154" s="957"/>
      <c r="H11154" s="1032"/>
      <c r="I11154" s="959">
        <f>+I11140</f>
        <v>1887</v>
      </c>
    </row>
    <row r="11155" spans="2:9" ht="15.75">
      <c r="C11155" s="956" t="s">
        <v>927</v>
      </c>
      <c r="D11155" s="957"/>
      <c r="E11155" s="958"/>
      <c r="F11155" s="1069"/>
      <c r="G11155" s="957"/>
      <c r="H11155" s="1032"/>
      <c r="I11155" s="959">
        <f>+I11144</f>
        <v>0</v>
      </c>
    </row>
    <row r="11156" spans="2:9" ht="15.75">
      <c r="C11156" s="956" t="s">
        <v>928</v>
      </c>
      <c r="D11156" s="957"/>
      <c r="E11156" s="958"/>
      <c r="F11156" s="1069"/>
      <c r="G11156" s="957"/>
      <c r="H11156" s="1032"/>
      <c r="I11156" s="959">
        <f>+I11148</f>
        <v>0</v>
      </c>
    </row>
    <row r="11157" spans="2:9" ht="15.75">
      <c r="C11157" s="956" t="s">
        <v>929</v>
      </c>
      <c r="D11157" s="957"/>
      <c r="E11157" s="958"/>
      <c r="F11157" s="1069"/>
      <c r="G11157" s="957"/>
      <c r="H11157" s="1032"/>
      <c r="I11157" s="959">
        <f>+I11152</f>
        <v>0</v>
      </c>
    </row>
    <row r="11158" spans="2:9" ht="15.75">
      <c r="C11158" s="949"/>
      <c r="D11158" s="946"/>
      <c r="E11158" s="947"/>
      <c r="F11158" s="1054"/>
      <c r="G11158" s="946"/>
      <c r="H11158" s="1031"/>
      <c r="I11158" s="948"/>
    </row>
    <row r="11159" spans="2:9" ht="15.75">
      <c r="C11159" s="951" t="s">
        <v>930</v>
      </c>
      <c r="D11159" s="960"/>
      <c r="E11159" s="975" t="str">
        <f>+E11136</f>
        <v>m2</v>
      </c>
      <c r="F11159" s="1070"/>
      <c r="G11159" s="960"/>
      <c r="H11159" s="1033"/>
      <c r="I11159" s="952">
        <f>SUM(I11154:I11157)</f>
        <v>1887</v>
      </c>
    </row>
    <row r="11160" spans="2:9" ht="15.75">
      <c r="C11160" s="951"/>
      <c r="D11160" s="960"/>
      <c r="E11160" s="943"/>
      <c r="F11160" s="1070"/>
      <c r="G11160" s="960"/>
      <c r="H11160" s="1033"/>
      <c r="I11160" s="952"/>
    </row>
    <row r="11161" spans="2:9" ht="15.75">
      <c r="B11161" s="1026">
        <v>9.4</v>
      </c>
      <c r="C11161" s="937" t="str">
        <f>+Presupuesto!B644</f>
        <v>Cerámica económica en baños</v>
      </c>
      <c r="D11161" s="938"/>
      <c r="E11161" s="962" t="s">
        <v>1000</v>
      </c>
      <c r="F11161" s="1066"/>
      <c r="G11161" s="938"/>
      <c r="H11161" s="1029"/>
      <c r="I11161" s="940">
        <f>+I11184</f>
        <v>1887</v>
      </c>
    </row>
    <row r="11162" spans="2:9" ht="15.75">
      <c r="C11162" s="941" t="s">
        <v>908</v>
      </c>
      <c r="D11162" s="942" t="s">
        <v>9</v>
      </c>
      <c r="E11162" s="943" t="s">
        <v>10</v>
      </c>
      <c r="F11162" s="1067" t="s">
        <v>909</v>
      </c>
      <c r="G11162" s="942" t="s">
        <v>910</v>
      </c>
      <c r="H11162" s="1030" t="s">
        <v>911</v>
      </c>
      <c r="I11162" s="944" t="s">
        <v>912</v>
      </c>
    </row>
    <row r="11163" spans="2:9" ht="15.75">
      <c r="C11163" s="945" t="s">
        <v>913</v>
      </c>
      <c r="D11163" s="946"/>
      <c r="E11163" s="947"/>
      <c r="F11163" s="1054"/>
      <c r="G11163" s="946"/>
      <c r="H11163" s="1031"/>
      <c r="I11163" s="948"/>
    </row>
    <row r="11164" spans="2:9" ht="15.75">
      <c r="C11164" s="949" t="s">
        <v>1595</v>
      </c>
      <c r="D11164" s="946">
        <v>1.02</v>
      </c>
      <c r="E11164" s="947" t="str">
        <f>+VLOOKUP(C11164,'Basic (equilibrio) (2)'!B:D,2,FALSE)</f>
        <v>m2</v>
      </c>
      <c r="F11164" s="1068">
        <f>'Basic (equilibrio) (2)'!$D$202</f>
        <v>1850</v>
      </c>
      <c r="G11164" s="946">
        <f>F11164-(F11164/1.18)</f>
        <v>282.2</v>
      </c>
      <c r="H11164" s="1031"/>
      <c r="I11164" s="948">
        <f>D11164*F11164</f>
        <v>1887</v>
      </c>
    </row>
    <row r="11165" spans="2:9" ht="15.75">
      <c r="C11165" s="951" t="s">
        <v>918</v>
      </c>
      <c r="D11165" s="946"/>
      <c r="E11165" s="947"/>
      <c r="F11165" s="1068"/>
      <c r="G11165" s="946"/>
      <c r="H11165" s="1031"/>
      <c r="I11165" s="952">
        <f>SUM(I11164:I11164)</f>
        <v>1887</v>
      </c>
    </row>
    <row r="11166" spans="2:9" ht="15.75">
      <c r="C11166" s="949"/>
      <c r="D11166" s="946"/>
      <c r="E11166" s="947"/>
      <c r="F11166" s="1068"/>
      <c r="G11166" s="946"/>
      <c r="H11166" s="1031"/>
      <c r="I11166" s="948"/>
    </row>
    <row r="11167" spans="2:9" ht="15.75">
      <c r="C11167" s="945" t="s">
        <v>919</v>
      </c>
      <c r="D11167" s="946"/>
      <c r="E11167" s="947"/>
      <c r="F11167" s="1068"/>
      <c r="G11167" s="946"/>
      <c r="H11167" s="1031"/>
      <c r="I11167" s="948"/>
    </row>
    <row r="11168" spans="2:9" ht="15.75">
      <c r="C11168" s="949" t="s">
        <v>924</v>
      </c>
      <c r="D11168" s="953"/>
      <c r="E11168" s="954" t="str">
        <f>+VLOOKUP(C11168,'Basic (equilibrio) (2)'!B:D,2,FALSE)</f>
        <v>n/a</v>
      </c>
      <c r="F11168" s="1068">
        <f>+VLOOKUP(C11168,'Basic (equilibrio) (2)'!B:D,3,FALSE)</f>
        <v>0</v>
      </c>
      <c r="G11168" s="946">
        <v>0</v>
      </c>
      <c r="H11168" s="1031"/>
      <c r="I11168" s="948">
        <f>(D11168*F11168)</f>
        <v>0</v>
      </c>
    </row>
    <row r="11169" spans="3:9" ht="15.75">
      <c r="C11169" s="951" t="s">
        <v>918</v>
      </c>
      <c r="D11169" s="946"/>
      <c r="E11169" s="947"/>
      <c r="F11169" s="1054"/>
      <c r="G11169" s="946"/>
      <c r="H11169" s="1031"/>
      <c r="I11169" s="952">
        <f>SUM(I11168:I11168)</f>
        <v>0</v>
      </c>
    </row>
    <row r="11170" spans="3:9" ht="15.75">
      <c r="C11170" s="949"/>
      <c r="D11170" s="946"/>
      <c r="E11170" s="947"/>
      <c r="F11170" s="1054"/>
      <c r="G11170" s="946"/>
      <c r="H11170" s="1031"/>
      <c r="I11170" s="948"/>
    </row>
    <row r="11171" spans="3:9" ht="15.75">
      <c r="C11171" s="945" t="s">
        <v>923</v>
      </c>
      <c r="D11171" s="946"/>
      <c r="E11171" s="947"/>
      <c r="F11171" s="1054"/>
      <c r="G11171" s="946"/>
      <c r="H11171" s="1031"/>
      <c r="I11171" s="948"/>
    </row>
    <row r="11172" spans="3:9" ht="15.75">
      <c r="C11172" s="949" t="s">
        <v>924</v>
      </c>
      <c r="D11172" s="946"/>
      <c r="E11172" s="947" t="str">
        <f>+VLOOKUP(C11172,'Basic (equilibrio) (2)'!B:D,2,FALSE)</f>
        <v>n/a</v>
      </c>
      <c r="F11172" s="1054">
        <f>+VLOOKUP(C11172,'Basic (equilibrio) (2)'!B:D,3,FALSE)</f>
        <v>0</v>
      </c>
      <c r="G11172" s="946">
        <f>F11172-(F11172/1.18)</f>
        <v>0</v>
      </c>
      <c r="H11172" s="1039"/>
      <c r="I11172" s="955">
        <f>D11172*F11172</f>
        <v>0</v>
      </c>
    </row>
    <row r="11173" spans="3:9" ht="15.75">
      <c r="C11173" s="951" t="s">
        <v>918</v>
      </c>
      <c r="D11173" s="946"/>
      <c r="E11173" s="947"/>
      <c r="F11173" s="1054"/>
      <c r="G11173" s="946"/>
      <c r="H11173" s="1031"/>
      <c r="I11173" s="952">
        <f>SUM(I11172:I11172)</f>
        <v>0</v>
      </c>
    </row>
    <row r="11174" spans="3:9" ht="15.75">
      <c r="C11174" s="949"/>
      <c r="D11174" s="946"/>
      <c r="E11174" s="947"/>
      <c r="F11174" s="1054"/>
      <c r="G11174" s="946"/>
      <c r="H11174" s="1031"/>
      <c r="I11174" s="948"/>
    </row>
    <row r="11175" spans="3:9" ht="15.75">
      <c r="C11175" s="945" t="s">
        <v>925</v>
      </c>
      <c r="D11175" s="946"/>
      <c r="E11175" s="947"/>
      <c r="F11175" s="1054"/>
      <c r="G11175" s="946"/>
      <c r="H11175" s="1031"/>
      <c r="I11175" s="948"/>
    </row>
    <row r="11176" spans="3:9" ht="15.75">
      <c r="C11176" s="949" t="s">
        <v>924</v>
      </c>
      <c r="D11176" s="946"/>
      <c r="E11176" s="947" t="str">
        <f>+VLOOKUP(C11176,'Basic (equilibrio) (2)'!B:D,2,FALSE)</f>
        <v>n/a</v>
      </c>
      <c r="F11176" s="1054">
        <f>+VLOOKUP(C11176,'Basic (equilibrio) (2)'!B:D,3,FALSE)</f>
        <v>0</v>
      </c>
      <c r="G11176" s="946"/>
      <c r="H11176" s="1031"/>
      <c r="I11176" s="948">
        <f>D11176*F11176</f>
        <v>0</v>
      </c>
    </row>
    <row r="11177" spans="3:9" ht="15.75">
      <c r="C11177" s="951" t="s">
        <v>918</v>
      </c>
      <c r="D11177" s="946"/>
      <c r="E11177" s="947"/>
      <c r="F11177" s="1054"/>
      <c r="G11177" s="946"/>
      <c r="H11177" s="1031"/>
      <c r="I11177" s="952">
        <f>SUM(I11176)</f>
        <v>0</v>
      </c>
    </row>
    <row r="11178" spans="3:9" ht="15.75">
      <c r="C11178" s="951"/>
      <c r="D11178" s="946"/>
      <c r="E11178" s="947"/>
      <c r="F11178" s="1054"/>
      <c r="G11178" s="946"/>
      <c r="H11178" s="1031"/>
      <c r="I11178" s="952"/>
    </row>
    <row r="11179" spans="3:9" ht="15.75">
      <c r="C11179" s="956" t="s">
        <v>926</v>
      </c>
      <c r="D11179" s="957"/>
      <c r="E11179" s="958"/>
      <c r="F11179" s="1069"/>
      <c r="G11179" s="957"/>
      <c r="H11179" s="1032"/>
      <c r="I11179" s="959">
        <f>+I11165</f>
        <v>1887</v>
      </c>
    </row>
    <row r="11180" spans="3:9" ht="15.75">
      <c r="C11180" s="956" t="s">
        <v>927</v>
      </c>
      <c r="D11180" s="957"/>
      <c r="E11180" s="958"/>
      <c r="F11180" s="1069"/>
      <c r="G11180" s="957"/>
      <c r="H11180" s="1032"/>
      <c r="I11180" s="959">
        <f>+I11169</f>
        <v>0</v>
      </c>
    </row>
    <row r="11181" spans="3:9" ht="15.75">
      <c r="C11181" s="956" t="s">
        <v>928</v>
      </c>
      <c r="D11181" s="957"/>
      <c r="E11181" s="958"/>
      <c r="F11181" s="1069"/>
      <c r="G11181" s="957"/>
      <c r="H11181" s="1032"/>
      <c r="I11181" s="959">
        <f>+I11173</f>
        <v>0</v>
      </c>
    </row>
    <row r="11182" spans="3:9" ht="15.75">
      <c r="C11182" s="956" t="s">
        <v>929</v>
      </c>
      <c r="D11182" s="957"/>
      <c r="E11182" s="958"/>
      <c r="F11182" s="1069"/>
      <c r="G11182" s="957"/>
      <c r="H11182" s="1032"/>
      <c r="I11182" s="959">
        <f>+I11177</f>
        <v>0</v>
      </c>
    </row>
    <row r="11183" spans="3:9" ht="15.75">
      <c r="C11183" s="949"/>
      <c r="D11183" s="946"/>
      <c r="E11183" s="947"/>
      <c r="F11183" s="1054"/>
      <c r="G11183" s="946"/>
      <c r="H11183" s="1031"/>
      <c r="I11183" s="948"/>
    </row>
    <row r="11184" spans="3:9" ht="15.75">
      <c r="C11184" s="951" t="s">
        <v>930</v>
      </c>
      <c r="D11184" s="960"/>
      <c r="E11184" s="975" t="str">
        <f>+E11161</f>
        <v>m2</v>
      </c>
      <c r="F11184" s="1070"/>
      <c r="G11184" s="960"/>
      <c r="H11184" s="1033"/>
      <c r="I11184" s="952">
        <f>SUM(I11179:I11182)</f>
        <v>1887</v>
      </c>
    </row>
    <row r="11185" spans="2:9" ht="15.75">
      <c r="C11185" s="951"/>
      <c r="D11185" s="960"/>
      <c r="E11185" s="943"/>
      <c r="F11185" s="1070"/>
      <c r="G11185" s="960"/>
      <c r="H11185" s="1033"/>
      <c r="I11185" s="952"/>
    </row>
    <row r="11186" spans="2:9" ht="15.75">
      <c r="B11186" s="1026">
        <v>10.1</v>
      </c>
      <c r="C11186" s="937" t="str">
        <f>+Presupuesto!B647</f>
        <v xml:space="preserve">Pintura base </v>
      </c>
      <c r="D11186" s="938"/>
      <c r="E11186" s="962" t="s">
        <v>20</v>
      </c>
      <c r="F11186" s="1066"/>
      <c r="G11186" s="938"/>
      <c r="H11186" s="1029"/>
      <c r="I11186" s="940">
        <f>+I11211</f>
        <v>168.47</v>
      </c>
    </row>
    <row r="11187" spans="2:9" ht="15.75">
      <c r="C11187" s="941" t="s">
        <v>908</v>
      </c>
      <c r="D11187" s="942" t="s">
        <v>9</v>
      </c>
      <c r="E11187" s="943" t="s">
        <v>10</v>
      </c>
      <c r="F11187" s="1067" t="s">
        <v>909</v>
      </c>
      <c r="G11187" s="942" t="s">
        <v>910</v>
      </c>
      <c r="H11187" s="1030" t="s">
        <v>911</v>
      </c>
      <c r="I11187" s="944" t="s">
        <v>912</v>
      </c>
    </row>
    <row r="11188" spans="2:9" ht="15.75">
      <c r="C11188" s="945" t="s">
        <v>913</v>
      </c>
      <c r="D11188" s="946"/>
      <c r="E11188" s="947"/>
      <c r="F11188" s="1054"/>
      <c r="G11188" s="946"/>
      <c r="H11188" s="1031"/>
      <c r="I11188" s="948"/>
    </row>
    <row r="11189" spans="2:9" ht="15.75">
      <c r="C11189" s="949" t="s">
        <v>1678</v>
      </c>
      <c r="D11189" s="946">
        <v>0.08</v>
      </c>
      <c r="E11189" s="947" t="s">
        <v>1183</v>
      </c>
      <c r="F11189" s="1068">
        <f>'Basic (equilibrio) (2)'!$D$282</f>
        <v>963.4</v>
      </c>
      <c r="G11189" s="946">
        <f>F11189-(F11189/1.18)</f>
        <v>146.96</v>
      </c>
      <c r="H11189" s="1031"/>
      <c r="I11189" s="948">
        <f>D11189*F11189</f>
        <v>77.069999999999993</v>
      </c>
    </row>
    <row r="11190" spans="2:9" ht="15.75">
      <c r="C11190" s="949" t="s">
        <v>1209</v>
      </c>
      <c r="D11190" s="946">
        <v>82</v>
      </c>
      <c r="E11190" s="947" t="s">
        <v>1025</v>
      </c>
      <c r="F11190" s="1068">
        <v>0.2</v>
      </c>
      <c r="G11190" s="946">
        <f>F11190-(F11190/1.18)</f>
        <v>0.03</v>
      </c>
      <c r="H11190" s="1031"/>
      <c r="I11190" s="948">
        <f>D11190*F11190</f>
        <v>16.399999999999999</v>
      </c>
    </row>
    <row r="11191" spans="2:9" ht="15.75">
      <c r="C11191" s="951" t="s">
        <v>918</v>
      </c>
      <c r="D11191" s="946"/>
      <c r="E11191" s="947"/>
      <c r="F11191" s="1068"/>
      <c r="G11191" s="946"/>
      <c r="H11191" s="1031"/>
      <c r="I11191" s="952">
        <f>SUM(I11189:I11190)</f>
        <v>93.47</v>
      </c>
    </row>
    <row r="11192" spans="2:9" ht="15.75">
      <c r="C11192" s="949"/>
      <c r="D11192" s="946"/>
      <c r="E11192" s="947"/>
      <c r="F11192" s="1068"/>
      <c r="G11192" s="946"/>
      <c r="H11192" s="1031"/>
      <c r="I11192" s="948"/>
    </row>
    <row r="11193" spans="2:9" ht="15.75">
      <c r="C11193" s="945" t="s">
        <v>919</v>
      </c>
      <c r="D11193" s="946"/>
      <c r="E11193" s="947"/>
      <c r="F11193" s="1068"/>
      <c r="G11193" s="946"/>
      <c r="H11193" s="1031"/>
      <c r="I11193" s="948"/>
    </row>
    <row r="11194" spans="2:9" ht="15.75">
      <c r="C11194" s="949" t="s">
        <v>1083</v>
      </c>
      <c r="D11194" s="953">
        <v>1</v>
      </c>
      <c r="E11194" s="954" t="str">
        <f>+VLOOKUP(C11194,'Basic (equilibrio) (2)'!B:D,2,FALSE)</f>
        <v>m2</v>
      </c>
      <c r="F11194" s="1068">
        <f>'Basic (equilibrio) (2)'!$D$34</f>
        <v>10</v>
      </c>
      <c r="G11194" s="946">
        <v>0</v>
      </c>
      <c r="H11194" s="1031"/>
      <c r="I11194" s="948">
        <f>(D11194*F11194)</f>
        <v>10</v>
      </c>
    </row>
    <row r="11195" spans="2:9" ht="15.75">
      <c r="C11195" s="949" t="s">
        <v>1084</v>
      </c>
      <c r="D11195" s="953">
        <v>1</v>
      </c>
      <c r="E11195" s="954" t="str">
        <f>+VLOOKUP(C11195,'Basic (equilibrio) (2)'!B:D,2,FALSE)</f>
        <v>m2</v>
      </c>
      <c r="F11195" s="1068">
        <f>'Basic (equilibrio) (2)'!$D$35</f>
        <v>65</v>
      </c>
      <c r="G11195" s="946">
        <v>0</v>
      </c>
      <c r="H11195" s="1031"/>
      <c r="I11195" s="948">
        <f>(D11195*F11195)</f>
        <v>65</v>
      </c>
    </row>
    <row r="11196" spans="2:9" ht="15.75">
      <c r="C11196" s="951" t="s">
        <v>918</v>
      </c>
      <c r="D11196" s="946"/>
      <c r="E11196" s="947"/>
      <c r="F11196" s="1054"/>
      <c r="G11196" s="946"/>
      <c r="H11196" s="1031"/>
      <c r="I11196" s="952">
        <f>SUM(I11194:I11195)</f>
        <v>75</v>
      </c>
    </row>
    <row r="11197" spans="2:9" ht="15.75">
      <c r="C11197" s="949"/>
      <c r="D11197" s="946"/>
      <c r="E11197" s="947"/>
      <c r="F11197" s="1054"/>
      <c r="G11197" s="946"/>
      <c r="H11197" s="1031"/>
      <c r="I11197" s="948"/>
    </row>
    <row r="11198" spans="2:9" ht="15.75">
      <c r="C11198" s="945" t="s">
        <v>923</v>
      </c>
      <c r="D11198" s="946"/>
      <c r="E11198" s="947"/>
      <c r="F11198" s="1054"/>
      <c r="G11198" s="946"/>
      <c r="H11198" s="1031"/>
      <c r="I11198" s="948"/>
    </row>
    <row r="11199" spans="2:9" ht="15.75">
      <c r="C11199" s="949" t="s">
        <v>924</v>
      </c>
      <c r="D11199" s="946"/>
      <c r="E11199" s="947" t="str">
        <f>+VLOOKUP(C11199,'Basic (equilibrio) (2)'!B:D,2,FALSE)</f>
        <v>n/a</v>
      </c>
      <c r="F11199" s="1054">
        <f>+VLOOKUP(C11199,'Basic (equilibrio) (2)'!B:D,3,FALSE)</f>
        <v>0</v>
      </c>
      <c r="G11199" s="946">
        <f>F11199-(F11199/1.18)</f>
        <v>0</v>
      </c>
      <c r="H11199" s="1039"/>
      <c r="I11199" s="955">
        <f>D11199*F11199</f>
        <v>0</v>
      </c>
    </row>
    <row r="11200" spans="2:9" ht="15.75">
      <c r="C11200" s="951" t="s">
        <v>918</v>
      </c>
      <c r="D11200" s="946"/>
      <c r="E11200" s="947"/>
      <c r="F11200" s="1054"/>
      <c r="G11200" s="946"/>
      <c r="H11200" s="1031"/>
      <c r="I11200" s="952">
        <f>SUM(I11199:I11199)</f>
        <v>0</v>
      </c>
    </row>
    <row r="11201" spans="2:9" ht="15.75">
      <c r="C11201" s="949"/>
      <c r="D11201" s="946"/>
      <c r="E11201" s="947"/>
      <c r="F11201" s="1054"/>
      <c r="G11201" s="946"/>
      <c r="H11201" s="1031"/>
      <c r="I11201" s="948"/>
    </row>
    <row r="11202" spans="2:9" ht="15.75">
      <c r="C11202" s="945" t="s">
        <v>925</v>
      </c>
      <c r="D11202" s="946"/>
      <c r="E11202" s="947"/>
      <c r="F11202" s="1054"/>
      <c r="G11202" s="946"/>
      <c r="H11202" s="1031"/>
      <c r="I11202" s="948"/>
    </row>
    <row r="11203" spans="2:9" ht="15.75">
      <c r="C11203" s="949" t="s">
        <v>924</v>
      </c>
      <c r="D11203" s="946"/>
      <c r="E11203" s="947" t="str">
        <f>+VLOOKUP(C11203,'Basic (equilibrio) (2)'!B:D,2,FALSE)</f>
        <v>n/a</v>
      </c>
      <c r="F11203" s="1054">
        <f>+VLOOKUP(C11203,'Basic (equilibrio) (2)'!B:D,3,FALSE)</f>
        <v>0</v>
      </c>
      <c r="G11203" s="946"/>
      <c r="H11203" s="1031"/>
      <c r="I11203" s="948">
        <f>D11203*F11203</f>
        <v>0</v>
      </c>
    </row>
    <row r="11204" spans="2:9" ht="15.75">
      <c r="C11204" s="951" t="s">
        <v>918</v>
      </c>
      <c r="D11204" s="946"/>
      <c r="E11204" s="947"/>
      <c r="F11204" s="1054"/>
      <c r="G11204" s="946"/>
      <c r="H11204" s="1031"/>
      <c r="I11204" s="952">
        <f>SUM(I11203)</f>
        <v>0</v>
      </c>
    </row>
    <row r="11205" spans="2:9" ht="15.75">
      <c r="C11205" s="951"/>
      <c r="D11205" s="946"/>
      <c r="E11205" s="947"/>
      <c r="F11205" s="1054"/>
      <c r="G11205" s="946"/>
      <c r="H11205" s="1031"/>
      <c r="I11205" s="952"/>
    </row>
    <row r="11206" spans="2:9" ht="15.75">
      <c r="C11206" s="956" t="s">
        <v>926</v>
      </c>
      <c r="D11206" s="957"/>
      <c r="E11206" s="958"/>
      <c r="F11206" s="1069"/>
      <c r="G11206" s="957"/>
      <c r="H11206" s="1032"/>
      <c r="I11206" s="959">
        <f>+I11191</f>
        <v>93.47</v>
      </c>
    </row>
    <row r="11207" spans="2:9" ht="15.75">
      <c r="C11207" s="956" t="s">
        <v>927</v>
      </c>
      <c r="D11207" s="957"/>
      <c r="E11207" s="958"/>
      <c r="F11207" s="1069"/>
      <c r="G11207" s="957"/>
      <c r="H11207" s="1032"/>
      <c r="I11207" s="959">
        <f>+I11196</f>
        <v>75</v>
      </c>
    </row>
    <row r="11208" spans="2:9" ht="15.75">
      <c r="C11208" s="956" t="s">
        <v>928</v>
      </c>
      <c r="D11208" s="957"/>
      <c r="E11208" s="958"/>
      <c r="F11208" s="1069"/>
      <c r="G11208" s="957"/>
      <c r="H11208" s="1032"/>
      <c r="I11208" s="959">
        <f>+I11200</f>
        <v>0</v>
      </c>
    </row>
    <row r="11209" spans="2:9" ht="15.75">
      <c r="C11209" s="956" t="s">
        <v>929</v>
      </c>
      <c r="D11209" s="957"/>
      <c r="E11209" s="958"/>
      <c r="F11209" s="1069"/>
      <c r="G11209" s="957"/>
      <c r="H11209" s="1032"/>
      <c r="I11209" s="959">
        <f>+I11204</f>
        <v>0</v>
      </c>
    </row>
    <row r="11210" spans="2:9" ht="15.75">
      <c r="C11210" s="949"/>
      <c r="D11210" s="946"/>
      <c r="E11210" s="947"/>
      <c r="F11210" s="1054"/>
      <c r="G11210" s="946"/>
      <c r="H11210" s="1031"/>
      <c r="I11210" s="948"/>
    </row>
    <row r="11211" spans="2:9" ht="15.75">
      <c r="C11211" s="951" t="s">
        <v>930</v>
      </c>
      <c r="D11211" s="960"/>
      <c r="E11211" s="975" t="str">
        <f>+E11186</f>
        <v>M2</v>
      </c>
      <c r="F11211" s="1070"/>
      <c r="G11211" s="960"/>
      <c r="H11211" s="1033"/>
      <c r="I11211" s="952">
        <f>SUM(I11206:I11209)</f>
        <v>168.47</v>
      </c>
    </row>
    <row r="11212" spans="2:9" ht="15.75">
      <c r="C11212" s="951"/>
      <c r="D11212" s="960"/>
      <c r="E11212" s="943"/>
      <c r="F11212" s="1070"/>
      <c r="G11212" s="960"/>
      <c r="H11212" s="1033"/>
      <c r="I11212" s="952"/>
    </row>
    <row r="11213" spans="2:9" ht="15.75">
      <c r="B11213" s="1026">
        <f>+Presupuesto!A648</f>
        <v>10.199999999999999</v>
      </c>
      <c r="C11213" s="937" t="str">
        <f>+Presupuesto!B648</f>
        <v>Pintura acrílica interior</v>
      </c>
      <c r="D11213" s="938"/>
      <c r="E11213" s="962" t="s">
        <v>20</v>
      </c>
      <c r="F11213" s="1066"/>
      <c r="G11213" s="938"/>
      <c r="H11213" s="1029"/>
      <c r="I11213" s="940">
        <f>+I11238</f>
        <v>168.48</v>
      </c>
    </row>
    <row r="11214" spans="2:9" ht="15.75">
      <c r="C11214" s="941" t="s">
        <v>908</v>
      </c>
      <c r="D11214" s="942" t="s">
        <v>9</v>
      </c>
      <c r="E11214" s="943" t="s">
        <v>10</v>
      </c>
      <c r="F11214" s="1067" t="s">
        <v>909</v>
      </c>
      <c r="G11214" s="942" t="s">
        <v>910</v>
      </c>
      <c r="H11214" s="1030" t="s">
        <v>911</v>
      </c>
      <c r="I11214" s="944" t="s">
        <v>912</v>
      </c>
    </row>
    <row r="11215" spans="2:9" ht="15.75">
      <c r="C11215" s="945" t="s">
        <v>913</v>
      </c>
      <c r="D11215" s="946"/>
      <c r="E11215" s="947"/>
      <c r="F11215" s="1054"/>
      <c r="G11215" s="946"/>
      <c r="H11215" s="1031"/>
      <c r="I11215" s="948"/>
    </row>
    <row r="11216" spans="2:9" ht="15.75">
      <c r="C11216" s="949" t="s">
        <v>1208</v>
      </c>
      <c r="D11216" s="946">
        <v>0.08</v>
      </c>
      <c r="E11216" s="947" t="s">
        <v>1183</v>
      </c>
      <c r="F11216" s="1068">
        <f>'Basic (equilibrio) (2)'!$D$311</f>
        <v>963.5</v>
      </c>
      <c r="G11216" s="946">
        <f>F11216-(F11216/1.18)</f>
        <v>146.97</v>
      </c>
      <c r="H11216" s="1031"/>
      <c r="I11216" s="948">
        <f>D11216*F11216</f>
        <v>77.08</v>
      </c>
    </row>
    <row r="11217" spans="3:9" ht="15.75">
      <c r="C11217" s="949" t="s">
        <v>1209</v>
      </c>
      <c r="D11217" s="946">
        <v>82</v>
      </c>
      <c r="E11217" s="947" t="s">
        <v>1025</v>
      </c>
      <c r="F11217" s="1068">
        <v>0.2</v>
      </c>
      <c r="G11217" s="946">
        <f>F11217-(F11217/1.18)</f>
        <v>0.03</v>
      </c>
      <c r="H11217" s="1031"/>
      <c r="I11217" s="948">
        <f>D11217*F11217</f>
        <v>16.399999999999999</v>
      </c>
    </row>
    <row r="11218" spans="3:9" ht="15.75">
      <c r="C11218" s="951" t="s">
        <v>918</v>
      </c>
      <c r="D11218" s="946"/>
      <c r="E11218" s="947"/>
      <c r="F11218" s="1068"/>
      <c r="G11218" s="946"/>
      <c r="H11218" s="1031"/>
      <c r="I11218" s="952">
        <f>SUM(I11216:I11217)</f>
        <v>93.48</v>
      </c>
    </row>
    <row r="11219" spans="3:9" ht="15.75">
      <c r="C11219" s="949"/>
      <c r="D11219" s="946"/>
      <c r="E11219" s="947"/>
      <c r="F11219" s="1068"/>
      <c r="G11219" s="946"/>
      <c r="H11219" s="1031"/>
      <c r="I11219" s="948"/>
    </row>
    <row r="11220" spans="3:9" ht="15.75">
      <c r="C11220" s="945" t="s">
        <v>919</v>
      </c>
      <c r="D11220" s="946"/>
      <c r="E11220" s="947"/>
      <c r="F11220" s="1068"/>
      <c r="G11220" s="946"/>
      <c r="H11220" s="1031"/>
      <c r="I11220" s="948"/>
    </row>
    <row r="11221" spans="3:9" ht="15.75">
      <c r="C11221" s="949" t="s">
        <v>1083</v>
      </c>
      <c r="D11221" s="953">
        <v>1</v>
      </c>
      <c r="E11221" s="954" t="str">
        <f>+VLOOKUP(C11221,'Basic (equilibrio) (2)'!B:D,2,FALSE)</f>
        <v>m2</v>
      </c>
      <c r="F11221" s="1068">
        <f>'Basic (equilibrio) (2)'!$D$34</f>
        <v>10</v>
      </c>
      <c r="G11221" s="946">
        <v>0</v>
      </c>
      <c r="H11221" s="1031"/>
      <c r="I11221" s="948">
        <f>(D11221*F11221)</f>
        <v>10</v>
      </c>
    </row>
    <row r="11222" spans="3:9" ht="15.75">
      <c r="C11222" s="949" t="s">
        <v>1084</v>
      </c>
      <c r="D11222" s="953">
        <v>1</v>
      </c>
      <c r="E11222" s="954" t="str">
        <f>+VLOOKUP(C11222,'Basic (equilibrio) (2)'!B:D,2,FALSE)</f>
        <v>m2</v>
      </c>
      <c r="F11222" s="1068">
        <f>'Basic (equilibrio) (2)'!$D$35</f>
        <v>65</v>
      </c>
      <c r="G11222" s="946">
        <v>0</v>
      </c>
      <c r="H11222" s="1031"/>
      <c r="I11222" s="948">
        <f>(D11222*F11222)</f>
        <v>65</v>
      </c>
    </row>
    <row r="11223" spans="3:9" ht="15.75">
      <c r="C11223" s="951" t="s">
        <v>918</v>
      </c>
      <c r="D11223" s="946"/>
      <c r="E11223" s="947"/>
      <c r="F11223" s="1054"/>
      <c r="G11223" s="946"/>
      <c r="H11223" s="1031"/>
      <c r="I11223" s="952">
        <f>SUM(I11221:I11222)</f>
        <v>75</v>
      </c>
    </row>
    <row r="11224" spans="3:9" ht="15.75">
      <c r="C11224" s="949"/>
      <c r="D11224" s="946"/>
      <c r="E11224" s="947"/>
      <c r="F11224" s="1054"/>
      <c r="G11224" s="946"/>
      <c r="H11224" s="1031"/>
      <c r="I11224" s="948"/>
    </row>
    <row r="11225" spans="3:9" ht="15.75">
      <c r="C11225" s="945" t="s">
        <v>923</v>
      </c>
      <c r="D11225" s="946"/>
      <c r="E11225" s="947"/>
      <c r="F11225" s="1054"/>
      <c r="G11225" s="946"/>
      <c r="H11225" s="1031"/>
      <c r="I11225" s="948"/>
    </row>
    <row r="11226" spans="3:9" ht="15.75">
      <c r="C11226" s="949" t="s">
        <v>924</v>
      </c>
      <c r="D11226" s="946"/>
      <c r="E11226" s="947" t="str">
        <f>+VLOOKUP(C11226,'Basic (equilibrio) (2)'!B:D,2,FALSE)</f>
        <v>n/a</v>
      </c>
      <c r="F11226" s="1054">
        <f>+VLOOKUP(C11226,'Basic (equilibrio) (2)'!B:D,3,FALSE)</f>
        <v>0</v>
      </c>
      <c r="G11226" s="946">
        <f>F11226-(F11226/1.18)</f>
        <v>0</v>
      </c>
      <c r="H11226" s="1039"/>
      <c r="I11226" s="955">
        <f>D11226*F11226</f>
        <v>0</v>
      </c>
    </row>
    <row r="11227" spans="3:9" ht="15.75">
      <c r="C11227" s="951" t="s">
        <v>918</v>
      </c>
      <c r="D11227" s="946"/>
      <c r="E11227" s="947"/>
      <c r="F11227" s="1054"/>
      <c r="G11227" s="946"/>
      <c r="H11227" s="1031"/>
      <c r="I11227" s="952">
        <f>SUM(I11226:I11226)</f>
        <v>0</v>
      </c>
    </row>
    <row r="11228" spans="3:9" ht="15.75">
      <c r="C11228" s="949"/>
      <c r="D11228" s="946"/>
      <c r="E11228" s="947"/>
      <c r="F11228" s="1054"/>
      <c r="G11228" s="946"/>
      <c r="H11228" s="1031"/>
      <c r="I11228" s="948"/>
    </row>
    <row r="11229" spans="3:9" ht="15.75">
      <c r="C11229" s="945" t="s">
        <v>925</v>
      </c>
      <c r="D11229" s="946"/>
      <c r="E11229" s="947"/>
      <c r="F11229" s="1054"/>
      <c r="G11229" s="946"/>
      <c r="H11229" s="1031"/>
      <c r="I11229" s="948"/>
    </row>
    <row r="11230" spans="3:9" ht="15.75">
      <c r="C11230" s="949" t="s">
        <v>924</v>
      </c>
      <c r="D11230" s="946"/>
      <c r="E11230" s="947" t="str">
        <f>+VLOOKUP(C11230,'Basic (equilibrio) (2)'!B:D,2,FALSE)</f>
        <v>n/a</v>
      </c>
      <c r="F11230" s="1054">
        <f>+VLOOKUP(C11230,'Basic (equilibrio) (2)'!B:D,3,FALSE)</f>
        <v>0</v>
      </c>
      <c r="G11230" s="946"/>
      <c r="H11230" s="1031"/>
      <c r="I11230" s="948">
        <f>D11230*F11230</f>
        <v>0</v>
      </c>
    </row>
    <row r="11231" spans="3:9" ht="15.75">
      <c r="C11231" s="951" t="s">
        <v>918</v>
      </c>
      <c r="D11231" s="946"/>
      <c r="E11231" s="947"/>
      <c r="F11231" s="1054"/>
      <c r="G11231" s="946"/>
      <c r="H11231" s="1031"/>
      <c r="I11231" s="952">
        <f>SUM(I11230)</f>
        <v>0</v>
      </c>
    </row>
    <row r="11232" spans="3:9" ht="15.75">
      <c r="C11232" s="951"/>
      <c r="D11232" s="946"/>
      <c r="E11232" s="947"/>
      <c r="F11232" s="1054"/>
      <c r="G11232" s="946"/>
      <c r="H11232" s="1031"/>
      <c r="I11232" s="952"/>
    </row>
    <row r="11233" spans="2:9" ht="15.75">
      <c r="C11233" s="956" t="s">
        <v>926</v>
      </c>
      <c r="D11233" s="957"/>
      <c r="E11233" s="958"/>
      <c r="F11233" s="1069"/>
      <c r="G11233" s="957"/>
      <c r="H11233" s="1032"/>
      <c r="I11233" s="959">
        <f>+I11218</f>
        <v>93.48</v>
      </c>
    </row>
    <row r="11234" spans="2:9" ht="15.75">
      <c r="C11234" s="956" t="s">
        <v>927</v>
      </c>
      <c r="D11234" s="957"/>
      <c r="E11234" s="958"/>
      <c r="F11234" s="1069"/>
      <c r="G11234" s="957"/>
      <c r="H11234" s="1032"/>
      <c r="I11234" s="959">
        <f>+I11223</f>
        <v>75</v>
      </c>
    </row>
    <row r="11235" spans="2:9" ht="15.75">
      <c r="C11235" s="956" t="s">
        <v>928</v>
      </c>
      <c r="D11235" s="957"/>
      <c r="E11235" s="958"/>
      <c r="F11235" s="1069"/>
      <c r="G11235" s="957"/>
      <c r="H11235" s="1032"/>
      <c r="I11235" s="959">
        <f>+I11227</f>
        <v>0</v>
      </c>
    </row>
    <row r="11236" spans="2:9" ht="15.75">
      <c r="C11236" s="956" t="s">
        <v>929</v>
      </c>
      <c r="D11236" s="957"/>
      <c r="E11236" s="958"/>
      <c r="F11236" s="1069"/>
      <c r="G11236" s="957"/>
      <c r="H11236" s="1032"/>
      <c r="I11236" s="959">
        <f>+I11231</f>
        <v>0</v>
      </c>
    </row>
    <row r="11237" spans="2:9" ht="15.75">
      <c r="C11237" s="949"/>
      <c r="D11237" s="946"/>
      <c r="E11237" s="947"/>
      <c r="F11237" s="1054"/>
      <c r="G11237" s="946"/>
      <c r="H11237" s="1031"/>
      <c r="I11237" s="948"/>
    </row>
    <row r="11238" spans="2:9" ht="15.75">
      <c r="C11238" s="951" t="s">
        <v>930</v>
      </c>
      <c r="D11238" s="960"/>
      <c r="E11238" s="975" t="str">
        <f>+E11213</f>
        <v>M2</v>
      </c>
      <c r="F11238" s="1070"/>
      <c r="G11238" s="960"/>
      <c r="H11238" s="1033"/>
      <c r="I11238" s="952">
        <f>SUM(I11233:I11236)</f>
        <v>168.48</v>
      </c>
    </row>
    <row r="11239" spans="2:9" ht="15.75">
      <c r="C11239" s="951"/>
      <c r="D11239" s="960"/>
      <c r="E11239" s="943"/>
      <c r="F11239" s="1070"/>
      <c r="G11239" s="960"/>
      <c r="H11239" s="1033"/>
      <c r="I11239" s="952"/>
    </row>
    <row r="11240" spans="2:9" ht="15.75">
      <c r="B11240" s="1026">
        <v>10.3</v>
      </c>
      <c r="C11240" s="937" t="str">
        <f>+Presupuesto!B649</f>
        <v>Pintura acrílica exterior</v>
      </c>
      <c r="D11240" s="938"/>
      <c r="E11240" s="962" t="s">
        <v>20</v>
      </c>
      <c r="F11240" s="1066"/>
      <c r="G11240" s="938"/>
      <c r="H11240" s="1029"/>
      <c r="I11240" s="940">
        <f>+I11265</f>
        <v>168.48</v>
      </c>
    </row>
    <row r="11241" spans="2:9" ht="15.75">
      <c r="C11241" s="941" t="s">
        <v>908</v>
      </c>
      <c r="D11241" s="942" t="s">
        <v>9</v>
      </c>
      <c r="E11241" s="943" t="s">
        <v>10</v>
      </c>
      <c r="F11241" s="1067" t="s">
        <v>909</v>
      </c>
      <c r="G11241" s="942" t="s">
        <v>910</v>
      </c>
      <c r="H11241" s="1030" t="s">
        <v>911</v>
      </c>
      <c r="I11241" s="944" t="s">
        <v>912</v>
      </c>
    </row>
    <row r="11242" spans="2:9" ht="15.75">
      <c r="C11242" s="945" t="s">
        <v>913</v>
      </c>
      <c r="D11242" s="946"/>
      <c r="E11242" s="947"/>
      <c r="F11242" s="1054"/>
      <c r="G11242" s="946"/>
      <c r="H11242" s="1031"/>
      <c r="I11242" s="948"/>
    </row>
    <row r="11243" spans="2:9" ht="15.75">
      <c r="C11243" s="949" t="s">
        <v>1208</v>
      </c>
      <c r="D11243" s="946">
        <v>0.08</v>
      </c>
      <c r="E11243" s="947" t="s">
        <v>1183</v>
      </c>
      <c r="F11243" s="1068">
        <f>'Basic (equilibrio) (2)'!$D$311</f>
        <v>963.5</v>
      </c>
      <c r="G11243" s="946">
        <f>F11243-(F11243/1.18)</f>
        <v>146.97</v>
      </c>
      <c r="H11243" s="1031"/>
      <c r="I11243" s="948">
        <f>D11243*F11243</f>
        <v>77.08</v>
      </c>
    </row>
    <row r="11244" spans="2:9" ht="15.75">
      <c r="C11244" s="949" t="s">
        <v>1209</v>
      </c>
      <c r="D11244" s="946">
        <v>82</v>
      </c>
      <c r="E11244" s="947" t="s">
        <v>1025</v>
      </c>
      <c r="F11244" s="1068">
        <v>0.2</v>
      </c>
      <c r="G11244" s="946">
        <f>F11244-(F11244/1.18)</f>
        <v>0.03</v>
      </c>
      <c r="H11244" s="1031"/>
      <c r="I11244" s="948">
        <f>D11244*F11244</f>
        <v>16.399999999999999</v>
      </c>
    </row>
    <row r="11245" spans="2:9" ht="15.75">
      <c r="C11245" s="951" t="s">
        <v>918</v>
      </c>
      <c r="D11245" s="946"/>
      <c r="E11245" s="947"/>
      <c r="F11245" s="1068"/>
      <c r="G11245" s="946"/>
      <c r="H11245" s="1031"/>
      <c r="I11245" s="952">
        <f>SUM(I11243:I11244)</f>
        <v>93.48</v>
      </c>
    </row>
    <row r="11246" spans="2:9" ht="15.75">
      <c r="C11246" s="949"/>
      <c r="D11246" s="946"/>
      <c r="E11246" s="947"/>
      <c r="F11246" s="1068"/>
      <c r="G11246" s="946"/>
      <c r="H11246" s="1031"/>
      <c r="I11246" s="948"/>
    </row>
    <row r="11247" spans="2:9" ht="15.75">
      <c r="C11247" s="945" t="s">
        <v>919</v>
      </c>
      <c r="D11247" s="946"/>
      <c r="E11247" s="947"/>
      <c r="F11247" s="1068"/>
      <c r="G11247" s="946"/>
      <c r="H11247" s="1031"/>
      <c r="I11247" s="948"/>
    </row>
    <row r="11248" spans="2:9" ht="15.75">
      <c r="C11248" s="949" t="s">
        <v>1083</v>
      </c>
      <c r="D11248" s="953">
        <v>1</v>
      </c>
      <c r="E11248" s="954" t="str">
        <f>+VLOOKUP(C11248,'Basic (equilibrio) (2)'!B:D,2,FALSE)</f>
        <v>m2</v>
      </c>
      <c r="F11248" s="1068">
        <f>'Basic (equilibrio) (2)'!$D$34</f>
        <v>10</v>
      </c>
      <c r="G11248" s="946">
        <v>0</v>
      </c>
      <c r="H11248" s="1031"/>
      <c r="I11248" s="948">
        <f>(D11248*F11248)</f>
        <v>10</v>
      </c>
    </row>
    <row r="11249" spans="3:9" ht="15.75">
      <c r="C11249" s="949" t="s">
        <v>1084</v>
      </c>
      <c r="D11249" s="953">
        <v>1</v>
      </c>
      <c r="E11249" s="954" t="str">
        <f>+VLOOKUP(C11249,'Basic (equilibrio) (2)'!B:D,2,FALSE)</f>
        <v>m2</v>
      </c>
      <c r="F11249" s="1068">
        <f>'Basic (equilibrio) (2)'!$D$35</f>
        <v>65</v>
      </c>
      <c r="G11249" s="946">
        <v>0</v>
      </c>
      <c r="H11249" s="1031"/>
      <c r="I11249" s="948">
        <f>(D11249*F11249)</f>
        <v>65</v>
      </c>
    </row>
    <row r="11250" spans="3:9" ht="15.75">
      <c r="C11250" s="951" t="s">
        <v>918</v>
      </c>
      <c r="D11250" s="946"/>
      <c r="E11250" s="947"/>
      <c r="F11250" s="1054"/>
      <c r="G11250" s="946"/>
      <c r="H11250" s="1031"/>
      <c r="I11250" s="952">
        <f>SUM(I11248:I11249)</f>
        <v>75</v>
      </c>
    </row>
    <row r="11251" spans="3:9" ht="15.75">
      <c r="C11251" s="949"/>
      <c r="D11251" s="946"/>
      <c r="E11251" s="947"/>
      <c r="F11251" s="1054"/>
      <c r="G11251" s="946"/>
      <c r="H11251" s="1031"/>
      <c r="I11251" s="948"/>
    </row>
    <row r="11252" spans="3:9" ht="15.75">
      <c r="C11252" s="945" t="s">
        <v>923</v>
      </c>
      <c r="D11252" s="946"/>
      <c r="E11252" s="947"/>
      <c r="F11252" s="1054"/>
      <c r="G11252" s="946"/>
      <c r="H11252" s="1031"/>
      <c r="I11252" s="948"/>
    </row>
    <row r="11253" spans="3:9" ht="15.75">
      <c r="C11253" s="949" t="s">
        <v>924</v>
      </c>
      <c r="D11253" s="946"/>
      <c r="E11253" s="947" t="str">
        <f>+VLOOKUP(C11253,'Basic (equilibrio) (2)'!B:D,2,FALSE)</f>
        <v>n/a</v>
      </c>
      <c r="F11253" s="1054">
        <f>+VLOOKUP(C11253,'Basic (equilibrio) (2)'!B:D,3,FALSE)</f>
        <v>0</v>
      </c>
      <c r="G11253" s="946">
        <f>F11253-(F11253/1.18)</f>
        <v>0</v>
      </c>
      <c r="H11253" s="1039"/>
      <c r="I11253" s="955">
        <f>D11253*F11253</f>
        <v>0</v>
      </c>
    </row>
    <row r="11254" spans="3:9" ht="15.75">
      <c r="C11254" s="951" t="s">
        <v>918</v>
      </c>
      <c r="D11254" s="946"/>
      <c r="E11254" s="947"/>
      <c r="F11254" s="1054"/>
      <c r="G11254" s="946"/>
      <c r="H11254" s="1031"/>
      <c r="I11254" s="952">
        <f>SUM(I11253:I11253)</f>
        <v>0</v>
      </c>
    </row>
    <row r="11255" spans="3:9" ht="15.75">
      <c r="C11255" s="949"/>
      <c r="D11255" s="946"/>
      <c r="E11255" s="947"/>
      <c r="F11255" s="1054"/>
      <c r="G11255" s="946"/>
      <c r="H11255" s="1031"/>
      <c r="I11255" s="948"/>
    </row>
    <row r="11256" spans="3:9" ht="15.75">
      <c r="C11256" s="945" t="s">
        <v>925</v>
      </c>
      <c r="D11256" s="946"/>
      <c r="E11256" s="947"/>
      <c r="F11256" s="1054"/>
      <c r="G11256" s="946"/>
      <c r="H11256" s="1031"/>
      <c r="I11256" s="948"/>
    </row>
    <row r="11257" spans="3:9" ht="15.75">
      <c r="C11257" s="949" t="s">
        <v>924</v>
      </c>
      <c r="D11257" s="946"/>
      <c r="E11257" s="947" t="str">
        <f>+VLOOKUP(C11257,'Basic (equilibrio) (2)'!B:D,2,FALSE)</f>
        <v>n/a</v>
      </c>
      <c r="F11257" s="1054">
        <f>+VLOOKUP(C11257,'Basic (equilibrio) (2)'!B:D,3,FALSE)</f>
        <v>0</v>
      </c>
      <c r="G11257" s="946"/>
      <c r="H11257" s="1031"/>
      <c r="I11257" s="948">
        <f>D11257*F11257</f>
        <v>0</v>
      </c>
    </row>
    <row r="11258" spans="3:9" ht="15.75">
      <c r="C11258" s="951" t="s">
        <v>918</v>
      </c>
      <c r="D11258" s="946"/>
      <c r="E11258" s="947"/>
      <c r="F11258" s="1054"/>
      <c r="G11258" s="946"/>
      <c r="H11258" s="1031"/>
      <c r="I11258" s="952">
        <f>SUM(I11257)</f>
        <v>0</v>
      </c>
    </row>
    <row r="11259" spans="3:9" ht="15.75">
      <c r="C11259" s="951"/>
      <c r="D11259" s="946"/>
      <c r="E11259" s="947"/>
      <c r="F11259" s="1054"/>
      <c r="G11259" s="946"/>
      <c r="H11259" s="1031"/>
      <c r="I11259" s="952"/>
    </row>
    <row r="11260" spans="3:9" ht="15.75">
      <c r="C11260" s="956" t="s">
        <v>926</v>
      </c>
      <c r="D11260" s="957"/>
      <c r="E11260" s="958"/>
      <c r="F11260" s="1069"/>
      <c r="G11260" s="957"/>
      <c r="H11260" s="1032"/>
      <c r="I11260" s="959">
        <f>+I11245</f>
        <v>93.48</v>
      </c>
    </row>
    <row r="11261" spans="3:9" ht="15.75">
      <c r="C11261" s="956" t="s">
        <v>927</v>
      </c>
      <c r="D11261" s="957"/>
      <c r="E11261" s="958"/>
      <c r="F11261" s="1069"/>
      <c r="G11261" s="957"/>
      <c r="H11261" s="1032"/>
      <c r="I11261" s="959">
        <f>+I11250</f>
        <v>75</v>
      </c>
    </row>
    <row r="11262" spans="3:9" ht="15.75">
      <c r="C11262" s="956" t="s">
        <v>928</v>
      </c>
      <c r="D11262" s="957"/>
      <c r="E11262" s="958"/>
      <c r="F11262" s="1069"/>
      <c r="G11262" s="957"/>
      <c r="H11262" s="1032"/>
      <c r="I11262" s="959">
        <f>+I11254</f>
        <v>0</v>
      </c>
    </row>
    <row r="11263" spans="3:9" ht="15.75">
      <c r="C11263" s="956" t="s">
        <v>929</v>
      </c>
      <c r="D11263" s="957"/>
      <c r="E11263" s="958"/>
      <c r="F11263" s="1069"/>
      <c r="G11263" s="957"/>
      <c r="H11263" s="1032"/>
      <c r="I11263" s="959">
        <f>+I11258</f>
        <v>0</v>
      </c>
    </row>
    <row r="11264" spans="3:9" ht="15.75">
      <c r="C11264" s="949"/>
      <c r="D11264" s="946"/>
      <c r="E11264" s="947"/>
      <c r="F11264" s="1054"/>
      <c r="G11264" s="946"/>
      <c r="H11264" s="1031"/>
      <c r="I11264" s="948"/>
    </row>
    <row r="11265" spans="2:9" ht="15.75">
      <c r="C11265" s="951" t="s">
        <v>930</v>
      </c>
      <c r="D11265" s="960"/>
      <c r="E11265" s="975" t="str">
        <f>+E11240</f>
        <v>M2</v>
      </c>
      <c r="F11265" s="1070"/>
      <c r="G11265" s="960"/>
      <c r="H11265" s="1033"/>
      <c r="I11265" s="952">
        <f>SUM(I11260:I11263)</f>
        <v>168.48</v>
      </c>
    </row>
    <row r="11266" spans="2:9" ht="15.75">
      <c r="C11266" s="951"/>
      <c r="D11266" s="960"/>
      <c r="E11266" s="943"/>
      <c r="F11266" s="1070"/>
      <c r="G11266" s="960"/>
      <c r="H11266" s="1033"/>
      <c r="I11266" s="952"/>
    </row>
    <row r="11267" spans="2:9" ht="15.75">
      <c r="B11267" s="1026">
        <v>11.1</v>
      </c>
      <c r="C11267" s="937" t="str">
        <f>+Presupuesto!B652</f>
        <v>Puerta polimetálica blanca 1.20 x 2.10</v>
      </c>
      <c r="D11267" s="938"/>
      <c r="E11267" s="962" t="s">
        <v>1106</v>
      </c>
      <c r="F11267" s="1066"/>
      <c r="G11267" s="938"/>
      <c r="H11267" s="1029"/>
      <c r="I11267" s="940">
        <f>+I11290</f>
        <v>8670</v>
      </c>
    </row>
    <row r="11268" spans="2:9" ht="15.75">
      <c r="C11268" s="941" t="s">
        <v>908</v>
      </c>
      <c r="D11268" s="942" t="s">
        <v>9</v>
      </c>
      <c r="E11268" s="943" t="s">
        <v>10</v>
      </c>
      <c r="F11268" s="1067" t="s">
        <v>909</v>
      </c>
      <c r="G11268" s="942" t="s">
        <v>910</v>
      </c>
      <c r="H11268" s="1030" t="s">
        <v>911</v>
      </c>
      <c r="I11268" s="944" t="s">
        <v>912</v>
      </c>
    </row>
    <row r="11269" spans="2:9" ht="15.75">
      <c r="C11269" s="945" t="s">
        <v>913</v>
      </c>
      <c r="D11269" s="946"/>
      <c r="E11269" s="947"/>
      <c r="F11269" s="1054"/>
      <c r="G11269" s="946"/>
      <c r="H11269" s="1031"/>
      <c r="I11269" s="948"/>
    </row>
    <row r="11270" spans="2:9" ht="31.5">
      <c r="C11270" s="949" t="s">
        <v>1587</v>
      </c>
      <c r="D11270" s="946">
        <v>1.02</v>
      </c>
      <c r="E11270" s="947" t="str">
        <f>+VLOOKUP(C11270,'Basic (equilibrio) (2)'!B:D,2,FALSE)</f>
        <v>ud</v>
      </c>
      <c r="F11270" s="1068">
        <f>'Basic (equilibrio) (2)'!$D$340</f>
        <v>8500</v>
      </c>
      <c r="G11270" s="946">
        <f>F11270-(F11270/1.18)</f>
        <v>1296.6099999999999</v>
      </c>
      <c r="H11270" s="1031"/>
      <c r="I11270" s="948">
        <f>D11270*F11270</f>
        <v>8670</v>
      </c>
    </row>
    <row r="11271" spans="2:9" ht="15.75">
      <c r="C11271" s="951" t="s">
        <v>918</v>
      </c>
      <c r="D11271" s="946"/>
      <c r="E11271" s="947"/>
      <c r="F11271" s="1068"/>
      <c r="G11271" s="946"/>
      <c r="H11271" s="1031"/>
      <c r="I11271" s="952">
        <f>SUM(I11270:I11270)</f>
        <v>8670</v>
      </c>
    </row>
    <row r="11272" spans="2:9" ht="15.75">
      <c r="C11272" s="949"/>
      <c r="D11272" s="946"/>
      <c r="E11272" s="947"/>
      <c r="F11272" s="1068"/>
      <c r="G11272" s="946"/>
      <c r="H11272" s="1031"/>
      <c r="I11272" s="948"/>
    </row>
    <row r="11273" spans="2:9" ht="15.75">
      <c r="C11273" s="945" t="s">
        <v>919</v>
      </c>
      <c r="D11273" s="946"/>
      <c r="E11273" s="947"/>
      <c r="F11273" s="1068"/>
      <c r="G11273" s="946"/>
      <c r="H11273" s="1031"/>
      <c r="I11273" s="948"/>
    </row>
    <row r="11274" spans="2:9" ht="15.75">
      <c r="C11274" s="949" t="s">
        <v>924</v>
      </c>
      <c r="D11274" s="953">
        <v>8.33</v>
      </c>
      <c r="E11274" s="954" t="str">
        <f>+VLOOKUP(C11274,'Basic (equilibrio) (2)'!B:D,2,FALSE)</f>
        <v>n/a</v>
      </c>
      <c r="F11274" s="1068">
        <f>+VLOOKUP(C11274,'Basic (equilibrio) (2)'!B:D,3,FALSE)</f>
        <v>0</v>
      </c>
      <c r="G11274" s="946">
        <v>0</v>
      </c>
      <c r="H11274" s="1031"/>
      <c r="I11274" s="948">
        <f>(D11274*F11274)</f>
        <v>0</v>
      </c>
    </row>
    <row r="11275" spans="2:9" ht="15.75">
      <c r="C11275" s="951" t="s">
        <v>918</v>
      </c>
      <c r="D11275" s="946"/>
      <c r="E11275" s="947"/>
      <c r="F11275" s="1054"/>
      <c r="G11275" s="946"/>
      <c r="H11275" s="1031"/>
      <c r="I11275" s="952">
        <f>SUM(I11274:I11274)</f>
        <v>0</v>
      </c>
    </row>
    <row r="11276" spans="2:9" ht="15.75">
      <c r="C11276" s="949"/>
      <c r="D11276" s="946"/>
      <c r="E11276" s="947"/>
      <c r="F11276" s="1054"/>
      <c r="G11276" s="946"/>
      <c r="H11276" s="1031"/>
      <c r="I11276" s="948"/>
    </row>
    <row r="11277" spans="2:9" ht="15.75">
      <c r="C11277" s="945" t="s">
        <v>923</v>
      </c>
      <c r="D11277" s="946"/>
      <c r="E11277" s="947"/>
      <c r="F11277" s="1054"/>
      <c r="G11277" s="946"/>
      <c r="H11277" s="1031"/>
      <c r="I11277" s="948"/>
    </row>
    <row r="11278" spans="2:9" ht="15.75">
      <c r="C11278" s="949" t="s">
        <v>924</v>
      </c>
      <c r="D11278" s="946"/>
      <c r="E11278" s="947" t="str">
        <f>+VLOOKUP(C11278,'Basic (equilibrio) (2)'!B:D,2,FALSE)</f>
        <v>n/a</v>
      </c>
      <c r="F11278" s="1054">
        <f>+VLOOKUP(C11278,'Basic (equilibrio) (2)'!B:D,3,FALSE)</f>
        <v>0</v>
      </c>
      <c r="G11278" s="946">
        <f>F11278-(F11278/1.18)</f>
        <v>0</v>
      </c>
      <c r="H11278" s="1039"/>
      <c r="I11278" s="955">
        <f>D11278*F11278</f>
        <v>0</v>
      </c>
    </row>
    <row r="11279" spans="2:9" ht="15.75">
      <c r="C11279" s="951" t="s">
        <v>918</v>
      </c>
      <c r="D11279" s="946"/>
      <c r="E11279" s="947"/>
      <c r="F11279" s="1054"/>
      <c r="G11279" s="946"/>
      <c r="H11279" s="1031"/>
      <c r="I11279" s="952">
        <f>SUM(I11278:I11278)</f>
        <v>0</v>
      </c>
    </row>
    <row r="11280" spans="2:9" ht="15.75">
      <c r="C11280" s="949"/>
      <c r="D11280" s="946"/>
      <c r="E11280" s="947"/>
      <c r="F11280" s="1054"/>
      <c r="G11280" s="946"/>
      <c r="H11280" s="1031"/>
      <c r="I11280" s="948"/>
    </row>
    <row r="11281" spans="2:9" ht="15.75">
      <c r="C11281" s="945" t="s">
        <v>925</v>
      </c>
      <c r="D11281" s="946"/>
      <c r="E11281" s="947"/>
      <c r="F11281" s="1054"/>
      <c r="G11281" s="946"/>
      <c r="H11281" s="1031"/>
      <c r="I11281" s="948"/>
    </row>
    <row r="11282" spans="2:9" ht="15.75">
      <c r="C11282" s="949" t="s">
        <v>924</v>
      </c>
      <c r="D11282" s="946"/>
      <c r="E11282" s="947" t="str">
        <f>+VLOOKUP(C11282,'Basic (equilibrio) (2)'!B:D,2,FALSE)</f>
        <v>n/a</v>
      </c>
      <c r="F11282" s="1054">
        <f>+VLOOKUP(C11282,'Basic (equilibrio) (2)'!B:D,3,FALSE)</f>
        <v>0</v>
      </c>
      <c r="G11282" s="946"/>
      <c r="H11282" s="1031"/>
      <c r="I11282" s="948">
        <f>D11282*F11282</f>
        <v>0</v>
      </c>
    </row>
    <row r="11283" spans="2:9" ht="15.75">
      <c r="C11283" s="951" t="s">
        <v>918</v>
      </c>
      <c r="D11283" s="946"/>
      <c r="E11283" s="947"/>
      <c r="F11283" s="1054"/>
      <c r="G11283" s="946"/>
      <c r="H11283" s="1031"/>
      <c r="I11283" s="952">
        <f>SUM(I11282)</f>
        <v>0</v>
      </c>
    </row>
    <row r="11284" spans="2:9" ht="15.75">
      <c r="C11284" s="951"/>
      <c r="D11284" s="946"/>
      <c r="E11284" s="947"/>
      <c r="F11284" s="1054"/>
      <c r="G11284" s="946"/>
      <c r="H11284" s="1031"/>
      <c r="I11284" s="952"/>
    </row>
    <row r="11285" spans="2:9" ht="15.75">
      <c r="C11285" s="956" t="s">
        <v>926</v>
      </c>
      <c r="D11285" s="957"/>
      <c r="E11285" s="958"/>
      <c r="F11285" s="1069"/>
      <c r="G11285" s="957"/>
      <c r="H11285" s="1032"/>
      <c r="I11285" s="959">
        <f>+I11271</f>
        <v>8670</v>
      </c>
    </row>
    <row r="11286" spans="2:9" ht="15.75">
      <c r="C11286" s="956" t="s">
        <v>927</v>
      </c>
      <c r="D11286" s="957"/>
      <c r="E11286" s="958"/>
      <c r="F11286" s="1069"/>
      <c r="G11286" s="957"/>
      <c r="H11286" s="1032"/>
      <c r="I11286" s="959">
        <f>+I11275</f>
        <v>0</v>
      </c>
    </row>
    <row r="11287" spans="2:9" ht="15.75">
      <c r="C11287" s="956" t="s">
        <v>928</v>
      </c>
      <c r="D11287" s="957"/>
      <c r="E11287" s="958"/>
      <c r="F11287" s="1069"/>
      <c r="G11287" s="957"/>
      <c r="H11287" s="1032"/>
      <c r="I11287" s="959">
        <f>+I11279</f>
        <v>0</v>
      </c>
    </row>
    <row r="11288" spans="2:9" ht="15.75">
      <c r="C11288" s="956" t="s">
        <v>929</v>
      </c>
      <c r="D11288" s="957"/>
      <c r="E11288" s="958"/>
      <c r="F11288" s="1069"/>
      <c r="G11288" s="957"/>
      <c r="H11288" s="1032"/>
      <c r="I11288" s="959">
        <f>+I11283</f>
        <v>0</v>
      </c>
    </row>
    <row r="11289" spans="2:9" ht="15.75">
      <c r="C11289" s="949"/>
      <c r="D11289" s="946"/>
      <c r="E11289" s="947"/>
      <c r="F11289" s="1054"/>
      <c r="G11289" s="946"/>
      <c r="H11289" s="1031"/>
      <c r="I11289" s="948"/>
    </row>
    <row r="11290" spans="2:9" ht="15.75">
      <c r="C11290" s="951" t="s">
        <v>930</v>
      </c>
      <c r="D11290" s="960"/>
      <c r="E11290" s="975" t="str">
        <f>+E11267</f>
        <v>und</v>
      </c>
      <c r="F11290" s="1070"/>
      <c r="G11290" s="960"/>
      <c r="H11290" s="1033"/>
      <c r="I11290" s="952">
        <f>SUM(I11285:I11288)</f>
        <v>8670</v>
      </c>
    </row>
    <row r="11291" spans="2:9" ht="15.75">
      <c r="C11291" s="951"/>
      <c r="D11291" s="960"/>
      <c r="E11291" s="943"/>
      <c r="F11291" s="1070"/>
      <c r="G11291" s="960"/>
      <c r="H11291" s="1033"/>
      <c r="I11291" s="952"/>
    </row>
    <row r="11292" spans="2:9" ht="15.75">
      <c r="B11292" s="1026">
        <v>11.2</v>
      </c>
      <c r="C11292" s="937" t="str">
        <f>+Presupuesto!B653</f>
        <v>Puerta polimetálica blanca 1.00 x 2.10</v>
      </c>
      <c r="D11292" s="938"/>
      <c r="E11292" s="962" t="s">
        <v>1106</v>
      </c>
      <c r="F11292" s="1066"/>
      <c r="G11292" s="938"/>
      <c r="H11292" s="1029"/>
      <c r="I11292" s="940">
        <f>+I11315</f>
        <v>8670</v>
      </c>
    </row>
    <row r="11293" spans="2:9" ht="15.75">
      <c r="C11293" s="941" t="s">
        <v>908</v>
      </c>
      <c r="D11293" s="942" t="s">
        <v>9</v>
      </c>
      <c r="E11293" s="943" t="s">
        <v>10</v>
      </c>
      <c r="F11293" s="1067" t="s">
        <v>909</v>
      </c>
      <c r="G11293" s="942" t="s">
        <v>910</v>
      </c>
      <c r="H11293" s="1030" t="s">
        <v>911</v>
      </c>
      <c r="I11293" s="944" t="s">
        <v>912</v>
      </c>
    </row>
    <row r="11294" spans="2:9" ht="15.75">
      <c r="C11294" s="945" t="s">
        <v>913</v>
      </c>
      <c r="D11294" s="946"/>
      <c r="E11294" s="947"/>
      <c r="F11294" s="1054"/>
      <c r="G11294" s="946"/>
      <c r="H11294" s="1031"/>
      <c r="I11294" s="948"/>
    </row>
    <row r="11295" spans="2:9" ht="31.5">
      <c r="C11295" s="949" t="s">
        <v>1587</v>
      </c>
      <c r="D11295" s="946">
        <v>1.02</v>
      </c>
      <c r="E11295" s="947" t="str">
        <f>+VLOOKUP(C11295,'Basic (equilibrio) (2)'!B:D,2,FALSE)</f>
        <v>ud</v>
      </c>
      <c r="F11295" s="1068">
        <f>'Basic (equilibrio) (2)'!$D$340</f>
        <v>8500</v>
      </c>
      <c r="G11295" s="946">
        <f>F11295-(F11295/1.18)</f>
        <v>1296.6099999999999</v>
      </c>
      <c r="H11295" s="1031"/>
      <c r="I11295" s="948">
        <f>D11295*F11295</f>
        <v>8670</v>
      </c>
    </row>
    <row r="11296" spans="2:9" ht="15.75">
      <c r="C11296" s="951" t="s">
        <v>918</v>
      </c>
      <c r="D11296" s="946"/>
      <c r="E11296" s="947"/>
      <c r="F11296" s="1068"/>
      <c r="G11296" s="946"/>
      <c r="H11296" s="1031"/>
      <c r="I11296" s="952">
        <f>SUM(I11295:I11295)</f>
        <v>8670</v>
      </c>
    </row>
    <row r="11297" spans="3:9" ht="15.75">
      <c r="C11297" s="949"/>
      <c r="D11297" s="946"/>
      <c r="E11297" s="947"/>
      <c r="F11297" s="1068"/>
      <c r="G11297" s="946"/>
      <c r="H11297" s="1031"/>
      <c r="I11297" s="948"/>
    </row>
    <row r="11298" spans="3:9" ht="15.75">
      <c r="C11298" s="945" t="s">
        <v>919</v>
      </c>
      <c r="D11298" s="946"/>
      <c r="E11298" s="947"/>
      <c r="F11298" s="1068"/>
      <c r="G11298" s="946"/>
      <c r="H11298" s="1031"/>
      <c r="I11298" s="948"/>
    </row>
    <row r="11299" spans="3:9" ht="15.75">
      <c r="C11299" s="949" t="s">
        <v>924</v>
      </c>
      <c r="D11299" s="953">
        <v>8.33</v>
      </c>
      <c r="E11299" s="954" t="str">
        <f>+VLOOKUP(C11299,'Basic (equilibrio) (2)'!B:D,2,FALSE)</f>
        <v>n/a</v>
      </c>
      <c r="F11299" s="1068">
        <f>+VLOOKUP(C11299,'Basic (equilibrio) (2)'!B:D,3,FALSE)</f>
        <v>0</v>
      </c>
      <c r="G11299" s="946">
        <v>0</v>
      </c>
      <c r="H11299" s="1031"/>
      <c r="I11299" s="948">
        <f>(D11299*F11299)</f>
        <v>0</v>
      </c>
    </row>
    <row r="11300" spans="3:9" ht="15.75">
      <c r="C11300" s="951" t="s">
        <v>918</v>
      </c>
      <c r="D11300" s="946"/>
      <c r="E11300" s="947"/>
      <c r="F11300" s="1054"/>
      <c r="G11300" s="946"/>
      <c r="H11300" s="1031"/>
      <c r="I11300" s="952">
        <f>SUM(I11299:I11299)</f>
        <v>0</v>
      </c>
    </row>
    <row r="11301" spans="3:9" ht="15.75">
      <c r="C11301" s="949"/>
      <c r="D11301" s="946"/>
      <c r="E11301" s="947"/>
      <c r="F11301" s="1054"/>
      <c r="G11301" s="946"/>
      <c r="H11301" s="1031"/>
      <c r="I11301" s="948"/>
    </row>
    <row r="11302" spans="3:9" ht="15.75">
      <c r="C11302" s="945" t="s">
        <v>923</v>
      </c>
      <c r="D11302" s="946"/>
      <c r="E11302" s="947"/>
      <c r="F11302" s="1054"/>
      <c r="G11302" s="946"/>
      <c r="H11302" s="1031"/>
      <c r="I11302" s="948"/>
    </row>
    <row r="11303" spans="3:9" ht="15.75">
      <c r="C11303" s="949" t="s">
        <v>924</v>
      </c>
      <c r="D11303" s="946"/>
      <c r="E11303" s="947" t="str">
        <f>+VLOOKUP(C11303,'Basic (equilibrio) (2)'!B:D,2,FALSE)</f>
        <v>n/a</v>
      </c>
      <c r="F11303" s="1054">
        <f>+VLOOKUP(C11303,'Basic (equilibrio) (2)'!B:D,3,FALSE)</f>
        <v>0</v>
      </c>
      <c r="G11303" s="946">
        <f>F11303-(F11303/1.18)</f>
        <v>0</v>
      </c>
      <c r="H11303" s="1039"/>
      <c r="I11303" s="955">
        <f>D11303*F11303</f>
        <v>0</v>
      </c>
    </row>
    <row r="11304" spans="3:9" ht="15.75">
      <c r="C11304" s="951" t="s">
        <v>918</v>
      </c>
      <c r="D11304" s="946"/>
      <c r="E11304" s="947"/>
      <c r="F11304" s="1054"/>
      <c r="G11304" s="946"/>
      <c r="H11304" s="1031"/>
      <c r="I11304" s="952">
        <f>SUM(I11303:I11303)</f>
        <v>0</v>
      </c>
    </row>
    <row r="11305" spans="3:9" ht="15.75">
      <c r="C11305" s="949"/>
      <c r="D11305" s="946"/>
      <c r="E11305" s="947"/>
      <c r="F11305" s="1054"/>
      <c r="G11305" s="946"/>
      <c r="H11305" s="1031"/>
      <c r="I11305" s="948"/>
    </row>
    <row r="11306" spans="3:9" ht="15.75">
      <c r="C11306" s="945" t="s">
        <v>925</v>
      </c>
      <c r="D11306" s="946"/>
      <c r="E11306" s="947"/>
      <c r="F11306" s="1054"/>
      <c r="G11306" s="946"/>
      <c r="H11306" s="1031"/>
      <c r="I11306" s="948"/>
    </row>
    <row r="11307" spans="3:9" ht="15.75">
      <c r="C11307" s="949" t="s">
        <v>924</v>
      </c>
      <c r="D11307" s="946"/>
      <c r="E11307" s="947" t="str">
        <f>+VLOOKUP(C11307,'Basic (equilibrio) (2)'!B:D,2,FALSE)</f>
        <v>n/a</v>
      </c>
      <c r="F11307" s="1054">
        <f>+VLOOKUP(C11307,'Basic (equilibrio) (2)'!B:D,3,FALSE)</f>
        <v>0</v>
      </c>
      <c r="G11307" s="946"/>
      <c r="H11307" s="1031"/>
      <c r="I11307" s="948">
        <f>D11307*F11307</f>
        <v>0</v>
      </c>
    </row>
    <row r="11308" spans="3:9" ht="15.75">
      <c r="C11308" s="951" t="s">
        <v>918</v>
      </c>
      <c r="D11308" s="946"/>
      <c r="E11308" s="947"/>
      <c r="F11308" s="1054"/>
      <c r="G11308" s="946"/>
      <c r="H11308" s="1031"/>
      <c r="I11308" s="952">
        <f>SUM(I11307)</f>
        <v>0</v>
      </c>
    </row>
    <row r="11309" spans="3:9" ht="15.75">
      <c r="C11309" s="951"/>
      <c r="D11309" s="946"/>
      <c r="E11309" s="947"/>
      <c r="F11309" s="1054"/>
      <c r="G11309" s="946"/>
      <c r="H11309" s="1031"/>
      <c r="I11309" s="952"/>
    </row>
    <row r="11310" spans="3:9" ht="15.75">
      <c r="C11310" s="956" t="s">
        <v>926</v>
      </c>
      <c r="D11310" s="957"/>
      <c r="E11310" s="958"/>
      <c r="F11310" s="1069"/>
      <c r="G11310" s="957"/>
      <c r="H11310" s="1032"/>
      <c r="I11310" s="959">
        <f>+I11296</f>
        <v>8670</v>
      </c>
    </row>
    <row r="11311" spans="3:9" ht="15.75">
      <c r="C11311" s="956" t="s">
        <v>927</v>
      </c>
      <c r="D11311" s="957"/>
      <c r="E11311" s="958"/>
      <c r="F11311" s="1069"/>
      <c r="G11311" s="957"/>
      <c r="H11311" s="1032"/>
      <c r="I11311" s="959">
        <f>+I11300</f>
        <v>0</v>
      </c>
    </row>
    <row r="11312" spans="3:9" ht="15.75">
      <c r="C11312" s="956" t="s">
        <v>928</v>
      </c>
      <c r="D11312" s="957"/>
      <c r="E11312" s="958"/>
      <c r="F11312" s="1069"/>
      <c r="G11312" s="957"/>
      <c r="H11312" s="1032"/>
      <c r="I11312" s="959">
        <f>+I11304</f>
        <v>0</v>
      </c>
    </row>
    <row r="11313" spans="2:9" ht="15.75">
      <c r="C11313" s="956" t="s">
        <v>929</v>
      </c>
      <c r="D11313" s="957"/>
      <c r="E11313" s="958"/>
      <c r="F11313" s="1069"/>
      <c r="G11313" s="957"/>
      <c r="H11313" s="1032"/>
      <c r="I11313" s="959">
        <f>+I11308</f>
        <v>0</v>
      </c>
    </row>
    <row r="11314" spans="2:9" ht="15.75">
      <c r="C11314" s="949"/>
      <c r="D11314" s="946"/>
      <c r="E11314" s="947"/>
      <c r="F11314" s="1054"/>
      <c r="G11314" s="946"/>
      <c r="H11314" s="1031"/>
      <c r="I11314" s="948"/>
    </row>
    <row r="11315" spans="2:9" ht="15.75">
      <c r="C11315" s="951" t="s">
        <v>930</v>
      </c>
      <c r="D11315" s="960"/>
      <c r="E11315" s="975" t="str">
        <f>+E11292</f>
        <v>und</v>
      </c>
      <c r="F11315" s="1070"/>
      <c r="G11315" s="960"/>
      <c r="H11315" s="1033"/>
      <c r="I11315" s="952">
        <f>SUM(I11310:I11313)</f>
        <v>8670</v>
      </c>
    </row>
    <row r="11316" spans="2:9" ht="15.75">
      <c r="C11316" s="951"/>
      <c r="D11316" s="960"/>
      <c r="E11316" s="943"/>
      <c r="F11316" s="1070"/>
      <c r="G11316" s="960"/>
      <c r="H11316" s="1033"/>
      <c r="I11316" s="952"/>
    </row>
    <row r="11317" spans="2:9" ht="15.75">
      <c r="B11317" s="1026">
        <v>11.3</v>
      </c>
      <c r="C11317" s="937" t="str">
        <f>+Presupuesto!B654</f>
        <v>Puerta polimetálica blanca 0.90 x 2.11</v>
      </c>
      <c r="D11317" s="938"/>
      <c r="E11317" s="962" t="s">
        <v>1106</v>
      </c>
      <c r="F11317" s="1066"/>
      <c r="G11317" s="938"/>
      <c r="H11317" s="1029"/>
      <c r="I11317" s="940">
        <f>+I11340</f>
        <v>8670</v>
      </c>
    </row>
    <row r="11318" spans="2:9" ht="15.75">
      <c r="C11318" s="941" t="s">
        <v>908</v>
      </c>
      <c r="D11318" s="942" t="s">
        <v>9</v>
      </c>
      <c r="E11318" s="943" t="s">
        <v>10</v>
      </c>
      <c r="F11318" s="1067" t="s">
        <v>909</v>
      </c>
      <c r="G11318" s="942" t="s">
        <v>910</v>
      </c>
      <c r="H11318" s="1030" t="s">
        <v>911</v>
      </c>
      <c r="I11318" s="944" t="s">
        <v>912</v>
      </c>
    </row>
    <row r="11319" spans="2:9" ht="15.75">
      <c r="C11319" s="945" t="s">
        <v>913</v>
      </c>
      <c r="D11319" s="946"/>
      <c r="E11319" s="947"/>
      <c r="F11319" s="1054"/>
      <c r="G11319" s="946"/>
      <c r="H11319" s="1031"/>
      <c r="I11319" s="948"/>
    </row>
    <row r="11320" spans="2:9" ht="31.5">
      <c r="C11320" s="949" t="s">
        <v>1587</v>
      </c>
      <c r="D11320" s="946">
        <v>1.02</v>
      </c>
      <c r="E11320" s="947" t="str">
        <f>+VLOOKUP(C11320,'Basic (equilibrio) (2)'!B:D,2,FALSE)</f>
        <v>ud</v>
      </c>
      <c r="F11320" s="1068">
        <f>'Basic (equilibrio) (2)'!$D$340</f>
        <v>8500</v>
      </c>
      <c r="G11320" s="946">
        <f>F11320-(F11320/1.18)</f>
        <v>1296.6099999999999</v>
      </c>
      <c r="H11320" s="1031"/>
      <c r="I11320" s="948">
        <f>D11320*F11320</f>
        <v>8670</v>
      </c>
    </row>
    <row r="11321" spans="2:9" ht="15.75">
      <c r="C11321" s="951" t="s">
        <v>918</v>
      </c>
      <c r="D11321" s="946"/>
      <c r="E11321" s="947"/>
      <c r="F11321" s="1068"/>
      <c r="G11321" s="946"/>
      <c r="H11321" s="1031"/>
      <c r="I11321" s="952">
        <f>SUM(I11320:I11320)</f>
        <v>8670</v>
      </c>
    </row>
    <row r="11322" spans="2:9" ht="15.75">
      <c r="C11322" s="949"/>
      <c r="D11322" s="946"/>
      <c r="E11322" s="947"/>
      <c r="F11322" s="1068"/>
      <c r="G11322" s="946"/>
      <c r="H11322" s="1031"/>
      <c r="I11322" s="948"/>
    </row>
    <row r="11323" spans="2:9" ht="15.75">
      <c r="C11323" s="945" t="s">
        <v>919</v>
      </c>
      <c r="D11323" s="946"/>
      <c r="E11323" s="947"/>
      <c r="F11323" s="1068"/>
      <c r="G11323" s="946"/>
      <c r="H11323" s="1031"/>
      <c r="I11323" s="948"/>
    </row>
    <row r="11324" spans="2:9" ht="15.75">
      <c r="C11324" s="949" t="s">
        <v>924</v>
      </c>
      <c r="D11324" s="953">
        <v>8.33</v>
      </c>
      <c r="E11324" s="954" t="str">
        <f>+VLOOKUP(C11324,'Basic (equilibrio) (2)'!B:D,2,FALSE)</f>
        <v>n/a</v>
      </c>
      <c r="F11324" s="1068">
        <f>+VLOOKUP(C11324,'Basic (equilibrio) (2)'!B:D,3,FALSE)</f>
        <v>0</v>
      </c>
      <c r="G11324" s="946">
        <v>0</v>
      </c>
      <c r="H11324" s="1031"/>
      <c r="I11324" s="948">
        <f>(D11324*F11324)</f>
        <v>0</v>
      </c>
    </row>
    <row r="11325" spans="2:9" ht="15.75">
      <c r="C11325" s="951" t="s">
        <v>918</v>
      </c>
      <c r="D11325" s="946"/>
      <c r="E11325" s="947"/>
      <c r="F11325" s="1054"/>
      <c r="G11325" s="946"/>
      <c r="H11325" s="1031"/>
      <c r="I11325" s="952">
        <f>SUM(I11324:I11324)</f>
        <v>0</v>
      </c>
    </row>
    <row r="11326" spans="2:9" ht="15.75">
      <c r="C11326" s="949"/>
      <c r="D11326" s="946"/>
      <c r="E11326" s="947"/>
      <c r="F11326" s="1054"/>
      <c r="G11326" s="946"/>
      <c r="H11326" s="1031"/>
      <c r="I11326" s="948"/>
    </row>
    <row r="11327" spans="2:9" ht="15.75">
      <c r="C11327" s="945" t="s">
        <v>923</v>
      </c>
      <c r="D11327" s="946"/>
      <c r="E11327" s="947"/>
      <c r="F11327" s="1054"/>
      <c r="G11327" s="946"/>
      <c r="H11327" s="1031"/>
      <c r="I11327" s="948"/>
    </row>
    <row r="11328" spans="2:9" ht="15.75">
      <c r="C11328" s="949" t="s">
        <v>924</v>
      </c>
      <c r="D11328" s="946"/>
      <c r="E11328" s="947" t="str">
        <f>+VLOOKUP(C11328,'Basic (equilibrio) (2)'!B:D,2,FALSE)</f>
        <v>n/a</v>
      </c>
      <c r="F11328" s="1054">
        <f>+VLOOKUP(C11328,'Basic (equilibrio) (2)'!B:D,3,FALSE)</f>
        <v>0</v>
      </c>
      <c r="G11328" s="946">
        <f>F11328-(F11328/1.18)</f>
        <v>0</v>
      </c>
      <c r="H11328" s="1039"/>
      <c r="I11328" s="955">
        <f>D11328*F11328</f>
        <v>0</v>
      </c>
    </row>
    <row r="11329" spans="2:9" ht="15.75">
      <c r="C11329" s="951" t="s">
        <v>918</v>
      </c>
      <c r="D11329" s="946"/>
      <c r="E11329" s="947"/>
      <c r="F11329" s="1054"/>
      <c r="G11329" s="946"/>
      <c r="H11329" s="1031"/>
      <c r="I11329" s="952">
        <f>SUM(I11328:I11328)</f>
        <v>0</v>
      </c>
    </row>
    <row r="11330" spans="2:9" ht="15.75">
      <c r="C11330" s="949"/>
      <c r="D11330" s="946"/>
      <c r="E11330" s="947"/>
      <c r="F11330" s="1054"/>
      <c r="G11330" s="946"/>
      <c r="H11330" s="1031"/>
      <c r="I11330" s="948"/>
    </row>
    <row r="11331" spans="2:9" ht="15.75">
      <c r="C11331" s="945" t="s">
        <v>925</v>
      </c>
      <c r="D11331" s="946"/>
      <c r="E11331" s="947"/>
      <c r="F11331" s="1054"/>
      <c r="G11331" s="946"/>
      <c r="H11331" s="1031"/>
      <c r="I11331" s="948"/>
    </row>
    <row r="11332" spans="2:9" ht="15.75">
      <c r="C11332" s="949" t="s">
        <v>924</v>
      </c>
      <c r="D11332" s="946"/>
      <c r="E11332" s="947" t="str">
        <f>+VLOOKUP(C11332,'Basic (equilibrio) (2)'!B:D,2,FALSE)</f>
        <v>n/a</v>
      </c>
      <c r="F11332" s="1054">
        <f>+VLOOKUP(C11332,'Basic (equilibrio) (2)'!B:D,3,FALSE)</f>
        <v>0</v>
      </c>
      <c r="G11332" s="946"/>
      <c r="H11332" s="1031"/>
      <c r="I11332" s="948">
        <f>D11332*F11332</f>
        <v>0</v>
      </c>
    </row>
    <row r="11333" spans="2:9" ht="15.75">
      <c r="C11333" s="951" t="s">
        <v>918</v>
      </c>
      <c r="D11333" s="946"/>
      <c r="E11333" s="947"/>
      <c r="F11333" s="1054"/>
      <c r="G11333" s="946"/>
      <c r="H11333" s="1031"/>
      <c r="I11333" s="952">
        <f>SUM(I11332)</f>
        <v>0</v>
      </c>
    </row>
    <row r="11334" spans="2:9" ht="15.75">
      <c r="C11334" s="951"/>
      <c r="D11334" s="946"/>
      <c r="E11334" s="947"/>
      <c r="F11334" s="1054"/>
      <c r="G11334" s="946"/>
      <c r="H11334" s="1031"/>
      <c r="I11334" s="952"/>
    </row>
    <row r="11335" spans="2:9" ht="15.75">
      <c r="C11335" s="956" t="s">
        <v>926</v>
      </c>
      <c r="D11335" s="957"/>
      <c r="E11335" s="958"/>
      <c r="F11335" s="1069"/>
      <c r="G11335" s="957"/>
      <c r="H11335" s="1032"/>
      <c r="I11335" s="959">
        <f>+I11321</f>
        <v>8670</v>
      </c>
    </row>
    <row r="11336" spans="2:9" ht="15.75">
      <c r="C11336" s="956" t="s">
        <v>927</v>
      </c>
      <c r="D11336" s="957"/>
      <c r="E11336" s="958"/>
      <c r="F11336" s="1069"/>
      <c r="G11336" s="957"/>
      <c r="H11336" s="1032"/>
      <c r="I11336" s="959">
        <f>+I11325</f>
        <v>0</v>
      </c>
    </row>
    <row r="11337" spans="2:9" ht="15.75">
      <c r="C11337" s="956" t="s">
        <v>928</v>
      </c>
      <c r="D11337" s="957"/>
      <c r="E11337" s="958"/>
      <c r="F11337" s="1069"/>
      <c r="G11337" s="957"/>
      <c r="H11337" s="1032"/>
      <c r="I11337" s="959">
        <f>+I11329</f>
        <v>0</v>
      </c>
    </row>
    <row r="11338" spans="2:9" ht="15.75">
      <c r="C11338" s="956" t="s">
        <v>929</v>
      </c>
      <c r="D11338" s="957"/>
      <c r="E11338" s="958"/>
      <c r="F11338" s="1069"/>
      <c r="G11338" s="957"/>
      <c r="H11338" s="1032"/>
      <c r="I11338" s="959">
        <f>+I11333</f>
        <v>0</v>
      </c>
    </row>
    <row r="11339" spans="2:9" ht="15.75">
      <c r="C11339" s="949"/>
      <c r="D11339" s="946"/>
      <c r="E11339" s="947"/>
      <c r="F11339" s="1054"/>
      <c r="G11339" s="946"/>
      <c r="H11339" s="1031"/>
      <c r="I11339" s="948"/>
    </row>
    <row r="11340" spans="2:9" ht="15.75">
      <c r="C11340" s="951" t="s">
        <v>930</v>
      </c>
      <c r="D11340" s="960"/>
      <c r="E11340" s="975" t="str">
        <f>+E11317</f>
        <v>und</v>
      </c>
      <c r="F11340" s="1070"/>
      <c r="G11340" s="960"/>
      <c r="H11340" s="1033"/>
      <c r="I11340" s="952">
        <f>SUM(I11335:I11338)</f>
        <v>8670</v>
      </c>
    </row>
    <row r="11341" spans="2:9" ht="15.75">
      <c r="C11341" s="951"/>
      <c r="D11341" s="960"/>
      <c r="E11341" s="943"/>
      <c r="F11341" s="1070"/>
      <c r="G11341" s="960"/>
      <c r="H11341" s="1033"/>
      <c r="I11341" s="952"/>
    </row>
    <row r="11342" spans="2:9" ht="15.75">
      <c r="B11342" s="1026">
        <v>11.4</v>
      </c>
      <c r="C11342" s="937" t="str">
        <f>+Presupuesto!B655</f>
        <v>Ventana salomónica aluminio</v>
      </c>
      <c r="D11342" s="938"/>
      <c r="E11342" s="962" t="s">
        <v>1409</v>
      </c>
      <c r="F11342" s="1066"/>
      <c r="G11342" s="938"/>
      <c r="H11342" s="1029"/>
      <c r="I11342" s="940">
        <f>+I11365</f>
        <v>173.4</v>
      </c>
    </row>
    <row r="11343" spans="2:9" ht="15.75">
      <c r="C11343" s="941" t="s">
        <v>908</v>
      </c>
      <c r="D11343" s="942" t="s">
        <v>9</v>
      </c>
      <c r="E11343" s="943" t="s">
        <v>10</v>
      </c>
      <c r="F11343" s="1067" t="s">
        <v>909</v>
      </c>
      <c r="G11343" s="942" t="s">
        <v>910</v>
      </c>
      <c r="H11343" s="1030" t="s">
        <v>911</v>
      </c>
      <c r="I11343" s="944" t="s">
        <v>912</v>
      </c>
    </row>
    <row r="11344" spans="2:9" ht="15.75">
      <c r="C11344" s="945" t="s">
        <v>913</v>
      </c>
      <c r="D11344" s="946"/>
      <c r="E11344" s="947"/>
      <c r="F11344" s="1054"/>
      <c r="G11344" s="946"/>
      <c r="H11344" s="1031"/>
      <c r="I11344" s="948"/>
    </row>
    <row r="11345" spans="3:9" ht="15.75">
      <c r="C11345" s="949" t="s">
        <v>1680</v>
      </c>
      <c r="D11345" s="946">
        <v>1.02</v>
      </c>
      <c r="E11345" s="947" t="str">
        <f>+VLOOKUP(C11345,'Basic (equilibrio) (2)'!B:D,2,FALSE)</f>
        <v>p2</v>
      </c>
      <c r="F11345" s="1068">
        <f>'Basic (equilibrio) (2)'!$D$283</f>
        <v>170</v>
      </c>
      <c r="G11345" s="946">
        <f>F11345-(F11345/1.18)</f>
        <v>25.93</v>
      </c>
      <c r="H11345" s="1031"/>
      <c r="I11345" s="948">
        <f>D11345*F11345</f>
        <v>173.4</v>
      </c>
    </row>
    <row r="11346" spans="3:9" ht="15.75">
      <c r="C11346" s="951" t="s">
        <v>918</v>
      </c>
      <c r="D11346" s="946"/>
      <c r="E11346" s="947"/>
      <c r="F11346" s="1068"/>
      <c r="G11346" s="946"/>
      <c r="H11346" s="1031"/>
      <c r="I11346" s="952">
        <f>SUM(I11345:I11345)</f>
        <v>173.4</v>
      </c>
    </row>
    <row r="11347" spans="3:9" ht="15.75">
      <c r="C11347" s="949"/>
      <c r="D11347" s="946"/>
      <c r="E11347" s="947"/>
      <c r="F11347" s="1068"/>
      <c r="G11347" s="946"/>
      <c r="H11347" s="1031"/>
      <c r="I11347" s="948"/>
    </row>
    <row r="11348" spans="3:9" ht="15.75">
      <c r="C11348" s="945" t="s">
        <v>919</v>
      </c>
      <c r="D11348" s="946"/>
      <c r="E11348" s="947"/>
      <c r="F11348" s="1068"/>
      <c r="G11348" s="946"/>
      <c r="H11348" s="1031"/>
      <c r="I11348" s="948"/>
    </row>
    <row r="11349" spans="3:9" ht="15.75">
      <c r="C11349" s="949" t="s">
        <v>924</v>
      </c>
      <c r="D11349" s="953">
        <v>8.33</v>
      </c>
      <c r="E11349" s="954" t="str">
        <f>+VLOOKUP(C11349,'Basic (equilibrio) (2)'!B:D,2,FALSE)</f>
        <v>n/a</v>
      </c>
      <c r="F11349" s="1068">
        <f>+VLOOKUP(C11349,'Basic (equilibrio) (2)'!B:D,3,FALSE)</f>
        <v>0</v>
      </c>
      <c r="G11349" s="946">
        <v>0</v>
      </c>
      <c r="H11349" s="1031"/>
      <c r="I11349" s="948">
        <f>(D11349*F11349)</f>
        <v>0</v>
      </c>
    </row>
    <row r="11350" spans="3:9" ht="15.75">
      <c r="C11350" s="951" t="s">
        <v>918</v>
      </c>
      <c r="D11350" s="946"/>
      <c r="E11350" s="947"/>
      <c r="F11350" s="1054"/>
      <c r="G11350" s="946"/>
      <c r="H11350" s="1031"/>
      <c r="I11350" s="952">
        <f>SUM(I11349:I11349)</f>
        <v>0</v>
      </c>
    </row>
    <row r="11351" spans="3:9" ht="15.75">
      <c r="C11351" s="949"/>
      <c r="D11351" s="946"/>
      <c r="E11351" s="947"/>
      <c r="F11351" s="1054"/>
      <c r="G11351" s="946"/>
      <c r="H11351" s="1031"/>
      <c r="I11351" s="948"/>
    </row>
    <row r="11352" spans="3:9" ht="15.75">
      <c r="C11352" s="945" t="s">
        <v>923</v>
      </c>
      <c r="D11352" s="946"/>
      <c r="E11352" s="947"/>
      <c r="F11352" s="1054"/>
      <c r="G11352" s="946"/>
      <c r="H11352" s="1031"/>
      <c r="I11352" s="948"/>
    </row>
    <row r="11353" spans="3:9" ht="15.75">
      <c r="C11353" s="949" t="s">
        <v>924</v>
      </c>
      <c r="D11353" s="946"/>
      <c r="E11353" s="947" t="str">
        <f>+VLOOKUP(C11353,'Basic (equilibrio) (2)'!B:D,2,FALSE)</f>
        <v>n/a</v>
      </c>
      <c r="F11353" s="1054">
        <f>+VLOOKUP(C11353,'Basic (equilibrio) (2)'!B:D,3,FALSE)</f>
        <v>0</v>
      </c>
      <c r="G11353" s="946">
        <f>F11353-(F11353/1.18)</f>
        <v>0</v>
      </c>
      <c r="H11353" s="1039"/>
      <c r="I11353" s="955">
        <f>D11353*F11353</f>
        <v>0</v>
      </c>
    </row>
    <row r="11354" spans="3:9" ht="15.75">
      <c r="C11354" s="951" t="s">
        <v>918</v>
      </c>
      <c r="D11354" s="946"/>
      <c r="E11354" s="947"/>
      <c r="F11354" s="1054"/>
      <c r="G11354" s="946"/>
      <c r="H11354" s="1031"/>
      <c r="I11354" s="952">
        <f>SUM(I11353:I11353)</f>
        <v>0</v>
      </c>
    </row>
    <row r="11355" spans="3:9" ht="15.75">
      <c r="C11355" s="949"/>
      <c r="D11355" s="946"/>
      <c r="E11355" s="947"/>
      <c r="F11355" s="1054"/>
      <c r="G11355" s="946"/>
      <c r="H11355" s="1031"/>
      <c r="I11355" s="948"/>
    </row>
    <row r="11356" spans="3:9" ht="15.75">
      <c r="C11356" s="945" t="s">
        <v>925</v>
      </c>
      <c r="D11356" s="946"/>
      <c r="E11356" s="947"/>
      <c r="F11356" s="1054"/>
      <c r="G11356" s="946"/>
      <c r="H11356" s="1031"/>
      <c r="I11356" s="948"/>
    </row>
    <row r="11357" spans="3:9" ht="15.75">
      <c r="C11357" s="949" t="s">
        <v>924</v>
      </c>
      <c r="D11357" s="946"/>
      <c r="E11357" s="947" t="str">
        <f>+VLOOKUP(C11357,'Basic (equilibrio) (2)'!B:D,2,FALSE)</f>
        <v>n/a</v>
      </c>
      <c r="F11357" s="1054">
        <f>+VLOOKUP(C11357,'Basic (equilibrio) (2)'!B:D,3,FALSE)</f>
        <v>0</v>
      </c>
      <c r="G11357" s="946"/>
      <c r="H11357" s="1031"/>
      <c r="I11357" s="948">
        <f>D11357*F11357</f>
        <v>0</v>
      </c>
    </row>
    <row r="11358" spans="3:9" ht="15.75">
      <c r="C11358" s="951" t="s">
        <v>918</v>
      </c>
      <c r="D11358" s="946"/>
      <c r="E11358" s="947"/>
      <c r="F11358" s="1054"/>
      <c r="G11358" s="946"/>
      <c r="H11358" s="1031"/>
      <c r="I11358" s="952">
        <f>SUM(I11357)</f>
        <v>0</v>
      </c>
    </row>
    <row r="11359" spans="3:9" ht="15.75">
      <c r="C11359" s="951"/>
      <c r="D11359" s="946"/>
      <c r="E11359" s="947"/>
      <c r="F11359" s="1054"/>
      <c r="G11359" s="946"/>
      <c r="H11359" s="1031"/>
      <c r="I11359" s="952"/>
    </row>
    <row r="11360" spans="3:9" ht="15.75">
      <c r="C11360" s="956" t="s">
        <v>926</v>
      </c>
      <c r="D11360" s="957"/>
      <c r="E11360" s="958"/>
      <c r="F11360" s="1069"/>
      <c r="G11360" s="957"/>
      <c r="H11360" s="1032"/>
      <c r="I11360" s="959">
        <f>+I11346</f>
        <v>173.4</v>
      </c>
    </row>
    <row r="11361" spans="2:9" ht="15.75">
      <c r="C11361" s="956" t="s">
        <v>927</v>
      </c>
      <c r="D11361" s="957"/>
      <c r="E11361" s="958"/>
      <c r="F11361" s="1069"/>
      <c r="G11361" s="957"/>
      <c r="H11361" s="1032"/>
      <c r="I11361" s="959">
        <f>+I11350</f>
        <v>0</v>
      </c>
    </row>
    <row r="11362" spans="2:9" ht="15.75">
      <c r="C11362" s="956" t="s">
        <v>928</v>
      </c>
      <c r="D11362" s="957"/>
      <c r="E11362" s="958"/>
      <c r="F11362" s="1069"/>
      <c r="G11362" s="957"/>
      <c r="H11362" s="1032"/>
      <c r="I11362" s="959">
        <f>+I11354</f>
        <v>0</v>
      </c>
    </row>
    <row r="11363" spans="2:9" ht="15.75">
      <c r="C11363" s="956" t="s">
        <v>929</v>
      </c>
      <c r="D11363" s="957"/>
      <c r="E11363" s="958"/>
      <c r="F11363" s="1069"/>
      <c r="G11363" s="957"/>
      <c r="H11363" s="1032"/>
      <c r="I11363" s="959">
        <f>+I11358</f>
        <v>0</v>
      </c>
    </row>
    <row r="11364" spans="2:9" ht="15.75">
      <c r="C11364" s="949"/>
      <c r="D11364" s="946"/>
      <c r="E11364" s="947"/>
      <c r="F11364" s="1054"/>
      <c r="G11364" s="946"/>
      <c r="H11364" s="1031"/>
      <c r="I11364" s="948"/>
    </row>
    <row r="11365" spans="2:9" ht="15.75">
      <c r="C11365" s="951" t="s">
        <v>930</v>
      </c>
      <c r="D11365" s="960"/>
      <c r="E11365" s="975" t="str">
        <f>+E11342</f>
        <v>p2</v>
      </c>
      <c r="F11365" s="1070"/>
      <c r="G11365" s="960"/>
      <c r="H11365" s="1033"/>
      <c r="I11365" s="952">
        <f>SUM(I11360:I11363)</f>
        <v>173.4</v>
      </c>
    </row>
    <row r="11366" spans="2:9" ht="15.75">
      <c r="C11366" s="951"/>
      <c r="D11366" s="960"/>
      <c r="E11366" s="943"/>
      <c r="F11366" s="1070"/>
      <c r="G11366" s="960"/>
      <c r="H11366" s="1033"/>
      <c r="I11366" s="952"/>
    </row>
    <row r="11367" spans="2:9" ht="31.5">
      <c r="B11367" s="1026">
        <v>12.1</v>
      </c>
      <c r="C11367" s="937" t="str">
        <f>+Presupuesto!B658</f>
        <v>Suministro y colocación de particiones de baños en placa fenólicas con perfilería de anclaje en acero inoxidable.</v>
      </c>
      <c r="D11367" s="938"/>
      <c r="E11367" s="962" t="s">
        <v>1056</v>
      </c>
      <c r="F11367" s="1066"/>
      <c r="G11367" s="938"/>
      <c r="H11367" s="1029"/>
      <c r="I11367" s="940">
        <f>+I11390</f>
        <v>35700</v>
      </c>
    </row>
    <row r="11368" spans="2:9" ht="15.75">
      <c r="C11368" s="941" t="s">
        <v>908</v>
      </c>
      <c r="D11368" s="942" t="s">
        <v>9</v>
      </c>
      <c r="E11368" s="943" t="s">
        <v>10</v>
      </c>
      <c r="F11368" s="1067" t="s">
        <v>909</v>
      </c>
      <c r="G11368" s="942" t="s">
        <v>910</v>
      </c>
      <c r="H11368" s="1030" t="s">
        <v>911</v>
      </c>
      <c r="I11368" s="944" t="s">
        <v>912</v>
      </c>
    </row>
    <row r="11369" spans="2:9" ht="15.75">
      <c r="C11369" s="945" t="s">
        <v>913</v>
      </c>
      <c r="D11369" s="946"/>
      <c r="E11369" s="947"/>
      <c r="F11369" s="1054"/>
      <c r="G11369" s="946"/>
      <c r="H11369" s="1031"/>
      <c r="I11369" s="948"/>
    </row>
    <row r="11370" spans="2:9" ht="31.5">
      <c r="C11370" s="949" t="s">
        <v>1681</v>
      </c>
      <c r="D11370" s="946">
        <v>1.02</v>
      </c>
      <c r="E11370" s="947" t="str">
        <f>+VLOOKUP(C11370,'Basic (equilibrio) (2)'!B:D,2,FALSE)</f>
        <v>ud</v>
      </c>
      <c r="F11370" s="1068">
        <f>'Basic (equilibrio) (2)'!$D$284</f>
        <v>35000</v>
      </c>
      <c r="G11370" s="946">
        <f>F11370-(F11370/1.18)</f>
        <v>5338.98</v>
      </c>
      <c r="H11370" s="1031"/>
      <c r="I11370" s="948">
        <f>D11370*F11370</f>
        <v>35700</v>
      </c>
    </row>
    <row r="11371" spans="2:9" ht="15.75">
      <c r="C11371" s="951" t="s">
        <v>918</v>
      </c>
      <c r="D11371" s="946"/>
      <c r="E11371" s="947"/>
      <c r="F11371" s="1068"/>
      <c r="G11371" s="946"/>
      <c r="H11371" s="1031"/>
      <c r="I11371" s="952">
        <f>SUM(I11370:I11370)</f>
        <v>35700</v>
      </c>
    </row>
    <row r="11372" spans="2:9" ht="15.75">
      <c r="C11372" s="949"/>
      <c r="D11372" s="946"/>
      <c r="E11372" s="947"/>
      <c r="F11372" s="1068"/>
      <c r="G11372" s="946"/>
      <c r="H11372" s="1031"/>
      <c r="I11372" s="948"/>
    </row>
    <row r="11373" spans="2:9" ht="15.75">
      <c r="C11373" s="945" t="s">
        <v>919</v>
      </c>
      <c r="D11373" s="946"/>
      <c r="E11373" s="947"/>
      <c r="F11373" s="1068"/>
      <c r="G11373" s="946"/>
      <c r="H11373" s="1031"/>
      <c r="I11373" s="948"/>
    </row>
    <row r="11374" spans="2:9" ht="15.75">
      <c r="C11374" s="949" t="s">
        <v>924</v>
      </c>
      <c r="D11374" s="953">
        <v>8.33</v>
      </c>
      <c r="E11374" s="954" t="str">
        <f>+VLOOKUP(C11374,'Basic (equilibrio) (2)'!B:D,2,FALSE)</f>
        <v>n/a</v>
      </c>
      <c r="F11374" s="1068">
        <f>+VLOOKUP(C11374,'Basic (equilibrio) (2)'!B:D,3,FALSE)</f>
        <v>0</v>
      </c>
      <c r="G11374" s="946">
        <v>0</v>
      </c>
      <c r="H11374" s="1031"/>
      <c r="I11374" s="948">
        <f>(D11374*F11374)</f>
        <v>0</v>
      </c>
    </row>
    <row r="11375" spans="2:9" ht="15.75">
      <c r="C11375" s="951" t="s">
        <v>918</v>
      </c>
      <c r="D11375" s="946"/>
      <c r="E11375" s="947"/>
      <c r="F11375" s="1054"/>
      <c r="G11375" s="946"/>
      <c r="H11375" s="1031"/>
      <c r="I11375" s="952">
        <f>SUM(I11374:I11374)</f>
        <v>0</v>
      </c>
    </row>
    <row r="11376" spans="2:9" ht="15.75">
      <c r="C11376" s="949"/>
      <c r="D11376" s="946"/>
      <c r="E11376" s="947"/>
      <c r="F11376" s="1054"/>
      <c r="G11376" s="946"/>
      <c r="H11376" s="1031"/>
      <c r="I11376" s="948"/>
    </row>
    <row r="11377" spans="2:9" ht="15.75">
      <c r="C11377" s="945" t="s">
        <v>923</v>
      </c>
      <c r="D11377" s="946"/>
      <c r="E11377" s="947"/>
      <c r="F11377" s="1054"/>
      <c r="G11377" s="946"/>
      <c r="H11377" s="1031"/>
      <c r="I11377" s="948"/>
    </row>
    <row r="11378" spans="2:9" ht="15.75">
      <c r="C11378" s="949" t="s">
        <v>924</v>
      </c>
      <c r="D11378" s="946"/>
      <c r="E11378" s="947" t="str">
        <f>+VLOOKUP(C11378,'Basic (equilibrio) (2)'!B:D,2,FALSE)</f>
        <v>n/a</v>
      </c>
      <c r="F11378" s="1054">
        <f>+VLOOKUP(C11378,'Basic (equilibrio) (2)'!B:D,3,FALSE)</f>
        <v>0</v>
      </c>
      <c r="G11378" s="946">
        <f>F11378-(F11378/1.18)</f>
        <v>0</v>
      </c>
      <c r="H11378" s="1039"/>
      <c r="I11378" s="955">
        <f>D11378*F11378</f>
        <v>0</v>
      </c>
    </row>
    <row r="11379" spans="2:9" ht="15.75">
      <c r="C11379" s="951" t="s">
        <v>918</v>
      </c>
      <c r="D11379" s="946"/>
      <c r="E11379" s="947"/>
      <c r="F11379" s="1054"/>
      <c r="G11379" s="946"/>
      <c r="H11379" s="1031"/>
      <c r="I11379" s="952">
        <f>SUM(I11378:I11378)</f>
        <v>0</v>
      </c>
    </row>
    <row r="11380" spans="2:9" ht="15.75">
      <c r="C11380" s="949"/>
      <c r="D11380" s="946"/>
      <c r="E11380" s="947"/>
      <c r="F11380" s="1054"/>
      <c r="G11380" s="946"/>
      <c r="H11380" s="1031"/>
      <c r="I11380" s="948"/>
    </row>
    <row r="11381" spans="2:9" ht="15.75">
      <c r="C11381" s="945" t="s">
        <v>925</v>
      </c>
      <c r="D11381" s="946"/>
      <c r="E11381" s="947"/>
      <c r="F11381" s="1054"/>
      <c r="G11381" s="946"/>
      <c r="H11381" s="1031"/>
      <c r="I11381" s="948"/>
    </row>
    <row r="11382" spans="2:9" ht="15.75">
      <c r="C11382" s="949" t="s">
        <v>924</v>
      </c>
      <c r="D11382" s="946"/>
      <c r="E11382" s="947" t="str">
        <f>+VLOOKUP(C11382,'Basic (equilibrio) (2)'!B:D,2,FALSE)</f>
        <v>n/a</v>
      </c>
      <c r="F11382" s="1054">
        <f>+VLOOKUP(C11382,'Basic (equilibrio) (2)'!B:D,3,FALSE)</f>
        <v>0</v>
      </c>
      <c r="G11382" s="946"/>
      <c r="H11382" s="1031"/>
      <c r="I11382" s="948">
        <f>D11382*F11382</f>
        <v>0</v>
      </c>
    </row>
    <row r="11383" spans="2:9" ht="15.75">
      <c r="C11383" s="951" t="s">
        <v>918</v>
      </c>
      <c r="D11383" s="946"/>
      <c r="E11383" s="947"/>
      <c r="F11383" s="1054"/>
      <c r="G11383" s="946"/>
      <c r="H11383" s="1031"/>
      <c r="I11383" s="952">
        <f>SUM(I11382)</f>
        <v>0</v>
      </c>
    </row>
    <row r="11384" spans="2:9" ht="15.75">
      <c r="C11384" s="951"/>
      <c r="D11384" s="946"/>
      <c r="E11384" s="947"/>
      <c r="F11384" s="1054"/>
      <c r="G11384" s="946"/>
      <c r="H11384" s="1031"/>
      <c r="I11384" s="952"/>
    </row>
    <row r="11385" spans="2:9" ht="15.75">
      <c r="C11385" s="956" t="s">
        <v>926</v>
      </c>
      <c r="D11385" s="957"/>
      <c r="E11385" s="958"/>
      <c r="F11385" s="1069"/>
      <c r="G11385" s="957"/>
      <c r="H11385" s="1032"/>
      <c r="I11385" s="959">
        <f>+I11371</f>
        <v>35700</v>
      </c>
    </row>
    <row r="11386" spans="2:9" ht="15.75">
      <c r="C11386" s="956" t="s">
        <v>927</v>
      </c>
      <c r="D11386" s="957"/>
      <c r="E11386" s="958"/>
      <c r="F11386" s="1069"/>
      <c r="G11386" s="957"/>
      <c r="H11386" s="1032"/>
      <c r="I11386" s="959">
        <f>+I11375</f>
        <v>0</v>
      </c>
    </row>
    <row r="11387" spans="2:9" ht="15.75">
      <c r="C11387" s="956" t="s">
        <v>928</v>
      </c>
      <c r="D11387" s="957"/>
      <c r="E11387" s="958"/>
      <c r="F11387" s="1069"/>
      <c r="G11387" s="957"/>
      <c r="H11387" s="1032"/>
      <c r="I11387" s="959">
        <f>+I11379</f>
        <v>0</v>
      </c>
    </row>
    <row r="11388" spans="2:9" ht="15.75">
      <c r="C11388" s="956" t="s">
        <v>929</v>
      </c>
      <c r="D11388" s="957"/>
      <c r="E11388" s="958"/>
      <c r="F11388" s="1069"/>
      <c r="G11388" s="957"/>
      <c r="H11388" s="1032"/>
      <c r="I11388" s="959">
        <f>+I11383</f>
        <v>0</v>
      </c>
    </row>
    <row r="11389" spans="2:9" ht="15.75">
      <c r="C11389" s="949"/>
      <c r="D11389" s="946"/>
      <c r="E11389" s="947"/>
      <c r="F11389" s="1054"/>
      <c r="G11389" s="946"/>
      <c r="H11389" s="1031"/>
      <c r="I11389" s="948"/>
    </row>
    <row r="11390" spans="2:9" ht="15.75">
      <c r="C11390" s="951" t="s">
        <v>930</v>
      </c>
      <c r="D11390" s="960"/>
      <c r="E11390" s="975" t="str">
        <f>+E11367</f>
        <v>ud</v>
      </c>
      <c r="F11390" s="1070"/>
      <c r="G11390" s="960"/>
      <c r="H11390" s="1033"/>
      <c r="I11390" s="952">
        <f>SUM(I11385:I11388)</f>
        <v>35700</v>
      </c>
    </row>
    <row r="11391" spans="2:9" ht="15.75">
      <c r="C11391" s="951"/>
      <c r="D11391" s="960"/>
      <c r="E11391" s="943"/>
      <c r="F11391" s="1070"/>
      <c r="G11391" s="960"/>
      <c r="H11391" s="1033"/>
      <c r="I11391" s="952"/>
    </row>
    <row r="11392" spans="2:9" ht="47.25">
      <c r="B11392" s="1026">
        <v>12.2</v>
      </c>
      <c r="C11392" s="937" t="str">
        <f>+Presupuesto!B659</f>
        <v>Suministro y colocación de barandas metálica fabricada con perfiles redondo negro de 1 1/2" (incluye pintura anticorrosiva e industrial)</v>
      </c>
      <c r="D11392" s="938"/>
      <c r="E11392" s="962" t="s">
        <v>1056</v>
      </c>
      <c r="F11392" s="1066"/>
      <c r="G11392" s="938"/>
      <c r="H11392" s="1029"/>
      <c r="I11392" s="940">
        <f>+I11415</f>
        <v>12852</v>
      </c>
    </row>
    <row r="11393" spans="3:9" ht="15.75">
      <c r="C11393" s="941" t="s">
        <v>908</v>
      </c>
      <c r="D11393" s="942" t="s">
        <v>9</v>
      </c>
      <c r="E11393" s="943" t="s">
        <v>10</v>
      </c>
      <c r="F11393" s="1067" t="s">
        <v>909</v>
      </c>
      <c r="G11393" s="942" t="s">
        <v>910</v>
      </c>
      <c r="H11393" s="1030" t="s">
        <v>911</v>
      </c>
      <c r="I11393" s="944" t="s">
        <v>912</v>
      </c>
    </row>
    <row r="11394" spans="3:9" ht="15.75">
      <c r="C11394" s="945" t="s">
        <v>913</v>
      </c>
      <c r="D11394" s="946"/>
      <c r="E11394" s="947"/>
      <c r="F11394" s="1054"/>
      <c r="G11394" s="946"/>
      <c r="H11394" s="1031"/>
      <c r="I11394" s="948"/>
    </row>
    <row r="11395" spans="3:9" ht="47.25">
      <c r="C11395" s="949" t="s">
        <v>1682</v>
      </c>
      <c r="D11395" s="946">
        <v>1.02</v>
      </c>
      <c r="E11395" s="947" t="str">
        <f>+VLOOKUP(C11395,'Basic (equilibrio) (2)'!B:D,2,FALSE)</f>
        <v>m2</v>
      </c>
      <c r="F11395" s="1068">
        <f>'Basic (equilibrio) (2)'!$D$285</f>
        <v>12600</v>
      </c>
      <c r="G11395" s="946">
        <f>F11395-(F11395/1.18)</f>
        <v>1922.03</v>
      </c>
      <c r="H11395" s="1031"/>
      <c r="I11395" s="948">
        <f>D11395*F11395</f>
        <v>12852</v>
      </c>
    </row>
    <row r="11396" spans="3:9" ht="15.75">
      <c r="C11396" s="951" t="s">
        <v>918</v>
      </c>
      <c r="D11396" s="946"/>
      <c r="E11396" s="947"/>
      <c r="F11396" s="1068"/>
      <c r="G11396" s="946"/>
      <c r="H11396" s="1031"/>
      <c r="I11396" s="952">
        <f>SUM(I11395:I11395)</f>
        <v>12852</v>
      </c>
    </row>
    <row r="11397" spans="3:9" ht="15.75">
      <c r="C11397" s="949"/>
      <c r="D11397" s="946"/>
      <c r="E11397" s="947"/>
      <c r="F11397" s="1068"/>
      <c r="G11397" s="946"/>
      <c r="H11397" s="1031"/>
      <c r="I11397" s="948"/>
    </row>
    <row r="11398" spans="3:9" ht="15.75">
      <c r="C11398" s="945" t="s">
        <v>919</v>
      </c>
      <c r="D11398" s="946"/>
      <c r="E11398" s="947"/>
      <c r="F11398" s="1068"/>
      <c r="G11398" s="946"/>
      <c r="H11398" s="1031"/>
      <c r="I11398" s="948"/>
    </row>
    <row r="11399" spans="3:9" ht="15.75">
      <c r="C11399" s="949" t="s">
        <v>924</v>
      </c>
      <c r="D11399" s="953">
        <v>8.33</v>
      </c>
      <c r="E11399" s="954" t="str">
        <f>+VLOOKUP(C11399,'Basic (equilibrio) (2)'!B:D,2,FALSE)</f>
        <v>n/a</v>
      </c>
      <c r="F11399" s="1068">
        <f>+VLOOKUP(C11399,'Basic (equilibrio) (2)'!B:D,3,FALSE)</f>
        <v>0</v>
      </c>
      <c r="G11399" s="946">
        <v>0</v>
      </c>
      <c r="H11399" s="1031"/>
      <c r="I11399" s="948">
        <f>(D11399*F11399)</f>
        <v>0</v>
      </c>
    </row>
    <row r="11400" spans="3:9" ht="15.75">
      <c r="C11400" s="951" t="s">
        <v>918</v>
      </c>
      <c r="D11400" s="946"/>
      <c r="E11400" s="947"/>
      <c r="F11400" s="1054"/>
      <c r="G11400" s="946"/>
      <c r="H11400" s="1031"/>
      <c r="I11400" s="952">
        <f>SUM(I11399:I11399)</f>
        <v>0</v>
      </c>
    </row>
    <row r="11401" spans="3:9" ht="15.75">
      <c r="C11401" s="949"/>
      <c r="D11401" s="946"/>
      <c r="E11401" s="947"/>
      <c r="F11401" s="1054"/>
      <c r="G11401" s="946"/>
      <c r="H11401" s="1031"/>
      <c r="I11401" s="948"/>
    </row>
    <row r="11402" spans="3:9" ht="15.75">
      <c r="C11402" s="945" t="s">
        <v>923</v>
      </c>
      <c r="D11402" s="946"/>
      <c r="E11402" s="947"/>
      <c r="F11402" s="1054"/>
      <c r="G11402" s="946"/>
      <c r="H11402" s="1031"/>
      <c r="I11402" s="948"/>
    </row>
    <row r="11403" spans="3:9" ht="15.75">
      <c r="C11403" s="949" t="s">
        <v>924</v>
      </c>
      <c r="D11403" s="946"/>
      <c r="E11403" s="947" t="str">
        <f>+VLOOKUP(C11403,'Basic (equilibrio) (2)'!B:D,2,FALSE)</f>
        <v>n/a</v>
      </c>
      <c r="F11403" s="1054">
        <f>+VLOOKUP(C11403,'Basic (equilibrio) (2)'!B:D,3,FALSE)</f>
        <v>0</v>
      </c>
      <c r="G11403" s="946">
        <f>F11403-(F11403/1.18)</f>
        <v>0</v>
      </c>
      <c r="H11403" s="1039"/>
      <c r="I11403" s="955">
        <f>D11403*F11403</f>
        <v>0</v>
      </c>
    </row>
    <row r="11404" spans="3:9" ht="15.75">
      <c r="C11404" s="951" t="s">
        <v>918</v>
      </c>
      <c r="D11404" s="946"/>
      <c r="E11404" s="947"/>
      <c r="F11404" s="1054"/>
      <c r="G11404" s="946"/>
      <c r="H11404" s="1031"/>
      <c r="I11404" s="952">
        <f>SUM(I11403:I11403)</f>
        <v>0</v>
      </c>
    </row>
    <row r="11405" spans="3:9" ht="15.75">
      <c r="C11405" s="949"/>
      <c r="D11405" s="946"/>
      <c r="E11405" s="947"/>
      <c r="F11405" s="1054"/>
      <c r="G11405" s="946"/>
      <c r="H11405" s="1031"/>
      <c r="I11405" s="948"/>
    </row>
    <row r="11406" spans="3:9" ht="15.75">
      <c r="C11406" s="945" t="s">
        <v>925</v>
      </c>
      <c r="D11406" s="946"/>
      <c r="E11406" s="947"/>
      <c r="F11406" s="1054"/>
      <c r="G11406" s="946"/>
      <c r="H11406" s="1031"/>
      <c r="I11406" s="948"/>
    </row>
    <row r="11407" spans="3:9" ht="15.75">
      <c r="C11407" s="949" t="s">
        <v>924</v>
      </c>
      <c r="D11407" s="946"/>
      <c r="E11407" s="947" t="str">
        <f>+VLOOKUP(C11407,'Basic (equilibrio) (2)'!B:D,2,FALSE)</f>
        <v>n/a</v>
      </c>
      <c r="F11407" s="1054">
        <f>+VLOOKUP(C11407,'Basic (equilibrio) (2)'!B:D,3,FALSE)</f>
        <v>0</v>
      </c>
      <c r="G11407" s="946"/>
      <c r="H11407" s="1031"/>
      <c r="I11407" s="948">
        <f>D11407*F11407</f>
        <v>0</v>
      </c>
    </row>
    <row r="11408" spans="3:9" ht="15.75">
      <c r="C11408" s="951" t="s">
        <v>918</v>
      </c>
      <c r="D11408" s="946"/>
      <c r="E11408" s="947"/>
      <c r="F11408" s="1054"/>
      <c r="G11408" s="946"/>
      <c r="H11408" s="1031"/>
      <c r="I11408" s="952">
        <f>SUM(I11407)</f>
        <v>0</v>
      </c>
    </row>
    <row r="11409" spans="2:9" ht="15.75">
      <c r="C11409" s="951"/>
      <c r="D11409" s="946"/>
      <c r="E11409" s="947"/>
      <c r="F11409" s="1054"/>
      <c r="G11409" s="946"/>
      <c r="H11409" s="1031"/>
      <c r="I11409" s="952"/>
    </row>
    <row r="11410" spans="2:9" ht="15.75">
      <c r="C11410" s="956" t="s">
        <v>926</v>
      </c>
      <c r="D11410" s="957"/>
      <c r="E11410" s="958"/>
      <c r="F11410" s="1069"/>
      <c r="G11410" s="957"/>
      <c r="H11410" s="1032"/>
      <c r="I11410" s="959">
        <f>+I11396</f>
        <v>12852</v>
      </c>
    </row>
    <row r="11411" spans="2:9" ht="15.75">
      <c r="C11411" s="956" t="s">
        <v>927</v>
      </c>
      <c r="D11411" s="957"/>
      <c r="E11411" s="958"/>
      <c r="F11411" s="1069"/>
      <c r="G11411" s="957"/>
      <c r="H11411" s="1032"/>
      <c r="I11411" s="959">
        <f>+I11400</f>
        <v>0</v>
      </c>
    </row>
    <row r="11412" spans="2:9" ht="15.75">
      <c r="C11412" s="956" t="s">
        <v>928</v>
      </c>
      <c r="D11412" s="957"/>
      <c r="E11412" s="958"/>
      <c r="F11412" s="1069"/>
      <c r="G11412" s="957"/>
      <c r="H11412" s="1032"/>
      <c r="I11412" s="959">
        <f>+I11404</f>
        <v>0</v>
      </c>
    </row>
    <row r="11413" spans="2:9" ht="15.75">
      <c r="C11413" s="956" t="s">
        <v>929</v>
      </c>
      <c r="D11413" s="957"/>
      <c r="E11413" s="958"/>
      <c r="F11413" s="1069"/>
      <c r="G11413" s="957"/>
      <c r="H11413" s="1032"/>
      <c r="I11413" s="959">
        <f>+I11408</f>
        <v>0</v>
      </c>
    </row>
    <row r="11414" spans="2:9" ht="15.75">
      <c r="C11414" s="949"/>
      <c r="D11414" s="946"/>
      <c r="E11414" s="947"/>
      <c r="F11414" s="1054"/>
      <c r="G11414" s="946"/>
      <c r="H11414" s="1031"/>
      <c r="I11414" s="948"/>
    </row>
    <row r="11415" spans="2:9" ht="15.75">
      <c r="C11415" s="951" t="s">
        <v>930</v>
      </c>
      <c r="D11415" s="960"/>
      <c r="E11415" s="975" t="str">
        <f>+E11392</f>
        <v>ud</v>
      </c>
      <c r="F11415" s="1070"/>
      <c r="G11415" s="960"/>
      <c r="H11415" s="1033"/>
      <c r="I11415" s="952">
        <f>SUM(I11410:I11413)</f>
        <v>12852</v>
      </c>
    </row>
    <row r="11416" spans="2:9" ht="15.75">
      <c r="C11416" s="951"/>
      <c r="D11416" s="960"/>
      <c r="E11416" s="943"/>
      <c r="F11416" s="1070"/>
      <c r="G11416" s="960"/>
      <c r="H11416" s="1033"/>
      <c r="I11416" s="952"/>
    </row>
    <row r="11417" spans="2:9" ht="15.75">
      <c r="B11417" s="1026">
        <v>12.3</v>
      </c>
      <c r="C11417" s="937" t="str">
        <f>+Presupuesto!B660</f>
        <v>Acera de entrada y pasillo de cemento para acero a baños</v>
      </c>
      <c r="D11417" s="938"/>
      <c r="E11417" s="962" t="s">
        <v>1000</v>
      </c>
      <c r="F11417" s="1066"/>
      <c r="G11417" s="938"/>
      <c r="H11417" s="1029"/>
      <c r="I11417" s="940">
        <f>+I11445</f>
        <v>1589.22</v>
      </c>
    </row>
    <row r="11418" spans="2:9" ht="15.75">
      <c r="C11418" s="941" t="s">
        <v>908</v>
      </c>
      <c r="D11418" s="942" t="s">
        <v>9</v>
      </c>
      <c r="E11418" s="943" t="s">
        <v>10</v>
      </c>
      <c r="F11418" s="1067" t="s">
        <v>909</v>
      </c>
      <c r="G11418" s="942" t="s">
        <v>910</v>
      </c>
      <c r="H11418" s="1030" t="s">
        <v>911</v>
      </c>
      <c r="I11418" s="944" t="s">
        <v>912</v>
      </c>
    </row>
    <row r="11419" spans="2:9" ht="15.75">
      <c r="C11419" s="945" t="s">
        <v>913</v>
      </c>
      <c r="D11419" s="946"/>
      <c r="E11419" s="947"/>
      <c r="F11419" s="1054"/>
      <c r="G11419" s="946"/>
      <c r="H11419" s="1031"/>
      <c r="I11419" s="948"/>
    </row>
    <row r="11420" spans="2:9" ht="15.75">
      <c r="C11420" s="949" t="s">
        <v>956</v>
      </c>
      <c r="D11420" s="946">
        <v>1</v>
      </c>
      <c r="E11420" s="947" t="str">
        <f>+VLOOKUP(C11420,'Basic (equilibrio) (2)'!B:D,2,FALSE)</f>
        <v>rollo</v>
      </c>
      <c r="F11420" s="1068">
        <f>'Basic (equilibrio) (2)'!$D$330</f>
        <v>22294</v>
      </c>
      <c r="G11420" s="946">
        <f>F11420-(F11420/1.18)</f>
        <v>3400.78</v>
      </c>
      <c r="H11420" s="1031">
        <v>96</v>
      </c>
      <c r="I11420" s="948">
        <f>D11420*F11420/H11420</f>
        <v>232.23</v>
      </c>
    </row>
    <row r="11421" spans="2:9" ht="15.75">
      <c r="C11421" s="949" t="s">
        <v>957</v>
      </c>
      <c r="D11421" s="946">
        <v>0.11</v>
      </c>
      <c r="E11421" s="947" t="str">
        <f>+VLOOKUP(C11421,'Basic (equilibrio) (2)'!B:D,2,FALSE)</f>
        <v>m3</v>
      </c>
      <c r="F11421" s="1068">
        <f>'Basic (equilibrio) (2)'!$D$178</f>
        <v>7900</v>
      </c>
      <c r="G11421" s="946">
        <f>F11421-(F11421/1.18)</f>
        <v>1205.08</v>
      </c>
      <c r="H11421" s="1031"/>
      <c r="I11421" s="948">
        <f>D11421*F11421</f>
        <v>869</v>
      </c>
    </row>
    <row r="11422" spans="2:9" ht="15.75">
      <c r="C11422" s="949" t="s">
        <v>958</v>
      </c>
      <c r="D11422" s="946">
        <v>0.02</v>
      </c>
      <c r="E11422" s="947" t="str">
        <f>+VLOOKUP(C11422,'Basic (equilibrio) (2)'!B:D,2,FALSE)</f>
        <v>m3</v>
      </c>
      <c r="F11422" s="1068">
        <f>'Basic (equilibrio) (2)'!$D$309</f>
        <v>6820</v>
      </c>
      <c r="G11422" s="946">
        <f>F11422-(F11422/1.18)</f>
        <v>1040.3399999999999</v>
      </c>
      <c r="H11422" s="1031"/>
      <c r="I11422" s="948">
        <f>D11422*F11422</f>
        <v>136.4</v>
      </c>
    </row>
    <row r="11423" spans="2:9" ht="15.75">
      <c r="C11423" s="949" t="s">
        <v>916</v>
      </c>
      <c r="D11423" s="946">
        <v>0.18</v>
      </c>
      <c r="E11423" s="947" t="str">
        <f>+VLOOKUP(C11423,'Basic (equilibrio) (2)'!B:D,2,FALSE)</f>
        <v>pt</v>
      </c>
      <c r="F11423" s="1068">
        <f>'Basic (equilibrio) (2)'!$D$194</f>
        <v>107.7</v>
      </c>
      <c r="G11423" s="946">
        <f>F11423-(F11423/1.18)</f>
        <v>16.43</v>
      </c>
      <c r="H11423" s="1031"/>
      <c r="I11423" s="948">
        <f>D11423*F11423</f>
        <v>19.39</v>
      </c>
    </row>
    <row r="11424" spans="2:9" ht="15.75">
      <c r="C11424" s="951" t="s">
        <v>918</v>
      </c>
      <c r="D11424" s="946"/>
      <c r="E11424" s="947"/>
      <c r="F11424" s="1068"/>
      <c r="G11424" s="946"/>
      <c r="H11424" s="1031"/>
      <c r="I11424" s="952">
        <f>SUM(I11420:I11423)</f>
        <v>1257.02</v>
      </c>
    </row>
    <row r="11425" spans="3:9" ht="15.75">
      <c r="C11425" s="949"/>
      <c r="D11425" s="946"/>
      <c r="E11425" s="947"/>
      <c r="F11425" s="1068"/>
      <c r="G11425" s="946"/>
      <c r="H11425" s="1031"/>
      <c r="I11425" s="948"/>
    </row>
    <row r="11426" spans="3:9" ht="15.75">
      <c r="C11426" s="945" t="s">
        <v>919</v>
      </c>
      <c r="D11426" s="946"/>
      <c r="E11426" s="947"/>
      <c r="F11426" s="1068"/>
      <c r="G11426" s="946"/>
      <c r="H11426" s="1031"/>
      <c r="I11426" s="948"/>
    </row>
    <row r="11427" spans="3:9" ht="15.75">
      <c r="C11427" s="949" t="s">
        <v>959</v>
      </c>
      <c r="D11427" s="953">
        <v>1</v>
      </c>
      <c r="E11427" s="954" t="str">
        <f>+VLOOKUP(C11427,'Basic (equilibrio) (2)'!B:D,2,FALSE)</f>
        <v>m2</v>
      </c>
      <c r="F11427" s="1068">
        <f>'Basic (equilibrio) (2)'!$D$17</f>
        <v>50</v>
      </c>
      <c r="G11427" s="946">
        <v>0</v>
      </c>
      <c r="H11427" s="1031"/>
      <c r="I11427" s="948">
        <f>(D11427*F11427)</f>
        <v>50</v>
      </c>
    </row>
    <row r="11428" spans="3:9" ht="31.5">
      <c r="C11428" s="949" t="s">
        <v>960</v>
      </c>
      <c r="D11428" s="946">
        <v>1</v>
      </c>
      <c r="E11428" s="947" t="str">
        <f>+VLOOKUP(C11428,'Basic (equilibrio) (2)'!B:D,2,FALSE)</f>
        <v>m2</v>
      </c>
      <c r="F11428" s="1068">
        <f>'Basic (equilibrio) (2)'!$D$24</f>
        <v>196</v>
      </c>
      <c r="G11428" s="946">
        <f>F11428-(F11428/1.18)</f>
        <v>29.9</v>
      </c>
      <c r="H11428" s="1031"/>
      <c r="I11428" s="948">
        <f>D11428*F11428</f>
        <v>196</v>
      </c>
    </row>
    <row r="11429" spans="3:9" ht="15.75">
      <c r="C11429" s="949" t="s">
        <v>961</v>
      </c>
      <c r="D11429" s="946">
        <v>1</v>
      </c>
      <c r="E11429" s="947" t="str">
        <f>+VLOOKUP(C11429,'Basic (equilibrio) (2)'!B:D,2,FALSE)</f>
        <v>m2</v>
      </c>
      <c r="F11429" s="1068">
        <f>+'Basic (equilibrio) (2)'!$D$47</f>
        <v>86.2</v>
      </c>
      <c r="G11429" s="946">
        <f>F11429-(F11429/1.18)</f>
        <v>13.15</v>
      </c>
      <c r="H11429" s="1031"/>
      <c r="I11429" s="948">
        <f>D11429*F11429</f>
        <v>86.2</v>
      </c>
    </row>
    <row r="11430" spans="3:9" ht="15.75">
      <c r="C11430" s="951" t="s">
        <v>918</v>
      </c>
      <c r="D11430" s="946"/>
      <c r="E11430" s="947"/>
      <c r="F11430" s="1054"/>
      <c r="G11430" s="946"/>
      <c r="H11430" s="1031"/>
      <c r="I11430" s="952">
        <f>SUM(I11427:I11429)</f>
        <v>332.2</v>
      </c>
    </row>
    <row r="11431" spans="3:9" ht="15.75">
      <c r="C11431" s="949"/>
      <c r="D11431" s="946"/>
      <c r="E11431" s="947"/>
      <c r="F11431" s="1054"/>
      <c r="G11431" s="946"/>
      <c r="H11431" s="1031"/>
      <c r="I11431" s="948"/>
    </row>
    <row r="11432" spans="3:9" ht="15.75">
      <c r="C11432" s="945" t="s">
        <v>923</v>
      </c>
      <c r="D11432" s="946"/>
      <c r="E11432" s="947"/>
      <c r="F11432" s="1054"/>
      <c r="G11432" s="946"/>
      <c r="H11432" s="1031"/>
      <c r="I11432" s="948"/>
    </row>
    <row r="11433" spans="3:9" ht="15.75">
      <c r="C11433" s="949" t="s">
        <v>924</v>
      </c>
      <c r="D11433" s="946"/>
      <c r="E11433" s="947" t="str">
        <f>+VLOOKUP(C11433,'Basic (equilibrio) (2)'!B:D,2,FALSE)</f>
        <v>n/a</v>
      </c>
      <c r="F11433" s="1054">
        <f>+VLOOKUP(C11433,'Basic (equilibrio) (2)'!B:D,3,FALSE)</f>
        <v>0</v>
      </c>
      <c r="G11433" s="946">
        <f>F11433-(F11433/1.18)</f>
        <v>0</v>
      </c>
      <c r="H11433" s="1039"/>
      <c r="I11433" s="955">
        <f>D11433*F11433</f>
        <v>0</v>
      </c>
    </row>
    <row r="11434" spans="3:9" ht="15.75">
      <c r="C11434" s="951" t="s">
        <v>918</v>
      </c>
      <c r="D11434" s="946"/>
      <c r="E11434" s="947"/>
      <c r="F11434" s="1054"/>
      <c r="G11434" s="946"/>
      <c r="H11434" s="1031"/>
      <c r="I11434" s="952">
        <f>SUM(I11433:I11433)</f>
        <v>0</v>
      </c>
    </row>
    <row r="11435" spans="3:9" ht="15.75">
      <c r="C11435" s="949"/>
      <c r="D11435" s="946"/>
      <c r="E11435" s="947"/>
      <c r="F11435" s="1054"/>
      <c r="G11435" s="946"/>
      <c r="H11435" s="1031"/>
      <c r="I11435" s="948"/>
    </row>
    <row r="11436" spans="3:9" ht="15.75">
      <c r="C11436" s="945" t="s">
        <v>925</v>
      </c>
      <c r="D11436" s="946"/>
      <c r="E11436" s="947"/>
      <c r="F11436" s="1054"/>
      <c r="G11436" s="946"/>
      <c r="H11436" s="1031"/>
      <c r="I11436" s="948"/>
    </row>
    <row r="11437" spans="3:9" ht="15.75">
      <c r="C11437" s="949" t="s">
        <v>925</v>
      </c>
      <c r="D11437" s="946">
        <f>+I11430</f>
        <v>332.2</v>
      </c>
      <c r="E11437" s="947" t="str">
        <f>+VLOOKUP(C11437,'Basic (equilibrio) (2)'!B:D,2,FALSE)</f>
        <v>Pa</v>
      </c>
      <c r="F11437" s="1054">
        <f>+VLOOKUP(C11437,'Basic (equilibrio) (2)'!B:D,3,FALSE)</f>
        <v>0</v>
      </c>
      <c r="G11437" s="946"/>
      <c r="H11437" s="1031"/>
      <c r="I11437" s="948">
        <f>D11437*F11437</f>
        <v>0</v>
      </c>
    </row>
    <row r="11438" spans="3:9" ht="15.75">
      <c r="C11438" s="951" t="s">
        <v>918</v>
      </c>
      <c r="D11438" s="946"/>
      <c r="E11438" s="947"/>
      <c r="F11438" s="1054"/>
      <c r="G11438" s="946"/>
      <c r="H11438" s="1031"/>
      <c r="I11438" s="952">
        <f>SUM(I11437)</f>
        <v>0</v>
      </c>
    </row>
    <row r="11439" spans="3:9" ht="15.75">
      <c r="C11439" s="951"/>
      <c r="D11439" s="946"/>
      <c r="E11439" s="947"/>
      <c r="F11439" s="1054"/>
      <c r="G11439" s="946"/>
      <c r="H11439" s="1031"/>
      <c r="I11439" s="952"/>
    </row>
    <row r="11440" spans="3:9" ht="15.75">
      <c r="C11440" s="956" t="s">
        <v>926</v>
      </c>
      <c r="D11440" s="957"/>
      <c r="E11440" s="958"/>
      <c r="F11440" s="1069"/>
      <c r="G11440" s="957"/>
      <c r="H11440" s="1032"/>
      <c r="I11440" s="959">
        <f>+I11424</f>
        <v>1257.02</v>
      </c>
    </row>
    <row r="11441" spans="2:9" ht="15.75">
      <c r="C11441" s="956" t="s">
        <v>927</v>
      </c>
      <c r="D11441" s="957"/>
      <c r="E11441" s="958"/>
      <c r="F11441" s="1069"/>
      <c r="G11441" s="957"/>
      <c r="H11441" s="1032"/>
      <c r="I11441" s="959">
        <f>+I11430</f>
        <v>332.2</v>
      </c>
    </row>
    <row r="11442" spans="2:9" ht="15.75">
      <c r="C11442" s="956" t="s">
        <v>928</v>
      </c>
      <c r="D11442" s="957"/>
      <c r="E11442" s="958"/>
      <c r="F11442" s="1069"/>
      <c r="G11442" s="957"/>
      <c r="H11442" s="1032"/>
      <c r="I11442" s="959">
        <f>+I11434</f>
        <v>0</v>
      </c>
    </row>
    <row r="11443" spans="2:9" ht="15.75">
      <c r="C11443" s="956" t="s">
        <v>929</v>
      </c>
      <c r="D11443" s="957"/>
      <c r="E11443" s="958"/>
      <c r="F11443" s="1069"/>
      <c r="G11443" s="957"/>
      <c r="H11443" s="1032"/>
      <c r="I11443" s="959">
        <f>+I11438</f>
        <v>0</v>
      </c>
    </row>
    <row r="11444" spans="2:9" ht="15.75">
      <c r="C11444" s="949"/>
      <c r="D11444" s="946"/>
      <c r="E11444" s="947"/>
      <c r="F11444" s="1054"/>
      <c r="G11444" s="946"/>
      <c r="H11444" s="1031"/>
      <c r="I11444" s="948"/>
    </row>
    <row r="11445" spans="2:9" ht="15.75">
      <c r="C11445" s="951" t="s">
        <v>930</v>
      </c>
      <c r="D11445" s="960"/>
      <c r="E11445" s="975" t="str">
        <f>+E11417</f>
        <v>m2</v>
      </c>
      <c r="F11445" s="1070"/>
      <c r="G11445" s="960"/>
      <c r="H11445" s="1033"/>
      <c r="I11445" s="952">
        <f>SUM(I11440:I11443)</f>
        <v>1589.22</v>
      </c>
    </row>
    <row r="11446" spans="2:9" ht="15.75">
      <c r="C11446" s="951"/>
      <c r="D11446" s="960"/>
      <c r="E11446" s="943"/>
      <c r="F11446" s="1070"/>
      <c r="G11446" s="960"/>
      <c r="H11446" s="1033"/>
      <c r="I11446" s="952"/>
    </row>
    <row r="11447" spans="2:9" ht="15.75">
      <c r="B11447" s="1026">
        <v>12.4</v>
      </c>
      <c r="C11447" s="937" t="str">
        <f>+Presupuesto!B661</f>
        <v>Escalones de cemento pulido con canto reforzado</v>
      </c>
      <c r="D11447" s="938"/>
      <c r="E11447" s="962" t="s">
        <v>15</v>
      </c>
      <c r="F11447" s="1066"/>
      <c r="G11447" s="938"/>
      <c r="H11447" s="1029"/>
      <c r="I11447" s="940">
        <f>+I11476</f>
        <v>1079.22</v>
      </c>
    </row>
    <row r="11448" spans="2:9" ht="15.75">
      <c r="C11448" s="941" t="s">
        <v>908</v>
      </c>
      <c r="D11448" s="942" t="s">
        <v>9</v>
      </c>
      <c r="E11448" s="943" t="s">
        <v>10</v>
      </c>
      <c r="F11448" s="1067" t="s">
        <v>909</v>
      </c>
      <c r="G11448" s="942" t="s">
        <v>910</v>
      </c>
      <c r="H11448" s="1030" t="s">
        <v>911</v>
      </c>
      <c r="I11448" s="944" t="s">
        <v>912</v>
      </c>
    </row>
    <row r="11449" spans="2:9" ht="15.75">
      <c r="C11449" s="945" t="s">
        <v>913</v>
      </c>
      <c r="D11449" s="946"/>
      <c r="E11449" s="947"/>
      <c r="F11449" s="1054"/>
      <c r="G11449" s="946"/>
      <c r="H11449" s="1031"/>
      <c r="I11449" s="948"/>
    </row>
    <row r="11450" spans="2:9" ht="15.75">
      <c r="C11450" s="949" t="s">
        <v>994</v>
      </c>
      <c r="D11450" s="946">
        <v>1.05</v>
      </c>
      <c r="E11450" s="947" t="str">
        <f>+VLOOKUP(C11450,'Basic (equilibrio) (2)'!B:D,2,FALSE)</f>
        <v>m3</v>
      </c>
      <c r="F11450" s="1068">
        <f>'Basic (equilibrio) (2)'!$D$179</f>
        <v>7600</v>
      </c>
      <c r="G11450" s="946">
        <f>F11450-(F11450/1.18)</f>
        <v>1159.32</v>
      </c>
      <c r="H11450" s="1031"/>
      <c r="I11450" s="948">
        <f>D11450*F11450</f>
        <v>7980</v>
      </c>
    </row>
    <row r="11451" spans="2:9" ht="15.75">
      <c r="C11451" s="949" t="s">
        <v>1188</v>
      </c>
      <c r="D11451" s="946">
        <v>2.78</v>
      </c>
      <c r="E11451" s="947" t="str">
        <f>+VLOOKUP(C11451,'Basic (equilibrio) (2)'!B:D,2,FALSE)</f>
        <v>qq</v>
      </c>
      <c r="F11451" s="1068">
        <f>'Basic (equilibrio) (2)'!$D$183</f>
        <v>3600</v>
      </c>
      <c r="G11451" s="946">
        <f>F11451-(F11451/1.18)</f>
        <v>549.15</v>
      </c>
      <c r="H11451" s="1031"/>
      <c r="I11451" s="948">
        <f>D11451*F11451</f>
        <v>10008</v>
      </c>
    </row>
    <row r="11452" spans="2:9" ht="15.75">
      <c r="C11452" s="949" t="s">
        <v>1328</v>
      </c>
      <c r="D11452" s="946">
        <v>5.56</v>
      </c>
      <c r="E11452" s="947" t="str">
        <f>+VLOOKUP(C11452,'Basic (equilibrio) (2)'!B:D,2,FALSE)</f>
        <v>lb</v>
      </c>
      <c r="F11452" s="1068">
        <f>'Basic (equilibrio) (2)'!$D$334</f>
        <v>31.1</v>
      </c>
      <c r="G11452" s="946">
        <f>F11452-(F11452/1.18)</f>
        <v>4.74</v>
      </c>
      <c r="H11452" s="1031"/>
      <c r="I11452" s="948">
        <f>D11452*F11452</f>
        <v>172.92</v>
      </c>
    </row>
    <row r="11453" spans="2:9" ht="15.75">
      <c r="C11453" s="949" t="s">
        <v>1072</v>
      </c>
      <c r="D11453" s="946">
        <v>25</v>
      </c>
      <c r="E11453" s="947" t="str">
        <f>+VLOOKUP(C11453,'Basic (equilibrio) (2)'!B:D,2,FALSE)</f>
        <v>ml</v>
      </c>
      <c r="F11453" s="1068">
        <f>'Basic (equilibrio) (2)'!$D$22</f>
        <v>351</v>
      </c>
      <c r="G11453" s="946">
        <f>F11453-(F11453/1.18)</f>
        <v>53.54</v>
      </c>
      <c r="H11453" s="1031"/>
      <c r="I11453" s="948">
        <f>D11453*F11453</f>
        <v>8775</v>
      </c>
    </row>
    <row r="11454" spans="2:9" ht="15.75">
      <c r="C11454" s="951" t="s">
        <v>918</v>
      </c>
      <c r="D11454" s="946"/>
      <c r="E11454" s="947"/>
      <c r="F11454" s="1068"/>
      <c r="G11454" s="946"/>
      <c r="H11454" s="1031"/>
      <c r="I11454" s="952">
        <f>SUM(I11450:I11453)</f>
        <v>26935.919999999998</v>
      </c>
    </row>
    <row r="11455" spans="2:9" ht="15.75">
      <c r="C11455" s="949"/>
      <c r="D11455" s="946"/>
      <c r="E11455" s="947"/>
      <c r="F11455" s="1068"/>
      <c r="G11455" s="946"/>
      <c r="H11455" s="1031"/>
      <c r="I11455" s="948"/>
    </row>
    <row r="11456" spans="2:9" ht="15.75">
      <c r="C11456" s="945" t="s">
        <v>919</v>
      </c>
      <c r="D11456" s="946"/>
      <c r="E11456" s="947"/>
      <c r="F11456" s="1068"/>
      <c r="G11456" s="946"/>
      <c r="H11456" s="1031"/>
      <c r="I11456" s="948"/>
    </row>
    <row r="11457" spans="3:9" ht="15.75">
      <c r="C11457" s="949" t="s">
        <v>1073</v>
      </c>
      <c r="D11457" s="953">
        <v>25</v>
      </c>
      <c r="E11457" s="954" t="str">
        <f>+VLOOKUP(C11457,'Basic (equilibrio) (2)'!B:D,2,FALSE)</f>
        <v>ml</v>
      </c>
      <c r="F11457" s="1068">
        <f>'Basic (equilibrio) (2)'!$D$25</f>
        <v>125</v>
      </c>
      <c r="G11457" s="946">
        <v>0</v>
      </c>
      <c r="H11457" s="1031">
        <v>70</v>
      </c>
      <c r="I11457" s="948">
        <f>(D11457*F11457)/H11457</f>
        <v>44.64</v>
      </c>
    </row>
    <row r="11458" spans="3:9" ht="15.75">
      <c r="C11458" s="951" t="s">
        <v>918</v>
      </c>
      <c r="D11458" s="946"/>
      <c r="E11458" s="947"/>
      <c r="F11458" s="1054"/>
      <c r="G11458" s="946"/>
      <c r="H11458" s="1031"/>
      <c r="I11458" s="952">
        <f>SUM(I11457:I11457)</f>
        <v>44.64</v>
      </c>
    </row>
    <row r="11459" spans="3:9" ht="15.75">
      <c r="C11459" s="949"/>
      <c r="D11459" s="946"/>
      <c r="E11459" s="947"/>
      <c r="F11459" s="1054"/>
      <c r="G11459" s="946"/>
      <c r="H11459" s="1031"/>
      <c r="I11459" s="948"/>
    </row>
    <row r="11460" spans="3:9" ht="15.75">
      <c r="C11460" s="945" t="s">
        <v>923</v>
      </c>
      <c r="D11460" s="946"/>
      <c r="E11460" s="947"/>
      <c r="F11460" s="1054"/>
      <c r="G11460" s="946"/>
      <c r="H11460" s="1031"/>
      <c r="I11460" s="948"/>
    </row>
    <row r="11461" spans="3:9" ht="15.75">
      <c r="C11461" s="949" t="s">
        <v>924</v>
      </c>
      <c r="D11461" s="946"/>
      <c r="E11461" s="947" t="str">
        <f>+VLOOKUP(C11461,'Basic (equilibrio) (2)'!B:D,2,FALSE)</f>
        <v>n/a</v>
      </c>
      <c r="F11461" s="1054">
        <f>+VLOOKUP(C11461,'Basic (equilibrio) (2)'!B:D,3,FALSE)</f>
        <v>0</v>
      </c>
      <c r="G11461" s="946">
        <f>F11461-(F11461/1.18)</f>
        <v>0</v>
      </c>
      <c r="H11461" s="1039"/>
      <c r="I11461" s="955">
        <f>D11461*F11461</f>
        <v>0</v>
      </c>
    </row>
    <row r="11462" spans="3:9" ht="15.75">
      <c r="C11462" s="951" t="s">
        <v>918</v>
      </c>
      <c r="D11462" s="946"/>
      <c r="E11462" s="947"/>
      <c r="F11462" s="1054"/>
      <c r="G11462" s="946"/>
      <c r="H11462" s="1031"/>
      <c r="I11462" s="952">
        <f>SUM(I11461:I11461)</f>
        <v>0</v>
      </c>
    </row>
    <row r="11463" spans="3:9" ht="15.75">
      <c r="C11463" s="949"/>
      <c r="D11463" s="946"/>
      <c r="E11463" s="947"/>
      <c r="F11463" s="1054"/>
      <c r="G11463" s="946"/>
      <c r="H11463" s="1031"/>
      <c r="I11463" s="948"/>
    </row>
    <row r="11464" spans="3:9" ht="15.75">
      <c r="C11464" s="945" t="s">
        <v>925</v>
      </c>
      <c r="D11464" s="946"/>
      <c r="E11464" s="947"/>
      <c r="F11464" s="1054"/>
      <c r="G11464" s="946"/>
      <c r="H11464" s="1031"/>
      <c r="I11464" s="948"/>
    </row>
    <row r="11465" spans="3:9" ht="15.75">
      <c r="C11465" s="949" t="s">
        <v>924</v>
      </c>
      <c r="D11465" s="946"/>
      <c r="E11465" s="947" t="str">
        <f>+VLOOKUP(C11465,'Basic (equilibrio) (2)'!B:D,2,FALSE)</f>
        <v>n/a</v>
      </c>
      <c r="F11465" s="1054">
        <f>+VLOOKUP(C11465,'Basic (equilibrio) (2)'!B:D,3,FALSE)</f>
        <v>0</v>
      </c>
      <c r="G11465" s="946"/>
      <c r="H11465" s="1031"/>
      <c r="I11465" s="948">
        <f>D11465*F11465</f>
        <v>0</v>
      </c>
    </row>
    <row r="11466" spans="3:9" ht="15.75">
      <c r="C11466" s="951" t="s">
        <v>918</v>
      </c>
      <c r="D11466" s="946"/>
      <c r="E11466" s="947"/>
      <c r="F11466" s="1054"/>
      <c r="G11466" s="946"/>
      <c r="H11466" s="1031"/>
      <c r="I11466" s="952">
        <f>SUM(I11465)</f>
        <v>0</v>
      </c>
    </row>
    <row r="11467" spans="3:9" ht="15.75">
      <c r="C11467" s="951"/>
      <c r="D11467" s="946"/>
      <c r="E11467" s="947"/>
      <c r="F11467" s="1054"/>
      <c r="G11467" s="946"/>
      <c r="H11467" s="1031"/>
      <c r="I11467" s="952"/>
    </row>
    <row r="11468" spans="3:9" ht="15.75">
      <c r="C11468" s="956" t="s">
        <v>926</v>
      </c>
      <c r="D11468" s="957"/>
      <c r="E11468" s="958"/>
      <c r="F11468" s="1069"/>
      <c r="G11468" s="957"/>
      <c r="H11468" s="1032"/>
      <c r="I11468" s="959">
        <f>+I11454</f>
        <v>26935.919999999998</v>
      </c>
    </row>
    <row r="11469" spans="3:9" ht="15.75">
      <c r="C11469" s="956" t="s">
        <v>927</v>
      </c>
      <c r="D11469" s="957"/>
      <c r="E11469" s="958"/>
      <c r="F11469" s="1069"/>
      <c r="G11469" s="957"/>
      <c r="H11469" s="1032"/>
      <c r="I11469" s="959">
        <f>+I11458</f>
        <v>44.64</v>
      </c>
    </row>
    <row r="11470" spans="3:9" ht="15.75">
      <c r="C11470" s="956" t="s">
        <v>928</v>
      </c>
      <c r="D11470" s="957"/>
      <c r="E11470" s="958"/>
      <c r="F11470" s="1069"/>
      <c r="G11470" s="957"/>
      <c r="H11470" s="1032"/>
      <c r="I11470" s="959">
        <f>+I11462</f>
        <v>0</v>
      </c>
    </row>
    <row r="11471" spans="3:9" ht="15.75">
      <c r="C11471" s="956" t="s">
        <v>929</v>
      </c>
      <c r="D11471" s="957"/>
      <c r="E11471" s="958"/>
      <c r="F11471" s="1069"/>
      <c r="G11471" s="957"/>
      <c r="H11471" s="1032"/>
      <c r="I11471" s="959">
        <f>+I11466</f>
        <v>0</v>
      </c>
    </row>
    <row r="11472" spans="3:9" ht="15.75">
      <c r="C11472" s="949"/>
      <c r="D11472" s="946"/>
      <c r="E11472" s="947"/>
      <c r="F11472" s="1054"/>
      <c r="G11472" s="946"/>
      <c r="H11472" s="1031"/>
      <c r="I11472" s="948"/>
    </row>
    <row r="11473" spans="2:9" ht="15.75">
      <c r="C11473" s="949"/>
      <c r="D11473" s="946"/>
      <c r="E11473" s="947"/>
      <c r="F11473" s="1054"/>
      <c r="G11473" s="946"/>
      <c r="H11473" s="1031"/>
      <c r="I11473" s="948"/>
    </row>
    <row r="11474" spans="2:9" ht="15.75">
      <c r="C11474" s="951" t="s">
        <v>930</v>
      </c>
      <c r="D11474" s="960"/>
      <c r="E11474" s="943" t="str">
        <f>+E11447</f>
        <v>M</v>
      </c>
      <c r="F11474" s="1070"/>
      <c r="G11474" s="960"/>
      <c r="H11474" s="1033"/>
      <c r="I11474" s="952">
        <f>SUM(I11468:I11471)</f>
        <v>26980.560000000001</v>
      </c>
    </row>
    <row r="11475" spans="2:9" ht="15.75">
      <c r="C11475" s="951"/>
      <c r="D11475" s="960">
        <v>25</v>
      </c>
      <c r="E11475" s="943" t="s">
        <v>1558</v>
      </c>
      <c r="F11475" s="1070"/>
      <c r="G11475" s="960"/>
      <c r="H11475" s="1033"/>
      <c r="I11475" s="952"/>
    </row>
    <row r="11476" spans="2:9" ht="15.75">
      <c r="C11476" s="951"/>
      <c r="D11476" s="960"/>
      <c r="E11476" s="943" t="s">
        <v>15</v>
      </c>
      <c r="F11476" s="1070"/>
      <c r="G11476" s="960"/>
      <c r="H11476" s="1033"/>
      <c r="I11476" s="952">
        <f>+I11474/D11475</f>
        <v>1079.22</v>
      </c>
    </row>
    <row r="11477" spans="2:9" ht="15.75">
      <c r="C11477" s="951"/>
      <c r="D11477" s="960"/>
      <c r="E11477" s="943"/>
      <c r="F11477" s="1070"/>
      <c r="G11477" s="960"/>
      <c r="H11477" s="1033"/>
      <c r="I11477" s="952"/>
    </row>
    <row r="11478" spans="2:9" ht="15.75">
      <c r="B11478" s="1063">
        <v>12.5</v>
      </c>
      <c r="C11478" s="937" t="str">
        <f>+Presupuesto!B662</f>
        <v>Tope en granito natural para cocina</v>
      </c>
      <c r="D11478" s="938"/>
      <c r="E11478" s="962" t="s">
        <v>1000</v>
      </c>
      <c r="F11478" s="1066"/>
      <c r="G11478" s="938"/>
      <c r="H11478" s="1029"/>
      <c r="I11478" s="940">
        <f>+I11501</f>
        <v>9500</v>
      </c>
    </row>
    <row r="11479" spans="2:9" ht="15.75">
      <c r="C11479" s="941" t="s">
        <v>908</v>
      </c>
      <c r="D11479" s="942" t="s">
        <v>9</v>
      </c>
      <c r="E11479" s="943" t="s">
        <v>10</v>
      </c>
      <c r="F11479" s="1067" t="s">
        <v>909</v>
      </c>
      <c r="G11479" s="942" t="s">
        <v>910</v>
      </c>
      <c r="H11479" s="1030" t="s">
        <v>911</v>
      </c>
      <c r="I11479" s="944" t="s">
        <v>912</v>
      </c>
    </row>
    <row r="11480" spans="2:9" ht="15.75">
      <c r="C11480" s="945" t="s">
        <v>913</v>
      </c>
      <c r="D11480" s="946"/>
      <c r="E11480" s="947"/>
      <c r="F11480" s="1054"/>
      <c r="G11480" s="946"/>
      <c r="H11480" s="1031"/>
      <c r="I11480" s="948"/>
    </row>
    <row r="11481" spans="2:9" ht="15.75">
      <c r="C11481" s="949" t="s">
        <v>1728</v>
      </c>
      <c r="D11481" s="946">
        <v>1</v>
      </c>
      <c r="E11481" s="947" t="str">
        <f>+VLOOKUP(C11481,'Basic (equilibrio) (2)'!B:D,2,FALSE)</f>
        <v>m2</v>
      </c>
      <c r="F11481" s="1068">
        <f>'Basic (equilibrio) (2)'!$D$318</f>
        <v>9500</v>
      </c>
      <c r="G11481" s="946">
        <f>F11481-(F11481/1.18)</f>
        <v>1449.15</v>
      </c>
      <c r="H11481" s="1031"/>
      <c r="I11481" s="948">
        <f>D11481*F11481</f>
        <v>9500</v>
      </c>
    </row>
    <row r="11482" spans="2:9" ht="15.75">
      <c r="C11482" s="951" t="s">
        <v>918</v>
      </c>
      <c r="D11482" s="946"/>
      <c r="E11482" s="947"/>
      <c r="F11482" s="1068"/>
      <c r="G11482" s="946"/>
      <c r="H11482" s="1031"/>
      <c r="I11482" s="952">
        <f>SUM(I11481:I11481)</f>
        <v>9500</v>
      </c>
    </row>
    <row r="11483" spans="2:9" ht="15.75">
      <c r="C11483" s="949"/>
      <c r="D11483" s="946"/>
      <c r="E11483" s="947"/>
      <c r="F11483" s="1068"/>
      <c r="G11483" s="946"/>
      <c r="H11483" s="1031"/>
      <c r="I11483" s="948"/>
    </row>
    <row r="11484" spans="2:9" ht="15.75">
      <c r="C11484" s="945" t="s">
        <v>919</v>
      </c>
      <c r="D11484" s="946"/>
      <c r="E11484" s="947"/>
      <c r="F11484" s="1068"/>
      <c r="G11484" s="946"/>
      <c r="H11484" s="1031"/>
      <c r="I11484" s="948"/>
    </row>
    <row r="11485" spans="2:9" ht="15.75">
      <c r="C11485" s="949" t="s">
        <v>924</v>
      </c>
      <c r="D11485" s="953"/>
      <c r="E11485" s="954" t="str">
        <f>+VLOOKUP(C11485,'Basic (equilibrio) (2)'!B:D,2,FALSE)</f>
        <v>n/a</v>
      </c>
      <c r="F11485" s="1068">
        <f>+VLOOKUP(C11485,'Basic (equilibrio) (2)'!B:D,3,FALSE)</f>
        <v>0</v>
      </c>
      <c r="G11485" s="946">
        <v>0</v>
      </c>
      <c r="H11485" s="1031"/>
      <c r="I11485" s="948">
        <f>(D11485*F11485)</f>
        <v>0</v>
      </c>
    </row>
    <row r="11486" spans="2:9" ht="15.75">
      <c r="C11486" s="951" t="s">
        <v>918</v>
      </c>
      <c r="D11486" s="946"/>
      <c r="E11486" s="947"/>
      <c r="F11486" s="1054"/>
      <c r="G11486" s="946"/>
      <c r="H11486" s="1031"/>
      <c r="I11486" s="952">
        <f>SUM(I11485:I11485)</f>
        <v>0</v>
      </c>
    </row>
    <row r="11487" spans="2:9" ht="15.75">
      <c r="C11487" s="949"/>
      <c r="D11487" s="946"/>
      <c r="E11487" s="947"/>
      <c r="F11487" s="1054"/>
      <c r="G11487" s="946"/>
      <c r="H11487" s="1031"/>
      <c r="I11487" s="948"/>
    </row>
    <row r="11488" spans="2:9" ht="15.75">
      <c r="C11488" s="945" t="s">
        <v>923</v>
      </c>
      <c r="D11488" s="946"/>
      <c r="E11488" s="947"/>
      <c r="F11488" s="1054"/>
      <c r="G11488" s="946"/>
      <c r="H11488" s="1031"/>
      <c r="I11488" s="948"/>
    </row>
    <row r="11489" spans="3:9" ht="15.75">
      <c r="C11489" s="949" t="s">
        <v>924</v>
      </c>
      <c r="D11489" s="946"/>
      <c r="E11489" s="947" t="str">
        <f>+VLOOKUP(C11489,'Basic (equilibrio) (2)'!B:D,2,FALSE)</f>
        <v>n/a</v>
      </c>
      <c r="F11489" s="1054">
        <f>+VLOOKUP(C11489,'Basic (equilibrio) (2)'!B:D,3,FALSE)</f>
        <v>0</v>
      </c>
      <c r="G11489" s="946">
        <f>F11489-(F11489/1.18)</f>
        <v>0</v>
      </c>
      <c r="H11489" s="1039"/>
      <c r="I11489" s="955">
        <f>D11489*F11489</f>
        <v>0</v>
      </c>
    </row>
    <row r="11490" spans="3:9" ht="15.75">
      <c r="C11490" s="951" t="s">
        <v>918</v>
      </c>
      <c r="D11490" s="946"/>
      <c r="E11490" s="947"/>
      <c r="F11490" s="1054"/>
      <c r="G11490" s="946"/>
      <c r="H11490" s="1031"/>
      <c r="I11490" s="952">
        <f>SUM(I11489:I11489)</f>
        <v>0</v>
      </c>
    </row>
    <row r="11491" spans="3:9" ht="15.75">
      <c r="C11491" s="949"/>
      <c r="D11491" s="946"/>
      <c r="E11491" s="947"/>
      <c r="F11491" s="1054"/>
      <c r="G11491" s="946"/>
      <c r="H11491" s="1031"/>
      <c r="I11491" s="948"/>
    </row>
    <row r="11492" spans="3:9" ht="15.75">
      <c r="C11492" s="945" t="s">
        <v>925</v>
      </c>
      <c r="D11492" s="946"/>
      <c r="E11492" s="947"/>
      <c r="F11492" s="1054"/>
      <c r="G11492" s="946"/>
      <c r="H11492" s="1031"/>
      <c r="I11492" s="948"/>
    </row>
    <row r="11493" spans="3:9" ht="15.75">
      <c r="C11493" s="949" t="s">
        <v>924</v>
      </c>
      <c r="D11493" s="946"/>
      <c r="E11493" s="947" t="str">
        <f>+VLOOKUP(C11493,'Basic (equilibrio) (2)'!B:D,2,FALSE)</f>
        <v>n/a</v>
      </c>
      <c r="F11493" s="1054">
        <f>+VLOOKUP(C11493,'Basic (equilibrio) (2)'!B:D,3,FALSE)</f>
        <v>0</v>
      </c>
      <c r="G11493" s="946"/>
      <c r="H11493" s="1031"/>
      <c r="I11493" s="948">
        <f>D11493*F11493</f>
        <v>0</v>
      </c>
    </row>
    <row r="11494" spans="3:9" ht="15.75">
      <c r="C11494" s="951" t="s">
        <v>918</v>
      </c>
      <c r="D11494" s="946"/>
      <c r="E11494" s="947"/>
      <c r="F11494" s="1054"/>
      <c r="G11494" s="946"/>
      <c r="H11494" s="1031"/>
      <c r="I11494" s="952">
        <f>SUM(I11493)</f>
        <v>0</v>
      </c>
    </row>
    <row r="11495" spans="3:9" ht="15.75">
      <c r="C11495" s="951"/>
      <c r="D11495" s="946"/>
      <c r="E11495" s="947"/>
      <c r="F11495" s="1054"/>
      <c r="G11495" s="946"/>
      <c r="H11495" s="1031"/>
      <c r="I11495" s="952"/>
    </row>
    <row r="11496" spans="3:9" ht="15.75">
      <c r="C11496" s="956" t="s">
        <v>926</v>
      </c>
      <c r="D11496" s="957"/>
      <c r="E11496" s="958"/>
      <c r="F11496" s="1069"/>
      <c r="G11496" s="957"/>
      <c r="H11496" s="1032"/>
      <c r="I11496" s="959">
        <f>+I11482</f>
        <v>9500</v>
      </c>
    </row>
    <row r="11497" spans="3:9" ht="15.75">
      <c r="C11497" s="956" t="s">
        <v>927</v>
      </c>
      <c r="D11497" s="957"/>
      <c r="E11497" s="958"/>
      <c r="F11497" s="1069"/>
      <c r="G11497" s="957"/>
      <c r="H11497" s="1032"/>
      <c r="I11497" s="959">
        <f>+I11486</f>
        <v>0</v>
      </c>
    </row>
    <row r="11498" spans="3:9" ht="15.75">
      <c r="C11498" s="956" t="s">
        <v>928</v>
      </c>
      <c r="D11498" s="957"/>
      <c r="E11498" s="958"/>
      <c r="F11498" s="1069"/>
      <c r="G11498" s="957"/>
      <c r="H11498" s="1032"/>
      <c r="I11498" s="959">
        <f>+I11490</f>
        <v>0</v>
      </c>
    </row>
    <row r="11499" spans="3:9" ht="15.75">
      <c r="C11499" s="956" t="s">
        <v>929</v>
      </c>
      <c r="D11499" s="957"/>
      <c r="E11499" s="958"/>
      <c r="F11499" s="1069"/>
      <c r="G11499" s="957"/>
      <c r="H11499" s="1032"/>
      <c r="I11499" s="959">
        <f>+I11494</f>
        <v>0</v>
      </c>
    </row>
    <row r="11500" spans="3:9" ht="15.75">
      <c r="C11500" s="949"/>
      <c r="D11500" s="946"/>
      <c r="E11500" s="947"/>
      <c r="F11500" s="1054"/>
      <c r="G11500" s="946"/>
      <c r="H11500" s="1031"/>
      <c r="I11500" s="948"/>
    </row>
    <row r="11501" spans="3:9" ht="15.75">
      <c r="C11501" s="951" t="s">
        <v>930</v>
      </c>
      <c r="D11501" s="960"/>
      <c r="E11501" s="975" t="str">
        <f>+E11478</f>
        <v>m2</v>
      </c>
      <c r="F11501" s="1070"/>
      <c r="G11501" s="960"/>
      <c r="H11501" s="1033"/>
      <c r="I11501" s="952">
        <f>SUM(I11496:I11499)</f>
        <v>9500</v>
      </c>
    </row>
    <row r="11502" spans="3:9" ht="15.75">
      <c r="C11502" s="951"/>
      <c r="D11502" s="960"/>
      <c r="E11502" s="943"/>
      <c r="F11502" s="1070"/>
      <c r="G11502" s="960"/>
      <c r="H11502" s="1033"/>
      <c r="I11502" s="952"/>
    </row>
    <row r="11503" spans="3:9" ht="18.75">
      <c r="C11503" s="1435" t="s">
        <v>1683</v>
      </c>
      <c r="D11503" s="1435"/>
      <c r="E11503" s="1435"/>
      <c r="F11503" s="1435"/>
      <c r="G11503" s="1435"/>
      <c r="H11503" s="1435"/>
      <c r="I11503" s="1436"/>
    </row>
    <row r="11504" spans="3:9" ht="15.75">
      <c r="C11504" s="951"/>
      <c r="D11504" s="960"/>
      <c r="E11504" s="943"/>
      <c r="F11504" s="1070"/>
      <c r="G11504" s="960"/>
      <c r="H11504" s="1033"/>
      <c r="I11504" s="952"/>
    </row>
    <row r="11505" spans="2:9" ht="15.75">
      <c r="B11505" s="1024">
        <v>1</v>
      </c>
      <c r="C11505" s="937" t="str">
        <f>+Presupuesto!B667</f>
        <v>Replanteo</v>
      </c>
      <c r="D11505" s="938"/>
      <c r="E11505" s="939" t="s">
        <v>38</v>
      </c>
      <c r="F11505" s="1066"/>
      <c r="G11505" s="938"/>
      <c r="H11505" s="1029"/>
      <c r="I11505" s="940">
        <f>I11534</f>
        <v>32457.25</v>
      </c>
    </row>
    <row r="11506" spans="2:9" ht="15.75">
      <c r="C11506" s="941" t="s">
        <v>908</v>
      </c>
      <c r="D11506" s="942" t="s">
        <v>9</v>
      </c>
      <c r="E11506" s="943" t="s">
        <v>10</v>
      </c>
      <c r="F11506" s="1067" t="s">
        <v>909</v>
      </c>
      <c r="G11506" s="942" t="s">
        <v>910</v>
      </c>
      <c r="H11506" s="1030" t="s">
        <v>911</v>
      </c>
      <c r="I11506" s="944" t="s">
        <v>912</v>
      </c>
    </row>
    <row r="11507" spans="2:9" ht="15.75">
      <c r="C11507" s="945" t="s">
        <v>913</v>
      </c>
      <c r="D11507" s="946"/>
      <c r="E11507" s="947"/>
      <c r="F11507" s="1054"/>
      <c r="G11507" s="946"/>
      <c r="H11507" s="1031"/>
      <c r="I11507" s="948"/>
    </row>
    <row r="11508" spans="2:9" ht="15.75">
      <c r="C11508" s="949" t="s">
        <v>914</v>
      </c>
      <c r="D11508" s="946">
        <f>33.94/28.83</f>
        <v>1.18</v>
      </c>
      <c r="E11508" s="947" t="str">
        <f>+VLOOKUP(C11508,[49]BASICS!B:E,2,FALSE)</f>
        <v>lb</v>
      </c>
      <c r="F11508" s="1068">
        <f>'Basic (equilibrio) (2)'!$D$326</f>
        <v>78.2</v>
      </c>
      <c r="G11508" s="946">
        <f>F11508-(F11508/1.18)</f>
        <v>11.93</v>
      </c>
      <c r="H11508" s="1031"/>
      <c r="I11508" s="948">
        <f>D11508*F11508</f>
        <v>92.28</v>
      </c>
    </row>
    <row r="11509" spans="2:9" ht="15.75">
      <c r="C11509" s="949" t="s">
        <v>915</v>
      </c>
      <c r="D11509" s="946">
        <f>22/28.83</f>
        <v>0.76</v>
      </c>
      <c r="E11509" s="950" t="str">
        <f>+VLOOKUP(C11509,[49]BASICS!B:E,2,FALSE)</f>
        <v>fda</v>
      </c>
      <c r="F11509" s="1068">
        <f>'Basic (equilibrio) (2)'!$D$327</f>
        <v>153.6</v>
      </c>
      <c r="G11509" s="946">
        <f>F11509-(F11509/1.18)</f>
        <v>23.43</v>
      </c>
      <c r="H11509" s="1031"/>
      <c r="I11509" s="948">
        <f>D11509*F11509</f>
        <v>116.74</v>
      </c>
    </row>
    <row r="11510" spans="2:9" ht="15.75">
      <c r="C11510" s="949" t="s">
        <v>916</v>
      </c>
      <c r="D11510" s="946">
        <f>160.42/28.83</f>
        <v>5.56</v>
      </c>
      <c r="E11510" s="947" t="str">
        <f>+VLOOKUP(C11510,[49]BASICS!B:E,2,FALSE)</f>
        <v>pt</v>
      </c>
      <c r="F11510" s="1068">
        <f>'Basic (equilibrio) (2)'!$D$194</f>
        <v>107.7</v>
      </c>
      <c r="G11510" s="946">
        <f>F11510-(F11510/1.18)</f>
        <v>16.43</v>
      </c>
      <c r="H11510" s="1031"/>
      <c r="I11510" s="948">
        <f>D11510*F11510</f>
        <v>598.80999999999995</v>
      </c>
    </row>
    <row r="11511" spans="2:9" ht="15.75">
      <c r="C11511" s="949" t="s">
        <v>917</v>
      </c>
      <c r="D11511" s="946">
        <f>3/28.83</f>
        <v>0.1</v>
      </c>
      <c r="E11511" s="950" t="str">
        <f>+VLOOKUP(C11511,[49]BASICS!B:E,2,FALSE)</f>
        <v>u</v>
      </c>
      <c r="F11511" s="1068">
        <f>'Basic (equilibrio) (2)'!$D$329</f>
        <v>139.19999999999999</v>
      </c>
      <c r="G11511" s="946">
        <f>F11511-(F11511/1.18)</f>
        <v>21.23</v>
      </c>
      <c r="H11511" s="1031"/>
      <c r="I11511" s="948">
        <f>D11511*F11511</f>
        <v>13.92</v>
      </c>
    </row>
    <row r="11512" spans="2:9" ht="15.75">
      <c r="C11512" s="951" t="s">
        <v>918</v>
      </c>
      <c r="D11512" s="946"/>
      <c r="E11512" s="947"/>
      <c r="F11512" s="1068"/>
      <c r="G11512" s="946"/>
      <c r="H11512" s="1031"/>
      <c r="I11512" s="952">
        <f>SUM(I11508:I11511)</f>
        <v>821.75</v>
      </c>
    </row>
    <row r="11513" spans="2:9" ht="15.75">
      <c r="C11513" s="949"/>
      <c r="D11513" s="946"/>
      <c r="E11513" s="947"/>
      <c r="F11513" s="1068"/>
      <c r="G11513" s="946"/>
      <c r="H11513" s="1031"/>
      <c r="I11513" s="948"/>
    </row>
    <row r="11514" spans="2:9" ht="15.75">
      <c r="C11514" s="945" t="s">
        <v>919</v>
      </c>
      <c r="D11514" s="946"/>
      <c r="E11514" s="947"/>
      <c r="F11514" s="1068"/>
      <c r="G11514" s="946"/>
      <c r="H11514" s="1031"/>
      <c r="I11514" s="948"/>
    </row>
    <row r="11515" spans="2:9" ht="15.75">
      <c r="C11515" s="949" t="s">
        <v>920</v>
      </c>
      <c r="D11515" s="953">
        <v>1</v>
      </c>
      <c r="E11515" s="954" t="str">
        <f>+VLOOKUP(C11515,[49]BASICS!B:E,2,FALSE)</f>
        <v>dia</v>
      </c>
      <c r="F11515" s="1068">
        <f>+'Basic (equilibrio) (2)'!$D$18</f>
        <v>28535.5</v>
      </c>
      <c r="G11515" s="946">
        <v>0</v>
      </c>
      <c r="H11515" s="1031"/>
      <c r="I11515" s="948">
        <f>D11515*F11515</f>
        <v>28535.5</v>
      </c>
    </row>
    <row r="11516" spans="2:9" ht="15.75">
      <c r="C11516" s="949" t="s">
        <v>921</v>
      </c>
      <c r="D11516" s="946">
        <v>1</v>
      </c>
      <c r="E11516" s="954" t="str">
        <f>+VLOOKUP(C11516,[49]BASICS!B:E,2,FALSE)</f>
        <v>dia</v>
      </c>
      <c r="F11516" s="1054">
        <f>'Basic (equilibrio) (2)'!$D$12</f>
        <v>1900</v>
      </c>
      <c r="G11516" s="946">
        <v>0</v>
      </c>
      <c r="H11516" s="1031"/>
      <c r="I11516" s="948">
        <f>D11516*F11516</f>
        <v>1900</v>
      </c>
    </row>
    <row r="11517" spans="2:9" ht="15.75">
      <c r="C11517" s="949" t="s">
        <v>922</v>
      </c>
      <c r="D11517" s="946">
        <v>1</v>
      </c>
      <c r="E11517" s="954" t="str">
        <f>+VLOOKUP(C11517,[49]BASICS!B:E,2,FALSE)</f>
        <v>dia</v>
      </c>
      <c r="F11517" s="1054">
        <f>'Basic (equilibrio) (2)'!$D$13</f>
        <v>1200</v>
      </c>
      <c r="G11517" s="946">
        <v>0</v>
      </c>
      <c r="H11517" s="1031"/>
      <c r="I11517" s="948">
        <f>D11517*F11517</f>
        <v>1200</v>
      </c>
    </row>
    <row r="11518" spans="2:9" ht="15.75">
      <c r="C11518" s="951" t="s">
        <v>918</v>
      </c>
      <c r="D11518" s="946"/>
      <c r="E11518" s="947"/>
      <c r="F11518" s="1054"/>
      <c r="G11518" s="946"/>
      <c r="H11518" s="1031"/>
      <c r="I11518" s="952">
        <f>SUM(I11515:I11517)</f>
        <v>31635.5</v>
      </c>
    </row>
    <row r="11519" spans="2:9" ht="15.75">
      <c r="C11519" s="949"/>
      <c r="D11519" s="946"/>
      <c r="E11519" s="947"/>
      <c r="F11519" s="1054"/>
      <c r="G11519" s="946"/>
      <c r="H11519" s="1031"/>
      <c r="I11519" s="948"/>
    </row>
    <row r="11520" spans="2:9" ht="15.75">
      <c r="C11520" s="945" t="s">
        <v>923</v>
      </c>
      <c r="D11520" s="946"/>
      <c r="E11520" s="947"/>
      <c r="F11520" s="1054"/>
      <c r="G11520" s="946"/>
      <c r="H11520" s="1031"/>
      <c r="I11520" s="948"/>
    </row>
    <row r="11521" spans="2:9" ht="15.75">
      <c r="C11521" s="949" t="s">
        <v>924</v>
      </c>
      <c r="D11521" s="946"/>
      <c r="E11521" s="947"/>
      <c r="F11521" s="1054">
        <f>+VLOOKUP(C11521,[49]BASICS!B:E,3,FALSE)</f>
        <v>0</v>
      </c>
      <c r="G11521" s="946">
        <f>F11521-(F11521/1.18)</f>
        <v>0</v>
      </c>
      <c r="H11521" s="1039"/>
      <c r="I11521" s="955">
        <f>D11521*F11521</f>
        <v>0</v>
      </c>
    </row>
    <row r="11522" spans="2:9" ht="15.75">
      <c r="C11522" s="951" t="s">
        <v>918</v>
      </c>
      <c r="D11522" s="946"/>
      <c r="E11522" s="947"/>
      <c r="F11522" s="1054"/>
      <c r="G11522" s="946"/>
      <c r="H11522" s="1031"/>
      <c r="I11522" s="952">
        <f>SUM(I11521)</f>
        <v>0</v>
      </c>
    </row>
    <row r="11523" spans="2:9" ht="15.75">
      <c r="C11523" s="949"/>
      <c r="D11523" s="946"/>
      <c r="E11523" s="947"/>
      <c r="F11523" s="1054"/>
      <c r="G11523" s="946"/>
      <c r="H11523" s="1031"/>
      <c r="I11523" s="948"/>
    </row>
    <row r="11524" spans="2:9" ht="15.75">
      <c r="C11524" s="945" t="s">
        <v>925</v>
      </c>
      <c r="D11524" s="946"/>
      <c r="E11524" s="947"/>
      <c r="F11524" s="1054"/>
      <c r="G11524" s="946"/>
      <c r="H11524" s="1031"/>
      <c r="I11524" s="948"/>
    </row>
    <row r="11525" spans="2:9" ht="15.75">
      <c r="C11525" s="949" t="s">
        <v>925</v>
      </c>
      <c r="D11525" s="946">
        <f>+I11512</f>
        <v>821.75</v>
      </c>
      <c r="E11525" s="947" t="str">
        <f>VLOOKUP(C11525,[50]BASICS!B:D,2,FALSE)</f>
        <v>Pa</v>
      </c>
      <c r="F11525" s="1054">
        <f>+VLOOKUP(C11525,[49]BASICS!B:E,3,FALSE)</f>
        <v>0</v>
      </c>
      <c r="G11525" s="946">
        <f>F11525-(F11525/1.18)</f>
        <v>0</v>
      </c>
      <c r="H11525" s="1031"/>
      <c r="I11525" s="948">
        <f>D11525*F11525</f>
        <v>0</v>
      </c>
    </row>
    <row r="11526" spans="2:9" ht="15.75">
      <c r="C11526" s="951" t="s">
        <v>918</v>
      </c>
      <c r="D11526" s="946"/>
      <c r="E11526" s="947"/>
      <c r="F11526" s="1054"/>
      <c r="G11526" s="946"/>
      <c r="H11526" s="1031"/>
      <c r="I11526" s="952">
        <f>SUM(I11525)</f>
        <v>0</v>
      </c>
    </row>
    <row r="11527" spans="2:9" ht="15.75">
      <c r="C11527" s="951"/>
      <c r="D11527" s="946"/>
      <c r="E11527" s="947"/>
      <c r="F11527" s="1054"/>
      <c r="G11527" s="946"/>
      <c r="H11527" s="1031"/>
      <c r="I11527" s="952"/>
    </row>
    <row r="11528" spans="2:9" ht="15.75">
      <c r="C11528" s="956" t="s">
        <v>926</v>
      </c>
      <c r="D11528" s="957"/>
      <c r="E11528" s="958"/>
      <c r="F11528" s="1069"/>
      <c r="G11528" s="957"/>
      <c r="H11528" s="1032"/>
      <c r="I11528" s="959">
        <f>+I11512</f>
        <v>821.75</v>
      </c>
    </row>
    <row r="11529" spans="2:9" ht="15.75">
      <c r="C11529" s="956" t="s">
        <v>927</v>
      </c>
      <c r="D11529" s="957"/>
      <c r="E11529" s="958"/>
      <c r="F11529" s="1069"/>
      <c r="G11529" s="957"/>
      <c r="H11529" s="1032"/>
      <c r="I11529" s="959">
        <f>+I11518</f>
        <v>31635.5</v>
      </c>
    </row>
    <row r="11530" spans="2:9" ht="15.75">
      <c r="C11530" s="956" t="s">
        <v>928</v>
      </c>
      <c r="D11530" s="957"/>
      <c r="E11530" s="958"/>
      <c r="F11530" s="1069"/>
      <c r="G11530" s="957"/>
      <c r="H11530" s="1032"/>
      <c r="I11530" s="959">
        <f>+I11522</f>
        <v>0</v>
      </c>
    </row>
    <row r="11531" spans="2:9" ht="15.75">
      <c r="C11531" s="956" t="s">
        <v>929</v>
      </c>
      <c r="D11531" s="957"/>
      <c r="E11531" s="958"/>
      <c r="F11531" s="1069"/>
      <c r="G11531" s="957"/>
      <c r="H11531" s="1032"/>
      <c r="I11531" s="959">
        <f>+I11526</f>
        <v>0</v>
      </c>
    </row>
    <row r="11532" spans="2:9" ht="15.75">
      <c r="C11532" s="949"/>
      <c r="D11532" s="946"/>
      <c r="E11532" s="947"/>
      <c r="F11532" s="1054"/>
      <c r="G11532" s="946"/>
      <c r="H11532" s="1031"/>
      <c r="I11532" s="948"/>
    </row>
    <row r="11533" spans="2:9" ht="15.75">
      <c r="C11533" s="949"/>
      <c r="D11533" s="946"/>
      <c r="E11533" s="947"/>
      <c r="F11533" s="1054"/>
      <c r="G11533" s="946"/>
      <c r="H11533" s="1031"/>
      <c r="I11533" s="948"/>
    </row>
    <row r="11534" spans="2:9" ht="15.75">
      <c r="C11534" s="951" t="s">
        <v>930</v>
      </c>
      <c r="D11534" s="960"/>
      <c r="E11534" s="943" t="str">
        <f>+E11505</f>
        <v>UD</v>
      </c>
      <c r="F11534" s="1070"/>
      <c r="G11534" s="960"/>
      <c r="H11534" s="1033"/>
      <c r="I11534" s="952">
        <f>SUM(I11528:I11531)</f>
        <v>32457.25</v>
      </c>
    </row>
    <row r="11535" spans="2:9" ht="15.75">
      <c r="C11535" s="951"/>
      <c r="D11535" s="960"/>
      <c r="E11535" s="943"/>
      <c r="F11535" s="1070"/>
      <c r="G11535" s="960"/>
      <c r="H11535" s="1033"/>
      <c r="I11535" s="952"/>
    </row>
    <row r="11536" spans="2:9" ht="15.75">
      <c r="B11536" s="1026">
        <v>2.1</v>
      </c>
      <c r="C11536" s="937" t="str">
        <f>+Presupuesto!B670</f>
        <v>Excavación material no clasificado a mano</v>
      </c>
      <c r="D11536" s="938"/>
      <c r="E11536" s="962" t="s">
        <v>1554</v>
      </c>
      <c r="F11536" s="1066"/>
      <c r="G11536" s="938"/>
      <c r="H11536" s="1029"/>
      <c r="I11536" s="940">
        <f>I11561</f>
        <v>118.09</v>
      </c>
    </row>
    <row r="11537" spans="3:9" ht="15.75">
      <c r="C11537" s="941" t="s">
        <v>908</v>
      </c>
      <c r="D11537" s="942" t="s">
        <v>9</v>
      </c>
      <c r="E11537" s="943" t="s">
        <v>10</v>
      </c>
      <c r="F11537" s="1067" t="s">
        <v>909</v>
      </c>
      <c r="G11537" s="942" t="s">
        <v>910</v>
      </c>
      <c r="H11537" s="1030" t="s">
        <v>911</v>
      </c>
      <c r="I11537" s="944" t="s">
        <v>912</v>
      </c>
    </row>
    <row r="11538" spans="3:9" ht="15.75">
      <c r="C11538" s="945" t="s">
        <v>913</v>
      </c>
      <c r="D11538" s="946"/>
      <c r="E11538" s="947"/>
      <c r="F11538" s="1054"/>
      <c r="G11538" s="946"/>
      <c r="H11538" s="1031"/>
      <c r="I11538" s="948"/>
    </row>
    <row r="11539" spans="3:9" ht="15.75">
      <c r="C11539" s="949" t="s">
        <v>924</v>
      </c>
      <c r="D11539" s="946"/>
      <c r="E11539" s="947" t="str">
        <f>+VLOOKUP(C11539,'Basic (equilibrio) (2)'!B:D,2,FALSE)</f>
        <v>n/a</v>
      </c>
      <c r="F11539" s="1068">
        <f>+VLOOKUP(C11539,'Basic (equilibrio) (2)'!B:D,3,FALSE)</f>
        <v>0</v>
      </c>
      <c r="G11539" s="946">
        <f>F11539-(F11539/1.18)</f>
        <v>0</v>
      </c>
      <c r="H11539" s="1031"/>
      <c r="I11539" s="948">
        <f>D11539*F11539</f>
        <v>0</v>
      </c>
    </row>
    <row r="11540" spans="3:9" ht="15.75">
      <c r="C11540" s="951" t="s">
        <v>918</v>
      </c>
      <c r="D11540" s="946"/>
      <c r="E11540" s="947"/>
      <c r="F11540" s="1068"/>
      <c r="G11540" s="946"/>
      <c r="H11540" s="1031"/>
      <c r="I11540" s="952">
        <f>SUM(I11539:I11539)</f>
        <v>0</v>
      </c>
    </row>
    <row r="11541" spans="3:9" ht="15.75">
      <c r="C11541" s="949"/>
      <c r="D11541" s="946"/>
      <c r="E11541" s="947"/>
      <c r="F11541" s="1068"/>
      <c r="G11541" s="946"/>
      <c r="H11541" s="1031"/>
      <c r="I11541" s="948"/>
    </row>
    <row r="11542" spans="3:9" ht="15.75">
      <c r="C11542" s="945" t="s">
        <v>919</v>
      </c>
      <c r="D11542" s="946"/>
      <c r="E11542" s="947"/>
      <c r="F11542" s="1068"/>
      <c r="G11542" s="946"/>
      <c r="H11542" s="1031"/>
      <c r="I11542" s="948"/>
    </row>
    <row r="11543" spans="3:9" ht="15.75">
      <c r="C11543" s="949" t="s">
        <v>931</v>
      </c>
      <c r="D11543" s="953">
        <v>0.13</v>
      </c>
      <c r="E11543" s="954" t="str">
        <f>+VLOOKUP(C11543,'Basic (equilibrio) (2)'!B:D,2,FALSE)</f>
        <v>dia</v>
      </c>
      <c r="F11543" s="1068">
        <f>'Basic (equilibrio) (2)'!$D$14</f>
        <v>900</v>
      </c>
      <c r="G11543" s="946">
        <v>0</v>
      </c>
      <c r="H11543" s="1031">
        <v>70</v>
      </c>
      <c r="I11543" s="948">
        <f>(D11543*F11543)/H11543</f>
        <v>1.67</v>
      </c>
    </row>
    <row r="11544" spans="3:9" ht="15.75">
      <c r="C11544" s="951" t="s">
        <v>918</v>
      </c>
      <c r="D11544" s="946"/>
      <c r="E11544" s="947"/>
      <c r="F11544" s="1054"/>
      <c r="G11544" s="946"/>
      <c r="H11544" s="1031"/>
      <c r="I11544" s="952">
        <f>SUM(I11543:I11543)</f>
        <v>1.67</v>
      </c>
    </row>
    <row r="11545" spans="3:9" ht="15.75">
      <c r="C11545" s="949"/>
      <c r="D11545" s="946"/>
      <c r="E11545" s="947"/>
      <c r="F11545" s="1054"/>
      <c r="G11545" s="946"/>
      <c r="H11545" s="1031"/>
      <c r="I11545" s="948"/>
    </row>
    <row r="11546" spans="3:9" ht="15.75">
      <c r="C11546" s="945" t="s">
        <v>923</v>
      </c>
      <c r="D11546" s="946"/>
      <c r="E11546" s="947"/>
      <c r="F11546" s="1054"/>
      <c r="G11546" s="946"/>
      <c r="H11546" s="1031"/>
      <c r="I11546" s="948"/>
    </row>
    <row r="11547" spans="3:9" ht="31.5">
      <c r="C11547" s="949" t="s">
        <v>932</v>
      </c>
      <c r="D11547" s="946">
        <v>1</v>
      </c>
      <c r="E11547" s="947" t="str">
        <f>+VLOOKUP(C11547,'Basic (equilibrio) (2)'!B:D,2,FALSE)</f>
        <v>hr</v>
      </c>
      <c r="F11547" s="1054">
        <f>'Basic (equilibrio) (2)'!$D$690</f>
        <v>3900</v>
      </c>
      <c r="G11547" s="946">
        <f>F11547-(F11547/1.18)</f>
        <v>594.91999999999996</v>
      </c>
      <c r="H11547" s="1039">
        <v>70</v>
      </c>
      <c r="I11547" s="955">
        <f>D11547*F11547/H11547</f>
        <v>55.71</v>
      </c>
    </row>
    <row r="11548" spans="3:9" ht="15.75">
      <c r="C11548" s="949" t="s">
        <v>933</v>
      </c>
      <c r="D11548" s="946">
        <v>1</v>
      </c>
      <c r="E11548" s="947" t="str">
        <f>+VLOOKUP(C11548,'Basic (equilibrio) (2)'!B:D,2,FALSE)</f>
        <v>hr</v>
      </c>
      <c r="F11548" s="1054">
        <f>'Basic (equilibrio) (2)'!$D$682</f>
        <v>4250</v>
      </c>
      <c r="G11548" s="946">
        <f>F11548-(F11548/1.18)</f>
        <v>648.30999999999995</v>
      </c>
      <c r="H11548" s="1039">
        <v>70</v>
      </c>
      <c r="I11548" s="955">
        <f>D11548*F11548/H11548</f>
        <v>60.71</v>
      </c>
    </row>
    <row r="11549" spans="3:9" ht="15.75">
      <c r="C11549" s="951" t="s">
        <v>918</v>
      </c>
      <c r="D11549" s="946"/>
      <c r="E11549" s="947"/>
      <c r="F11549" s="1054"/>
      <c r="G11549" s="946"/>
      <c r="H11549" s="1031"/>
      <c r="I11549" s="952">
        <f>SUM(I11547:I11548)</f>
        <v>116.42</v>
      </c>
    </row>
    <row r="11550" spans="3:9" ht="15.75">
      <c r="C11550" s="949"/>
      <c r="D11550" s="946"/>
      <c r="E11550" s="947"/>
      <c r="F11550" s="1054"/>
      <c r="G11550" s="946"/>
      <c r="H11550" s="1031"/>
      <c r="I11550" s="948"/>
    </row>
    <row r="11551" spans="3:9" ht="15.75">
      <c r="C11551" s="945" t="s">
        <v>925</v>
      </c>
      <c r="D11551" s="946"/>
      <c r="E11551" s="947"/>
      <c r="F11551" s="1054"/>
      <c r="G11551" s="946"/>
      <c r="H11551" s="1031"/>
      <c r="I11551" s="948"/>
    </row>
    <row r="11552" spans="3:9" ht="15.75">
      <c r="C11552" s="949" t="s">
        <v>925</v>
      </c>
      <c r="D11552" s="946">
        <f>+I11549</f>
        <v>116.42</v>
      </c>
      <c r="E11552" s="947" t="str">
        <f>+VLOOKUP(C11552,'Basic (equilibrio) (2)'!B:D,2,FALSE)</f>
        <v>Pa</v>
      </c>
      <c r="F11552" s="1054">
        <f>+VLOOKUP(C11552,'Basic (equilibrio) (2)'!B:D,3,FALSE)</f>
        <v>0</v>
      </c>
      <c r="G11552" s="946"/>
      <c r="H11552" s="1031"/>
      <c r="I11552" s="948">
        <f>D11552*F11552</f>
        <v>0</v>
      </c>
    </row>
    <row r="11553" spans="2:9" ht="15.75">
      <c r="C11553" s="951" t="s">
        <v>918</v>
      </c>
      <c r="D11553" s="946"/>
      <c r="E11553" s="947"/>
      <c r="F11553" s="1054"/>
      <c r="G11553" s="946"/>
      <c r="H11553" s="1031"/>
      <c r="I11553" s="952">
        <f>SUM(I11552)</f>
        <v>0</v>
      </c>
    </row>
    <row r="11554" spans="2:9" ht="15.75">
      <c r="C11554" s="951"/>
      <c r="D11554" s="946"/>
      <c r="E11554" s="947"/>
      <c r="F11554" s="1054"/>
      <c r="G11554" s="946"/>
      <c r="H11554" s="1031"/>
      <c r="I11554" s="952"/>
    </row>
    <row r="11555" spans="2:9" ht="15.75">
      <c r="C11555" s="956" t="s">
        <v>926</v>
      </c>
      <c r="D11555" s="957"/>
      <c r="E11555" s="958"/>
      <c r="F11555" s="1069"/>
      <c r="G11555" s="957"/>
      <c r="H11555" s="1032"/>
      <c r="I11555" s="959">
        <f>+I11540</f>
        <v>0</v>
      </c>
    </row>
    <row r="11556" spans="2:9" ht="15.75">
      <c r="C11556" s="956" t="s">
        <v>927</v>
      </c>
      <c r="D11556" s="957"/>
      <c r="E11556" s="958"/>
      <c r="F11556" s="1069"/>
      <c r="G11556" s="957"/>
      <c r="H11556" s="1032"/>
      <c r="I11556" s="959">
        <f>+I11544</f>
        <v>1.67</v>
      </c>
    </row>
    <row r="11557" spans="2:9" ht="15.75">
      <c r="C11557" s="956" t="s">
        <v>928</v>
      </c>
      <c r="D11557" s="957"/>
      <c r="E11557" s="958"/>
      <c r="F11557" s="1069"/>
      <c r="G11557" s="957"/>
      <c r="H11557" s="1032"/>
      <c r="I11557" s="959">
        <f>+I11549</f>
        <v>116.42</v>
      </c>
    </row>
    <row r="11558" spans="2:9" ht="15.75">
      <c r="C11558" s="956" t="s">
        <v>929</v>
      </c>
      <c r="D11558" s="957"/>
      <c r="E11558" s="958"/>
      <c r="F11558" s="1069"/>
      <c r="G11558" s="957"/>
      <c r="H11558" s="1032"/>
      <c r="I11558" s="959">
        <f>+I11553</f>
        <v>0</v>
      </c>
    </row>
    <row r="11559" spans="2:9" ht="15.75">
      <c r="C11559" s="949"/>
      <c r="D11559" s="946"/>
      <c r="E11559" s="947"/>
      <c r="F11559" s="1054"/>
      <c r="G11559" s="946"/>
      <c r="H11559" s="1031"/>
      <c r="I11559" s="948"/>
    </row>
    <row r="11560" spans="2:9" ht="15.75">
      <c r="C11560" s="949"/>
      <c r="D11560" s="946"/>
      <c r="E11560" s="947"/>
      <c r="F11560" s="1054"/>
      <c r="G11560" s="946"/>
      <c r="H11560" s="1031"/>
      <c r="I11560" s="948"/>
    </row>
    <row r="11561" spans="2:9" ht="15.75">
      <c r="C11561" s="951" t="s">
        <v>930</v>
      </c>
      <c r="D11561" s="960"/>
      <c r="E11561" s="943" t="str">
        <f>+E11536</f>
        <v>M3N</v>
      </c>
      <c r="F11561" s="1070"/>
      <c r="G11561" s="960"/>
      <c r="H11561" s="1033"/>
      <c r="I11561" s="952">
        <f>SUM(I11555:I11558)</f>
        <v>118.09</v>
      </c>
    </row>
    <row r="11562" spans="2:9" ht="15.75">
      <c r="C11562" s="951"/>
      <c r="D11562" s="960"/>
      <c r="E11562" s="943"/>
      <c r="F11562" s="1070"/>
      <c r="G11562" s="960"/>
      <c r="H11562" s="1033"/>
      <c r="I11562" s="952"/>
    </row>
    <row r="11563" spans="2:9" ht="15.75">
      <c r="B11563" s="1026">
        <v>2.2000000000000002</v>
      </c>
      <c r="C11563" s="937" t="str">
        <f>+Presupuesto!B671</f>
        <v>Relleno compactado c/compactador mecánico</v>
      </c>
      <c r="D11563" s="938"/>
      <c r="E11563" s="962" t="s">
        <v>219</v>
      </c>
      <c r="F11563" s="1066"/>
      <c r="G11563" s="938"/>
      <c r="H11563" s="1029"/>
      <c r="I11563" s="940">
        <f>I11589</f>
        <v>477.49</v>
      </c>
    </row>
    <row r="11564" spans="2:9" ht="15.75">
      <c r="C11564" s="941" t="s">
        <v>908</v>
      </c>
      <c r="D11564" s="942" t="s">
        <v>9</v>
      </c>
      <c r="E11564" s="943" t="s">
        <v>10</v>
      </c>
      <c r="F11564" s="1067" t="s">
        <v>909</v>
      </c>
      <c r="G11564" s="942" t="s">
        <v>910</v>
      </c>
      <c r="H11564" s="1030" t="s">
        <v>911</v>
      </c>
      <c r="I11564" s="944" t="s">
        <v>912</v>
      </c>
    </row>
    <row r="11565" spans="2:9" ht="15.75">
      <c r="C11565" s="945" t="s">
        <v>913</v>
      </c>
      <c r="D11565" s="946"/>
      <c r="E11565" s="947"/>
      <c r="F11565" s="1054"/>
      <c r="G11565" s="946"/>
      <c r="H11565" s="1031"/>
      <c r="I11565" s="948"/>
    </row>
    <row r="11566" spans="2:9" ht="15.75">
      <c r="C11566" s="949" t="s">
        <v>1173</v>
      </c>
      <c r="D11566" s="946">
        <v>1.3</v>
      </c>
      <c r="E11566" s="947" t="str">
        <f>+VLOOKUP(C11566,'Basic (equilibrio) (2)'!B:D,2,FALSE)</f>
        <v>m3e</v>
      </c>
      <c r="F11566" s="1068">
        <f>'Basic (equilibrio) (2)'!$D$174</f>
        <v>300</v>
      </c>
      <c r="G11566" s="946">
        <f>F11566-(F11566/1.18)</f>
        <v>45.76</v>
      </c>
      <c r="H11566" s="1031"/>
      <c r="I11566" s="948">
        <f>D11566*F11566</f>
        <v>390</v>
      </c>
    </row>
    <row r="11567" spans="2:9" ht="15.75">
      <c r="C11567" s="951" t="s">
        <v>918</v>
      </c>
      <c r="D11567" s="946"/>
      <c r="E11567" s="947"/>
      <c r="F11567" s="1068"/>
      <c r="G11567" s="946"/>
      <c r="H11567" s="1031"/>
      <c r="I11567" s="952">
        <f>SUM(I11566:I11566)</f>
        <v>390</v>
      </c>
    </row>
    <row r="11568" spans="2:9" ht="15.75">
      <c r="C11568" s="949"/>
      <c r="D11568" s="946"/>
      <c r="E11568" s="947"/>
      <c r="F11568" s="1068"/>
      <c r="G11568" s="946"/>
      <c r="H11568" s="1031"/>
      <c r="I11568" s="948"/>
    </row>
    <row r="11569" spans="3:9" ht="15.75">
      <c r="C11569" s="945" t="s">
        <v>919</v>
      </c>
      <c r="D11569" s="946"/>
      <c r="E11569" s="947"/>
      <c r="F11569" s="1068"/>
      <c r="G11569" s="946"/>
      <c r="H11569" s="1031"/>
      <c r="I11569" s="948"/>
    </row>
    <row r="11570" spans="3:9" ht="15.75">
      <c r="C11570" s="949" t="s">
        <v>931</v>
      </c>
      <c r="D11570" s="953">
        <v>0.25</v>
      </c>
      <c r="E11570" s="954" t="str">
        <f>+VLOOKUP(C11570,'Basic (equilibrio) (2)'!B:D,2,FALSE)</f>
        <v>dia</v>
      </c>
      <c r="F11570" s="1068">
        <f>'Basic (equilibrio) (2)'!$D$16</f>
        <v>900</v>
      </c>
      <c r="G11570" s="946">
        <v>0</v>
      </c>
      <c r="H11570" s="1031">
        <v>70</v>
      </c>
      <c r="I11570" s="948">
        <f>(D11570*F11570)/H11570</f>
        <v>3.21</v>
      </c>
    </row>
    <row r="11571" spans="3:9" ht="15.75">
      <c r="C11571" s="951" t="s">
        <v>918</v>
      </c>
      <c r="D11571" s="946"/>
      <c r="E11571" s="947"/>
      <c r="F11571" s="1054"/>
      <c r="G11571" s="946"/>
      <c r="H11571" s="1031"/>
      <c r="I11571" s="952">
        <f>SUM(I11570:I11570)</f>
        <v>3.21</v>
      </c>
    </row>
    <row r="11572" spans="3:9" ht="15.75">
      <c r="C11572" s="949"/>
      <c r="D11572" s="946"/>
      <c r="E11572" s="947"/>
      <c r="F11572" s="1054"/>
      <c r="G11572" s="946"/>
      <c r="H11572" s="1031"/>
      <c r="I11572" s="948"/>
    </row>
    <row r="11573" spans="3:9" ht="15.75">
      <c r="C11573" s="945" t="s">
        <v>923</v>
      </c>
      <c r="D11573" s="946"/>
      <c r="E11573" s="947"/>
      <c r="F11573" s="1054"/>
      <c r="G11573" s="946"/>
      <c r="H11573" s="1031"/>
      <c r="I11573" s="948"/>
    </row>
    <row r="11574" spans="3:9" ht="15.75">
      <c r="C11574" s="949" t="s">
        <v>938</v>
      </c>
      <c r="D11574" s="946">
        <v>1</v>
      </c>
      <c r="E11574" s="947" t="str">
        <f>+VLOOKUP(C11574,'Basic (equilibrio) (2)'!B:D,2,FALSE)</f>
        <v>hr</v>
      </c>
      <c r="F11574" s="1054">
        <f>'Basic (equilibrio) (2)'!$D$683</f>
        <v>2500</v>
      </c>
      <c r="G11574" s="946">
        <f>F11574-(F11574/1.18)</f>
        <v>381.36</v>
      </c>
      <c r="H11574" s="1039">
        <v>70</v>
      </c>
      <c r="I11574" s="955">
        <f>D11574*F11574/H11574</f>
        <v>35.71</v>
      </c>
    </row>
    <row r="11575" spans="3:9" ht="15.75">
      <c r="C11575" s="949" t="s">
        <v>935</v>
      </c>
      <c r="D11575" s="946">
        <v>1</v>
      </c>
      <c r="E11575" s="947" t="str">
        <f>+VLOOKUP(C11575,'Basic (equilibrio) (2)'!B:D,2,FALSE)</f>
        <v>hr</v>
      </c>
      <c r="F11575" s="1054">
        <f>'Basic (equilibrio) (2)'!$D$684</f>
        <v>3000</v>
      </c>
      <c r="G11575" s="946">
        <f>F11575-(F11575/1.18)</f>
        <v>457.63</v>
      </c>
      <c r="H11575" s="1039">
        <v>70</v>
      </c>
      <c r="I11575" s="955">
        <f t="shared" ref="I11575:I11576" si="73">D11575*F11575/H11575</f>
        <v>42.86</v>
      </c>
    </row>
    <row r="11576" spans="3:9" ht="15.75">
      <c r="C11576" s="949" t="s">
        <v>939</v>
      </c>
      <c r="D11576" s="946">
        <v>1</v>
      </c>
      <c r="E11576" s="947" t="str">
        <f>+VLOOKUP(C11576,'Basic (equilibrio) (2)'!B:D,2,FALSE)</f>
        <v>hr</v>
      </c>
      <c r="F11576" s="1054">
        <f>'Basic (equilibrio) (2)'!$D$688</f>
        <v>400</v>
      </c>
      <c r="G11576" s="946">
        <f>F11576-(F11576/1.18)</f>
        <v>61.02</v>
      </c>
      <c r="H11576" s="1039">
        <v>70</v>
      </c>
      <c r="I11576" s="955">
        <f t="shared" si="73"/>
        <v>5.71</v>
      </c>
    </row>
    <row r="11577" spans="3:9" ht="15.75">
      <c r="C11577" s="951" t="s">
        <v>918</v>
      </c>
      <c r="D11577" s="946"/>
      <c r="E11577" s="947"/>
      <c r="F11577" s="1054"/>
      <c r="G11577" s="946"/>
      <c r="H11577" s="1031"/>
      <c r="I11577" s="952">
        <f>SUM(I11574:I11576)</f>
        <v>84.28</v>
      </c>
    </row>
    <row r="11578" spans="3:9" ht="15.75">
      <c r="C11578" s="949"/>
      <c r="D11578" s="946"/>
      <c r="E11578" s="947"/>
      <c r="F11578" s="1054"/>
      <c r="G11578" s="946"/>
      <c r="H11578" s="1031"/>
      <c r="I11578" s="948"/>
    </row>
    <row r="11579" spans="3:9" ht="15.75">
      <c r="C11579" s="945" t="s">
        <v>925</v>
      </c>
      <c r="D11579" s="946"/>
      <c r="E11579" s="947"/>
      <c r="F11579" s="1054"/>
      <c r="G11579" s="946"/>
      <c r="H11579" s="1031"/>
      <c r="I11579" s="948"/>
    </row>
    <row r="11580" spans="3:9" ht="15.75">
      <c r="C11580" s="949" t="s">
        <v>924</v>
      </c>
      <c r="D11580" s="946"/>
      <c r="E11580" s="947" t="str">
        <f>+VLOOKUP(C11580,'Basic (equilibrio) (2)'!B:D,2,FALSE)</f>
        <v>n/a</v>
      </c>
      <c r="F11580" s="1054">
        <f>+VLOOKUP(C11580,'Basic (equilibrio) (2)'!B:D,3,FALSE)</f>
        <v>0</v>
      </c>
      <c r="G11580" s="946"/>
      <c r="H11580" s="1031"/>
      <c r="I11580" s="948">
        <f>D11580*F11580</f>
        <v>0</v>
      </c>
    </row>
    <row r="11581" spans="3:9" ht="15.75">
      <c r="C11581" s="951" t="s">
        <v>918</v>
      </c>
      <c r="D11581" s="946"/>
      <c r="E11581" s="947"/>
      <c r="F11581" s="1054"/>
      <c r="G11581" s="946"/>
      <c r="H11581" s="1031"/>
      <c r="I11581" s="952">
        <f>SUM(I11580)</f>
        <v>0</v>
      </c>
    </row>
    <row r="11582" spans="3:9" ht="15.75">
      <c r="C11582" s="951"/>
      <c r="D11582" s="946"/>
      <c r="E11582" s="947"/>
      <c r="F11582" s="1054"/>
      <c r="G11582" s="946"/>
      <c r="H11582" s="1031"/>
      <c r="I11582" s="952"/>
    </row>
    <row r="11583" spans="3:9" ht="15.75">
      <c r="C11583" s="956" t="s">
        <v>926</v>
      </c>
      <c r="D11583" s="957"/>
      <c r="E11583" s="958"/>
      <c r="F11583" s="1069"/>
      <c r="G11583" s="957"/>
      <c r="H11583" s="1032"/>
      <c r="I11583" s="959">
        <f>+I11567</f>
        <v>390</v>
      </c>
    </row>
    <row r="11584" spans="3:9" ht="15.75">
      <c r="C11584" s="956" t="s">
        <v>927</v>
      </c>
      <c r="D11584" s="957"/>
      <c r="E11584" s="958"/>
      <c r="F11584" s="1069"/>
      <c r="G11584" s="957"/>
      <c r="H11584" s="1032"/>
      <c r="I11584" s="959">
        <f>+I11571</f>
        <v>3.21</v>
      </c>
    </row>
    <row r="11585" spans="2:9" ht="15.75">
      <c r="C11585" s="956" t="s">
        <v>928</v>
      </c>
      <c r="D11585" s="957"/>
      <c r="E11585" s="958"/>
      <c r="F11585" s="1069"/>
      <c r="G11585" s="957"/>
      <c r="H11585" s="1032"/>
      <c r="I11585" s="959">
        <f>+I11577</f>
        <v>84.28</v>
      </c>
    </row>
    <row r="11586" spans="2:9" ht="15.75">
      <c r="C11586" s="956" t="s">
        <v>929</v>
      </c>
      <c r="D11586" s="957"/>
      <c r="E11586" s="958"/>
      <c r="F11586" s="1069"/>
      <c r="G11586" s="957"/>
      <c r="H11586" s="1032"/>
      <c r="I11586" s="959">
        <f>+I11581</f>
        <v>0</v>
      </c>
    </row>
    <row r="11587" spans="2:9" ht="15.75">
      <c r="C11587" s="949"/>
      <c r="D11587" s="946"/>
      <c r="E11587" s="947"/>
      <c r="F11587" s="1054"/>
      <c r="G11587" s="946"/>
      <c r="H11587" s="1031"/>
      <c r="I11587" s="948"/>
    </row>
    <row r="11588" spans="2:9" ht="15.75">
      <c r="C11588" s="949"/>
      <c r="D11588" s="946"/>
      <c r="E11588" s="947"/>
      <c r="F11588" s="1054"/>
      <c r="G11588" s="946"/>
      <c r="H11588" s="1031"/>
      <c r="I11588" s="948"/>
    </row>
    <row r="11589" spans="2:9" ht="15.75">
      <c r="C11589" s="951" t="s">
        <v>930</v>
      </c>
      <c r="D11589" s="960"/>
      <c r="E11589" s="943" t="str">
        <f>+E11563</f>
        <v>M3C</v>
      </c>
      <c r="F11589" s="1070"/>
      <c r="G11589" s="960"/>
      <c r="H11589" s="1033"/>
      <c r="I11589" s="952">
        <f>SUM(I11583:I11586)</f>
        <v>477.49</v>
      </c>
    </row>
    <row r="11590" spans="2:9" ht="15.75">
      <c r="C11590" s="951"/>
      <c r="D11590" s="960"/>
      <c r="E11590" s="943"/>
      <c r="F11590" s="1070"/>
      <c r="G11590" s="960"/>
      <c r="H11590" s="1033"/>
      <c r="I11590" s="952"/>
    </row>
    <row r="11591" spans="2:9" ht="15.75">
      <c r="B11591" s="1026">
        <v>2.2999999999999998</v>
      </c>
      <c r="C11591" s="937" t="str">
        <f>+Presupuesto!B672</f>
        <v>Bote de material in situ</v>
      </c>
      <c r="D11591" s="938"/>
      <c r="E11591" s="962" t="s">
        <v>213</v>
      </c>
      <c r="F11591" s="1066"/>
      <c r="G11591" s="938"/>
      <c r="H11591" s="1029"/>
      <c r="I11591" s="940">
        <f>I11617</f>
        <v>455.24</v>
      </c>
    </row>
    <row r="11592" spans="2:9" ht="15.75">
      <c r="C11592" s="941" t="s">
        <v>908</v>
      </c>
      <c r="D11592" s="942" t="s">
        <v>9</v>
      </c>
      <c r="E11592" s="943" t="s">
        <v>10</v>
      </c>
      <c r="F11592" s="1067" t="s">
        <v>909</v>
      </c>
      <c r="G11592" s="942" t="s">
        <v>910</v>
      </c>
      <c r="H11592" s="1030" t="s">
        <v>911</v>
      </c>
      <c r="I11592" s="944" t="s">
        <v>912</v>
      </c>
    </row>
    <row r="11593" spans="2:9" ht="15.75">
      <c r="C11593" s="945" t="s">
        <v>913</v>
      </c>
      <c r="D11593" s="946"/>
      <c r="E11593" s="947"/>
      <c r="F11593" s="1054"/>
      <c r="G11593" s="946"/>
      <c r="H11593" s="1031"/>
      <c r="I11593" s="948"/>
    </row>
    <row r="11594" spans="2:9" ht="15.75">
      <c r="C11594" s="949" t="s">
        <v>924</v>
      </c>
      <c r="D11594" s="946"/>
      <c r="E11594" s="947" t="str">
        <f>+VLOOKUP(C11594,'Basic (equilibrio) (2)'!B:D,2,FALSE)</f>
        <v>n/a</v>
      </c>
      <c r="F11594" s="1068">
        <f>+VLOOKUP(C11594,'Basic (equilibrio) (2)'!B:D,3,FALSE)</f>
        <v>0</v>
      </c>
      <c r="G11594" s="946">
        <f>F11594-(F11594/1.18)</f>
        <v>0</v>
      </c>
      <c r="H11594" s="1031"/>
      <c r="I11594" s="948">
        <f>D11594*F11594</f>
        <v>0</v>
      </c>
    </row>
    <row r="11595" spans="2:9" ht="15.75">
      <c r="C11595" s="951" t="s">
        <v>918</v>
      </c>
      <c r="D11595" s="946"/>
      <c r="E11595" s="947"/>
      <c r="F11595" s="1068"/>
      <c r="G11595" s="946"/>
      <c r="H11595" s="1031"/>
      <c r="I11595" s="952">
        <f>SUM(I11594:I11594)</f>
        <v>0</v>
      </c>
    </row>
    <row r="11596" spans="2:9" ht="15.75">
      <c r="C11596" s="949"/>
      <c r="D11596" s="946"/>
      <c r="E11596" s="947"/>
      <c r="F11596" s="1068"/>
      <c r="G11596" s="946"/>
      <c r="H11596" s="1031"/>
      <c r="I11596" s="948"/>
    </row>
    <row r="11597" spans="2:9" ht="15.75">
      <c r="C11597" s="945" t="s">
        <v>919</v>
      </c>
      <c r="D11597" s="946"/>
      <c r="E11597" s="947"/>
      <c r="F11597" s="1068"/>
      <c r="G11597" s="946"/>
      <c r="H11597" s="1031"/>
      <c r="I11597" s="948"/>
    </row>
    <row r="11598" spans="2:9" ht="15.75">
      <c r="C11598" s="949" t="s">
        <v>931</v>
      </c>
      <c r="D11598" s="953">
        <v>0.13</v>
      </c>
      <c r="E11598" s="954" t="str">
        <f>+VLOOKUP(C11598,'Basic (equilibrio) (2)'!B:D,2,FALSE)</f>
        <v>dia</v>
      </c>
      <c r="F11598" s="1068">
        <f>'Basic (equilibrio) (2)'!$D$14</f>
        <v>900</v>
      </c>
      <c r="G11598" s="946">
        <v>0</v>
      </c>
      <c r="H11598" s="1031">
        <v>70</v>
      </c>
      <c r="I11598" s="948">
        <f>(D11598*F11598)/H11598</f>
        <v>1.67</v>
      </c>
    </row>
    <row r="11599" spans="2:9" ht="15.75">
      <c r="C11599" s="951" t="s">
        <v>918</v>
      </c>
      <c r="D11599" s="946"/>
      <c r="E11599" s="947"/>
      <c r="F11599" s="1054"/>
      <c r="G11599" s="946"/>
      <c r="H11599" s="1031"/>
      <c r="I11599" s="952">
        <f>SUM(I11598:I11598)</f>
        <v>1.67</v>
      </c>
    </row>
    <row r="11600" spans="2:9" ht="15.75">
      <c r="C11600" s="949"/>
      <c r="D11600" s="946"/>
      <c r="E11600" s="947"/>
      <c r="F11600" s="1054"/>
      <c r="G11600" s="946"/>
      <c r="H11600" s="1031"/>
      <c r="I11600" s="948"/>
    </row>
    <row r="11601" spans="3:9" ht="15.75">
      <c r="C11601" s="945" t="s">
        <v>923</v>
      </c>
      <c r="D11601" s="946"/>
      <c r="E11601" s="947"/>
      <c r="F11601" s="1054"/>
      <c r="G11601" s="946"/>
      <c r="H11601" s="1031"/>
      <c r="I11601" s="948"/>
    </row>
    <row r="11602" spans="3:9" ht="15.75">
      <c r="C11602" s="949" t="s">
        <v>934</v>
      </c>
      <c r="D11602" s="946">
        <v>1</v>
      </c>
      <c r="E11602" s="947" t="str">
        <f>+VLOOKUP(C11602,'Basic (equilibrio) (2)'!B:D,2,FALSE)</f>
        <v>m3e</v>
      </c>
      <c r="F11602" s="1054">
        <f>'Basic (equilibrio) (2)'!$D$685</f>
        <v>350</v>
      </c>
      <c r="G11602" s="946">
        <f>F11602-(F11602/1.18)</f>
        <v>53.39</v>
      </c>
      <c r="H11602" s="1039"/>
      <c r="I11602" s="955">
        <f>D11602*F11602</f>
        <v>350</v>
      </c>
    </row>
    <row r="11603" spans="3:9" ht="15.75">
      <c r="C11603" s="949" t="s">
        <v>933</v>
      </c>
      <c r="D11603" s="946">
        <v>1</v>
      </c>
      <c r="E11603" s="947" t="str">
        <f>+VLOOKUP(C11603,'Basic (equilibrio) (2)'!B:D,2,FALSE)</f>
        <v>hr</v>
      </c>
      <c r="F11603" s="1054">
        <f>'Basic (equilibrio) (2)'!$D$682</f>
        <v>4250</v>
      </c>
      <c r="G11603" s="946">
        <f>F11603-(F11603/1.18)</f>
        <v>648.30999999999995</v>
      </c>
      <c r="H11603" s="1039">
        <v>70</v>
      </c>
      <c r="I11603" s="955">
        <f t="shared" ref="I11603:I11604" si="74">D11603*F11603/H11603</f>
        <v>60.71</v>
      </c>
    </row>
    <row r="11604" spans="3:9" ht="15.75">
      <c r="C11604" s="949" t="s">
        <v>935</v>
      </c>
      <c r="D11604" s="946">
        <v>1</v>
      </c>
      <c r="E11604" s="947" t="str">
        <f>+VLOOKUP(C11604,'Basic (equilibrio) (2)'!B:D,2,FALSE)</f>
        <v>hr</v>
      </c>
      <c r="F11604" s="1054">
        <f>'Basic (equilibrio) (2)'!$D$684</f>
        <v>3000</v>
      </c>
      <c r="G11604" s="946">
        <f>F11604-(F11604/1.18)</f>
        <v>457.63</v>
      </c>
      <c r="H11604" s="1039">
        <v>70</v>
      </c>
      <c r="I11604" s="955">
        <f t="shared" si="74"/>
        <v>42.86</v>
      </c>
    </row>
    <row r="11605" spans="3:9" ht="15.75">
      <c r="C11605" s="951" t="s">
        <v>918</v>
      </c>
      <c r="D11605" s="946"/>
      <c r="E11605" s="947"/>
      <c r="F11605" s="1054"/>
      <c r="G11605" s="946"/>
      <c r="H11605" s="1031"/>
      <c r="I11605" s="952">
        <f>SUM(I11602:I11604)</f>
        <v>453.57</v>
      </c>
    </row>
    <row r="11606" spans="3:9" ht="15.75">
      <c r="C11606" s="949"/>
      <c r="D11606" s="946"/>
      <c r="E11606" s="947"/>
      <c r="F11606" s="1054"/>
      <c r="G11606" s="946"/>
      <c r="H11606" s="1031"/>
      <c r="I11606" s="948"/>
    </row>
    <row r="11607" spans="3:9" ht="15.75">
      <c r="C11607" s="945" t="s">
        <v>925</v>
      </c>
      <c r="D11607" s="946"/>
      <c r="E11607" s="947"/>
      <c r="F11607" s="1054"/>
      <c r="G11607" s="946"/>
      <c r="H11607" s="1031"/>
      <c r="I11607" s="948"/>
    </row>
    <row r="11608" spans="3:9" ht="15.75">
      <c r="C11608" s="949" t="s">
        <v>924</v>
      </c>
      <c r="D11608" s="946">
        <f>+I11605</f>
        <v>453.57</v>
      </c>
      <c r="E11608" s="947" t="str">
        <f>+VLOOKUP(C11608,'Basic (equilibrio) (2)'!B:D,2,FALSE)</f>
        <v>n/a</v>
      </c>
      <c r="F11608" s="1054">
        <f>+VLOOKUP(C11608,'Basic (equilibrio) (2)'!B:D,3,FALSE)</f>
        <v>0</v>
      </c>
      <c r="G11608" s="946"/>
      <c r="H11608" s="1031"/>
      <c r="I11608" s="948">
        <f>D11608*F11608</f>
        <v>0</v>
      </c>
    </row>
    <row r="11609" spans="3:9" ht="15.75">
      <c r="C11609" s="951" t="s">
        <v>918</v>
      </c>
      <c r="D11609" s="946"/>
      <c r="E11609" s="947"/>
      <c r="F11609" s="1054"/>
      <c r="G11609" s="946"/>
      <c r="H11609" s="1031"/>
      <c r="I11609" s="952">
        <f>SUM(I11608)</f>
        <v>0</v>
      </c>
    </row>
    <row r="11610" spans="3:9" ht="15.75">
      <c r="C11610" s="951"/>
      <c r="D11610" s="946"/>
      <c r="E11610" s="947"/>
      <c r="F11610" s="1054"/>
      <c r="G11610" s="946"/>
      <c r="H11610" s="1031"/>
      <c r="I11610" s="952"/>
    </row>
    <row r="11611" spans="3:9" ht="15.75">
      <c r="C11611" s="956" t="s">
        <v>926</v>
      </c>
      <c r="D11611" s="957"/>
      <c r="E11611" s="958"/>
      <c r="F11611" s="1069"/>
      <c r="G11611" s="957"/>
      <c r="H11611" s="1032"/>
      <c r="I11611" s="959">
        <f>+I11595</f>
        <v>0</v>
      </c>
    </row>
    <row r="11612" spans="3:9" ht="15.75">
      <c r="C11612" s="956" t="s">
        <v>927</v>
      </c>
      <c r="D11612" s="957"/>
      <c r="E11612" s="958"/>
      <c r="F11612" s="1069"/>
      <c r="G11612" s="957"/>
      <c r="H11612" s="1032"/>
      <c r="I11612" s="959">
        <f>+I11599</f>
        <v>1.67</v>
      </c>
    </row>
    <row r="11613" spans="3:9" ht="15.75">
      <c r="C11613" s="956" t="s">
        <v>928</v>
      </c>
      <c r="D11613" s="957"/>
      <c r="E11613" s="958"/>
      <c r="F11613" s="1069"/>
      <c r="G11613" s="957"/>
      <c r="H11613" s="1032"/>
      <c r="I11613" s="959">
        <f>+I11605</f>
        <v>453.57</v>
      </c>
    </row>
    <row r="11614" spans="3:9" ht="15.75">
      <c r="C11614" s="956" t="s">
        <v>929</v>
      </c>
      <c r="D11614" s="957"/>
      <c r="E11614" s="958"/>
      <c r="F11614" s="1069"/>
      <c r="G11614" s="957"/>
      <c r="H11614" s="1032"/>
      <c r="I11614" s="959">
        <f>+I11609</f>
        <v>0</v>
      </c>
    </row>
    <row r="11615" spans="3:9" ht="15.75">
      <c r="C11615" s="949"/>
      <c r="D11615" s="946"/>
      <c r="E11615" s="947"/>
      <c r="F11615" s="1054"/>
      <c r="G11615" s="946"/>
      <c r="H11615" s="1031"/>
      <c r="I11615" s="948"/>
    </row>
    <row r="11616" spans="3:9" ht="15.75">
      <c r="C11616" s="949"/>
      <c r="D11616" s="946"/>
      <c r="E11616" s="947"/>
      <c r="F11616" s="1054"/>
      <c r="G11616" s="946"/>
      <c r="H11616" s="1031"/>
      <c r="I11616" s="948"/>
    </row>
    <row r="11617" spans="2:9" ht="15.75">
      <c r="C11617" s="951" t="s">
        <v>930</v>
      </c>
      <c r="D11617" s="960"/>
      <c r="E11617" s="943" t="str">
        <f>+E11591</f>
        <v>M3E</v>
      </c>
      <c r="F11617" s="1070"/>
      <c r="G11617" s="960"/>
      <c r="H11617" s="1033"/>
      <c r="I11617" s="952">
        <f>SUM(I11611:I11614)</f>
        <v>455.24</v>
      </c>
    </row>
    <row r="11618" spans="2:9" ht="15.75">
      <c r="C11618" s="951"/>
      <c r="D11618" s="960"/>
      <c r="E11618" s="943"/>
      <c r="F11618" s="1070"/>
      <c r="G11618" s="960"/>
      <c r="H11618" s="1033"/>
      <c r="I11618" s="952"/>
    </row>
    <row r="11619" spans="2:9" ht="15.75">
      <c r="B11619" s="1026">
        <v>3.1</v>
      </c>
      <c r="C11619" s="937" t="str">
        <f>+Presupuesto!B675</f>
        <v>Zapata de muros 0.78 qq/m³</v>
      </c>
      <c r="D11619" s="938"/>
      <c r="E11619" s="962" t="s">
        <v>22</v>
      </c>
      <c r="F11619" s="1066"/>
      <c r="G11619" s="938"/>
      <c r="H11619" s="1029"/>
      <c r="I11619" s="940">
        <f>I11645</f>
        <v>10623.4</v>
      </c>
    </row>
    <row r="11620" spans="2:9" ht="15.75">
      <c r="C11620" s="941" t="s">
        <v>908</v>
      </c>
      <c r="D11620" s="942" t="s">
        <v>9</v>
      </c>
      <c r="E11620" s="943" t="s">
        <v>10</v>
      </c>
      <c r="F11620" s="1067" t="s">
        <v>909</v>
      </c>
      <c r="G11620" s="942" t="s">
        <v>910</v>
      </c>
      <c r="H11620" s="1030" t="s">
        <v>911</v>
      </c>
      <c r="I11620" s="944" t="s">
        <v>912</v>
      </c>
    </row>
    <row r="11621" spans="2:9" ht="15.75">
      <c r="C11621" s="945" t="s">
        <v>913</v>
      </c>
      <c r="D11621" s="946"/>
      <c r="E11621" s="947"/>
      <c r="F11621" s="1054"/>
      <c r="G11621" s="946"/>
      <c r="H11621" s="1031"/>
      <c r="I11621" s="948"/>
    </row>
    <row r="11622" spans="2:9" ht="15.75">
      <c r="C11622" s="949" t="s">
        <v>994</v>
      </c>
      <c r="D11622" s="946">
        <v>1.02</v>
      </c>
      <c r="E11622" s="947" t="str">
        <f>+VLOOKUP(C11622,'Basic (equilibrio) (2)'!B:D,2,FALSE)</f>
        <v>m3</v>
      </c>
      <c r="F11622" s="1068">
        <f>'Basic (equilibrio) (2)'!$D$179</f>
        <v>7600</v>
      </c>
      <c r="G11622" s="946">
        <f>F11622-(F11622/1.18)</f>
        <v>1159.32</v>
      </c>
      <c r="H11622" s="1031"/>
      <c r="I11622" s="948">
        <f>D11622*F11622</f>
        <v>7752</v>
      </c>
    </row>
    <row r="11623" spans="2:9" ht="15.75">
      <c r="C11623" s="949" t="s">
        <v>1188</v>
      </c>
      <c r="D11623" s="946">
        <v>0.78</v>
      </c>
      <c r="E11623" s="947" t="str">
        <f>+VLOOKUP(C11623,'Basic (equilibrio) (2)'!B:D,2,FALSE)</f>
        <v>qq</v>
      </c>
      <c r="F11623" s="1068">
        <f>'Basic (equilibrio) (2)'!$D$183</f>
        <v>3600</v>
      </c>
      <c r="G11623" s="946">
        <f>F11623-(F11623/1.18)</f>
        <v>549.15</v>
      </c>
      <c r="H11623" s="1031"/>
      <c r="I11623" s="948">
        <f>D11623*F11623</f>
        <v>2808</v>
      </c>
    </row>
    <row r="11624" spans="2:9" ht="15.75">
      <c r="C11624" s="949" t="s">
        <v>1328</v>
      </c>
      <c r="D11624" s="946">
        <f>+D11623*2</f>
        <v>1.56</v>
      </c>
      <c r="E11624" s="947" t="str">
        <f>+VLOOKUP(C11624,'Basic (equilibrio) (2)'!B:D,2,FALSE)</f>
        <v>lb</v>
      </c>
      <c r="F11624" s="1068">
        <f>'Basic (equilibrio) (2)'!$D$334</f>
        <v>31.1</v>
      </c>
      <c r="G11624" s="946">
        <f>F11624-(F11624/1.18)</f>
        <v>4.74</v>
      </c>
      <c r="H11624" s="1031"/>
      <c r="I11624" s="948">
        <f>D11624*F11624</f>
        <v>48.52</v>
      </c>
    </row>
    <row r="11625" spans="2:9" ht="15.75">
      <c r="C11625" s="951" t="s">
        <v>918</v>
      </c>
      <c r="D11625" s="946"/>
      <c r="E11625" s="947"/>
      <c r="F11625" s="1068"/>
      <c r="G11625" s="946"/>
      <c r="H11625" s="1031"/>
      <c r="I11625" s="952">
        <f>SUM(I11622:I11624)</f>
        <v>10608.52</v>
      </c>
    </row>
    <row r="11626" spans="2:9" ht="15.75">
      <c r="C11626" s="949"/>
      <c r="D11626" s="946"/>
      <c r="E11626" s="947"/>
      <c r="F11626" s="1068"/>
      <c r="G11626" s="946"/>
      <c r="H11626" s="1031"/>
      <c r="I11626" s="948"/>
    </row>
    <row r="11627" spans="2:9" ht="15.75">
      <c r="C11627" s="945" t="s">
        <v>919</v>
      </c>
      <c r="D11627" s="946"/>
      <c r="E11627" s="947"/>
      <c r="F11627" s="1068"/>
      <c r="G11627" s="946"/>
      <c r="H11627" s="1031"/>
      <c r="I11627" s="948"/>
    </row>
    <row r="11628" spans="2:9" ht="15.75">
      <c r="C11628" s="949" t="s">
        <v>1067</v>
      </c>
      <c r="D11628" s="953">
        <v>8.33</v>
      </c>
      <c r="E11628" s="954" t="str">
        <f>+VLOOKUP(C11628,'Basic (equilibrio) (2)'!B:D,2,FALSE)</f>
        <v>ml</v>
      </c>
      <c r="F11628" s="1068">
        <f>'Basic (equilibrio) (2)'!$D$21</f>
        <v>125</v>
      </c>
      <c r="G11628" s="946">
        <v>0</v>
      </c>
      <c r="H11628" s="1031">
        <v>70</v>
      </c>
      <c r="I11628" s="948">
        <f>(D11628*F11628)/H11628</f>
        <v>14.88</v>
      </c>
    </row>
    <row r="11629" spans="2:9" ht="15.75">
      <c r="C11629" s="951" t="s">
        <v>918</v>
      </c>
      <c r="D11629" s="946"/>
      <c r="E11629" s="947"/>
      <c r="F11629" s="1054"/>
      <c r="G11629" s="946"/>
      <c r="H11629" s="1031"/>
      <c r="I11629" s="952">
        <f>SUM(I11628:I11628)</f>
        <v>14.88</v>
      </c>
    </row>
    <row r="11630" spans="2:9" ht="15.75">
      <c r="C11630" s="949"/>
      <c r="D11630" s="946"/>
      <c r="E11630" s="947"/>
      <c r="F11630" s="1054"/>
      <c r="G11630" s="946"/>
      <c r="H11630" s="1031"/>
      <c r="I11630" s="948"/>
    </row>
    <row r="11631" spans="2:9" ht="15.75">
      <c r="C11631" s="945" t="s">
        <v>923</v>
      </c>
      <c r="D11631" s="946"/>
      <c r="E11631" s="947"/>
      <c r="F11631" s="1054"/>
      <c r="G11631" s="946"/>
      <c r="H11631" s="1031"/>
      <c r="I11631" s="948"/>
    </row>
    <row r="11632" spans="2:9" ht="15.75">
      <c r="C11632" s="949" t="s">
        <v>924</v>
      </c>
      <c r="D11632" s="946"/>
      <c r="E11632" s="947" t="str">
        <f>+VLOOKUP(C11632,'Basic (equilibrio) (2)'!B:D,2,FALSE)</f>
        <v>n/a</v>
      </c>
      <c r="F11632" s="1054">
        <f>+VLOOKUP(C11632,'Basic (equilibrio) (2)'!B:D,3,FALSE)</f>
        <v>0</v>
      </c>
      <c r="G11632" s="946">
        <f>F11632-(F11632/1.18)</f>
        <v>0</v>
      </c>
      <c r="H11632" s="1039"/>
      <c r="I11632" s="955">
        <f>D11632*F11632</f>
        <v>0</v>
      </c>
    </row>
    <row r="11633" spans="2:9" ht="15.75">
      <c r="C11633" s="951" t="s">
        <v>918</v>
      </c>
      <c r="D11633" s="946"/>
      <c r="E11633" s="947"/>
      <c r="F11633" s="1054"/>
      <c r="G11633" s="946"/>
      <c r="H11633" s="1031"/>
      <c r="I11633" s="952">
        <f>SUM(I11632:I11632)</f>
        <v>0</v>
      </c>
    </row>
    <row r="11634" spans="2:9" ht="15.75">
      <c r="C11634" s="949"/>
      <c r="D11634" s="946"/>
      <c r="E11634" s="947"/>
      <c r="F11634" s="1054"/>
      <c r="G11634" s="946"/>
      <c r="H11634" s="1031"/>
      <c r="I11634" s="948"/>
    </row>
    <row r="11635" spans="2:9" ht="15.75">
      <c r="C11635" s="945" t="s">
        <v>925</v>
      </c>
      <c r="D11635" s="946"/>
      <c r="E11635" s="947"/>
      <c r="F11635" s="1054"/>
      <c r="G11635" s="946"/>
      <c r="H11635" s="1031"/>
      <c r="I11635" s="948"/>
    </row>
    <row r="11636" spans="2:9" ht="15.75">
      <c r="C11636" s="949" t="s">
        <v>924</v>
      </c>
      <c r="D11636" s="946"/>
      <c r="E11636" s="947" t="str">
        <f>+VLOOKUP(C11636,'Basic (equilibrio) (2)'!B:D,2,FALSE)</f>
        <v>n/a</v>
      </c>
      <c r="F11636" s="1054">
        <f>+VLOOKUP(C11636,'Basic (equilibrio) (2)'!B:D,3,FALSE)</f>
        <v>0</v>
      </c>
      <c r="G11636" s="946"/>
      <c r="H11636" s="1031"/>
      <c r="I11636" s="948">
        <f>D11636*F11636</f>
        <v>0</v>
      </c>
    </row>
    <row r="11637" spans="2:9" ht="15.75">
      <c r="C11637" s="951" t="s">
        <v>918</v>
      </c>
      <c r="D11637" s="946"/>
      <c r="E11637" s="947"/>
      <c r="F11637" s="1054"/>
      <c r="G11637" s="946"/>
      <c r="H11637" s="1031"/>
      <c r="I11637" s="952">
        <f>SUM(I11636)</f>
        <v>0</v>
      </c>
    </row>
    <row r="11638" spans="2:9" ht="15.75">
      <c r="C11638" s="951"/>
      <c r="D11638" s="946"/>
      <c r="E11638" s="947"/>
      <c r="F11638" s="1054"/>
      <c r="G11638" s="946"/>
      <c r="H11638" s="1031"/>
      <c r="I11638" s="952"/>
    </row>
    <row r="11639" spans="2:9" ht="15.75">
      <c r="C11639" s="956" t="s">
        <v>926</v>
      </c>
      <c r="D11639" s="957"/>
      <c r="E11639" s="958"/>
      <c r="F11639" s="1069"/>
      <c r="G11639" s="957"/>
      <c r="H11639" s="1032"/>
      <c r="I11639" s="959">
        <f>+I11625</f>
        <v>10608.52</v>
      </c>
    </row>
    <row r="11640" spans="2:9" ht="15.75">
      <c r="C11640" s="956" t="s">
        <v>927</v>
      </c>
      <c r="D11640" s="957"/>
      <c r="E11640" s="958"/>
      <c r="F11640" s="1069"/>
      <c r="G11640" s="957"/>
      <c r="H11640" s="1032"/>
      <c r="I11640" s="959">
        <f>+I11629</f>
        <v>14.88</v>
      </c>
    </row>
    <row r="11641" spans="2:9" ht="15.75">
      <c r="C11641" s="956" t="s">
        <v>928</v>
      </c>
      <c r="D11641" s="957"/>
      <c r="E11641" s="958"/>
      <c r="F11641" s="1069"/>
      <c r="G11641" s="957"/>
      <c r="H11641" s="1032"/>
      <c r="I11641" s="959">
        <f>+I11633</f>
        <v>0</v>
      </c>
    </row>
    <row r="11642" spans="2:9" ht="15.75">
      <c r="C11642" s="956" t="s">
        <v>929</v>
      </c>
      <c r="D11642" s="957"/>
      <c r="E11642" s="958"/>
      <c r="F11642" s="1069"/>
      <c r="G11642" s="957"/>
      <c r="H11642" s="1032"/>
      <c r="I11642" s="959">
        <f>+I11637</f>
        <v>0</v>
      </c>
    </row>
    <row r="11643" spans="2:9" ht="15.75">
      <c r="C11643" s="949"/>
      <c r="D11643" s="946"/>
      <c r="E11643" s="947"/>
      <c r="F11643" s="1054"/>
      <c r="G11643" s="946"/>
      <c r="H11643" s="1031"/>
      <c r="I11643" s="948"/>
    </row>
    <row r="11644" spans="2:9" ht="15.75">
      <c r="C11644" s="949"/>
      <c r="D11644" s="946"/>
      <c r="E11644" s="947"/>
      <c r="F11644" s="1054"/>
      <c r="G11644" s="946"/>
      <c r="H11644" s="1031"/>
      <c r="I11644" s="948"/>
    </row>
    <row r="11645" spans="2:9" ht="15.75">
      <c r="C11645" s="951" t="s">
        <v>930</v>
      </c>
      <c r="D11645" s="960"/>
      <c r="E11645" s="943" t="str">
        <f>+E11619</f>
        <v>M3</v>
      </c>
      <c r="F11645" s="1070"/>
      <c r="G11645" s="960"/>
      <c r="H11645" s="1033"/>
      <c r="I11645" s="952">
        <f>SUM(I11639:I11642)</f>
        <v>10623.4</v>
      </c>
    </row>
    <row r="11646" spans="2:9" ht="15.75">
      <c r="C11646" s="951"/>
      <c r="D11646" s="960"/>
      <c r="E11646" s="943"/>
      <c r="F11646" s="1070"/>
      <c r="G11646" s="960"/>
      <c r="H11646" s="1033"/>
      <c r="I11646" s="952"/>
    </row>
    <row r="11647" spans="2:9" ht="15.75">
      <c r="B11647" s="1026">
        <v>3.3</v>
      </c>
      <c r="C11647" s="937" t="str">
        <f>+Presupuesto!B676</f>
        <v>Viga a nivel de piso (0.15m x 0.20m) - 3.70 qq/m³</v>
      </c>
      <c r="D11647" s="938"/>
      <c r="E11647" s="962" t="s">
        <v>22</v>
      </c>
      <c r="F11647" s="1066"/>
      <c r="G11647" s="938"/>
      <c r="H11647" s="1029"/>
      <c r="I11647" s="940">
        <f>I11674</f>
        <v>30349.78</v>
      </c>
    </row>
    <row r="11648" spans="2:9" ht="15.75">
      <c r="C11648" s="941" t="s">
        <v>908</v>
      </c>
      <c r="D11648" s="942" t="s">
        <v>9</v>
      </c>
      <c r="E11648" s="943" t="s">
        <v>10</v>
      </c>
      <c r="F11648" s="1067" t="s">
        <v>909</v>
      </c>
      <c r="G11648" s="942" t="s">
        <v>910</v>
      </c>
      <c r="H11648" s="1030" t="s">
        <v>911</v>
      </c>
      <c r="I11648" s="944" t="s">
        <v>912</v>
      </c>
    </row>
    <row r="11649" spans="3:9" ht="15.75">
      <c r="C11649" s="945" t="s">
        <v>913</v>
      </c>
      <c r="D11649" s="946"/>
      <c r="E11649" s="947"/>
      <c r="F11649" s="1054"/>
      <c r="G11649" s="946"/>
      <c r="H11649" s="1031"/>
      <c r="I11649" s="948"/>
    </row>
    <row r="11650" spans="3:9" ht="15.75">
      <c r="C11650" s="949" t="s">
        <v>994</v>
      </c>
      <c r="D11650" s="946">
        <v>1.05</v>
      </c>
      <c r="E11650" s="947" t="str">
        <f>+VLOOKUP(C11650,'Basic (equilibrio) (2)'!B:D,2,FALSE)</f>
        <v>m3</v>
      </c>
      <c r="F11650" s="1068">
        <f>'Basic (equilibrio) (2)'!$D$179</f>
        <v>7600</v>
      </c>
      <c r="G11650" s="946">
        <f>F11650-(F11650/1.18)</f>
        <v>1159.32</v>
      </c>
      <c r="H11650" s="1031"/>
      <c r="I11650" s="948">
        <f>D11650*F11650</f>
        <v>7980</v>
      </c>
    </row>
    <row r="11651" spans="3:9" ht="15.75">
      <c r="C11651" s="949" t="s">
        <v>1188</v>
      </c>
      <c r="D11651" s="946">
        <v>3.7</v>
      </c>
      <c r="E11651" s="947" t="str">
        <f>+VLOOKUP(C11651,'Basic (equilibrio) (2)'!B:D,2,FALSE)</f>
        <v>qq</v>
      </c>
      <c r="F11651" s="1068">
        <f>'Basic (equilibrio) (2)'!$D$183</f>
        <v>3600</v>
      </c>
      <c r="G11651" s="946">
        <f>F11651-(F11651/1.18)</f>
        <v>549.15</v>
      </c>
      <c r="H11651" s="1031"/>
      <c r="I11651" s="948">
        <f>D11651*F11651</f>
        <v>13320</v>
      </c>
    </row>
    <row r="11652" spans="3:9" ht="15.75">
      <c r="C11652" s="949" t="s">
        <v>1328</v>
      </c>
      <c r="D11652" s="946">
        <f>+D11651*2</f>
        <v>7.4</v>
      </c>
      <c r="E11652" s="947" t="str">
        <f>+VLOOKUP(C11652,'Basic (equilibrio) (2)'!B:D,2,FALSE)</f>
        <v>lb</v>
      </c>
      <c r="F11652" s="1068">
        <f>'Basic (equilibrio) (2)'!$D$334</f>
        <v>31.1</v>
      </c>
      <c r="G11652" s="946">
        <f>F11652-(F11652/1.18)</f>
        <v>4.74</v>
      </c>
      <c r="H11652" s="1031"/>
      <c r="I11652" s="948">
        <f>D11652*F11652</f>
        <v>230.14</v>
      </c>
    </row>
    <row r="11653" spans="3:9" ht="15.75">
      <c r="C11653" s="949" t="s">
        <v>1072</v>
      </c>
      <c r="D11653" s="946">
        <v>25</v>
      </c>
      <c r="E11653" s="947" t="str">
        <f>+VLOOKUP(C11653,'Basic (equilibrio) (2)'!B:D,2,FALSE)</f>
        <v>ml</v>
      </c>
      <c r="F11653" s="1068">
        <f>'Basic (equilibrio) (2)'!$D$22</f>
        <v>351</v>
      </c>
      <c r="G11653" s="946">
        <f>F11653-(F11653/1.18)</f>
        <v>53.54</v>
      </c>
      <c r="H11653" s="1031"/>
      <c r="I11653" s="948">
        <f>D11653*F11653</f>
        <v>8775</v>
      </c>
    </row>
    <row r="11654" spans="3:9" ht="15.75">
      <c r="C11654" s="951" t="s">
        <v>918</v>
      </c>
      <c r="D11654" s="946"/>
      <c r="E11654" s="947"/>
      <c r="F11654" s="1068"/>
      <c r="G11654" s="946"/>
      <c r="H11654" s="1031"/>
      <c r="I11654" s="952">
        <f>SUM(I11650:I11653)</f>
        <v>30305.14</v>
      </c>
    </row>
    <row r="11655" spans="3:9" ht="15.75">
      <c r="C11655" s="949"/>
      <c r="D11655" s="946"/>
      <c r="E11655" s="947"/>
      <c r="F11655" s="1068"/>
      <c r="G11655" s="946"/>
      <c r="H11655" s="1031"/>
      <c r="I11655" s="948"/>
    </row>
    <row r="11656" spans="3:9" ht="15.75">
      <c r="C11656" s="945" t="s">
        <v>919</v>
      </c>
      <c r="D11656" s="946"/>
      <c r="E11656" s="947"/>
      <c r="F11656" s="1068"/>
      <c r="G11656" s="946"/>
      <c r="H11656" s="1031"/>
      <c r="I11656" s="948"/>
    </row>
    <row r="11657" spans="3:9" ht="15.75">
      <c r="C11657" s="949" t="s">
        <v>1073</v>
      </c>
      <c r="D11657" s="953">
        <v>25</v>
      </c>
      <c r="E11657" s="954" t="str">
        <f>+VLOOKUP(C11657,'Basic (equilibrio) (2)'!B:D,2,FALSE)</f>
        <v>ml</v>
      </c>
      <c r="F11657" s="1068">
        <f>'Basic (equilibrio) (2)'!$D$25</f>
        <v>125</v>
      </c>
      <c r="G11657" s="946">
        <v>0</v>
      </c>
      <c r="H11657" s="1031">
        <v>70</v>
      </c>
      <c r="I11657" s="948">
        <f>(D11657*F11657)/H11657</f>
        <v>44.64</v>
      </c>
    </row>
    <row r="11658" spans="3:9" ht="15.75">
      <c r="C11658" s="951" t="s">
        <v>918</v>
      </c>
      <c r="D11658" s="946"/>
      <c r="E11658" s="947"/>
      <c r="F11658" s="1054"/>
      <c r="G11658" s="946"/>
      <c r="H11658" s="1031"/>
      <c r="I11658" s="952">
        <f>SUM(I11657:I11657)</f>
        <v>44.64</v>
      </c>
    </row>
    <row r="11659" spans="3:9" ht="15.75">
      <c r="C11659" s="949"/>
      <c r="D11659" s="946"/>
      <c r="E11659" s="947"/>
      <c r="F11659" s="1054"/>
      <c r="G11659" s="946"/>
      <c r="H11659" s="1031"/>
      <c r="I11659" s="948"/>
    </row>
    <row r="11660" spans="3:9" ht="15.75">
      <c r="C11660" s="945" t="s">
        <v>923</v>
      </c>
      <c r="D11660" s="946"/>
      <c r="E11660" s="947"/>
      <c r="F11660" s="1054"/>
      <c r="G11660" s="946"/>
      <c r="H11660" s="1031"/>
      <c r="I11660" s="948"/>
    </row>
    <row r="11661" spans="3:9" ht="15.75">
      <c r="C11661" s="949" t="s">
        <v>924</v>
      </c>
      <c r="D11661" s="946"/>
      <c r="E11661" s="947" t="str">
        <f>+VLOOKUP(C11661,'Basic (equilibrio) (2)'!B:D,2,FALSE)</f>
        <v>n/a</v>
      </c>
      <c r="F11661" s="1054">
        <f>+VLOOKUP(C11661,'Basic (equilibrio) (2)'!B:D,3,FALSE)</f>
        <v>0</v>
      </c>
      <c r="G11661" s="946">
        <f>F11661-(F11661/1.18)</f>
        <v>0</v>
      </c>
      <c r="H11661" s="1039"/>
      <c r="I11661" s="955">
        <f>D11661*F11661</f>
        <v>0</v>
      </c>
    </row>
    <row r="11662" spans="3:9" ht="15.75">
      <c r="C11662" s="951" t="s">
        <v>918</v>
      </c>
      <c r="D11662" s="946"/>
      <c r="E11662" s="947"/>
      <c r="F11662" s="1054"/>
      <c r="G11662" s="946"/>
      <c r="H11662" s="1031"/>
      <c r="I11662" s="952">
        <f>SUM(I11661:I11661)</f>
        <v>0</v>
      </c>
    </row>
    <row r="11663" spans="3:9" ht="15.75">
      <c r="C11663" s="949"/>
      <c r="D11663" s="946"/>
      <c r="E11663" s="947"/>
      <c r="F11663" s="1054"/>
      <c r="G11663" s="946"/>
      <c r="H11663" s="1031"/>
      <c r="I11663" s="948"/>
    </row>
    <row r="11664" spans="3:9" ht="15.75">
      <c r="C11664" s="945" t="s">
        <v>925</v>
      </c>
      <c r="D11664" s="946"/>
      <c r="E11664" s="947"/>
      <c r="F11664" s="1054"/>
      <c r="G11664" s="946"/>
      <c r="H11664" s="1031"/>
      <c r="I11664" s="948"/>
    </row>
    <row r="11665" spans="2:9" ht="15.75">
      <c r="C11665" s="949" t="s">
        <v>924</v>
      </c>
      <c r="D11665" s="946"/>
      <c r="E11665" s="947" t="str">
        <f>+VLOOKUP(C11665,'Basic (equilibrio) (2)'!B:D,2,FALSE)</f>
        <v>n/a</v>
      </c>
      <c r="F11665" s="1054">
        <f>+VLOOKUP(C11665,'Basic (equilibrio) (2)'!B:D,3,FALSE)</f>
        <v>0</v>
      </c>
      <c r="G11665" s="946"/>
      <c r="H11665" s="1031"/>
      <c r="I11665" s="948">
        <f>D11665*F11665</f>
        <v>0</v>
      </c>
    </row>
    <row r="11666" spans="2:9" ht="15.75">
      <c r="C11666" s="951" t="s">
        <v>918</v>
      </c>
      <c r="D11666" s="946"/>
      <c r="E11666" s="947"/>
      <c r="F11666" s="1054"/>
      <c r="G11666" s="946"/>
      <c r="H11666" s="1031"/>
      <c r="I11666" s="952">
        <f>SUM(I11665)</f>
        <v>0</v>
      </c>
    </row>
    <row r="11667" spans="2:9" ht="15.75">
      <c r="C11667" s="951"/>
      <c r="D11667" s="946"/>
      <c r="E11667" s="947"/>
      <c r="F11667" s="1054"/>
      <c r="G11667" s="946"/>
      <c r="H11667" s="1031"/>
      <c r="I11667" s="952"/>
    </row>
    <row r="11668" spans="2:9" ht="15.75">
      <c r="C11668" s="956" t="s">
        <v>926</v>
      </c>
      <c r="D11668" s="957"/>
      <c r="E11668" s="958"/>
      <c r="F11668" s="1069"/>
      <c r="G11668" s="957"/>
      <c r="H11668" s="1032"/>
      <c r="I11668" s="959">
        <f>+I11654</f>
        <v>30305.14</v>
      </c>
    </row>
    <row r="11669" spans="2:9" ht="15.75">
      <c r="C11669" s="956" t="s">
        <v>927</v>
      </c>
      <c r="D11669" s="957"/>
      <c r="E11669" s="958"/>
      <c r="F11669" s="1069"/>
      <c r="G11669" s="957"/>
      <c r="H11669" s="1032"/>
      <c r="I11669" s="959">
        <f>+I11658</f>
        <v>44.64</v>
      </c>
    </row>
    <row r="11670" spans="2:9" ht="15.75">
      <c r="C11670" s="956" t="s">
        <v>928</v>
      </c>
      <c r="D11670" s="957"/>
      <c r="E11670" s="958"/>
      <c r="F11670" s="1069"/>
      <c r="G11670" s="957"/>
      <c r="H11670" s="1032"/>
      <c r="I11670" s="959">
        <f>+I11662</f>
        <v>0</v>
      </c>
    </row>
    <row r="11671" spans="2:9" ht="15.75">
      <c r="C11671" s="956" t="s">
        <v>929</v>
      </c>
      <c r="D11671" s="957"/>
      <c r="E11671" s="958"/>
      <c r="F11671" s="1069"/>
      <c r="G11671" s="957"/>
      <c r="H11671" s="1032"/>
      <c r="I11671" s="959">
        <f>+I11666</f>
        <v>0</v>
      </c>
    </row>
    <row r="11672" spans="2:9" ht="15.75">
      <c r="C11672" s="949"/>
      <c r="D11672" s="946"/>
      <c r="E11672" s="947"/>
      <c r="F11672" s="1054"/>
      <c r="G11672" s="946"/>
      <c r="H11672" s="1031"/>
      <c r="I11672" s="948"/>
    </row>
    <row r="11673" spans="2:9" ht="15.75">
      <c r="C11673" s="949"/>
      <c r="D11673" s="946"/>
      <c r="E11673" s="947"/>
      <c r="F11673" s="1054"/>
      <c r="G11673" s="946"/>
      <c r="H11673" s="1031"/>
      <c r="I11673" s="948"/>
    </row>
    <row r="11674" spans="2:9" ht="15.75">
      <c r="C11674" s="951" t="s">
        <v>930</v>
      </c>
      <c r="D11674" s="960"/>
      <c r="E11674" s="943" t="str">
        <f>+E11647</f>
        <v>M3</v>
      </c>
      <c r="F11674" s="1070"/>
      <c r="G11674" s="960"/>
      <c r="H11674" s="1033"/>
      <c r="I11674" s="952">
        <f>SUM(I11668:I11671)</f>
        <v>30349.78</v>
      </c>
    </row>
    <row r="11675" spans="2:9" ht="15.75">
      <c r="C11675" s="951"/>
      <c r="D11675" s="960"/>
      <c r="E11675" s="943"/>
      <c r="F11675" s="1070"/>
      <c r="G11675" s="960"/>
      <c r="H11675" s="1033"/>
      <c r="I11675" s="952"/>
    </row>
    <row r="11676" spans="2:9" ht="15.75">
      <c r="B11676" s="1026">
        <v>3.4</v>
      </c>
      <c r="C11676" s="937" t="str">
        <f>+Presupuesto!B677</f>
        <v>Viga dintel D1 (0.15m x 0.68m) - 2.70 qq/m³</v>
      </c>
      <c r="D11676" s="938"/>
      <c r="E11676" s="962" t="s">
        <v>22</v>
      </c>
      <c r="F11676" s="1066"/>
      <c r="G11676" s="938"/>
      <c r="H11676" s="1029"/>
      <c r="I11676" s="940">
        <f>I11703</f>
        <v>26651.03</v>
      </c>
    </row>
    <row r="11677" spans="2:9" ht="15.75">
      <c r="C11677" s="941" t="s">
        <v>908</v>
      </c>
      <c r="D11677" s="942" t="s">
        <v>9</v>
      </c>
      <c r="E11677" s="943" t="s">
        <v>10</v>
      </c>
      <c r="F11677" s="1067" t="s">
        <v>909</v>
      </c>
      <c r="G11677" s="942" t="s">
        <v>910</v>
      </c>
      <c r="H11677" s="1030" t="s">
        <v>911</v>
      </c>
      <c r="I11677" s="944" t="s">
        <v>912</v>
      </c>
    </row>
    <row r="11678" spans="2:9" ht="15.75">
      <c r="C11678" s="945" t="s">
        <v>913</v>
      </c>
      <c r="D11678" s="946"/>
      <c r="E11678" s="947"/>
      <c r="F11678" s="1054"/>
      <c r="G11678" s="946"/>
      <c r="H11678" s="1031"/>
      <c r="I11678" s="948"/>
    </row>
    <row r="11679" spans="2:9" ht="15.75">
      <c r="C11679" s="949" t="s">
        <v>994</v>
      </c>
      <c r="D11679" s="946">
        <v>1.05</v>
      </c>
      <c r="E11679" s="947" t="str">
        <f>+VLOOKUP(C11679,'Basic (equilibrio) (2)'!B:D,2,FALSE)</f>
        <v>m3</v>
      </c>
      <c r="F11679" s="1068">
        <f>'Basic (equilibrio) (2)'!$D$179</f>
        <v>7600</v>
      </c>
      <c r="G11679" s="946">
        <f>F11679-(F11679/1.18)</f>
        <v>1159.32</v>
      </c>
      <c r="H11679" s="1031"/>
      <c r="I11679" s="948">
        <f>D11679*F11679</f>
        <v>7980</v>
      </c>
    </row>
    <row r="11680" spans="2:9" ht="15.75">
      <c r="C11680" s="949" t="s">
        <v>1188</v>
      </c>
      <c r="D11680" s="946">
        <v>2.7</v>
      </c>
      <c r="E11680" s="947" t="str">
        <f>+VLOOKUP(C11680,'Basic (equilibrio) (2)'!B:D,2,FALSE)</f>
        <v>qq</v>
      </c>
      <c r="F11680" s="1068">
        <f>'Basic (equilibrio) (2)'!$D$183</f>
        <v>3600</v>
      </c>
      <c r="G11680" s="946">
        <f>F11680-(F11680/1.18)</f>
        <v>549.15</v>
      </c>
      <c r="H11680" s="1031"/>
      <c r="I11680" s="948">
        <f>D11680*F11680</f>
        <v>9720</v>
      </c>
    </row>
    <row r="11681" spans="3:9" ht="15.75">
      <c r="C11681" s="949" t="s">
        <v>1328</v>
      </c>
      <c r="D11681" s="946">
        <f>+D11680*2</f>
        <v>5.4</v>
      </c>
      <c r="E11681" s="947" t="str">
        <f>+VLOOKUP(C11681,'Basic (equilibrio) (2)'!B:D,2,FALSE)</f>
        <v>lb</v>
      </c>
      <c r="F11681" s="1068">
        <f>'Basic (equilibrio) (2)'!$D$334</f>
        <v>31.1</v>
      </c>
      <c r="G11681" s="946">
        <f>F11681-(F11681/1.18)</f>
        <v>4.74</v>
      </c>
      <c r="H11681" s="1031"/>
      <c r="I11681" s="948">
        <f>D11681*F11681</f>
        <v>167.94</v>
      </c>
    </row>
    <row r="11682" spans="3:9" ht="15.75">
      <c r="C11682" s="949" t="s">
        <v>1072</v>
      </c>
      <c r="D11682" s="946">
        <v>25</v>
      </c>
      <c r="E11682" s="947" t="str">
        <f>+VLOOKUP(C11682,'Basic (equilibrio) (2)'!B:D,2,FALSE)</f>
        <v>ml</v>
      </c>
      <c r="F11682" s="1068">
        <f>'Basic (equilibrio) (2)'!$D$22</f>
        <v>351</v>
      </c>
      <c r="G11682" s="946">
        <f>F11682-(F11682/1.18)</f>
        <v>53.54</v>
      </c>
      <c r="H11682" s="1031"/>
      <c r="I11682" s="948">
        <f>D11682*F11682</f>
        <v>8775</v>
      </c>
    </row>
    <row r="11683" spans="3:9" ht="15.75">
      <c r="C11683" s="951" t="s">
        <v>918</v>
      </c>
      <c r="D11683" s="946"/>
      <c r="E11683" s="947"/>
      <c r="F11683" s="1068"/>
      <c r="G11683" s="946"/>
      <c r="H11683" s="1031"/>
      <c r="I11683" s="952">
        <f>SUM(I11679:I11682)</f>
        <v>26642.94</v>
      </c>
    </row>
    <row r="11684" spans="3:9" ht="15.75">
      <c r="C11684" s="949"/>
      <c r="D11684" s="946"/>
      <c r="E11684" s="947"/>
      <c r="F11684" s="1068"/>
      <c r="G11684" s="946"/>
      <c r="H11684" s="1031"/>
      <c r="I11684" s="948"/>
    </row>
    <row r="11685" spans="3:9" ht="15.75">
      <c r="C11685" s="945" t="s">
        <v>919</v>
      </c>
      <c r="D11685" s="946"/>
      <c r="E11685" s="947"/>
      <c r="F11685" s="1068"/>
      <c r="G11685" s="946"/>
      <c r="H11685" s="1031"/>
      <c r="I11685" s="948"/>
    </row>
    <row r="11686" spans="3:9" ht="15.75">
      <c r="C11686" s="949" t="s">
        <v>1073</v>
      </c>
      <c r="D11686" s="953">
        <f>1/0.15*0.68</f>
        <v>4.53</v>
      </c>
      <c r="E11686" s="954" t="str">
        <f>+VLOOKUP(C11686,'Basic (equilibrio) (2)'!B:D,2,FALSE)</f>
        <v>ml</v>
      </c>
      <c r="F11686" s="1068">
        <f>'Basic (equilibrio) (2)'!$D$25</f>
        <v>125</v>
      </c>
      <c r="G11686" s="946">
        <v>0</v>
      </c>
      <c r="H11686" s="1031">
        <v>70</v>
      </c>
      <c r="I11686" s="948">
        <f>(D11686*F11686)/H11686</f>
        <v>8.09</v>
      </c>
    </row>
    <row r="11687" spans="3:9" ht="15.75">
      <c r="C11687" s="951" t="s">
        <v>918</v>
      </c>
      <c r="D11687" s="946"/>
      <c r="E11687" s="947"/>
      <c r="F11687" s="1054"/>
      <c r="G11687" s="946"/>
      <c r="H11687" s="1031"/>
      <c r="I11687" s="952">
        <f>SUM(I11686:I11686)</f>
        <v>8.09</v>
      </c>
    </row>
    <row r="11688" spans="3:9" ht="15.75">
      <c r="C11688" s="949"/>
      <c r="D11688" s="946"/>
      <c r="E11688" s="947"/>
      <c r="F11688" s="1054"/>
      <c r="G11688" s="946"/>
      <c r="H11688" s="1031"/>
      <c r="I11688" s="948"/>
    </row>
    <row r="11689" spans="3:9" ht="15.75">
      <c r="C11689" s="945" t="s">
        <v>923</v>
      </c>
      <c r="D11689" s="946"/>
      <c r="E11689" s="947"/>
      <c r="F11689" s="1054"/>
      <c r="G11689" s="946"/>
      <c r="H11689" s="1031"/>
      <c r="I11689" s="948"/>
    </row>
    <row r="11690" spans="3:9" ht="15.75">
      <c r="C11690" s="949" t="s">
        <v>924</v>
      </c>
      <c r="D11690" s="946"/>
      <c r="E11690" s="947" t="str">
        <f>+VLOOKUP(C11690,'Basic (equilibrio) (2)'!B:D,2,FALSE)</f>
        <v>n/a</v>
      </c>
      <c r="F11690" s="1054">
        <f>+VLOOKUP(C11690,'Basic (equilibrio) (2)'!B:D,3,FALSE)</f>
        <v>0</v>
      </c>
      <c r="G11690" s="946">
        <f>F11690-(F11690/1.18)</f>
        <v>0</v>
      </c>
      <c r="H11690" s="1039"/>
      <c r="I11690" s="955">
        <f>D11690*F11690</f>
        <v>0</v>
      </c>
    </row>
    <row r="11691" spans="3:9" ht="15.75">
      <c r="C11691" s="951" t="s">
        <v>918</v>
      </c>
      <c r="D11691" s="946"/>
      <c r="E11691" s="947"/>
      <c r="F11691" s="1054"/>
      <c r="G11691" s="946"/>
      <c r="H11691" s="1031"/>
      <c r="I11691" s="952">
        <f>SUM(I11690:I11690)</f>
        <v>0</v>
      </c>
    </row>
    <row r="11692" spans="3:9" ht="15.75">
      <c r="C11692" s="949"/>
      <c r="D11692" s="946"/>
      <c r="E11692" s="947"/>
      <c r="F11692" s="1054"/>
      <c r="G11692" s="946"/>
      <c r="H11692" s="1031"/>
      <c r="I11692" s="948"/>
    </row>
    <row r="11693" spans="3:9" ht="15.75">
      <c r="C11693" s="945" t="s">
        <v>925</v>
      </c>
      <c r="D11693" s="946"/>
      <c r="E11693" s="947"/>
      <c r="F11693" s="1054"/>
      <c r="G11693" s="946"/>
      <c r="H11693" s="1031"/>
      <c r="I11693" s="948"/>
    </row>
    <row r="11694" spans="3:9" ht="15.75">
      <c r="C11694" s="949" t="s">
        <v>924</v>
      </c>
      <c r="D11694" s="946"/>
      <c r="E11694" s="947" t="str">
        <f>+VLOOKUP(C11694,'Basic (equilibrio) (2)'!B:D,2,FALSE)</f>
        <v>n/a</v>
      </c>
      <c r="F11694" s="1054">
        <f>+VLOOKUP(C11694,'Basic (equilibrio) (2)'!B:D,3,FALSE)</f>
        <v>0</v>
      </c>
      <c r="G11694" s="946"/>
      <c r="H11694" s="1031"/>
      <c r="I11694" s="948">
        <f>D11694*F11694</f>
        <v>0</v>
      </c>
    </row>
    <row r="11695" spans="3:9" ht="15.75">
      <c r="C11695" s="951" t="s">
        <v>918</v>
      </c>
      <c r="D11695" s="946"/>
      <c r="E11695" s="947"/>
      <c r="F11695" s="1054"/>
      <c r="G11695" s="946"/>
      <c r="H11695" s="1031"/>
      <c r="I11695" s="952">
        <f>SUM(I11694)</f>
        <v>0</v>
      </c>
    </row>
    <row r="11696" spans="3:9" ht="15.75">
      <c r="C11696" s="951"/>
      <c r="D11696" s="946"/>
      <c r="E11696" s="947"/>
      <c r="F11696" s="1054"/>
      <c r="G11696" s="946"/>
      <c r="H11696" s="1031"/>
      <c r="I11696" s="952"/>
    </row>
    <row r="11697" spans="2:9" ht="15.75">
      <c r="C11697" s="956" t="s">
        <v>926</v>
      </c>
      <c r="D11697" s="957"/>
      <c r="E11697" s="958"/>
      <c r="F11697" s="1069"/>
      <c r="G11697" s="957"/>
      <c r="H11697" s="1032"/>
      <c r="I11697" s="959">
        <f>+I11683</f>
        <v>26642.94</v>
      </c>
    </row>
    <row r="11698" spans="2:9" ht="15.75">
      <c r="C11698" s="956" t="s">
        <v>927</v>
      </c>
      <c r="D11698" s="957"/>
      <c r="E11698" s="958"/>
      <c r="F11698" s="1069"/>
      <c r="G11698" s="957"/>
      <c r="H11698" s="1032"/>
      <c r="I11698" s="959">
        <f>+I11687</f>
        <v>8.09</v>
      </c>
    </row>
    <row r="11699" spans="2:9" ht="15.75">
      <c r="C11699" s="956" t="s">
        <v>928</v>
      </c>
      <c r="D11699" s="957"/>
      <c r="E11699" s="958"/>
      <c r="F11699" s="1069"/>
      <c r="G11699" s="957"/>
      <c r="H11699" s="1032"/>
      <c r="I11699" s="959">
        <f>+I11691</f>
        <v>0</v>
      </c>
    </row>
    <row r="11700" spans="2:9" ht="15.75">
      <c r="C11700" s="956" t="s">
        <v>929</v>
      </c>
      <c r="D11700" s="957"/>
      <c r="E11700" s="958"/>
      <c r="F11700" s="1069"/>
      <c r="G11700" s="957"/>
      <c r="H11700" s="1032"/>
      <c r="I11700" s="959">
        <f>+I11695</f>
        <v>0</v>
      </c>
    </row>
    <row r="11701" spans="2:9" ht="15.75">
      <c r="C11701" s="949"/>
      <c r="D11701" s="946"/>
      <c r="E11701" s="947"/>
      <c r="F11701" s="1054"/>
      <c r="G11701" s="946"/>
      <c r="H11701" s="1031"/>
      <c r="I11701" s="948"/>
    </row>
    <row r="11702" spans="2:9" ht="15.75">
      <c r="C11702" s="949"/>
      <c r="D11702" s="946"/>
      <c r="E11702" s="947"/>
      <c r="F11702" s="1054"/>
      <c r="G11702" s="946"/>
      <c r="H11702" s="1031"/>
      <c r="I11702" s="948"/>
    </row>
    <row r="11703" spans="2:9" ht="15.75">
      <c r="C11703" s="951" t="s">
        <v>930</v>
      </c>
      <c r="D11703" s="960"/>
      <c r="E11703" s="943" t="str">
        <f>+E11676</f>
        <v>M3</v>
      </c>
      <c r="F11703" s="1070"/>
      <c r="G11703" s="960"/>
      <c r="H11703" s="1033"/>
      <c r="I11703" s="952">
        <f>SUM(I11697:I11700)</f>
        <v>26651.03</v>
      </c>
    </row>
    <row r="11704" spans="2:9" ht="15.75">
      <c r="C11704" s="951"/>
      <c r="D11704" s="960"/>
      <c r="E11704" s="943"/>
      <c r="F11704" s="1070"/>
      <c r="G11704" s="960"/>
      <c r="H11704" s="1033"/>
      <c r="I11704" s="952"/>
    </row>
    <row r="11705" spans="2:9" ht="15.75">
      <c r="B11705" s="1026">
        <v>3.5</v>
      </c>
      <c r="C11705" s="937" t="str">
        <f>+Presupuesto!B678</f>
        <v>Columna CA (0.15m x 0.30m) - 4.88 qq/m³</v>
      </c>
      <c r="D11705" s="938"/>
      <c r="E11705" s="962" t="s">
        <v>22</v>
      </c>
      <c r="F11705" s="1066"/>
      <c r="G11705" s="938"/>
      <c r="H11705" s="1029"/>
      <c r="I11705" s="940">
        <f>I11737</f>
        <v>45524.81</v>
      </c>
    </row>
    <row r="11706" spans="2:9" ht="15.75">
      <c r="C11706" s="941" t="s">
        <v>908</v>
      </c>
      <c r="D11706" s="942" t="s">
        <v>9</v>
      </c>
      <c r="E11706" s="943" t="s">
        <v>10</v>
      </c>
      <c r="F11706" s="1067" t="s">
        <v>909</v>
      </c>
      <c r="G11706" s="942" t="s">
        <v>910</v>
      </c>
      <c r="H11706" s="1030" t="s">
        <v>911</v>
      </c>
      <c r="I11706" s="944" t="s">
        <v>912</v>
      </c>
    </row>
    <row r="11707" spans="2:9" ht="15.75">
      <c r="C11707" s="945" t="s">
        <v>913</v>
      </c>
      <c r="D11707" s="946"/>
      <c r="E11707" s="947"/>
      <c r="F11707" s="1054"/>
      <c r="G11707" s="946"/>
      <c r="H11707" s="1031"/>
      <c r="I11707" s="948"/>
    </row>
    <row r="11708" spans="2:9" ht="15.75">
      <c r="C11708" s="949" t="s">
        <v>994</v>
      </c>
      <c r="D11708" s="946">
        <v>1.05</v>
      </c>
      <c r="E11708" s="947" t="str">
        <f>+VLOOKUP(C11708,'Basic (equilibrio) (2)'!B:D,2,FALSE)</f>
        <v>m3</v>
      </c>
      <c r="F11708" s="1068">
        <f>'Basic (equilibrio) (2)'!$D$179</f>
        <v>7600</v>
      </c>
      <c r="G11708" s="946">
        <f t="shared" ref="G11708:G11713" si="75">F11708-(F11708/1.18)</f>
        <v>1159.32</v>
      </c>
      <c r="H11708" s="1031"/>
      <c r="I11708" s="948">
        <f t="shared" ref="I11708:I11713" si="76">D11708*F11708</f>
        <v>7980</v>
      </c>
    </row>
    <row r="11709" spans="2:9" ht="15.75">
      <c r="C11709" s="949" t="s">
        <v>1188</v>
      </c>
      <c r="D11709" s="946">
        <v>4.88</v>
      </c>
      <c r="E11709" s="947" t="str">
        <f>+VLOOKUP(C11709,'Basic (equilibrio) (2)'!B:D,2,FALSE)</f>
        <v>qq</v>
      </c>
      <c r="F11709" s="1068">
        <f>'Basic (equilibrio) (2)'!$D$183</f>
        <v>3600</v>
      </c>
      <c r="G11709" s="946">
        <f t="shared" si="75"/>
        <v>549.15</v>
      </c>
      <c r="H11709" s="1031"/>
      <c r="I11709" s="948">
        <f t="shared" si="76"/>
        <v>17568</v>
      </c>
    </row>
    <row r="11710" spans="2:9" ht="15.75">
      <c r="C11710" s="949" t="s">
        <v>1212</v>
      </c>
      <c r="D11710" s="946">
        <f>+D11709*2</f>
        <v>9.76</v>
      </c>
      <c r="E11710" s="947" t="str">
        <f>+VLOOKUP(C11710,'Basic (equilibrio) (2)'!B:D,2,FALSE)</f>
        <v>lb</v>
      </c>
      <c r="F11710" s="1068">
        <f>'Basic (equilibrio) (2)'!$D$312</f>
        <v>26.5</v>
      </c>
      <c r="G11710" s="946">
        <f t="shared" si="75"/>
        <v>4.04</v>
      </c>
      <c r="H11710" s="1031"/>
      <c r="I11710" s="948">
        <f t="shared" si="76"/>
        <v>258.64</v>
      </c>
    </row>
    <row r="11711" spans="2:9" ht="15.75">
      <c r="C11711" s="949" t="s">
        <v>916</v>
      </c>
      <c r="D11711" s="946">
        <v>144</v>
      </c>
      <c r="E11711" s="947" t="str">
        <f>+VLOOKUP(C11711,'Basic (equilibrio) (2)'!B:D,2,FALSE)</f>
        <v>pt</v>
      </c>
      <c r="F11711" s="1068">
        <f>'Basic (equilibrio) (2)'!$D$194</f>
        <v>107.7</v>
      </c>
      <c r="G11711" s="946">
        <f t="shared" si="75"/>
        <v>16.43</v>
      </c>
      <c r="H11711" s="1031"/>
      <c r="I11711" s="948">
        <f t="shared" si="76"/>
        <v>15508.8</v>
      </c>
    </row>
    <row r="11712" spans="2:9" ht="15.75">
      <c r="C11712" s="949" t="s">
        <v>1194</v>
      </c>
      <c r="D11712" s="946">
        <v>23.09</v>
      </c>
      <c r="E11712" s="947" t="str">
        <f>+VLOOKUP(C11712,'Basic (equilibrio) (2)'!B:D,2,FALSE)</f>
        <v>lb</v>
      </c>
      <c r="F11712" s="1068">
        <f>'Basic (equilibrio) (2)'!$D$192</f>
        <v>78.2</v>
      </c>
      <c r="G11712" s="946">
        <f t="shared" si="75"/>
        <v>11.93</v>
      </c>
      <c r="H11712" s="1031"/>
      <c r="I11712" s="948">
        <f t="shared" si="76"/>
        <v>1805.64</v>
      </c>
    </row>
    <row r="11713" spans="3:9" ht="15.75">
      <c r="C11713" s="949" t="s">
        <v>1299</v>
      </c>
      <c r="D11713" s="946">
        <v>6.93</v>
      </c>
      <c r="E11713" s="947" t="str">
        <f>+VLOOKUP(C11713,'Basic (equilibrio) (2)'!B:D,2,FALSE)</f>
        <v>lb</v>
      </c>
      <c r="F11713" s="1068">
        <f>'Basic (equilibrio) (2)'!$D$335</f>
        <v>78.2</v>
      </c>
      <c r="G11713" s="946">
        <f t="shared" si="75"/>
        <v>11.93</v>
      </c>
      <c r="H11713" s="1031"/>
      <c r="I11713" s="948">
        <f t="shared" si="76"/>
        <v>541.92999999999995</v>
      </c>
    </row>
    <row r="11714" spans="3:9" ht="15.75">
      <c r="C11714" s="951" t="s">
        <v>918</v>
      </c>
      <c r="D11714" s="946"/>
      <c r="E11714" s="947"/>
      <c r="F11714" s="1068"/>
      <c r="G11714" s="946"/>
      <c r="H11714" s="1031"/>
      <c r="I11714" s="952">
        <f>SUM(I11708:I11713)</f>
        <v>43663.01</v>
      </c>
    </row>
    <row r="11715" spans="3:9" ht="15.75">
      <c r="C11715" s="949"/>
      <c r="D11715" s="946"/>
      <c r="E11715" s="947"/>
      <c r="F11715" s="1068"/>
      <c r="G11715" s="946"/>
      <c r="H11715" s="1031"/>
      <c r="I11715" s="948"/>
    </row>
    <row r="11716" spans="3:9" ht="15.75">
      <c r="C11716" s="945" t="s">
        <v>919</v>
      </c>
      <c r="D11716" s="946"/>
      <c r="E11716" s="947"/>
      <c r="F11716" s="1068"/>
      <c r="G11716" s="946"/>
      <c r="H11716" s="1031"/>
      <c r="I11716" s="948"/>
    </row>
    <row r="11717" spans="3:9" ht="15.75">
      <c r="C11717" s="949" t="s">
        <v>1131</v>
      </c>
      <c r="D11717" s="953">
        <v>2.2999999999999998</v>
      </c>
      <c r="E11717" s="954" t="str">
        <f>+VLOOKUP(C11717,'Basic (equilibrio) (2)'!B:D,2,FALSE)</f>
        <v>ml</v>
      </c>
      <c r="F11717" s="1068">
        <f>'Basic (equilibrio) (2)'!$D$48</f>
        <v>400</v>
      </c>
      <c r="G11717" s="946">
        <v>0</v>
      </c>
      <c r="H11717" s="1031"/>
      <c r="I11717" s="948">
        <f>(D11717*F11717)</f>
        <v>920</v>
      </c>
    </row>
    <row r="11718" spans="3:9" ht="31.5">
      <c r="C11718" s="949" t="s">
        <v>1132</v>
      </c>
      <c r="D11718" s="946">
        <v>2.2999999999999998</v>
      </c>
      <c r="E11718" s="947" t="str">
        <f>+VLOOKUP(C11718,'Basic (equilibrio) (2)'!B:D,2,FALSE)</f>
        <v>ml</v>
      </c>
      <c r="F11718" s="1068">
        <f>'Basic (equilibrio) (2)'!$D$49</f>
        <v>211</v>
      </c>
      <c r="G11718" s="946">
        <f>F11718-(F11718/1.18)</f>
        <v>32.19</v>
      </c>
      <c r="H11718" s="1031"/>
      <c r="I11718" s="948">
        <f>D11718*F11718</f>
        <v>485.3</v>
      </c>
    </row>
    <row r="11719" spans="3:9" ht="15.75">
      <c r="C11719" s="949" t="s">
        <v>1117</v>
      </c>
      <c r="D11719" s="946">
        <v>9.52</v>
      </c>
      <c r="E11719" s="947" t="str">
        <f>+VLOOKUP(C11719,'Basic (equilibrio) (2)'!B:D,2,FALSE)</f>
        <v>m2</v>
      </c>
      <c r="F11719" s="1068">
        <f>'Basic (equilibrio) (2)'!$D$41</f>
        <v>25</v>
      </c>
      <c r="G11719" s="946">
        <f>F11719-(F11719/1.18)</f>
        <v>3.81</v>
      </c>
      <c r="H11719" s="1031"/>
      <c r="I11719" s="948">
        <f>D11719*F11719</f>
        <v>238</v>
      </c>
    </row>
    <row r="11720" spans="3:9" ht="15.75">
      <c r="C11720" s="949" t="s">
        <v>1118</v>
      </c>
      <c r="D11720" s="946">
        <v>2.2999999999999998</v>
      </c>
      <c r="E11720" s="947" t="str">
        <f>+VLOOKUP(C11720,'Basic (equilibrio) (2)'!B:D,2,FALSE)</f>
        <v>m</v>
      </c>
      <c r="F11720" s="1068">
        <f>'Basic (equilibrio) (2)'!$D$42</f>
        <v>95</v>
      </c>
      <c r="G11720" s="946">
        <f>F11720-(F11720/1.18)</f>
        <v>14.49</v>
      </c>
      <c r="H11720" s="1031"/>
      <c r="I11720" s="948">
        <f>D11720*F11720</f>
        <v>218.5</v>
      </c>
    </row>
    <row r="11721" spans="3:9" ht="15.75">
      <c r="C11721" s="951" t="s">
        <v>918</v>
      </c>
      <c r="D11721" s="946"/>
      <c r="E11721" s="947"/>
      <c r="F11721" s="1054"/>
      <c r="G11721" s="946"/>
      <c r="H11721" s="1031"/>
      <c r="I11721" s="952">
        <f>SUM(I11717:I11720)</f>
        <v>1861.8</v>
      </c>
    </row>
    <row r="11722" spans="3:9" ht="15.75">
      <c r="C11722" s="949"/>
      <c r="D11722" s="946"/>
      <c r="E11722" s="947"/>
      <c r="F11722" s="1054"/>
      <c r="G11722" s="946"/>
      <c r="H11722" s="1031"/>
      <c r="I11722" s="948"/>
    </row>
    <row r="11723" spans="3:9" ht="15.75">
      <c r="C11723" s="945" t="s">
        <v>923</v>
      </c>
      <c r="D11723" s="946"/>
      <c r="E11723" s="947"/>
      <c r="F11723" s="1054"/>
      <c r="G11723" s="946"/>
      <c r="H11723" s="1031"/>
      <c r="I11723" s="948"/>
    </row>
    <row r="11724" spans="3:9" ht="15.75">
      <c r="C11724" s="949" t="s">
        <v>924</v>
      </c>
      <c r="D11724" s="946"/>
      <c r="E11724" s="947" t="str">
        <f>+VLOOKUP(C11724,'Basic (equilibrio) (2)'!B:D,2,FALSE)</f>
        <v>n/a</v>
      </c>
      <c r="F11724" s="1054">
        <f>+VLOOKUP(C11724,'Basic (equilibrio) (2)'!B:D,3,FALSE)</f>
        <v>0</v>
      </c>
      <c r="G11724" s="946">
        <f>F11724-(F11724/1.18)</f>
        <v>0</v>
      </c>
      <c r="H11724" s="1039"/>
      <c r="I11724" s="955">
        <f>D11724*F11724</f>
        <v>0</v>
      </c>
    </row>
    <row r="11725" spans="3:9" ht="15.75">
      <c r="C11725" s="951" t="s">
        <v>918</v>
      </c>
      <c r="D11725" s="946"/>
      <c r="E11725" s="947"/>
      <c r="F11725" s="1054"/>
      <c r="G11725" s="946"/>
      <c r="H11725" s="1031"/>
      <c r="I11725" s="952">
        <f>SUM(I11724:I11724)</f>
        <v>0</v>
      </c>
    </row>
    <row r="11726" spans="3:9" ht="15.75">
      <c r="C11726" s="949"/>
      <c r="D11726" s="946"/>
      <c r="E11726" s="947"/>
      <c r="F11726" s="1054"/>
      <c r="G11726" s="946"/>
      <c r="H11726" s="1031"/>
      <c r="I11726" s="948"/>
    </row>
    <row r="11727" spans="3:9" ht="15.75">
      <c r="C11727" s="945" t="s">
        <v>925</v>
      </c>
      <c r="D11727" s="946"/>
      <c r="E11727" s="947"/>
      <c r="F11727" s="1054"/>
      <c r="G11727" s="946"/>
      <c r="H11727" s="1031"/>
      <c r="I11727" s="948"/>
    </row>
    <row r="11728" spans="3:9" ht="15.75">
      <c r="C11728" s="949" t="s">
        <v>924</v>
      </c>
      <c r="D11728" s="946"/>
      <c r="E11728" s="947" t="str">
        <f>+VLOOKUP(C11728,'Basic (equilibrio) (2)'!B:D,2,FALSE)</f>
        <v>n/a</v>
      </c>
      <c r="F11728" s="1054">
        <f>+VLOOKUP(C11728,'Basic (equilibrio) (2)'!B:D,3,FALSE)</f>
        <v>0</v>
      </c>
      <c r="G11728" s="946"/>
      <c r="H11728" s="1031"/>
      <c r="I11728" s="948">
        <f>D11728*F11728</f>
        <v>0</v>
      </c>
    </row>
    <row r="11729" spans="2:9" ht="15.75">
      <c r="C11729" s="951" t="s">
        <v>918</v>
      </c>
      <c r="D11729" s="946"/>
      <c r="E11729" s="947"/>
      <c r="F11729" s="1054"/>
      <c r="G11729" s="946"/>
      <c r="H11729" s="1031"/>
      <c r="I11729" s="952">
        <f>SUM(I11728)</f>
        <v>0</v>
      </c>
    </row>
    <row r="11730" spans="2:9" ht="15.75">
      <c r="C11730" s="951"/>
      <c r="D11730" s="946"/>
      <c r="E11730" s="947"/>
      <c r="F11730" s="1054"/>
      <c r="G11730" s="946"/>
      <c r="H11730" s="1031"/>
      <c r="I11730" s="952"/>
    </row>
    <row r="11731" spans="2:9" ht="15.75">
      <c r="C11731" s="956" t="s">
        <v>926</v>
      </c>
      <c r="D11731" s="957"/>
      <c r="E11731" s="958"/>
      <c r="F11731" s="1069"/>
      <c r="G11731" s="957"/>
      <c r="H11731" s="1032"/>
      <c r="I11731" s="959">
        <f>+I11714</f>
        <v>43663.01</v>
      </c>
    </row>
    <row r="11732" spans="2:9" ht="15.75">
      <c r="C11732" s="956" t="s">
        <v>927</v>
      </c>
      <c r="D11732" s="957"/>
      <c r="E11732" s="958"/>
      <c r="F11732" s="1069"/>
      <c r="G11732" s="957"/>
      <c r="H11732" s="1032"/>
      <c r="I11732" s="959">
        <f>+I11721</f>
        <v>1861.8</v>
      </c>
    </row>
    <row r="11733" spans="2:9" ht="15.75">
      <c r="C11733" s="956" t="s">
        <v>928</v>
      </c>
      <c r="D11733" s="957"/>
      <c r="E11733" s="958"/>
      <c r="F11733" s="1069"/>
      <c r="G11733" s="957"/>
      <c r="H11733" s="1032"/>
      <c r="I11733" s="959">
        <f>+I11725</f>
        <v>0</v>
      </c>
    </row>
    <row r="11734" spans="2:9" ht="15.75">
      <c r="C11734" s="956" t="s">
        <v>929</v>
      </c>
      <c r="D11734" s="957"/>
      <c r="E11734" s="958"/>
      <c r="F11734" s="1069"/>
      <c r="G11734" s="957"/>
      <c r="H11734" s="1032"/>
      <c r="I11734" s="959">
        <f>+I11729</f>
        <v>0</v>
      </c>
    </row>
    <row r="11735" spans="2:9" ht="15.75">
      <c r="C11735" s="949"/>
      <c r="D11735" s="946"/>
      <c r="E11735" s="947"/>
      <c r="F11735" s="1054"/>
      <c r="G11735" s="946"/>
      <c r="H11735" s="1031"/>
      <c r="I11735" s="948"/>
    </row>
    <row r="11736" spans="2:9" ht="15.75">
      <c r="C11736" s="949"/>
      <c r="D11736" s="946"/>
      <c r="E11736" s="947"/>
      <c r="F11736" s="1054"/>
      <c r="G11736" s="946"/>
      <c r="H11736" s="1031"/>
      <c r="I11736" s="948"/>
    </row>
    <row r="11737" spans="2:9" ht="15.75">
      <c r="C11737" s="951" t="s">
        <v>930</v>
      </c>
      <c r="D11737" s="960"/>
      <c r="E11737" s="943" t="str">
        <f>+E11705</f>
        <v>M3</v>
      </c>
      <c r="F11737" s="1070"/>
      <c r="G11737" s="960"/>
      <c r="H11737" s="1033"/>
      <c r="I11737" s="952">
        <f>SUM(I11731:I11734)</f>
        <v>45524.81</v>
      </c>
    </row>
    <row r="11738" spans="2:9" ht="15.75">
      <c r="C11738" s="951"/>
      <c r="D11738" s="960"/>
      <c r="E11738" s="943"/>
      <c r="F11738" s="1070"/>
      <c r="G11738" s="960"/>
      <c r="H11738" s="1033"/>
      <c r="I11738" s="952"/>
    </row>
    <row r="11739" spans="2:9" ht="15.75">
      <c r="B11739" s="1026">
        <v>3.6</v>
      </c>
      <c r="C11739" s="937" t="str">
        <f>+Presupuesto!B679</f>
        <v>Columna C1 (0.15m x 0.40m) - 5.02 qq/m³</v>
      </c>
      <c r="D11739" s="938"/>
      <c r="E11739" s="962" t="s">
        <v>22</v>
      </c>
      <c r="F11739" s="1066"/>
      <c r="G11739" s="938"/>
      <c r="H11739" s="1029"/>
      <c r="I11739" s="940">
        <f>I11771</f>
        <v>46036.23</v>
      </c>
    </row>
    <row r="11740" spans="2:9" ht="15.75">
      <c r="C11740" s="941" t="s">
        <v>908</v>
      </c>
      <c r="D11740" s="942" t="s">
        <v>9</v>
      </c>
      <c r="E11740" s="943" t="s">
        <v>10</v>
      </c>
      <c r="F11740" s="1067" t="s">
        <v>909</v>
      </c>
      <c r="G11740" s="942" t="s">
        <v>910</v>
      </c>
      <c r="H11740" s="1030" t="s">
        <v>911</v>
      </c>
      <c r="I11740" s="944" t="s">
        <v>912</v>
      </c>
    </row>
    <row r="11741" spans="2:9" ht="15.75">
      <c r="C11741" s="945" t="s">
        <v>913</v>
      </c>
      <c r="D11741" s="946"/>
      <c r="E11741" s="947"/>
      <c r="F11741" s="1054"/>
      <c r="G11741" s="946"/>
      <c r="H11741" s="1031"/>
      <c r="I11741" s="948"/>
    </row>
    <row r="11742" spans="2:9" ht="15.75">
      <c r="C11742" s="949" t="s">
        <v>994</v>
      </c>
      <c r="D11742" s="946">
        <v>1.05</v>
      </c>
      <c r="E11742" s="947" t="str">
        <f>+VLOOKUP(C11742,'Basic (equilibrio) (2)'!B:D,2,FALSE)</f>
        <v>m3</v>
      </c>
      <c r="F11742" s="1068">
        <f>'Basic (equilibrio) (2)'!$D$179</f>
        <v>7600</v>
      </c>
      <c r="G11742" s="946">
        <f t="shared" ref="G11742:G11747" si="77">F11742-(F11742/1.18)</f>
        <v>1159.32</v>
      </c>
      <c r="H11742" s="1031"/>
      <c r="I11742" s="948">
        <f t="shared" ref="I11742:I11747" si="78">D11742*F11742</f>
        <v>7980</v>
      </c>
    </row>
    <row r="11743" spans="2:9" ht="15.75">
      <c r="C11743" s="949" t="s">
        <v>1188</v>
      </c>
      <c r="D11743" s="946">
        <v>5.0199999999999996</v>
      </c>
      <c r="E11743" s="947" t="str">
        <f>+VLOOKUP(C11743,'Basic (equilibrio) (2)'!B:D,2,FALSE)</f>
        <v>qq</v>
      </c>
      <c r="F11743" s="1068">
        <f>'Basic (equilibrio) (2)'!$D$183</f>
        <v>3600</v>
      </c>
      <c r="G11743" s="946">
        <f t="shared" si="77"/>
        <v>549.15</v>
      </c>
      <c r="H11743" s="1031"/>
      <c r="I11743" s="948">
        <f t="shared" si="78"/>
        <v>18072</v>
      </c>
    </row>
    <row r="11744" spans="2:9" ht="15.75">
      <c r="C11744" s="949" t="s">
        <v>1212</v>
      </c>
      <c r="D11744" s="946">
        <f>+D11743*2</f>
        <v>10.039999999999999</v>
      </c>
      <c r="E11744" s="947" t="str">
        <f>+VLOOKUP(C11744,'Basic (equilibrio) (2)'!B:D,2,FALSE)</f>
        <v>lb</v>
      </c>
      <c r="F11744" s="1068">
        <f>'Basic (equilibrio) (2)'!$D$312</f>
        <v>26.5</v>
      </c>
      <c r="G11744" s="946">
        <f t="shared" si="77"/>
        <v>4.04</v>
      </c>
      <c r="H11744" s="1031"/>
      <c r="I11744" s="948">
        <f t="shared" si="78"/>
        <v>266.06</v>
      </c>
    </row>
    <row r="11745" spans="3:9" ht="15.75">
      <c r="C11745" s="949" t="s">
        <v>916</v>
      </c>
      <c r="D11745" s="946">
        <v>144</v>
      </c>
      <c r="E11745" s="947" t="str">
        <f>+VLOOKUP(C11745,'Basic (equilibrio) (2)'!B:D,2,FALSE)</f>
        <v>pt</v>
      </c>
      <c r="F11745" s="1068">
        <f>'Basic (equilibrio) (2)'!$D$194</f>
        <v>107.7</v>
      </c>
      <c r="G11745" s="946">
        <f t="shared" si="77"/>
        <v>16.43</v>
      </c>
      <c r="H11745" s="1031"/>
      <c r="I11745" s="948">
        <f t="shared" si="78"/>
        <v>15508.8</v>
      </c>
    </row>
    <row r="11746" spans="3:9" ht="15.75">
      <c r="C11746" s="949" t="s">
        <v>1194</v>
      </c>
      <c r="D11746" s="946">
        <v>23.09</v>
      </c>
      <c r="E11746" s="947" t="str">
        <f>+VLOOKUP(C11746,'Basic (equilibrio) (2)'!B:D,2,FALSE)</f>
        <v>lb</v>
      </c>
      <c r="F11746" s="1068">
        <f>'Basic (equilibrio) (2)'!$D$192</f>
        <v>78.2</v>
      </c>
      <c r="G11746" s="946">
        <f t="shared" si="77"/>
        <v>11.93</v>
      </c>
      <c r="H11746" s="1031"/>
      <c r="I11746" s="948">
        <f t="shared" si="78"/>
        <v>1805.64</v>
      </c>
    </row>
    <row r="11747" spans="3:9" ht="15.75">
      <c r="C11747" s="949" t="s">
        <v>1299</v>
      </c>
      <c r="D11747" s="946">
        <v>6.93</v>
      </c>
      <c r="E11747" s="947" t="str">
        <f>+VLOOKUP(C11747,'Basic (equilibrio) (2)'!B:D,2,FALSE)</f>
        <v>lb</v>
      </c>
      <c r="F11747" s="1068">
        <f>'Basic (equilibrio) (2)'!$D$335</f>
        <v>78.2</v>
      </c>
      <c r="G11747" s="946">
        <f t="shared" si="77"/>
        <v>11.93</v>
      </c>
      <c r="H11747" s="1031"/>
      <c r="I11747" s="948">
        <f t="shared" si="78"/>
        <v>541.92999999999995</v>
      </c>
    </row>
    <row r="11748" spans="3:9" ht="15.75">
      <c r="C11748" s="951" t="s">
        <v>918</v>
      </c>
      <c r="D11748" s="946"/>
      <c r="E11748" s="947"/>
      <c r="F11748" s="1068"/>
      <c r="G11748" s="946"/>
      <c r="H11748" s="1031"/>
      <c r="I11748" s="952">
        <f>SUM(I11742:I11747)</f>
        <v>44174.43</v>
      </c>
    </row>
    <row r="11749" spans="3:9" ht="15.75">
      <c r="C11749" s="949"/>
      <c r="D11749" s="946"/>
      <c r="E11749" s="947"/>
      <c r="F11749" s="1068"/>
      <c r="G11749" s="946"/>
      <c r="H11749" s="1031"/>
      <c r="I11749" s="948"/>
    </row>
    <row r="11750" spans="3:9" ht="15.75">
      <c r="C11750" s="945" t="s">
        <v>919</v>
      </c>
      <c r="D11750" s="946"/>
      <c r="E11750" s="947"/>
      <c r="F11750" s="1068"/>
      <c r="G11750" s="946"/>
      <c r="H11750" s="1031"/>
      <c r="I11750" s="948"/>
    </row>
    <row r="11751" spans="3:9" ht="15.75">
      <c r="C11751" s="949" t="s">
        <v>1131</v>
      </c>
      <c r="D11751" s="953">
        <v>2.2999999999999998</v>
      </c>
      <c r="E11751" s="954" t="str">
        <f>+VLOOKUP(C11751,'Basic (equilibrio) (2)'!B:D,2,FALSE)</f>
        <v>ml</v>
      </c>
      <c r="F11751" s="1068">
        <f>'Basic (equilibrio) (2)'!$D$48</f>
        <v>400</v>
      </c>
      <c r="G11751" s="946">
        <v>0</v>
      </c>
      <c r="H11751" s="1031"/>
      <c r="I11751" s="948">
        <f>(D11751*F11751)</f>
        <v>920</v>
      </c>
    </row>
    <row r="11752" spans="3:9" ht="31.5">
      <c r="C11752" s="949" t="s">
        <v>1132</v>
      </c>
      <c r="D11752" s="946">
        <v>2.2999999999999998</v>
      </c>
      <c r="E11752" s="947" t="str">
        <f>+VLOOKUP(C11752,'Basic (equilibrio) (2)'!B:D,2,FALSE)</f>
        <v>ml</v>
      </c>
      <c r="F11752" s="1068">
        <f>'Basic (equilibrio) (2)'!$D$49</f>
        <v>211</v>
      </c>
      <c r="G11752" s="946">
        <f>F11752-(F11752/1.18)</f>
        <v>32.19</v>
      </c>
      <c r="H11752" s="1031"/>
      <c r="I11752" s="948">
        <f>D11752*F11752</f>
        <v>485.3</v>
      </c>
    </row>
    <row r="11753" spans="3:9" ht="15.75">
      <c r="C11753" s="949" t="s">
        <v>1117</v>
      </c>
      <c r="D11753" s="946">
        <v>9.52</v>
      </c>
      <c r="E11753" s="947" t="str">
        <f>+VLOOKUP(C11753,'Basic (equilibrio) (2)'!B:D,2,FALSE)</f>
        <v>m2</v>
      </c>
      <c r="F11753" s="1068">
        <f>'Basic (equilibrio) (2)'!$D$41</f>
        <v>25</v>
      </c>
      <c r="G11753" s="946">
        <f>F11753-(F11753/1.18)</f>
        <v>3.81</v>
      </c>
      <c r="H11753" s="1031"/>
      <c r="I11753" s="948">
        <f>D11753*F11753</f>
        <v>238</v>
      </c>
    </row>
    <row r="11754" spans="3:9" ht="15.75">
      <c r="C11754" s="949" t="s">
        <v>1118</v>
      </c>
      <c r="D11754" s="946">
        <v>2.2999999999999998</v>
      </c>
      <c r="E11754" s="947" t="str">
        <f>+VLOOKUP(C11754,'Basic (equilibrio) (2)'!B:D,2,FALSE)</f>
        <v>m</v>
      </c>
      <c r="F11754" s="1068">
        <f>'Basic (equilibrio) (2)'!$D$42</f>
        <v>95</v>
      </c>
      <c r="G11754" s="946">
        <f>F11754-(F11754/1.18)</f>
        <v>14.49</v>
      </c>
      <c r="H11754" s="1031"/>
      <c r="I11754" s="948">
        <f>D11754*F11754</f>
        <v>218.5</v>
      </c>
    </row>
    <row r="11755" spans="3:9" ht="15.75">
      <c r="C11755" s="951" t="s">
        <v>918</v>
      </c>
      <c r="D11755" s="946"/>
      <c r="E11755" s="947"/>
      <c r="F11755" s="1054"/>
      <c r="G11755" s="946"/>
      <c r="H11755" s="1031"/>
      <c r="I11755" s="952">
        <f>SUM(I11751:I11754)</f>
        <v>1861.8</v>
      </c>
    </row>
    <row r="11756" spans="3:9" ht="15.75">
      <c r="C11756" s="949"/>
      <c r="D11756" s="946"/>
      <c r="E11756" s="947"/>
      <c r="F11756" s="1054"/>
      <c r="G11756" s="946"/>
      <c r="H11756" s="1031"/>
      <c r="I11756" s="948"/>
    </row>
    <row r="11757" spans="3:9" ht="15.75">
      <c r="C11757" s="945" t="s">
        <v>923</v>
      </c>
      <c r="D11757" s="946"/>
      <c r="E11757" s="947"/>
      <c r="F11757" s="1054"/>
      <c r="G11757" s="946"/>
      <c r="H11757" s="1031"/>
      <c r="I11757" s="948"/>
    </row>
    <row r="11758" spans="3:9" ht="15.75">
      <c r="C11758" s="949" t="s">
        <v>924</v>
      </c>
      <c r="D11758" s="946"/>
      <c r="E11758" s="947" t="str">
        <f>+VLOOKUP(C11758,'Basic (equilibrio) (2)'!B:D,2,FALSE)</f>
        <v>n/a</v>
      </c>
      <c r="F11758" s="1054">
        <f>+VLOOKUP(C11758,'Basic (equilibrio) (2)'!B:D,3,FALSE)</f>
        <v>0</v>
      </c>
      <c r="G11758" s="946">
        <f>F11758-(F11758/1.18)</f>
        <v>0</v>
      </c>
      <c r="H11758" s="1039"/>
      <c r="I11758" s="955">
        <f>D11758*F11758</f>
        <v>0</v>
      </c>
    </row>
    <row r="11759" spans="3:9" ht="15.75">
      <c r="C11759" s="951" t="s">
        <v>918</v>
      </c>
      <c r="D11759" s="946"/>
      <c r="E11759" s="947"/>
      <c r="F11759" s="1054"/>
      <c r="G11759" s="946"/>
      <c r="H11759" s="1031"/>
      <c r="I11759" s="952">
        <f>SUM(I11758:I11758)</f>
        <v>0</v>
      </c>
    </row>
    <row r="11760" spans="3:9" ht="15.75">
      <c r="C11760" s="949"/>
      <c r="D11760" s="946"/>
      <c r="E11760" s="947"/>
      <c r="F11760" s="1054"/>
      <c r="G11760" s="946"/>
      <c r="H11760" s="1031"/>
      <c r="I11760" s="948"/>
    </row>
    <row r="11761" spans="2:9" ht="15.75">
      <c r="C11761" s="945" t="s">
        <v>925</v>
      </c>
      <c r="D11761" s="946"/>
      <c r="E11761" s="947"/>
      <c r="F11761" s="1054"/>
      <c r="G11761" s="946"/>
      <c r="H11761" s="1031"/>
      <c r="I11761" s="948"/>
    </row>
    <row r="11762" spans="2:9" ht="15.75">
      <c r="C11762" s="949" t="s">
        <v>924</v>
      </c>
      <c r="D11762" s="946"/>
      <c r="E11762" s="947" t="str">
        <f>+VLOOKUP(C11762,'Basic (equilibrio) (2)'!B:D,2,FALSE)</f>
        <v>n/a</v>
      </c>
      <c r="F11762" s="1054">
        <f>+VLOOKUP(C11762,'Basic (equilibrio) (2)'!B:D,3,FALSE)</f>
        <v>0</v>
      </c>
      <c r="G11762" s="946"/>
      <c r="H11762" s="1031"/>
      <c r="I11762" s="948">
        <f>D11762*F11762</f>
        <v>0</v>
      </c>
    </row>
    <row r="11763" spans="2:9" ht="15.75">
      <c r="C11763" s="951" t="s">
        <v>918</v>
      </c>
      <c r="D11763" s="946"/>
      <c r="E11763" s="947"/>
      <c r="F11763" s="1054"/>
      <c r="G11763" s="946"/>
      <c r="H11763" s="1031"/>
      <c r="I11763" s="952">
        <f>SUM(I11762)</f>
        <v>0</v>
      </c>
    </row>
    <row r="11764" spans="2:9" ht="15.75">
      <c r="C11764" s="951"/>
      <c r="D11764" s="946"/>
      <c r="E11764" s="947"/>
      <c r="F11764" s="1054"/>
      <c r="G11764" s="946"/>
      <c r="H11764" s="1031"/>
      <c r="I11764" s="952"/>
    </row>
    <row r="11765" spans="2:9" ht="15.75">
      <c r="C11765" s="956" t="s">
        <v>926</v>
      </c>
      <c r="D11765" s="957"/>
      <c r="E11765" s="958"/>
      <c r="F11765" s="1069"/>
      <c r="G11765" s="957"/>
      <c r="H11765" s="1032"/>
      <c r="I11765" s="959">
        <f>+I11748</f>
        <v>44174.43</v>
      </c>
    </row>
    <row r="11766" spans="2:9" ht="15.75">
      <c r="C11766" s="956" t="s">
        <v>927</v>
      </c>
      <c r="D11766" s="957"/>
      <c r="E11766" s="958"/>
      <c r="F11766" s="1069"/>
      <c r="G11766" s="957"/>
      <c r="H11766" s="1032"/>
      <c r="I11766" s="959">
        <f>+I11755</f>
        <v>1861.8</v>
      </c>
    </row>
    <row r="11767" spans="2:9" ht="15.75">
      <c r="C11767" s="956" t="s">
        <v>928</v>
      </c>
      <c r="D11767" s="957"/>
      <c r="E11767" s="958"/>
      <c r="F11767" s="1069"/>
      <c r="G11767" s="957"/>
      <c r="H11767" s="1032"/>
      <c r="I11767" s="959">
        <f>+I11759</f>
        <v>0</v>
      </c>
    </row>
    <row r="11768" spans="2:9" ht="15.75">
      <c r="C11768" s="956" t="s">
        <v>929</v>
      </c>
      <c r="D11768" s="957"/>
      <c r="E11768" s="958"/>
      <c r="F11768" s="1069"/>
      <c r="G11768" s="957"/>
      <c r="H11768" s="1032"/>
      <c r="I11768" s="959">
        <f>+I11763</f>
        <v>0</v>
      </c>
    </row>
    <row r="11769" spans="2:9" ht="15.75">
      <c r="C11769" s="949"/>
      <c r="D11769" s="946"/>
      <c r="E11769" s="947"/>
      <c r="F11769" s="1054"/>
      <c r="G11769" s="946"/>
      <c r="H11769" s="1031"/>
      <c r="I11769" s="948"/>
    </row>
    <row r="11770" spans="2:9" ht="15.75">
      <c r="C11770" s="949"/>
      <c r="D11770" s="946"/>
      <c r="E11770" s="947"/>
      <c r="F11770" s="1054"/>
      <c r="G11770" s="946"/>
      <c r="H11770" s="1031"/>
      <c r="I11770" s="948"/>
    </row>
    <row r="11771" spans="2:9" ht="15.75">
      <c r="C11771" s="951" t="s">
        <v>930</v>
      </c>
      <c r="D11771" s="960"/>
      <c r="E11771" s="943" t="str">
        <f>+E11739</f>
        <v>M3</v>
      </c>
      <c r="F11771" s="1070"/>
      <c r="G11771" s="960"/>
      <c r="H11771" s="1033"/>
      <c r="I11771" s="952">
        <f>SUM(I11765:I11768)</f>
        <v>46036.23</v>
      </c>
    </row>
    <row r="11772" spans="2:9" ht="15.75">
      <c r="C11772" s="951"/>
      <c r="D11772" s="960"/>
      <c r="E11772" s="943"/>
      <c r="F11772" s="1070"/>
      <c r="G11772" s="960"/>
      <c r="H11772" s="1033"/>
      <c r="I11772" s="952"/>
    </row>
    <row r="11773" spans="2:9" ht="15.75">
      <c r="B11773" s="1062">
        <v>3.7</v>
      </c>
      <c r="C11773" s="937" t="str">
        <f>+Presupuesto!B680</f>
        <v>Losa de techo e=0.12m - 1.22 qq/m³</v>
      </c>
      <c r="D11773" s="938"/>
      <c r="E11773" s="962" t="s">
        <v>22</v>
      </c>
      <c r="F11773" s="1066"/>
      <c r="G11773" s="938"/>
      <c r="H11773" s="1029"/>
      <c r="I11773" s="940">
        <f>I11800</f>
        <v>16107.26</v>
      </c>
    </row>
    <row r="11774" spans="2:9" ht="15.75">
      <c r="C11774" s="941" t="s">
        <v>908</v>
      </c>
      <c r="D11774" s="942" t="s">
        <v>9</v>
      </c>
      <c r="E11774" s="943" t="s">
        <v>10</v>
      </c>
      <c r="F11774" s="1067" t="s">
        <v>909</v>
      </c>
      <c r="G11774" s="942" t="s">
        <v>910</v>
      </c>
      <c r="H11774" s="1030" t="s">
        <v>911</v>
      </c>
      <c r="I11774" s="944" t="s">
        <v>912</v>
      </c>
    </row>
    <row r="11775" spans="2:9" ht="15.75">
      <c r="C11775" s="945" t="s">
        <v>913</v>
      </c>
      <c r="D11775" s="946"/>
      <c r="E11775" s="947"/>
      <c r="F11775" s="1054"/>
      <c r="G11775" s="946"/>
      <c r="H11775" s="1031"/>
      <c r="I11775" s="948"/>
    </row>
    <row r="11776" spans="2:9" ht="15.75">
      <c r="C11776" s="949" t="s">
        <v>994</v>
      </c>
      <c r="D11776" s="946">
        <v>1.02</v>
      </c>
      <c r="E11776" s="947" t="str">
        <f>+VLOOKUP(C11776,'Basic (equilibrio) (2)'!B:D,2,FALSE)</f>
        <v>m3</v>
      </c>
      <c r="F11776" s="1068">
        <f>'Basic (equilibrio) (2)'!$D$179</f>
        <v>7600</v>
      </c>
      <c r="G11776" s="946">
        <f>F11776-(F11776/1.18)</f>
        <v>1159.32</v>
      </c>
      <c r="H11776" s="1031"/>
      <c r="I11776" s="948">
        <f>D11776*F11776</f>
        <v>7752</v>
      </c>
    </row>
    <row r="11777" spans="3:9" ht="15.75">
      <c r="C11777" s="949" t="s">
        <v>1188</v>
      </c>
      <c r="D11777" s="946">
        <v>1.22</v>
      </c>
      <c r="E11777" s="947" t="str">
        <f>+VLOOKUP(C11777,'Basic (equilibrio) (2)'!B:D,2,FALSE)</f>
        <v>qq</v>
      </c>
      <c r="F11777" s="1068">
        <f>'Basic (equilibrio) (2)'!$D$183</f>
        <v>3600</v>
      </c>
      <c r="G11777" s="946">
        <f>F11777-(F11777/1.18)</f>
        <v>549.15</v>
      </c>
      <c r="H11777" s="1031"/>
      <c r="I11777" s="948">
        <f>D11777*F11777</f>
        <v>4392</v>
      </c>
    </row>
    <row r="11778" spans="3:9" ht="15.75">
      <c r="C11778" s="949" t="s">
        <v>1328</v>
      </c>
      <c r="D11778" s="946">
        <v>3.82</v>
      </c>
      <c r="E11778" s="947" t="str">
        <f>+VLOOKUP(C11778,'Basic (equilibrio) (2)'!B:D,2,FALSE)</f>
        <v>lb</v>
      </c>
      <c r="F11778" s="1068">
        <f>'Basic (equilibrio) (2)'!$D$334</f>
        <v>31.1</v>
      </c>
      <c r="G11778" s="946">
        <f>F11778-(F11778/1.18)</f>
        <v>4.74</v>
      </c>
      <c r="H11778" s="1031"/>
      <c r="I11778" s="948">
        <f>D11778*F11778</f>
        <v>118.8</v>
      </c>
    </row>
    <row r="11779" spans="3:9" ht="15.75">
      <c r="C11779" s="949" t="s">
        <v>1160</v>
      </c>
      <c r="D11779" s="946">
        <v>1</v>
      </c>
      <c r="E11779" s="947" t="str">
        <f>+VLOOKUP(C11779,'Basic (equilibrio) (2)'!B:D,2,FALSE)</f>
        <v>m3</v>
      </c>
      <c r="F11779" s="1068">
        <f>'Basic (equilibrio) (2)'!$D$51</f>
        <v>3833</v>
      </c>
      <c r="G11779" s="946">
        <f>F11779-(F11779/1.18)</f>
        <v>584.69000000000005</v>
      </c>
      <c r="H11779" s="1031"/>
      <c r="I11779" s="948">
        <f>D11779*F11779</f>
        <v>3833</v>
      </c>
    </row>
    <row r="11780" spans="3:9" ht="15.75">
      <c r="C11780" s="951" t="s">
        <v>918</v>
      </c>
      <c r="D11780" s="946"/>
      <c r="E11780" s="947"/>
      <c r="F11780" s="1068"/>
      <c r="G11780" s="946"/>
      <c r="H11780" s="1031"/>
      <c r="I11780" s="952">
        <f>SUM(I11776:I11779)</f>
        <v>16095.8</v>
      </c>
    </row>
    <row r="11781" spans="3:9" ht="15.75">
      <c r="C11781" s="949"/>
      <c r="D11781" s="946"/>
      <c r="E11781" s="947"/>
      <c r="F11781" s="1068"/>
      <c r="G11781" s="946"/>
      <c r="H11781" s="1031"/>
      <c r="I11781" s="948"/>
    </row>
    <row r="11782" spans="3:9" ht="15.75">
      <c r="C11782" s="945" t="s">
        <v>919</v>
      </c>
      <c r="D11782" s="946"/>
      <c r="E11782" s="947"/>
      <c r="F11782" s="1068"/>
      <c r="G11782" s="946"/>
      <c r="H11782" s="1031"/>
      <c r="I11782" s="948"/>
    </row>
    <row r="11783" spans="3:9" ht="15.75">
      <c r="C11783" s="949" t="s">
        <v>1121</v>
      </c>
      <c r="D11783" s="953">
        <v>1.91</v>
      </c>
      <c r="E11783" s="954" t="str">
        <f>+VLOOKUP(C11783,'Basic (equilibrio) (2)'!B:D,2,FALSE)</f>
        <v>qq</v>
      </c>
      <c r="F11783" s="1068">
        <f>'Basic (equilibrio) (2)'!$D$45</f>
        <v>420</v>
      </c>
      <c r="G11783" s="946">
        <v>0</v>
      </c>
      <c r="H11783" s="1031">
        <v>70</v>
      </c>
      <c r="I11783" s="948">
        <f>(D11783*F11783)/H11783</f>
        <v>11.46</v>
      </c>
    </row>
    <row r="11784" spans="3:9" ht="15.75">
      <c r="C11784" s="951" t="s">
        <v>918</v>
      </c>
      <c r="D11784" s="946"/>
      <c r="E11784" s="947"/>
      <c r="F11784" s="1054"/>
      <c r="G11784" s="946"/>
      <c r="H11784" s="1031"/>
      <c r="I11784" s="952">
        <f>SUM(I11783:I11783)</f>
        <v>11.46</v>
      </c>
    </row>
    <row r="11785" spans="3:9" ht="15.75">
      <c r="C11785" s="949"/>
      <c r="D11785" s="946"/>
      <c r="E11785" s="947"/>
      <c r="F11785" s="1054"/>
      <c r="G11785" s="946"/>
      <c r="H11785" s="1031"/>
      <c r="I11785" s="948"/>
    </row>
    <row r="11786" spans="3:9" ht="15.75">
      <c r="C11786" s="945" t="s">
        <v>923</v>
      </c>
      <c r="D11786" s="946"/>
      <c r="E11786" s="947"/>
      <c r="F11786" s="1054"/>
      <c r="G11786" s="946"/>
      <c r="H11786" s="1031"/>
      <c r="I11786" s="948"/>
    </row>
    <row r="11787" spans="3:9" ht="15.75">
      <c r="C11787" s="949" t="s">
        <v>924</v>
      </c>
      <c r="D11787" s="946"/>
      <c r="E11787" s="947" t="str">
        <f>+VLOOKUP(C11787,'Basic (equilibrio) (2)'!B:D,2,FALSE)</f>
        <v>n/a</v>
      </c>
      <c r="F11787" s="1054">
        <f>+VLOOKUP(C11787,'Basic (equilibrio) (2)'!B:D,3,FALSE)</f>
        <v>0</v>
      </c>
      <c r="G11787" s="946">
        <f>F11787-(F11787/1.18)</f>
        <v>0</v>
      </c>
      <c r="H11787" s="1039"/>
      <c r="I11787" s="955">
        <f>D11787*F11787</f>
        <v>0</v>
      </c>
    </row>
    <row r="11788" spans="3:9" ht="15.75">
      <c r="C11788" s="951" t="s">
        <v>918</v>
      </c>
      <c r="D11788" s="946"/>
      <c r="E11788" s="947"/>
      <c r="F11788" s="1054"/>
      <c r="G11788" s="946"/>
      <c r="H11788" s="1031"/>
      <c r="I11788" s="952">
        <f>SUM(I11787:I11787)</f>
        <v>0</v>
      </c>
    </row>
    <row r="11789" spans="3:9" ht="15.75">
      <c r="C11789" s="949"/>
      <c r="D11789" s="946"/>
      <c r="E11789" s="947"/>
      <c r="F11789" s="1054"/>
      <c r="G11789" s="946"/>
      <c r="H11789" s="1031"/>
      <c r="I11789" s="948"/>
    </row>
    <row r="11790" spans="3:9" ht="15.75">
      <c r="C11790" s="945" t="s">
        <v>925</v>
      </c>
      <c r="D11790" s="946"/>
      <c r="E11790" s="947"/>
      <c r="F11790" s="1054"/>
      <c r="G11790" s="946"/>
      <c r="H11790" s="1031"/>
      <c r="I11790" s="948"/>
    </row>
    <row r="11791" spans="3:9" ht="15.75">
      <c r="C11791" s="949" t="s">
        <v>924</v>
      </c>
      <c r="D11791" s="946"/>
      <c r="E11791" s="947" t="str">
        <f>+VLOOKUP(C11791,'Basic (equilibrio) (2)'!B:D,2,FALSE)</f>
        <v>n/a</v>
      </c>
      <c r="F11791" s="1054">
        <f>+VLOOKUP(C11791,'Basic (equilibrio) (2)'!B:D,3,FALSE)</f>
        <v>0</v>
      </c>
      <c r="G11791" s="946"/>
      <c r="H11791" s="1031"/>
      <c r="I11791" s="948">
        <f>D11791*F11791</f>
        <v>0</v>
      </c>
    </row>
    <row r="11792" spans="3:9" ht="15.75">
      <c r="C11792" s="951" t="s">
        <v>918</v>
      </c>
      <c r="D11792" s="946"/>
      <c r="E11792" s="947"/>
      <c r="F11792" s="1054"/>
      <c r="G11792" s="946"/>
      <c r="H11792" s="1031"/>
      <c r="I11792" s="952">
        <f>SUM(I11791)</f>
        <v>0</v>
      </c>
    </row>
    <row r="11793" spans="2:9" ht="15.75">
      <c r="C11793" s="951"/>
      <c r="D11793" s="946"/>
      <c r="E11793" s="947"/>
      <c r="F11793" s="1054"/>
      <c r="G11793" s="946"/>
      <c r="H11793" s="1031"/>
      <c r="I11793" s="952"/>
    </row>
    <row r="11794" spans="2:9" ht="15.75">
      <c r="C11794" s="956" t="s">
        <v>926</v>
      </c>
      <c r="D11794" s="957"/>
      <c r="E11794" s="958"/>
      <c r="F11794" s="1069"/>
      <c r="G11794" s="957"/>
      <c r="H11794" s="1032"/>
      <c r="I11794" s="959">
        <f>+I11780</f>
        <v>16095.8</v>
      </c>
    </row>
    <row r="11795" spans="2:9" ht="15.75">
      <c r="C11795" s="956" t="s">
        <v>927</v>
      </c>
      <c r="D11795" s="957"/>
      <c r="E11795" s="958"/>
      <c r="F11795" s="1069"/>
      <c r="G11795" s="957"/>
      <c r="H11795" s="1032"/>
      <c r="I11795" s="959">
        <f>+I11784</f>
        <v>11.46</v>
      </c>
    </row>
    <row r="11796" spans="2:9" ht="15.75">
      <c r="C11796" s="956" t="s">
        <v>928</v>
      </c>
      <c r="D11796" s="957"/>
      <c r="E11796" s="958"/>
      <c r="F11796" s="1069"/>
      <c r="G11796" s="957"/>
      <c r="H11796" s="1032"/>
      <c r="I11796" s="959">
        <f>+I11788</f>
        <v>0</v>
      </c>
    </row>
    <row r="11797" spans="2:9" ht="15.75">
      <c r="C11797" s="956" t="s">
        <v>929</v>
      </c>
      <c r="D11797" s="957"/>
      <c r="E11797" s="958"/>
      <c r="F11797" s="1069"/>
      <c r="G11797" s="957"/>
      <c r="H11797" s="1032"/>
      <c r="I11797" s="959">
        <f>+I11792</f>
        <v>0</v>
      </c>
    </row>
    <row r="11798" spans="2:9" ht="15.75">
      <c r="C11798" s="949"/>
      <c r="D11798" s="946"/>
      <c r="E11798" s="947"/>
      <c r="F11798" s="1054"/>
      <c r="G11798" s="946"/>
      <c r="H11798" s="1031"/>
      <c r="I11798" s="948"/>
    </row>
    <row r="11799" spans="2:9" ht="15.75">
      <c r="C11799" s="949"/>
      <c r="D11799" s="946"/>
      <c r="E11799" s="947"/>
      <c r="F11799" s="1054"/>
      <c r="G11799" s="946"/>
      <c r="H11799" s="1031"/>
      <c r="I11799" s="948"/>
    </row>
    <row r="11800" spans="2:9" ht="15.75">
      <c r="C11800" s="951" t="s">
        <v>930</v>
      </c>
      <c r="D11800" s="960"/>
      <c r="E11800" s="943" t="str">
        <f>+E11773</f>
        <v>M3</v>
      </c>
      <c r="F11800" s="1070"/>
      <c r="G11800" s="960"/>
      <c r="H11800" s="1033"/>
      <c r="I11800" s="952">
        <f>SUM(I11794:I11797)</f>
        <v>16107.26</v>
      </c>
    </row>
    <row r="11801" spans="2:9" ht="15.75">
      <c r="C11801" s="951"/>
      <c r="D11801" s="960"/>
      <c r="E11801" s="943"/>
      <c r="F11801" s="1070"/>
      <c r="G11801" s="960"/>
      <c r="H11801" s="1033"/>
      <c r="I11801" s="952"/>
    </row>
    <row r="11802" spans="2:9" ht="31.5">
      <c r="B11802" s="1026">
        <v>3.8</v>
      </c>
      <c r="C11802" s="937" t="str">
        <f>+Presupuesto!B681</f>
        <v>Losa de piso e=0.10m con malla electro soldada D2.3xD2.3x20x20, (Inc. Rampa de acceso)</v>
      </c>
      <c r="D11802" s="938"/>
      <c r="E11802" s="962" t="s">
        <v>1000</v>
      </c>
      <c r="F11802" s="1066"/>
      <c r="G11802" s="938"/>
      <c r="H11802" s="1029"/>
      <c r="I11802" s="940">
        <f>+I11830</f>
        <v>1442.13</v>
      </c>
    </row>
    <row r="11803" spans="2:9" ht="15.75">
      <c r="C11803" s="941" t="s">
        <v>908</v>
      </c>
      <c r="D11803" s="942" t="s">
        <v>9</v>
      </c>
      <c r="E11803" s="943" t="s">
        <v>10</v>
      </c>
      <c r="F11803" s="1067" t="s">
        <v>909</v>
      </c>
      <c r="G11803" s="942" t="s">
        <v>910</v>
      </c>
      <c r="H11803" s="1030" t="s">
        <v>911</v>
      </c>
      <c r="I11803" s="944" t="s">
        <v>912</v>
      </c>
    </row>
    <row r="11804" spans="2:9" ht="15.75">
      <c r="C11804" s="945" t="s">
        <v>913</v>
      </c>
      <c r="D11804" s="946"/>
      <c r="E11804" s="947"/>
      <c r="F11804" s="1054"/>
      <c r="G11804" s="946"/>
      <c r="H11804" s="1031"/>
      <c r="I11804" s="948"/>
    </row>
    <row r="11805" spans="2:9" ht="15.75">
      <c r="C11805" s="949" t="s">
        <v>994</v>
      </c>
      <c r="D11805" s="946">
        <v>1.02</v>
      </c>
      <c r="E11805" s="947" t="str">
        <f>+VLOOKUP(C11805,'Basic (equilibrio) (2)'!B:D,2,FALSE)</f>
        <v>m3</v>
      </c>
      <c r="F11805" s="1068">
        <f>'Basic (equilibrio) (2)'!$D$179</f>
        <v>7600</v>
      </c>
      <c r="G11805" s="946">
        <f>F11805-(F11805/1.18)</f>
        <v>1159.32</v>
      </c>
      <c r="H11805" s="1031"/>
      <c r="I11805" s="948">
        <f>D11805*F11805</f>
        <v>7752</v>
      </c>
    </row>
    <row r="11806" spans="2:9" ht="15.75">
      <c r="C11806" s="949" t="s">
        <v>956</v>
      </c>
      <c r="D11806" s="946">
        <v>0.01</v>
      </c>
      <c r="E11806" s="947" t="str">
        <f>+VLOOKUP(C11806,'Basic (equilibrio) (2)'!B:D,2,FALSE)</f>
        <v>rollo</v>
      </c>
      <c r="F11806" s="1068">
        <f>'Basic (equilibrio) (2)'!$D$330</f>
        <v>22294</v>
      </c>
      <c r="G11806" s="946">
        <f>F11806-(F11806/1.18)</f>
        <v>3400.78</v>
      </c>
      <c r="H11806" s="1031"/>
      <c r="I11806" s="948">
        <f>D11806*F11806</f>
        <v>222.94</v>
      </c>
    </row>
    <row r="11807" spans="2:9" ht="15.75">
      <c r="C11807" s="949" t="s">
        <v>1328</v>
      </c>
      <c r="D11807" s="946">
        <v>3.82</v>
      </c>
      <c r="E11807" s="947" t="str">
        <f>+VLOOKUP(C11807,'Basic (equilibrio) (2)'!B:D,2,FALSE)</f>
        <v>lb</v>
      </c>
      <c r="F11807" s="1068">
        <f>'Basic (equilibrio) (2)'!$D$334</f>
        <v>31.1</v>
      </c>
      <c r="G11807" s="946">
        <f>F11807-(F11807/1.18)</f>
        <v>4.74</v>
      </c>
      <c r="H11807" s="1031"/>
      <c r="I11807" s="948">
        <f>D11807*F11807</f>
        <v>118.8</v>
      </c>
    </row>
    <row r="11808" spans="2:9" ht="15.75">
      <c r="C11808" s="949" t="s">
        <v>1160</v>
      </c>
      <c r="D11808" s="946">
        <v>1</v>
      </c>
      <c r="E11808" s="947" t="str">
        <f>+VLOOKUP(C11808,'Basic (equilibrio) (2)'!B:D,2,FALSE)</f>
        <v>m3</v>
      </c>
      <c r="F11808" s="1068">
        <f>'Basic (equilibrio) (2)'!$D$51</f>
        <v>3833</v>
      </c>
      <c r="G11808" s="946">
        <f>F11808-(F11808/1.18)</f>
        <v>584.69000000000005</v>
      </c>
      <c r="H11808" s="1031"/>
      <c r="I11808" s="948">
        <f>D11808*F11808</f>
        <v>3833</v>
      </c>
    </row>
    <row r="11809" spans="3:9" ht="15.75">
      <c r="C11809" s="951" t="s">
        <v>918</v>
      </c>
      <c r="D11809" s="946"/>
      <c r="E11809" s="947"/>
      <c r="F11809" s="1068"/>
      <c r="G11809" s="946"/>
      <c r="H11809" s="1031"/>
      <c r="I11809" s="952">
        <f>SUM(I11805:I11808)</f>
        <v>11926.74</v>
      </c>
    </row>
    <row r="11810" spans="3:9" ht="15.75">
      <c r="C11810" s="949"/>
      <c r="D11810" s="946"/>
      <c r="E11810" s="947"/>
      <c r="F11810" s="1068"/>
      <c r="G11810" s="946"/>
      <c r="H11810" s="1031"/>
      <c r="I11810" s="948"/>
    </row>
    <row r="11811" spans="3:9" ht="15.75">
      <c r="C11811" s="945" t="s">
        <v>919</v>
      </c>
      <c r="D11811" s="946"/>
      <c r="E11811" s="947"/>
      <c r="F11811" s="1068"/>
      <c r="G11811" s="946"/>
      <c r="H11811" s="1031"/>
      <c r="I11811" s="948"/>
    </row>
    <row r="11812" spans="3:9" ht="15.75">
      <c r="C11812" s="949" t="s">
        <v>959</v>
      </c>
      <c r="D11812" s="953">
        <v>1</v>
      </c>
      <c r="E11812" s="954" t="str">
        <f>+VLOOKUP(C11812,'Basic (equilibrio) (2)'!B:D,2,FALSE)</f>
        <v>m2</v>
      </c>
      <c r="F11812" s="1068">
        <f>'Basic (equilibrio) (2)'!$D$17</f>
        <v>50</v>
      </c>
      <c r="G11812" s="946">
        <v>0</v>
      </c>
      <c r="H11812" s="1031"/>
      <c r="I11812" s="948">
        <f>(D11812*F11812)</f>
        <v>50</v>
      </c>
    </row>
    <row r="11813" spans="3:9" ht="15.75">
      <c r="C11813" s="949" t="s">
        <v>961</v>
      </c>
      <c r="D11813" s="953">
        <v>1</v>
      </c>
      <c r="E11813" s="954" t="str">
        <f>+VLOOKUP(C11813,'Basic (equilibrio) (2)'!B:D,2,FALSE)</f>
        <v>m2</v>
      </c>
      <c r="F11813" s="1068">
        <f>'Basic (equilibrio) (2)'!$D$47</f>
        <v>86.2</v>
      </c>
      <c r="G11813" s="946">
        <v>0</v>
      </c>
      <c r="H11813" s="1031"/>
      <c r="I11813" s="948">
        <f>(D11813*F11813)</f>
        <v>86.2</v>
      </c>
    </row>
    <row r="11814" spans="3:9" ht="15.75">
      <c r="C11814" s="951" t="s">
        <v>918</v>
      </c>
      <c r="D11814" s="946"/>
      <c r="E11814" s="947"/>
      <c r="F11814" s="1054"/>
      <c r="G11814" s="946"/>
      <c r="H11814" s="1031"/>
      <c r="I11814" s="952">
        <f>SUM(I11813:I11813)</f>
        <v>86.2</v>
      </c>
    </row>
    <row r="11815" spans="3:9" ht="15.75">
      <c r="C11815" s="949"/>
      <c r="D11815" s="946"/>
      <c r="E11815" s="947"/>
      <c r="F11815" s="1054"/>
      <c r="G11815" s="946"/>
      <c r="H11815" s="1031"/>
      <c r="I11815" s="948"/>
    </row>
    <row r="11816" spans="3:9" ht="15.75">
      <c r="C11816" s="945" t="s">
        <v>923</v>
      </c>
      <c r="D11816" s="946"/>
      <c r="E11816" s="947"/>
      <c r="F11816" s="1054"/>
      <c r="G11816" s="946"/>
      <c r="H11816" s="1031"/>
      <c r="I11816" s="948"/>
    </row>
    <row r="11817" spans="3:9" ht="15.75">
      <c r="C11817" s="949" t="s">
        <v>924</v>
      </c>
      <c r="D11817" s="946"/>
      <c r="E11817" s="947" t="str">
        <f>+VLOOKUP(C11817,'Basic (equilibrio) (2)'!B:D,2,FALSE)</f>
        <v>n/a</v>
      </c>
      <c r="F11817" s="1054">
        <f>+VLOOKUP(C11817,'Basic (equilibrio) (2)'!B:D,3,FALSE)</f>
        <v>0</v>
      </c>
      <c r="G11817" s="946">
        <f>F11817-(F11817/1.18)</f>
        <v>0</v>
      </c>
      <c r="H11817" s="1039"/>
      <c r="I11817" s="955">
        <f>D11817*F11817</f>
        <v>0</v>
      </c>
    </row>
    <row r="11818" spans="3:9" ht="15.75">
      <c r="C11818" s="951" t="s">
        <v>918</v>
      </c>
      <c r="D11818" s="946"/>
      <c r="E11818" s="947"/>
      <c r="F11818" s="1054"/>
      <c r="G11818" s="946"/>
      <c r="H11818" s="1031"/>
      <c r="I11818" s="952">
        <f>SUM(I11817:I11817)</f>
        <v>0</v>
      </c>
    </row>
    <row r="11819" spans="3:9" ht="15.75">
      <c r="C11819" s="949"/>
      <c r="D11819" s="946"/>
      <c r="E11819" s="947"/>
      <c r="F11819" s="1054"/>
      <c r="G11819" s="946"/>
      <c r="H11819" s="1031"/>
      <c r="I11819" s="948"/>
    </row>
    <row r="11820" spans="3:9" ht="15.75">
      <c r="C11820" s="945" t="s">
        <v>925</v>
      </c>
      <c r="D11820" s="946"/>
      <c r="E11820" s="947"/>
      <c r="F11820" s="1054"/>
      <c r="G11820" s="946"/>
      <c r="H11820" s="1031"/>
      <c r="I11820" s="948"/>
    </row>
    <row r="11821" spans="3:9" ht="15.75">
      <c r="C11821" s="949" t="s">
        <v>925</v>
      </c>
      <c r="D11821" s="946">
        <f>+I11814</f>
        <v>86.2</v>
      </c>
      <c r="E11821" s="947" t="str">
        <f>+VLOOKUP(C11821,'Basic (equilibrio) (2)'!B:D,2,FALSE)</f>
        <v>Pa</v>
      </c>
      <c r="F11821" s="1054">
        <f>+VLOOKUP(C11821,'Basic (equilibrio) (2)'!B:D,3,FALSE)</f>
        <v>0</v>
      </c>
      <c r="G11821" s="946"/>
      <c r="H11821" s="1031"/>
      <c r="I11821" s="948">
        <f>D11821*F11821</f>
        <v>0</v>
      </c>
    </row>
    <row r="11822" spans="3:9" ht="15.75">
      <c r="C11822" s="951" t="s">
        <v>918</v>
      </c>
      <c r="D11822" s="946"/>
      <c r="E11822" s="947"/>
      <c r="F11822" s="1054"/>
      <c r="G11822" s="946"/>
      <c r="H11822" s="1031"/>
      <c r="I11822" s="952">
        <f>SUM(I11821)</f>
        <v>0</v>
      </c>
    </row>
    <row r="11823" spans="3:9" ht="15.75">
      <c r="C11823" s="951"/>
      <c r="D11823" s="946"/>
      <c r="E11823" s="947"/>
      <c r="F11823" s="1054"/>
      <c r="G11823" s="946"/>
      <c r="H11823" s="1031"/>
      <c r="I11823" s="952"/>
    </row>
    <row r="11824" spans="3:9" ht="15.75">
      <c r="C11824" s="956" t="s">
        <v>926</v>
      </c>
      <c r="D11824" s="957"/>
      <c r="E11824" s="958"/>
      <c r="F11824" s="1069"/>
      <c r="G11824" s="957"/>
      <c r="H11824" s="1032"/>
      <c r="I11824" s="959">
        <f>+I11809</f>
        <v>11926.74</v>
      </c>
    </row>
    <row r="11825" spans="2:9" ht="15.75">
      <c r="C11825" s="956" t="s">
        <v>927</v>
      </c>
      <c r="D11825" s="957"/>
      <c r="E11825" s="958"/>
      <c r="F11825" s="1069"/>
      <c r="G11825" s="957"/>
      <c r="H11825" s="1032"/>
      <c r="I11825" s="959">
        <f>+I11814</f>
        <v>86.2</v>
      </c>
    </row>
    <row r="11826" spans="2:9" ht="15.75">
      <c r="C11826" s="956" t="s">
        <v>928</v>
      </c>
      <c r="D11826" s="957"/>
      <c r="E11826" s="958"/>
      <c r="F11826" s="1069"/>
      <c r="G11826" s="957"/>
      <c r="H11826" s="1032"/>
      <c r="I11826" s="959">
        <f>+I11818</f>
        <v>0</v>
      </c>
    </row>
    <row r="11827" spans="2:9" ht="15.75">
      <c r="C11827" s="956" t="s">
        <v>929</v>
      </c>
      <c r="D11827" s="957"/>
      <c r="E11827" s="958"/>
      <c r="F11827" s="1069"/>
      <c r="G11827" s="957"/>
      <c r="H11827" s="1032"/>
      <c r="I11827" s="959">
        <f>+I11822</f>
        <v>0</v>
      </c>
    </row>
    <row r="11828" spans="2:9" ht="15.75">
      <c r="C11828" s="949"/>
      <c r="D11828" s="946"/>
      <c r="E11828" s="947"/>
      <c r="F11828" s="1054"/>
      <c r="G11828" s="946"/>
      <c r="H11828" s="1031"/>
      <c r="I11828" s="948"/>
    </row>
    <row r="11829" spans="2:9" ht="15.75">
      <c r="C11829" s="951" t="s">
        <v>930</v>
      </c>
      <c r="D11829" s="960">
        <f>1/0.12</f>
        <v>8.33</v>
      </c>
      <c r="E11829" s="975" t="str">
        <f>+E11802</f>
        <v>m2</v>
      </c>
      <c r="F11829" s="1070"/>
      <c r="G11829" s="960"/>
      <c r="H11829" s="1033"/>
      <c r="I11829" s="952">
        <f>SUM(I11824:I11827)</f>
        <v>12012.94</v>
      </c>
    </row>
    <row r="11830" spans="2:9" ht="15.75">
      <c r="C11830" s="951"/>
      <c r="D11830" s="960"/>
      <c r="E11830" s="943" t="s">
        <v>1000</v>
      </c>
      <c r="F11830" s="1070"/>
      <c r="G11830" s="960"/>
      <c r="H11830" s="1033"/>
      <c r="I11830" s="952">
        <f>+I11829/D11829</f>
        <v>1442.13</v>
      </c>
    </row>
    <row r="11831" spans="2:9" ht="15.75">
      <c r="C11831" s="951"/>
      <c r="D11831" s="960"/>
      <c r="E11831" s="943"/>
      <c r="F11831" s="1070"/>
      <c r="G11831" s="960"/>
      <c r="H11831" s="1033"/>
      <c r="I11831" s="952"/>
    </row>
    <row r="11832" spans="2:9" ht="15.75">
      <c r="B11832" s="1026">
        <f>+Presupuesto!A684</f>
        <v>4.2</v>
      </c>
      <c r="C11832" s="937" t="str">
        <f>+Presupuesto!B684</f>
        <v>Bloques de 6" B.N.P.</v>
      </c>
      <c r="D11832" s="938"/>
      <c r="E11832" s="962" t="s">
        <v>20</v>
      </c>
      <c r="F11832" s="1066"/>
      <c r="G11832" s="938"/>
      <c r="H11832" s="1029"/>
      <c r="I11832" s="940">
        <f>I11863</f>
        <v>1523.06</v>
      </c>
    </row>
    <row r="11833" spans="2:9" ht="15.75">
      <c r="C11833" s="941" t="s">
        <v>908</v>
      </c>
      <c r="D11833" s="942" t="s">
        <v>9</v>
      </c>
      <c r="E11833" s="943" t="s">
        <v>10</v>
      </c>
      <c r="F11833" s="1067" t="s">
        <v>909</v>
      </c>
      <c r="G11833" s="942" t="s">
        <v>910</v>
      </c>
      <c r="H11833" s="1030" t="s">
        <v>911</v>
      </c>
      <c r="I11833" s="944" t="s">
        <v>912</v>
      </c>
    </row>
    <row r="11834" spans="2:9" ht="15.75">
      <c r="C11834" s="945" t="s">
        <v>913</v>
      </c>
      <c r="D11834" s="946"/>
      <c r="E11834" s="947"/>
      <c r="F11834" s="1054"/>
      <c r="G11834" s="946"/>
      <c r="H11834" s="1031"/>
      <c r="I11834" s="948"/>
    </row>
    <row r="11835" spans="2:9" ht="15.75">
      <c r="C11835" s="949" t="s">
        <v>1201</v>
      </c>
      <c r="D11835" s="946">
        <v>11.61</v>
      </c>
      <c r="E11835" s="947" t="str">
        <f>+VLOOKUP(C11835,'Basic (equilibrio) (2)'!B:D,2,FALSE)</f>
        <v>ud</v>
      </c>
      <c r="F11835" s="1068">
        <f>'Basic (equilibrio) (2)'!$D$300</f>
        <v>35</v>
      </c>
      <c r="G11835" s="946">
        <f t="shared" ref="G11835:G11840" si="79">F11835-(F11835/1.18)</f>
        <v>5.34</v>
      </c>
      <c r="H11835" s="1031"/>
      <c r="I11835" s="948">
        <f t="shared" ref="I11835:I11840" si="80">D11835*F11835</f>
        <v>406.35</v>
      </c>
    </row>
    <row r="11836" spans="2:9" ht="15.75">
      <c r="C11836" s="949" t="s">
        <v>1203</v>
      </c>
      <c r="D11836" s="946">
        <v>11.61</v>
      </c>
      <c r="E11836" s="947" t="str">
        <f>+VLOOKUP(C11836,'Basic (equilibrio) (2)'!B:D,2,FALSE)</f>
        <v>ud</v>
      </c>
      <c r="F11836" s="1068">
        <f>'Basic (equilibrio) (2)'!$D$303</f>
        <v>3.3</v>
      </c>
      <c r="G11836" s="946">
        <f t="shared" si="79"/>
        <v>0.5</v>
      </c>
      <c r="H11836" s="1031"/>
      <c r="I11836" s="948">
        <f t="shared" si="80"/>
        <v>38.31</v>
      </c>
    </row>
    <row r="11837" spans="2:9" ht="15.75">
      <c r="C11837" s="949" t="s">
        <v>1204</v>
      </c>
      <c r="D11837" s="946">
        <v>0.04</v>
      </c>
      <c r="E11837" s="947" t="str">
        <f>+VLOOKUP(C11837,'Basic (equilibrio) (2)'!B:D,2,FALSE)</f>
        <v>m3</v>
      </c>
      <c r="F11837" s="1068">
        <f>'Basic (equilibrio) (2)'!$D$307</f>
        <v>6174</v>
      </c>
      <c r="G11837" s="946">
        <f t="shared" si="79"/>
        <v>941.8</v>
      </c>
      <c r="H11837" s="1031"/>
      <c r="I11837" s="948">
        <f t="shared" si="80"/>
        <v>246.96</v>
      </c>
    </row>
    <row r="11838" spans="2:9" ht="15.75">
      <c r="C11838" s="949" t="s">
        <v>1205</v>
      </c>
      <c r="D11838" s="946">
        <v>0.04</v>
      </c>
      <c r="E11838" s="947" t="str">
        <f>+VLOOKUP(C11838,'Basic (equilibrio) (2)'!B:D,2,FALSE)</f>
        <v>m3</v>
      </c>
      <c r="F11838" s="1068">
        <f>'Basic (equilibrio) (2)'!$D$308</f>
        <v>5985</v>
      </c>
      <c r="G11838" s="946">
        <f t="shared" si="79"/>
        <v>912.97</v>
      </c>
      <c r="H11838" s="1031"/>
      <c r="I11838" s="948">
        <f t="shared" si="80"/>
        <v>239.4</v>
      </c>
    </row>
    <row r="11839" spans="2:9" ht="15.75">
      <c r="C11839" s="949" t="s">
        <v>1188</v>
      </c>
      <c r="D11839" s="946">
        <v>0.08</v>
      </c>
      <c r="E11839" s="947" t="str">
        <f>+VLOOKUP(C11839,'Basic (equilibrio) (2)'!B:D,2,FALSE)</f>
        <v>qq</v>
      </c>
      <c r="F11839" s="1068">
        <f>'Basic (equilibrio) (2)'!$D$183</f>
        <v>3600</v>
      </c>
      <c r="G11839" s="946">
        <f t="shared" si="79"/>
        <v>549.15</v>
      </c>
      <c r="H11839" s="1031"/>
      <c r="I11839" s="948">
        <f t="shared" si="80"/>
        <v>288</v>
      </c>
    </row>
    <row r="11840" spans="2:9" ht="15.75">
      <c r="C11840" s="949" t="s">
        <v>1328</v>
      </c>
      <c r="D11840" s="946">
        <v>7.0000000000000007E-2</v>
      </c>
      <c r="E11840" s="947" t="str">
        <f>+VLOOKUP(C11840,'Basic (equilibrio) (2)'!B:D,2,FALSE)</f>
        <v>lb</v>
      </c>
      <c r="F11840" s="1068">
        <f>'Basic (equilibrio) (2)'!$D$334</f>
        <v>31.1</v>
      </c>
      <c r="G11840" s="946">
        <f t="shared" si="79"/>
        <v>4.74</v>
      </c>
      <c r="H11840" s="1031"/>
      <c r="I11840" s="948">
        <f t="shared" si="80"/>
        <v>2.1800000000000002</v>
      </c>
    </row>
    <row r="11841" spans="3:9" ht="15.75">
      <c r="C11841" s="951" t="s">
        <v>918</v>
      </c>
      <c r="D11841" s="946"/>
      <c r="E11841" s="947"/>
      <c r="F11841" s="1068"/>
      <c r="G11841" s="946"/>
      <c r="H11841" s="1031"/>
      <c r="I11841" s="952">
        <f>SUM(I11835:I11840)</f>
        <v>1221.2</v>
      </c>
    </row>
    <row r="11842" spans="3:9" ht="15.75">
      <c r="C11842" s="949"/>
      <c r="D11842" s="946"/>
      <c r="E11842" s="947"/>
      <c r="F11842" s="1068"/>
      <c r="G11842" s="946"/>
      <c r="H11842" s="1031"/>
      <c r="I11842" s="948"/>
    </row>
    <row r="11843" spans="3:9" ht="15.75">
      <c r="C11843" s="945" t="s">
        <v>919</v>
      </c>
      <c r="D11843" s="946"/>
      <c r="E11843" s="947"/>
      <c r="F11843" s="1068"/>
      <c r="G11843" s="946"/>
      <c r="H11843" s="1031"/>
      <c r="I11843" s="948"/>
    </row>
    <row r="11844" spans="3:9" ht="15.75">
      <c r="C11844" s="949" t="s">
        <v>1074</v>
      </c>
      <c r="D11844" s="953">
        <v>11.61</v>
      </c>
      <c r="E11844" s="954" t="str">
        <f>+VLOOKUP(C11844,'Basic (equilibrio) (2)'!B:D,2,FALSE)</f>
        <v>ud</v>
      </c>
      <c r="F11844" s="1068">
        <f>'Basic (equilibrio) (2)'!$D$26</f>
        <v>1</v>
      </c>
      <c r="G11844" s="946">
        <v>0</v>
      </c>
      <c r="H11844" s="1031"/>
      <c r="I11844" s="948">
        <f>(D11844*F11844)</f>
        <v>11.61</v>
      </c>
    </row>
    <row r="11845" spans="3:9" ht="15.75">
      <c r="C11845" s="949" t="s">
        <v>1075</v>
      </c>
      <c r="D11845" s="953">
        <v>11.61</v>
      </c>
      <c r="E11845" s="954" t="str">
        <f>+VLOOKUP(C11845,'Basic (equilibrio) (2)'!B:D,2,FALSE)</f>
        <v>ud</v>
      </c>
      <c r="F11845" s="1068">
        <f>'Basic (equilibrio) (2)'!$D$27</f>
        <v>3</v>
      </c>
      <c r="G11845" s="946">
        <v>0</v>
      </c>
      <c r="H11845" s="1031"/>
      <c r="I11845" s="948">
        <f>(D11845*F11845)</f>
        <v>34.83</v>
      </c>
    </row>
    <row r="11846" spans="3:9" ht="15.75">
      <c r="C11846" s="949" t="s">
        <v>1077</v>
      </c>
      <c r="D11846" s="953">
        <v>11.61</v>
      </c>
      <c r="E11846" s="954" t="str">
        <f>+VLOOKUP(C11846,'Basic (equilibrio) (2)'!B:D,2,FALSE)</f>
        <v>ud</v>
      </c>
      <c r="F11846" s="1068">
        <f>'Basic (equilibrio) (2)'!$D$29</f>
        <v>22</v>
      </c>
      <c r="G11846" s="946">
        <v>0</v>
      </c>
      <c r="H11846" s="1031"/>
      <c r="I11846" s="948">
        <f>(D11846*F11846)</f>
        <v>255.42</v>
      </c>
    </row>
    <row r="11847" spans="3:9" ht="15.75">
      <c r="C11847" s="951" t="s">
        <v>918</v>
      </c>
      <c r="D11847" s="946"/>
      <c r="E11847" s="947"/>
      <c r="F11847" s="1054"/>
      <c r="G11847" s="946"/>
      <c r="H11847" s="1031"/>
      <c r="I11847" s="952">
        <f>SUM(I11844:I11846)</f>
        <v>301.86</v>
      </c>
    </row>
    <row r="11848" spans="3:9" ht="15.75">
      <c r="C11848" s="949"/>
      <c r="D11848" s="946"/>
      <c r="E11848" s="947"/>
      <c r="F11848" s="1054"/>
      <c r="G11848" s="946"/>
      <c r="H11848" s="1031"/>
      <c r="I11848" s="948"/>
    </row>
    <row r="11849" spans="3:9" ht="15.75">
      <c r="C11849" s="945" t="s">
        <v>923</v>
      </c>
      <c r="D11849" s="946"/>
      <c r="E11849" s="947"/>
      <c r="F11849" s="1054"/>
      <c r="G11849" s="946"/>
      <c r="H11849" s="1031"/>
      <c r="I11849" s="948"/>
    </row>
    <row r="11850" spans="3:9" ht="15.75">
      <c r="C11850" s="949" t="s">
        <v>924</v>
      </c>
      <c r="D11850" s="946"/>
      <c r="E11850" s="947" t="str">
        <f>+VLOOKUP(C11850,'Basic (equilibrio) (2)'!B:D,2,FALSE)</f>
        <v>n/a</v>
      </c>
      <c r="F11850" s="1054">
        <f>+VLOOKUP(C11850,'Basic (equilibrio) (2)'!B:D,3,FALSE)</f>
        <v>0</v>
      </c>
      <c r="G11850" s="946">
        <f>F11850-(F11850/1.18)</f>
        <v>0</v>
      </c>
      <c r="H11850" s="1039"/>
      <c r="I11850" s="955">
        <f>D11850*F11850</f>
        <v>0</v>
      </c>
    </row>
    <row r="11851" spans="3:9" ht="15.75">
      <c r="C11851" s="951" t="s">
        <v>918</v>
      </c>
      <c r="D11851" s="946"/>
      <c r="E11851" s="947"/>
      <c r="F11851" s="1054"/>
      <c r="G11851" s="946"/>
      <c r="H11851" s="1031"/>
      <c r="I11851" s="952">
        <f>SUM(I11850:I11850)</f>
        <v>0</v>
      </c>
    </row>
    <row r="11852" spans="3:9" ht="15.75">
      <c r="C11852" s="949"/>
      <c r="D11852" s="946"/>
      <c r="E11852" s="947"/>
      <c r="F11852" s="1054"/>
      <c r="G11852" s="946"/>
      <c r="H11852" s="1031"/>
      <c r="I11852" s="948"/>
    </row>
    <row r="11853" spans="3:9" ht="15.75">
      <c r="C11853" s="945" t="s">
        <v>925</v>
      </c>
      <c r="D11853" s="946"/>
      <c r="E11853" s="947"/>
      <c r="F11853" s="1054"/>
      <c r="G11853" s="946"/>
      <c r="H11853" s="1031"/>
      <c r="I11853" s="948"/>
    </row>
    <row r="11854" spans="3:9" ht="15.75">
      <c r="C11854" s="949" t="s">
        <v>924</v>
      </c>
      <c r="D11854" s="946"/>
      <c r="E11854" s="947" t="str">
        <f>+VLOOKUP(C11854,'Basic (equilibrio) (2)'!B:D,2,FALSE)</f>
        <v>n/a</v>
      </c>
      <c r="F11854" s="1054">
        <f>+VLOOKUP(C11854,'Basic (equilibrio) (2)'!B:D,3,FALSE)</f>
        <v>0</v>
      </c>
      <c r="G11854" s="946"/>
      <c r="H11854" s="1031"/>
      <c r="I11854" s="948">
        <f>D11854*F11854</f>
        <v>0</v>
      </c>
    </row>
    <row r="11855" spans="3:9" ht="15.75">
      <c r="C11855" s="951" t="s">
        <v>918</v>
      </c>
      <c r="D11855" s="946"/>
      <c r="E11855" s="947"/>
      <c r="F11855" s="1054"/>
      <c r="G11855" s="946"/>
      <c r="H11855" s="1031"/>
      <c r="I11855" s="952">
        <f>SUM(I11854)</f>
        <v>0</v>
      </c>
    </row>
    <row r="11856" spans="3:9" ht="15.75">
      <c r="C11856" s="951"/>
      <c r="D11856" s="946"/>
      <c r="E11856" s="947"/>
      <c r="F11856" s="1054"/>
      <c r="G11856" s="946"/>
      <c r="H11856" s="1031"/>
      <c r="I11856" s="952"/>
    </row>
    <row r="11857" spans="2:9" ht="15.75">
      <c r="C11857" s="956" t="s">
        <v>926</v>
      </c>
      <c r="D11857" s="957"/>
      <c r="E11857" s="958"/>
      <c r="F11857" s="1069"/>
      <c r="G11857" s="957"/>
      <c r="H11857" s="1032"/>
      <c r="I11857" s="959">
        <f>+I11841</f>
        <v>1221.2</v>
      </c>
    </row>
    <row r="11858" spans="2:9" ht="15.75">
      <c r="C11858" s="956" t="s">
        <v>927</v>
      </c>
      <c r="D11858" s="957"/>
      <c r="E11858" s="958"/>
      <c r="F11858" s="1069"/>
      <c r="G11858" s="957"/>
      <c r="H11858" s="1032"/>
      <c r="I11858" s="959">
        <f>+I11847</f>
        <v>301.86</v>
      </c>
    </row>
    <row r="11859" spans="2:9" ht="15.75">
      <c r="C11859" s="956" t="s">
        <v>928</v>
      </c>
      <c r="D11859" s="957"/>
      <c r="E11859" s="958"/>
      <c r="F11859" s="1069"/>
      <c r="G11859" s="957"/>
      <c r="H11859" s="1032"/>
      <c r="I11859" s="959">
        <f>+I11851</f>
        <v>0</v>
      </c>
    </row>
    <row r="11860" spans="2:9" ht="15.75">
      <c r="C11860" s="956" t="s">
        <v>929</v>
      </c>
      <c r="D11860" s="957"/>
      <c r="E11860" s="958"/>
      <c r="F11860" s="1069"/>
      <c r="G11860" s="957"/>
      <c r="H11860" s="1032"/>
      <c r="I11860" s="959">
        <f>+I11855</f>
        <v>0</v>
      </c>
    </row>
    <row r="11861" spans="2:9" ht="15.75">
      <c r="C11861" s="949"/>
      <c r="D11861" s="946"/>
      <c r="E11861" s="947"/>
      <c r="F11861" s="1054"/>
      <c r="G11861" s="946"/>
      <c r="H11861" s="1031"/>
      <c r="I11861" s="948"/>
    </row>
    <row r="11862" spans="2:9" ht="15.75">
      <c r="C11862" s="949"/>
      <c r="D11862" s="946"/>
      <c r="E11862" s="947"/>
      <c r="F11862" s="1054"/>
      <c r="G11862" s="946"/>
      <c r="H11862" s="1031"/>
      <c r="I11862" s="948"/>
    </row>
    <row r="11863" spans="2:9" ht="15.75">
      <c r="C11863" s="951" t="s">
        <v>930</v>
      </c>
      <c r="D11863" s="960"/>
      <c r="E11863" s="943" t="str">
        <f>+E11832</f>
        <v>M2</v>
      </c>
      <c r="F11863" s="1070"/>
      <c r="G11863" s="960"/>
      <c r="H11863" s="1033"/>
      <c r="I11863" s="952">
        <f>SUM(I11857:I11860)</f>
        <v>1523.06</v>
      </c>
    </row>
    <row r="11864" spans="2:9" ht="15.75">
      <c r="C11864" s="951"/>
      <c r="D11864" s="960"/>
      <c r="E11864" s="943"/>
      <c r="F11864" s="1070"/>
      <c r="G11864" s="960"/>
      <c r="H11864" s="1033"/>
      <c r="I11864" s="952"/>
    </row>
    <row r="11865" spans="2:9" ht="15.75">
      <c r="B11865" s="1026">
        <v>4.3</v>
      </c>
      <c r="C11865" s="937" t="str">
        <f>+Presupuesto!B685</f>
        <v>Bloques de 6" S.N.P.</v>
      </c>
      <c r="D11865" s="938"/>
      <c r="E11865" s="962" t="s">
        <v>20</v>
      </c>
      <c r="F11865" s="1066"/>
      <c r="G11865" s="938"/>
      <c r="H11865" s="1029"/>
      <c r="I11865" s="940">
        <f>I11896</f>
        <v>1379.06</v>
      </c>
    </row>
    <row r="11866" spans="2:9" ht="15.75">
      <c r="C11866" s="941" t="s">
        <v>908</v>
      </c>
      <c r="D11866" s="942" t="s">
        <v>9</v>
      </c>
      <c r="E11866" s="943" t="s">
        <v>10</v>
      </c>
      <c r="F11866" s="1067" t="s">
        <v>909</v>
      </c>
      <c r="G11866" s="942" t="s">
        <v>910</v>
      </c>
      <c r="H11866" s="1030" t="s">
        <v>911</v>
      </c>
      <c r="I11866" s="944" t="s">
        <v>912</v>
      </c>
    </row>
    <row r="11867" spans="2:9" ht="15.75">
      <c r="C11867" s="945" t="s">
        <v>913</v>
      </c>
      <c r="D11867" s="946"/>
      <c r="E11867" s="947"/>
      <c r="F11867" s="1054"/>
      <c r="G11867" s="946"/>
      <c r="H11867" s="1031"/>
      <c r="I11867" s="948"/>
    </row>
    <row r="11868" spans="2:9" ht="15.75">
      <c r="C11868" s="949" t="s">
        <v>1201</v>
      </c>
      <c r="D11868" s="946">
        <v>11.61</v>
      </c>
      <c r="E11868" s="947" t="str">
        <f>+VLOOKUP(C11868,'Basic (equilibrio) (2)'!B:D,2,FALSE)</f>
        <v>ud</v>
      </c>
      <c r="F11868" s="1068">
        <f>'Basic (equilibrio) (2)'!$D$300</f>
        <v>35</v>
      </c>
      <c r="G11868" s="946">
        <f t="shared" ref="G11868:G11873" si="81">F11868-(F11868/1.18)</f>
        <v>5.34</v>
      </c>
      <c r="H11868" s="1031"/>
      <c r="I11868" s="948">
        <f t="shared" ref="I11868:I11873" si="82">D11868*F11868</f>
        <v>406.35</v>
      </c>
    </row>
    <row r="11869" spans="2:9" ht="15.75">
      <c r="C11869" s="949" t="s">
        <v>1203</v>
      </c>
      <c r="D11869" s="946">
        <v>11.61</v>
      </c>
      <c r="E11869" s="947" t="str">
        <f>+VLOOKUP(C11869,'Basic (equilibrio) (2)'!B:D,2,FALSE)</f>
        <v>ud</v>
      </c>
      <c r="F11869" s="1068">
        <f>'Basic (equilibrio) (2)'!$D$303</f>
        <v>3.3</v>
      </c>
      <c r="G11869" s="946">
        <f t="shared" si="81"/>
        <v>0.5</v>
      </c>
      <c r="H11869" s="1031"/>
      <c r="I11869" s="948">
        <f t="shared" si="82"/>
        <v>38.31</v>
      </c>
    </row>
    <row r="11870" spans="2:9" ht="15.75">
      <c r="C11870" s="949" t="s">
        <v>1204</v>
      </c>
      <c r="D11870" s="946">
        <v>0.04</v>
      </c>
      <c r="E11870" s="947" t="str">
        <f>+VLOOKUP(C11870,'Basic (equilibrio) (2)'!B:D,2,FALSE)</f>
        <v>m3</v>
      </c>
      <c r="F11870" s="1068">
        <f>'Basic (equilibrio) (2)'!$D$307</f>
        <v>6174</v>
      </c>
      <c r="G11870" s="946">
        <f t="shared" si="81"/>
        <v>941.8</v>
      </c>
      <c r="H11870" s="1031"/>
      <c r="I11870" s="948">
        <f t="shared" si="82"/>
        <v>246.96</v>
      </c>
    </row>
    <row r="11871" spans="2:9" ht="15.75">
      <c r="C11871" s="949" t="s">
        <v>1205</v>
      </c>
      <c r="D11871" s="946">
        <v>0.04</v>
      </c>
      <c r="E11871" s="947" t="str">
        <f>+VLOOKUP(C11871,'Basic (equilibrio) (2)'!B:D,2,FALSE)</f>
        <v>m3</v>
      </c>
      <c r="F11871" s="1068">
        <f>'Basic (equilibrio) (2)'!$D$308</f>
        <v>5985</v>
      </c>
      <c r="G11871" s="946">
        <f t="shared" si="81"/>
        <v>912.97</v>
      </c>
      <c r="H11871" s="1031"/>
      <c r="I11871" s="948">
        <f t="shared" si="82"/>
        <v>239.4</v>
      </c>
    </row>
    <row r="11872" spans="2:9" ht="15.75">
      <c r="C11872" s="949" t="s">
        <v>1188</v>
      </c>
      <c r="D11872" s="946">
        <v>0.04</v>
      </c>
      <c r="E11872" s="947" t="str">
        <f>+VLOOKUP(C11872,'Basic (equilibrio) (2)'!B:D,2,FALSE)</f>
        <v>qq</v>
      </c>
      <c r="F11872" s="1068">
        <f>'Basic (equilibrio) (2)'!$D$183</f>
        <v>3600</v>
      </c>
      <c r="G11872" s="946">
        <f t="shared" si="81"/>
        <v>549.15</v>
      </c>
      <c r="H11872" s="1031"/>
      <c r="I11872" s="948">
        <f t="shared" si="82"/>
        <v>144</v>
      </c>
    </row>
    <row r="11873" spans="3:9" ht="15.75">
      <c r="C11873" s="949" t="s">
        <v>1328</v>
      </c>
      <c r="D11873" s="946">
        <v>7.0000000000000007E-2</v>
      </c>
      <c r="E11873" s="947" t="str">
        <f>+VLOOKUP(C11873,'Basic (equilibrio) (2)'!B:D,2,FALSE)</f>
        <v>lb</v>
      </c>
      <c r="F11873" s="1068">
        <f>'Basic (equilibrio) (2)'!$D$334</f>
        <v>31.1</v>
      </c>
      <c r="G11873" s="946">
        <f t="shared" si="81"/>
        <v>4.74</v>
      </c>
      <c r="H11873" s="1031"/>
      <c r="I11873" s="948">
        <f t="shared" si="82"/>
        <v>2.1800000000000002</v>
      </c>
    </row>
    <row r="11874" spans="3:9" ht="15.75">
      <c r="C11874" s="951" t="s">
        <v>918</v>
      </c>
      <c r="D11874" s="946"/>
      <c r="E11874" s="947"/>
      <c r="F11874" s="1068"/>
      <c r="G11874" s="946"/>
      <c r="H11874" s="1031"/>
      <c r="I11874" s="952">
        <f>SUM(I11868:I11873)</f>
        <v>1077.2</v>
      </c>
    </row>
    <row r="11875" spans="3:9" ht="15.75">
      <c r="C11875" s="949"/>
      <c r="D11875" s="946"/>
      <c r="E11875" s="947"/>
      <c r="F11875" s="1068"/>
      <c r="G11875" s="946"/>
      <c r="H11875" s="1031"/>
      <c r="I11875" s="948"/>
    </row>
    <row r="11876" spans="3:9" ht="15.75">
      <c r="C11876" s="945" t="s">
        <v>919</v>
      </c>
      <c r="D11876" s="946"/>
      <c r="E11876" s="947"/>
      <c r="F11876" s="1068"/>
      <c r="G11876" s="946"/>
      <c r="H11876" s="1031"/>
      <c r="I11876" s="948"/>
    </row>
    <row r="11877" spans="3:9" ht="15.75">
      <c r="C11877" s="949" t="s">
        <v>1074</v>
      </c>
      <c r="D11877" s="953">
        <v>11.61</v>
      </c>
      <c r="E11877" s="954" t="str">
        <f>+VLOOKUP(C11877,'Basic (equilibrio) (2)'!B:D,2,FALSE)</f>
        <v>ud</v>
      </c>
      <c r="F11877" s="1068">
        <f>'Basic (equilibrio) (2)'!$D$26</f>
        <v>1</v>
      </c>
      <c r="G11877" s="946">
        <v>0</v>
      </c>
      <c r="H11877" s="1031"/>
      <c r="I11877" s="948">
        <f>(D11877*F11877)</f>
        <v>11.61</v>
      </c>
    </row>
    <row r="11878" spans="3:9" ht="15.75">
      <c r="C11878" s="949" t="s">
        <v>1075</v>
      </c>
      <c r="D11878" s="953">
        <v>11.61</v>
      </c>
      <c r="E11878" s="954" t="str">
        <f>+VLOOKUP(C11878,'Basic (equilibrio) (2)'!B:D,2,FALSE)</f>
        <v>ud</v>
      </c>
      <c r="F11878" s="1068">
        <f>'Basic (equilibrio) (2)'!$D$27</f>
        <v>3</v>
      </c>
      <c r="G11878" s="946">
        <v>0</v>
      </c>
      <c r="H11878" s="1031"/>
      <c r="I11878" s="948">
        <f>(D11878*F11878)</f>
        <v>34.83</v>
      </c>
    </row>
    <row r="11879" spans="3:9" ht="15.75">
      <c r="C11879" s="949" t="s">
        <v>1077</v>
      </c>
      <c r="D11879" s="953">
        <v>11.61</v>
      </c>
      <c r="E11879" s="954" t="str">
        <f>+VLOOKUP(C11879,'Basic (equilibrio) (2)'!B:D,2,FALSE)</f>
        <v>ud</v>
      </c>
      <c r="F11879" s="1068">
        <f>'Basic (equilibrio) (2)'!$D$29</f>
        <v>22</v>
      </c>
      <c r="G11879" s="946">
        <v>0</v>
      </c>
      <c r="H11879" s="1031"/>
      <c r="I11879" s="948">
        <f>(D11879*F11879)</f>
        <v>255.42</v>
      </c>
    </row>
    <row r="11880" spans="3:9" ht="15.75">
      <c r="C11880" s="951" t="s">
        <v>918</v>
      </c>
      <c r="D11880" s="946"/>
      <c r="E11880" s="947"/>
      <c r="F11880" s="1054"/>
      <c r="G11880" s="946"/>
      <c r="H11880" s="1031"/>
      <c r="I11880" s="952">
        <f>SUM(I11877:I11879)</f>
        <v>301.86</v>
      </c>
    </row>
    <row r="11881" spans="3:9" ht="15.75">
      <c r="C11881" s="949"/>
      <c r="D11881" s="946"/>
      <c r="E11881" s="947"/>
      <c r="F11881" s="1054"/>
      <c r="G11881" s="946"/>
      <c r="H11881" s="1031"/>
      <c r="I11881" s="948"/>
    </row>
    <row r="11882" spans="3:9" ht="15.75">
      <c r="C11882" s="945" t="s">
        <v>923</v>
      </c>
      <c r="D11882" s="946"/>
      <c r="E11882" s="947"/>
      <c r="F11882" s="1054"/>
      <c r="G11882" s="946"/>
      <c r="H11882" s="1031"/>
      <c r="I11882" s="948"/>
    </row>
    <row r="11883" spans="3:9" ht="15.75">
      <c r="C11883" s="949" t="s">
        <v>924</v>
      </c>
      <c r="D11883" s="946"/>
      <c r="E11883" s="947" t="str">
        <f>+VLOOKUP(C11883,'Basic (equilibrio) (2)'!B:D,2,FALSE)</f>
        <v>n/a</v>
      </c>
      <c r="F11883" s="1054">
        <f>+VLOOKUP(C11883,'Basic (equilibrio) (2)'!B:D,3,FALSE)</f>
        <v>0</v>
      </c>
      <c r="G11883" s="946">
        <f>F11883-(F11883/1.18)</f>
        <v>0</v>
      </c>
      <c r="H11883" s="1039"/>
      <c r="I11883" s="955">
        <f>D11883*F11883</f>
        <v>0</v>
      </c>
    </row>
    <row r="11884" spans="3:9" ht="15.75">
      <c r="C11884" s="951" t="s">
        <v>918</v>
      </c>
      <c r="D11884" s="946"/>
      <c r="E11884" s="947"/>
      <c r="F11884" s="1054"/>
      <c r="G11884" s="946"/>
      <c r="H11884" s="1031"/>
      <c r="I11884" s="952">
        <f>SUM(I11883:I11883)</f>
        <v>0</v>
      </c>
    </row>
    <row r="11885" spans="3:9" ht="15.75">
      <c r="C11885" s="949"/>
      <c r="D11885" s="946"/>
      <c r="E11885" s="947"/>
      <c r="F11885" s="1054"/>
      <c r="G11885" s="946"/>
      <c r="H11885" s="1031"/>
      <c r="I11885" s="948"/>
    </row>
    <row r="11886" spans="3:9" ht="15.75">
      <c r="C11886" s="945" t="s">
        <v>925</v>
      </c>
      <c r="D11886" s="946"/>
      <c r="E11886" s="947"/>
      <c r="F11886" s="1054"/>
      <c r="G11886" s="946"/>
      <c r="H11886" s="1031"/>
      <c r="I11886" s="948"/>
    </row>
    <row r="11887" spans="3:9" ht="15.75">
      <c r="C11887" s="949" t="s">
        <v>924</v>
      </c>
      <c r="D11887" s="946"/>
      <c r="E11887" s="947" t="str">
        <f>+VLOOKUP(C11887,'Basic (equilibrio) (2)'!B:D,2,FALSE)</f>
        <v>n/a</v>
      </c>
      <c r="F11887" s="1054">
        <f>+VLOOKUP(C11887,'Basic (equilibrio) (2)'!B:D,3,FALSE)</f>
        <v>0</v>
      </c>
      <c r="G11887" s="946"/>
      <c r="H11887" s="1031"/>
      <c r="I11887" s="948">
        <f>D11887*F11887</f>
        <v>0</v>
      </c>
    </row>
    <row r="11888" spans="3:9" ht="15.75">
      <c r="C11888" s="951" t="s">
        <v>918</v>
      </c>
      <c r="D11888" s="946"/>
      <c r="E11888" s="947"/>
      <c r="F11888" s="1054"/>
      <c r="G11888" s="946"/>
      <c r="H11888" s="1031"/>
      <c r="I11888" s="952">
        <f>SUM(I11887)</f>
        <v>0</v>
      </c>
    </row>
    <row r="11889" spans="2:9" ht="15.75">
      <c r="C11889" s="951"/>
      <c r="D11889" s="946"/>
      <c r="E11889" s="947"/>
      <c r="F11889" s="1054"/>
      <c r="G11889" s="946"/>
      <c r="H11889" s="1031"/>
      <c r="I11889" s="952"/>
    </row>
    <row r="11890" spans="2:9" ht="15.75">
      <c r="C11890" s="956" t="s">
        <v>926</v>
      </c>
      <c r="D11890" s="957"/>
      <c r="E11890" s="958"/>
      <c r="F11890" s="1069"/>
      <c r="G11890" s="957"/>
      <c r="H11890" s="1032"/>
      <c r="I11890" s="959">
        <f>+I11874</f>
        <v>1077.2</v>
      </c>
    </row>
    <row r="11891" spans="2:9" ht="15.75">
      <c r="C11891" s="956" t="s">
        <v>927</v>
      </c>
      <c r="D11891" s="957"/>
      <c r="E11891" s="958"/>
      <c r="F11891" s="1069"/>
      <c r="G11891" s="957"/>
      <c r="H11891" s="1032"/>
      <c r="I11891" s="959">
        <f>+I11880</f>
        <v>301.86</v>
      </c>
    </row>
    <row r="11892" spans="2:9" ht="15.75">
      <c r="C11892" s="956" t="s">
        <v>928</v>
      </c>
      <c r="D11892" s="957"/>
      <c r="E11892" s="958"/>
      <c r="F11892" s="1069"/>
      <c r="G11892" s="957"/>
      <c r="H11892" s="1032"/>
      <c r="I11892" s="959">
        <f>+I11884</f>
        <v>0</v>
      </c>
    </row>
    <row r="11893" spans="2:9" ht="15.75">
      <c r="C11893" s="956" t="s">
        <v>929</v>
      </c>
      <c r="D11893" s="957"/>
      <c r="E11893" s="958"/>
      <c r="F11893" s="1069"/>
      <c r="G11893" s="957"/>
      <c r="H11893" s="1032"/>
      <c r="I11893" s="959">
        <f>+I11888</f>
        <v>0</v>
      </c>
    </row>
    <row r="11894" spans="2:9" ht="15.75">
      <c r="C11894" s="949"/>
      <c r="D11894" s="946"/>
      <c r="E11894" s="947"/>
      <c r="F11894" s="1054"/>
      <c r="G11894" s="946"/>
      <c r="H11894" s="1031"/>
      <c r="I11894" s="948"/>
    </row>
    <row r="11895" spans="2:9" ht="15.75">
      <c r="C11895" s="949"/>
      <c r="D11895" s="946"/>
      <c r="E11895" s="947"/>
      <c r="F11895" s="1054"/>
      <c r="G11895" s="946"/>
      <c r="H11895" s="1031"/>
      <c r="I11895" s="948"/>
    </row>
    <row r="11896" spans="2:9" ht="15.75">
      <c r="C11896" s="951" t="s">
        <v>930</v>
      </c>
      <c r="D11896" s="960"/>
      <c r="E11896" s="943" t="str">
        <f>+E11865</f>
        <v>M2</v>
      </c>
      <c r="F11896" s="1070"/>
      <c r="G11896" s="960"/>
      <c r="H11896" s="1033"/>
      <c r="I11896" s="952">
        <f>SUM(I11890:I11893)</f>
        <v>1379.06</v>
      </c>
    </row>
    <row r="11897" spans="2:9" ht="15.75">
      <c r="C11897" s="951"/>
      <c r="D11897" s="960"/>
      <c r="E11897" s="943"/>
      <c r="F11897" s="1070"/>
      <c r="G11897" s="960"/>
      <c r="H11897" s="1033"/>
      <c r="I11897" s="952"/>
    </row>
    <row r="11898" spans="2:9" ht="15.75">
      <c r="B11898" s="1026">
        <v>4.4000000000000004</v>
      </c>
      <c r="C11898" s="937" t="str">
        <f>+Presupuesto!B686</f>
        <v>Bloques calado</v>
      </c>
      <c r="D11898" s="938"/>
      <c r="E11898" s="962" t="s">
        <v>20</v>
      </c>
      <c r="F11898" s="1066"/>
      <c r="G11898" s="938"/>
      <c r="H11898" s="1029"/>
      <c r="I11898" s="940">
        <f>I11929</f>
        <v>702.22</v>
      </c>
    </row>
    <row r="11899" spans="2:9" ht="15.75">
      <c r="C11899" s="941" t="s">
        <v>908</v>
      </c>
      <c r="D11899" s="942" t="s">
        <v>9</v>
      </c>
      <c r="E11899" s="943" t="s">
        <v>10</v>
      </c>
      <c r="F11899" s="1067" t="s">
        <v>909</v>
      </c>
      <c r="G11899" s="942" t="s">
        <v>910</v>
      </c>
      <c r="H11899" s="1030" t="s">
        <v>911</v>
      </c>
      <c r="I11899" s="944" t="s">
        <v>912</v>
      </c>
    </row>
    <row r="11900" spans="2:9" ht="15.75">
      <c r="C11900" s="945" t="s">
        <v>913</v>
      </c>
      <c r="D11900" s="946"/>
      <c r="E11900" s="947"/>
      <c r="F11900" s="1054"/>
      <c r="G11900" s="946"/>
      <c r="H11900" s="1031"/>
      <c r="I11900" s="948"/>
    </row>
    <row r="11901" spans="2:9" ht="15.75">
      <c r="C11901" s="949" t="s">
        <v>1201</v>
      </c>
      <c r="D11901" s="946">
        <v>6</v>
      </c>
      <c r="E11901" s="947" t="str">
        <f>+VLOOKUP(C11901,'Basic (equilibrio) (2)'!B:D,2,FALSE)</f>
        <v>ud</v>
      </c>
      <c r="F11901" s="1068">
        <f>'Basic (equilibrio) (2)'!$D$300</f>
        <v>35</v>
      </c>
      <c r="G11901" s="946">
        <f t="shared" ref="G11901:G11906" si="83">F11901-(F11901/1.18)</f>
        <v>5.34</v>
      </c>
      <c r="H11901" s="1031"/>
      <c r="I11901" s="948">
        <f t="shared" ref="I11901:I11906" si="84">D11901*F11901</f>
        <v>210</v>
      </c>
    </row>
    <row r="11902" spans="2:9" ht="15.75">
      <c r="C11902" s="949" t="s">
        <v>1203</v>
      </c>
      <c r="D11902" s="946">
        <v>6</v>
      </c>
      <c r="E11902" s="947" t="str">
        <f>+VLOOKUP(C11902,'Basic (equilibrio) (2)'!B:D,2,FALSE)</f>
        <v>ud</v>
      </c>
      <c r="F11902" s="1068">
        <f>'Basic (equilibrio) (2)'!$D$303</f>
        <v>3.3</v>
      </c>
      <c r="G11902" s="946">
        <f t="shared" si="83"/>
        <v>0.5</v>
      </c>
      <c r="H11902" s="1031"/>
      <c r="I11902" s="948">
        <f t="shared" si="84"/>
        <v>19.8</v>
      </c>
    </row>
    <row r="11903" spans="2:9" ht="15.75">
      <c r="C11903" s="949" t="s">
        <v>1204</v>
      </c>
      <c r="D11903" s="946">
        <v>0.02</v>
      </c>
      <c r="E11903" s="947" t="str">
        <f>+VLOOKUP(C11903,'Basic (equilibrio) (2)'!B:D,2,FALSE)</f>
        <v>m3</v>
      </c>
      <c r="F11903" s="1068">
        <f>'Basic (equilibrio) (2)'!$D$307</f>
        <v>6174</v>
      </c>
      <c r="G11903" s="946">
        <f t="shared" si="83"/>
        <v>941.8</v>
      </c>
      <c r="H11903" s="1031"/>
      <c r="I11903" s="948">
        <f t="shared" si="84"/>
        <v>123.48</v>
      </c>
    </row>
    <row r="11904" spans="2:9" ht="15.75">
      <c r="C11904" s="949" t="s">
        <v>1205</v>
      </c>
      <c r="D11904" s="946">
        <v>0.02</v>
      </c>
      <c r="E11904" s="947" t="str">
        <f>+VLOOKUP(C11904,'Basic (equilibrio) (2)'!B:D,2,FALSE)</f>
        <v>m3</v>
      </c>
      <c r="F11904" s="1068">
        <f>'Basic (equilibrio) (2)'!$D$308</f>
        <v>5985</v>
      </c>
      <c r="G11904" s="946">
        <f t="shared" si="83"/>
        <v>912.97</v>
      </c>
      <c r="H11904" s="1031"/>
      <c r="I11904" s="948">
        <f t="shared" si="84"/>
        <v>119.7</v>
      </c>
    </row>
    <row r="11905" spans="3:9" ht="15.75">
      <c r="C11905" s="949" t="s">
        <v>1188</v>
      </c>
      <c r="D11905" s="946">
        <v>0.02</v>
      </c>
      <c r="E11905" s="947" t="str">
        <f>+VLOOKUP(C11905,'Basic (equilibrio) (2)'!B:D,2,FALSE)</f>
        <v>qq</v>
      </c>
      <c r="F11905" s="1068">
        <f>'Basic (equilibrio) (2)'!$D$183</f>
        <v>3600</v>
      </c>
      <c r="G11905" s="946">
        <f t="shared" si="83"/>
        <v>549.15</v>
      </c>
      <c r="H11905" s="1031"/>
      <c r="I11905" s="948">
        <f t="shared" si="84"/>
        <v>72</v>
      </c>
    </row>
    <row r="11906" spans="3:9" ht="15.75">
      <c r="C11906" s="949" t="s">
        <v>1328</v>
      </c>
      <c r="D11906" s="946">
        <v>0.04</v>
      </c>
      <c r="E11906" s="947" t="str">
        <f>+VLOOKUP(C11906,'Basic (equilibrio) (2)'!B:D,2,FALSE)</f>
        <v>lb</v>
      </c>
      <c r="F11906" s="1068">
        <f>'Basic (equilibrio) (2)'!$D$334</f>
        <v>31.1</v>
      </c>
      <c r="G11906" s="946">
        <f t="shared" si="83"/>
        <v>4.74</v>
      </c>
      <c r="H11906" s="1031"/>
      <c r="I11906" s="948">
        <f t="shared" si="84"/>
        <v>1.24</v>
      </c>
    </row>
    <row r="11907" spans="3:9" ht="15.75">
      <c r="C11907" s="951" t="s">
        <v>918</v>
      </c>
      <c r="D11907" s="946"/>
      <c r="E11907" s="947"/>
      <c r="F11907" s="1068"/>
      <c r="G11907" s="946"/>
      <c r="H11907" s="1031"/>
      <c r="I11907" s="952">
        <f>SUM(I11901:I11906)</f>
        <v>546.22</v>
      </c>
    </row>
    <row r="11908" spans="3:9" ht="15.75">
      <c r="C11908" s="949"/>
      <c r="D11908" s="946"/>
      <c r="E11908" s="947"/>
      <c r="F11908" s="1068"/>
      <c r="G11908" s="946"/>
      <c r="H11908" s="1031"/>
      <c r="I11908" s="948"/>
    </row>
    <row r="11909" spans="3:9" ht="15.75">
      <c r="C11909" s="945" t="s">
        <v>919</v>
      </c>
      <c r="D11909" s="946"/>
      <c r="E11909" s="947"/>
      <c r="F11909" s="1068"/>
      <c r="G11909" s="946"/>
      <c r="H11909" s="1031"/>
      <c r="I11909" s="948"/>
    </row>
    <row r="11910" spans="3:9" ht="15.75">
      <c r="C11910" s="949" t="s">
        <v>1074</v>
      </c>
      <c r="D11910" s="953">
        <v>6</v>
      </c>
      <c r="E11910" s="954" t="str">
        <f>+VLOOKUP(C11910,'Basic (equilibrio) (2)'!B:D,2,FALSE)</f>
        <v>ud</v>
      </c>
      <c r="F11910" s="1068">
        <f>'Basic (equilibrio) (2)'!$D$26</f>
        <v>1</v>
      </c>
      <c r="G11910" s="946">
        <v>0</v>
      </c>
      <c r="H11910" s="1031"/>
      <c r="I11910" s="948">
        <f>(D11910*F11910)</f>
        <v>6</v>
      </c>
    </row>
    <row r="11911" spans="3:9" ht="15.75">
      <c r="C11911" s="949" t="s">
        <v>1075</v>
      </c>
      <c r="D11911" s="953">
        <v>6</v>
      </c>
      <c r="E11911" s="954" t="str">
        <f>+VLOOKUP(C11911,'Basic (equilibrio) (2)'!B:D,2,FALSE)</f>
        <v>ud</v>
      </c>
      <c r="F11911" s="1068">
        <f>'Basic (equilibrio) (2)'!$D$27</f>
        <v>3</v>
      </c>
      <c r="G11911" s="946">
        <v>0</v>
      </c>
      <c r="H11911" s="1031"/>
      <c r="I11911" s="948">
        <f>(D11911*F11911)</f>
        <v>18</v>
      </c>
    </row>
    <row r="11912" spans="3:9" ht="15.75">
      <c r="C11912" s="949" t="s">
        <v>1077</v>
      </c>
      <c r="D11912" s="953">
        <v>6</v>
      </c>
      <c r="E11912" s="954" t="str">
        <f>+VLOOKUP(C11912,'Basic (equilibrio) (2)'!B:D,2,FALSE)</f>
        <v>ud</v>
      </c>
      <c r="F11912" s="1068">
        <f>'Basic (equilibrio) (2)'!$D$29</f>
        <v>22</v>
      </c>
      <c r="G11912" s="946">
        <v>0</v>
      </c>
      <c r="H11912" s="1031"/>
      <c r="I11912" s="948">
        <f>(D11912*F11912)</f>
        <v>132</v>
      </c>
    </row>
    <row r="11913" spans="3:9" ht="15.75">
      <c r="C11913" s="951" t="s">
        <v>918</v>
      </c>
      <c r="D11913" s="946"/>
      <c r="E11913" s="947"/>
      <c r="F11913" s="1054"/>
      <c r="G11913" s="946"/>
      <c r="H11913" s="1031"/>
      <c r="I11913" s="952">
        <f>SUM(I11910:I11912)</f>
        <v>156</v>
      </c>
    </row>
    <row r="11914" spans="3:9" ht="15.75">
      <c r="C11914" s="949"/>
      <c r="D11914" s="946"/>
      <c r="E11914" s="947"/>
      <c r="F11914" s="1054"/>
      <c r="G11914" s="946"/>
      <c r="H11914" s="1031"/>
      <c r="I11914" s="948"/>
    </row>
    <row r="11915" spans="3:9" ht="15.75">
      <c r="C11915" s="945" t="s">
        <v>923</v>
      </c>
      <c r="D11915" s="946"/>
      <c r="E11915" s="947"/>
      <c r="F11915" s="1054"/>
      <c r="G11915" s="946"/>
      <c r="H11915" s="1031"/>
      <c r="I11915" s="948"/>
    </row>
    <row r="11916" spans="3:9" ht="15.75">
      <c r="C11916" s="949" t="s">
        <v>924</v>
      </c>
      <c r="D11916" s="946"/>
      <c r="E11916" s="947" t="str">
        <f>+VLOOKUP(C11916,'Basic (equilibrio) (2)'!B:D,2,FALSE)</f>
        <v>n/a</v>
      </c>
      <c r="F11916" s="1054">
        <f>+VLOOKUP(C11916,'Basic (equilibrio) (2)'!B:D,3,FALSE)</f>
        <v>0</v>
      </c>
      <c r="G11916" s="946">
        <f>F11916-(F11916/1.18)</f>
        <v>0</v>
      </c>
      <c r="H11916" s="1039"/>
      <c r="I11916" s="955">
        <f>D11916*F11916</f>
        <v>0</v>
      </c>
    </row>
    <row r="11917" spans="3:9" ht="15.75">
      <c r="C11917" s="951" t="s">
        <v>918</v>
      </c>
      <c r="D11917" s="946"/>
      <c r="E11917" s="947"/>
      <c r="F11917" s="1054"/>
      <c r="G11917" s="946"/>
      <c r="H11917" s="1031"/>
      <c r="I11917" s="952">
        <f>SUM(I11916:I11916)</f>
        <v>0</v>
      </c>
    </row>
    <row r="11918" spans="3:9" ht="15.75">
      <c r="C11918" s="949"/>
      <c r="D11918" s="946"/>
      <c r="E11918" s="947"/>
      <c r="F11918" s="1054"/>
      <c r="G11918" s="946"/>
      <c r="H11918" s="1031"/>
      <c r="I11918" s="948"/>
    </row>
    <row r="11919" spans="3:9" ht="15.75">
      <c r="C11919" s="945" t="s">
        <v>925</v>
      </c>
      <c r="D11919" s="946"/>
      <c r="E11919" s="947"/>
      <c r="F11919" s="1054"/>
      <c r="G11919" s="946"/>
      <c r="H11919" s="1031"/>
      <c r="I11919" s="948"/>
    </row>
    <row r="11920" spans="3:9" ht="15.75">
      <c r="C11920" s="949" t="s">
        <v>924</v>
      </c>
      <c r="D11920" s="946"/>
      <c r="E11920" s="947" t="str">
        <f>+VLOOKUP(C11920,'Basic (equilibrio) (2)'!B:D,2,FALSE)</f>
        <v>n/a</v>
      </c>
      <c r="F11920" s="1054">
        <f>+VLOOKUP(C11920,'Basic (equilibrio) (2)'!B:D,3,FALSE)</f>
        <v>0</v>
      </c>
      <c r="G11920" s="946"/>
      <c r="H11920" s="1031"/>
      <c r="I11920" s="948">
        <f>D11920*F11920</f>
        <v>0</v>
      </c>
    </row>
    <row r="11921" spans="2:9" ht="15.75">
      <c r="C11921" s="951" t="s">
        <v>918</v>
      </c>
      <c r="D11921" s="946"/>
      <c r="E11921" s="947"/>
      <c r="F11921" s="1054"/>
      <c r="G11921" s="946"/>
      <c r="H11921" s="1031"/>
      <c r="I11921" s="952">
        <f>SUM(I11920)</f>
        <v>0</v>
      </c>
    </row>
    <row r="11922" spans="2:9" ht="15.75">
      <c r="C11922" s="951"/>
      <c r="D11922" s="946"/>
      <c r="E11922" s="947"/>
      <c r="F11922" s="1054"/>
      <c r="G11922" s="946"/>
      <c r="H11922" s="1031"/>
      <c r="I11922" s="952"/>
    </row>
    <row r="11923" spans="2:9" ht="15.75">
      <c r="C11923" s="956" t="s">
        <v>926</v>
      </c>
      <c r="D11923" s="957"/>
      <c r="E11923" s="958"/>
      <c r="F11923" s="1069"/>
      <c r="G11923" s="957"/>
      <c r="H11923" s="1032"/>
      <c r="I11923" s="959">
        <f>+I11907</f>
        <v>546.22</v>
      </c>
    </row>
    <row r="11924" spans="2:9" ht="15.75">
      <c r="C11924" s="956" t="s">
        <v>927</v>
      </c>
      <c r="D11924" s="957"/>
      <c r="E11924" s="958"/>
      <c r="F11924" s="1069"/>
      <c r="G11924" s="957"/>
      <c r="H11924" s="1032"/>
      <c r="I11924" s="959">
        <f>+I11913</f>
        <v>156</v>
      </c>
    </row>
    <row r="11925" spans="2:9" ht="15.75">
      <c r="C11925" s="956" t="s">
        <v>928</v>
      </c>
      <c r="D11925" s="957"/>
      <c r="E11925" s="958"/>
      <c r="F11925" s="1069"/>
      <c r="G11925" s="957"/>
      <c r="H11925" s="1032"/>
      <c r="I11925" s="959">
        <f>+I11917</f>
        <v>0</v>
      </c>
    </row>
    <row r="11926" spans="2:9" ht="15.75">
      <c r="C11926" s="956" t="s">
        <v>929</v>
      </c>
      <c r="D11926" s="957"/>
      <c r="E11926" s="958"/>
      <c r="F11926" s="1069"/>
      <c r="G11926" s="957"/>
      <c r="H11926" s="1032"/>
      <c r="I11926" s="959">
        <f>+I11921</f>
        <v>0</v>
      </c>
    </row>
    <row r="11927" spans="2:9" ht="15.75">
      <c r="C11927" s="949"/>
      <c r="D11927" s="946"/>
      <c r="E11927" s="947"/>
      <c r="F11927" s="1054"/>
      <c r="G11927" s="946"/>
      <c r="H11927" s="1031"/>
      <c r="I11927" s="948"/>
    </row>
    <row r="11928" spans="2:9" ht="15.75">
      <c r="C11928" s="949"/>
      <c r="D11928" s="946"/>
      <c r="E11928" s="947"/>
      <c r="F11928" s="1054"/>
      <c r="G11928" s="946"/>
      <c r="H11928" s="1031"/>
      <c r="I11928" s="948"/>
    </row>
    <row r="11929" spans="2:9" ht="15.75">
      <c r="C11929" s="951" t="s">
        <v>930</v>
      </c>
      <c r="D11929" s="960"/>
      <c r="E11929" s="943" t="str">
        <f>+E11898</f>
        <v>M2</v>
      </c>
      <c r="F11929" s="1070"/>
      <c r="G11929" s="960"/>
      <c r="H11929" s="1033"/>
      <c r="I11929" s="952">
        <f>SUM(I11923:I11926)</f>
        <v>702.22</v>
      </c>
    </row>
    <row r="11930" spans="2:9" ht="15.75">
      <c r="C11930" s="951"/>
      <c r="D11930" s="960"/>
      <c r="E11930" s="943"/>
      <c r="F11930" s="1070"/>
      <c r="G11930" s="960"/>
      <c r="H11930" s="1033"/>
      <c r="I11930" s="952"/>
    </row>
    <row r="11931" spans="2:9" ht="15.75">
      <c r="B11931" s="1026">
        <v>5.0999999999999996</v>
      </c>
      <c r="C11931" s="937" t="str">
        <f>+Presupuesto!B689</f>
        <v>Pañete en techo</v>
      </c>
      <c r="D11931" s="938"/>
      <c r="E11931" s="962" t="s">
        <v>20</v>
      </c>
      <c r="F11931" s="1066"/>
      <c r="G11931" s="938"/>
      <c r="H11931" s="1029"/>
      <c r="I11931" s="940">
        <f>I11957</f>
        <v>503.5</v>
      </c>
    </row>
    <row r="11932" spans="2:9" ht="15.75">
      <c r="C11932" s="941" t="s">
        <v>908</v>
      </c>
      <c r="D11932" s="942" t="s">
        <v>9</v>
      </c>
      <c r="E11932" s="943" t="s">
        <v>10</v>
      </c>
      <c r="F11932" s="1067" t="s">
        <v>909</v>
      </c>
      <c r="G11932" s="942" t="s">
        <v>910</v>
      </c>
      <c r="H11932" s="1030" t="s">
        <v>911</v>
      </c>
      <c r="I11932" s="944" t="s">
        <v>912</v>
      </c>
    </row>
    <row r="11933" spans="2:9" ht="15.75">
      <c r="C11933" s="945" t="s">
        <v>913</v>
      </c>
      <c r="D11933" s="946"/>
      <c r="E11933" s="947"/>
      <c r="F11933" s="1054"/>
      <c r="G11933" s="946"/>
      <c r="H11933" s="1031"/>
      <c r="I11933" s="948"/>
    </row>
    <row r="11934" spans="2:9" ht="15.75">
      <c r="C11934" s="949" t="s">
        <v>958</v>
      </c>
      <c r="D11934" s="946">
        <v>0.03</v>
      </c>
      <c r="E11934" s="947" t="str">
        <f>+VLOOKUP(C11934,'Basic (equilibrio) (2)'!B:D,2,FALSE)</f>
        <v>m3</v>
      </c>
      <c r="F11934" s="1068">
        <f>'Basic (equilibrio) (2)'!$D$309</f>
        <v>6820</v>
      </c>
      <c r="G11934" s="946">
        <f>F11934-(F11934/1.18)</f>
        <v>1040.3399999999999</v>
      </c>
      <c r="H11934" s="1031"/>
      <c r="I11934" s="948">
        <f>D11934*F11934</f>
        <v>204.6</v>
      </c>
    </row>
    <row r="11935" spans="2:9" ht="15.75">
      <c r="C11935" s="949" t="s">
        <v>1206</v>
      </c>
      <c r="D11935" s="946">
        <v>0.03</v>
      </c>
      <c r="E11935" s="947" t="str">
        <f>+VLOOKUP(C11935,'Basic (equilibrio) (2)'!B:D,2,FALSE)</f>
        <v>pt</v>
      </c>
      <c r="F11935" s="1068">
        <f>'Basic (equilibrio) (2)'!$D$310</f>
        <v>230</v>
      </c>
      <c r="G11935" s="946">
        <f>F11935-(F11935/1.18)</f>
        <v>35.08</v>
      </c>
      <c r="H11935" s="1031"/>
      <c r="I11935" s="948">
        <f>D11935*F11935</f>
        <v>6.9</v>
      </c>
    </row>
    <row r="11936" spans="2:9" ht="15.75">
      <c r="C11936" s="949" t="s">
        <v>1079</v>
      </c>
      <c r="D11936" s="946">
        <v>1</v>
      </c>
      <c r="E11936" s="947" t="str">
        <f>+VLOOKUP(C11936,'Basic (equilibrio) (2)'!B:D,2,FALSE)</f>
        <v>m2</v>
      </c>
      <c r="F11936" s="1068">
        <f>'Basic (equilibrio) (2)'!$D$31</f>
        <v>52</v>
      </c>
      <c r="G11936" s="946">
        <f>F11936-(F11936/1.18)</f>
        <v>7.93</v>
      </c>
      <c r="H11936" s="1031"/>
      <c r="I11936" s="948">
        <f>D11936*F11936</f>
        <v>52</v>
      </c>
    </row>
    <row r="11937" spans="3:9" ht="15.75">
      <c r="C11937" s="951" t="s">
        <v>918</v>
      </c>
      <c r="D11937" s="946"/>
      <c r="E11937" s="947"/>
      <c r="F11937" s="1068"/>
      <c r="G11937" s="946"/>
      <c r="H11937" s="1031"/>
      <c r="I11937" s="952">
        <f>SUM(I11934:I11936)</f>
        <v>263.5</v>
      </c>
    </row>
    <row r="11938" spans="3:9" ht="15.75">
      <c r="C11938" s="949"/>
      <c r="D11938" s="946"/>
      <c r="E11938" s="947"/>
      <c r="F11938" s="1068"/>
      <c r="G11938" s="946"/>
      <c r="H11938" s="1031"/>
      <c r="I11938" s="948"/>
    </row>
    <row r="11939" spans="3:9" ht="15.75">
      <c r="C11939" s="945" t="s">
        <v>919</v>
      </c>
      <c r="D11939" s="946"/>
      <c r="E11939" s="947"/>
      <c r="F11939" s="1068"/>
      <c r="G11939" s="946"/>
      <c r="H11939" s="1031"/>
      <c r="I11939" s="948"/>
    </row>
    <row r="11940" spans="3:9" ht="15.75">
      <c r="C11940" s="949" t="s">
        <v>1078</v>
      </c>
      <c r="D11940" s="953">
        <v>1</v>
      </c>
      <c r="E11940" s="954" t="str">
        <f>+VLOOKUP(C11940,'Basic (equilibrio) (2)'!B:D,2,FALSE)</f>
        <v>m2</v>
      </c>
      <c r="F11940" s="1068">
        <f>+VLOOKUP(C11940,'Basic (equilibrio) (2)'!B:D,3,FALSE)</f>
        <v>190</v>
      </c>
      <c r="G11940" s="946">
        <v>0</v>
      </c>
      <c r="H11940" s="1031"/>
      <c r="I11940" s="948">
        <f>(D11940*F11940)</f>
        <v>190</v>
      </c>
    </row>
    <row r="11941" spans="3:9" ht="15.75">
      <c r="C11941" s="949" t="s">
        <v>1555</v>
      </c>
      <c r="D11941" s="953">
        <v>1</v>
      </c>
      <c r="E11941" s="954" t="str">
        <f>+VLOOKUP(C11941,'Basic (equilibrio) (2)'!B:D,2,FALSE)</f>
        <v>m2</v>
      </c>
      <c r="F11941" s="1068">
        <f>'Basic (equilibrio) (2)'!$D$54</f>
        <v>50</v>
      </c>
      <c r="G11941" s="946">
        <v>0</v>
      </c>
      <c r="H11941" s="1031"/>
      <c r="I11941" s="948">
        <f>(D11941*F11941)</f>
        <v>50</v>
      </c>
    </row>
    <row r="11942" spans="3:9" ht="15.75">
      <c r="C11942" s="951" t="s">
        <v>918</v>
      </c>
      <c r="D11942" s="946"/>
      <c r="E11942" s="947"/>
      <c r="F11942" s="1054"/>
      <c r="G11942" s="946"/>
      <c r="H11942" s="1031"/>
      <c r="I11942" s="952">
        <f>SUM(I11940:I11941)</f>
        <v>240</v>
      </c>
    </row>
    <row r="11943" spans="3:9" ht="15.75">
      <c r="C11943" s="949"/>
      <c r="D11943" s="946"/>
      <c r="E11943" s="947"/>
      <c r="F11943" s="1054"/>
      <c r="G11943" s="946"/>
      <c r="H11943" s="1031"/>
      <c r="I11943" s="948"/>
    </row>
    <row r="11944" spans="3:9" ht="15.75">
      <c r="C11944" s="945" t="s">
        <v>923</v>
      </c>
      <c r="D11944" s="946"/>
      <c r="E11944" s="947"/>
      <c r="F11944" s="1054"/>
      <c r="G11944" s="946"/>
      <c r="H11944" s="1031"/>
      <c r="I11944" s="948"/>
    </row>
    <row r="11945" spans="3:9" ht="15.75">
      <c r="C11945" s="949" t="s">
        <v>924</v>
      </c>
      <c r="D11945" s="946"/>
      <c r="E11945" s="947" t="str">
        <f>+VLOOKUP(C11945,'Basic (equilibrio) (2)'!B:D,2,FALSE)</f>
        <v>n/a</v>
      </c>
      <c r="F11945" s="1054">
        <f>+VLOOKUP(C11945,'Basic (equilibrio) (2)'!B:D,3,FALSE)</f>
        <v>0</v>
      </c>
      <c r="G11945" s="946">
        <f>F11945-(F11945/1.18)</f>
        <v>0</v>
      </c>
      <c r="H11945" s="1039"/>
      <c r="I11945" s="955">
        <f>D11945*F11945</f>
        <v>0</v>
      </c>
    </row>
    <row r="11946" spans="3:9" ht="15.75">
      <c r="C11946" s="951" t="s">
        <v>918</v>
      </c>
      <c r="D11946" s="946"/>
      <c r="E11946" s="947"/>
      <c r="F11946" s="1054"/>
      <c r="G11946" s="946"/>
      <c r="H11946" s="1031"/>
      <c r="I11946" s="952">
        <f>SUM(I11945:I11945)</f>
        <v>0</v>
      </c>
    </row>
    <row r="11947" spans="3:9" ht="15.75">
      <c r="C11947" s="949"/>
      <c r="D11947" s="946"/>
      <c r="E11947" s="947"/>
      <c r="F11947" s="1054"/>
      <c r="G11947" s="946"/>
      <c r="H11947" s="1031"/>
      <c r="I11947" s="948"/>
    </row>
    <row r="11948" spans="3:9" ht="15.75">
      <c r="C11948" s="945" t="s">
        <v>925</v>
      </c>
      <c r="D11948" s="946"/>
      <c r="E11948" s="947"/>
      <c r="F11948" s="1054"/>
      <c r="G11948" s="946"/>
      <c r="H11948" s="1031"/>
      <c r="I11948" s="948"/>
    </row>
    <row r="11949" spans="3:9" ht="15.75">
      <c r="C11949" s="949" t="s">
        <v>924</v>
      </c>
      <c r="D11949" s="946"/>
      <c r="E11949" s="947" t="str">
        <f>+VLOOKUP(C11949,'Basic (equilibrio) (2)'!B:D,2,FALSE)</f>
        <v>n/a</v>
      </c>
      <c r="F11949" s="1054">
        <f>+VLOOKUP(C11949,'Basic (equilibrio) (2)'!B:D,3,FALSE)</f>
        <v>0</v>
      </c>
      <c r="G11949" s="946"/>
      <c r="H11949" s="1031"/>
      <c r="I11949" s="948">
        <f>D11949*F11949</f>
        <v>0</v>
      </c>
    </row>
    <row r="11950" spans="3:9" ht="15.75">
      <c r="C11950" s="951" t="s">
        <v>918</v>
      </c>
      <c r="D11950" s="946"/>
      <c r="E11950" s="947"/>
      <c r="F11950" s="1054"/>
      <c r="G11950" s="946"/>
      <c r="H11950" s="1031"/>
      <c r="I11950" s="952">
        <f>SUM(I11949)</f>
        <v>0</v>
      </c>
    </row>
    <row r="11951" spans="3:9" ht="15.75">
      <c r="C11951" s="951"/>
      <c r="D11951" s="946"/>
      <c r="E11951" s="947"/>
      <c r="F11951" s="1054"/>
      <c r="G11951" s="946"/>
      <c r="H11951" s="1031"/>
      <c r="I11951" s="952"/>
    </row>
    <row r="11952" spans="3:9" ht="15.75">
      <c r="C11952" s="956" t="s">
        <v>926</v>
      </c>
      <c r="D11952" s="957"/>
      <c r="E11952" s="958"/>
      <c r="F11952" s="1069"/>
      <c r="G11952" s="957"/>
      <c r="H11952" s="1032"/>
      <c r="I11952" s="959">
        <f>+I11937</f>
        <v>263.5</v>
      </c>
    </row>
    <row r="11953" spans="2:9" ht="15.75">
      <c r="C11953" s="956" t="s">
        <v>927</v>
      </c>
      <c r="D11953" s="957"/>
      <c r="E11953" s="958"/>
      <c r="F11953" s="1069"/>
      <c r="G11953" s="957"/>
      <c r="H11953" s="1032"/>
      <c r="I11953" s="959">
        <f>+I11942</f>
        <v>240</v>
      </c>
    </row>
    <row r="11954" spans="2:9" ht="15.75">
      <c r="C11954" s="956" t="s">
        <v>928</v>
      </c>
      <c r="D11954" s="957"/>
      <c r="E11954" s="958"/>
      <c r="F11954" s="1069"/>
      <c r="G11954" s="957"/>
      <c r="H11954" s="1032"/>
      <c r="I11954" s="959">
        <f>+I11946</f>
        <v>0</v>
      </c>
    </row>
    <row r="11955" spans="2:9" ht="15.75">
      <c r="C11955" s="956" t="s">
        <v>929</v>
      </c>
      <c r="D11955" s="957"/>
      <c r="E11955" s="958"/>
      <c r="F11955" s="1069"/>
      <c r="G11955" s="957"/>
      <c r="H11955" s="1032"/>
      <c r="I11955" s="959">
        <f>+I11950</f>
        <v>0</v>
      </c>
    </row>
    <row r="11956" spans="2:9" ht="15.75">
      <c r="C11956" s="949"/>
      <c r="D11956" s="946"/>
      <c r="E11956" s="947"/>
      <c r="F11956" s="1054"/>
      <c r="G11956" s="946"/>
      <c r="H11956" s="1031"/>
      <c r="I11956" s="948"/>
    </row>
    <row r="11957" spans="2:9" ht="15.75">
      <c r="C11957" s="951" t="s">
        <v>930</v>
      </c>
      <c r="D11957" s="960"/>
      <c r="E11957" s="943" t="str">
        <f>+E11931</f>
        <v>M2</v>
      </c>
      <c r="F11957" s="1070"/>
      <c r="G11957" s="960"/>
      <c r="H11957" s="1033"/>
      <c r="I11957" s="952">
        <f>SUM(I11952:I11955)</f>
        <v>503.5</v>
      </c>
    </row>
    <row r="11958" spans="2:9" ht="15.75">
      <c r="C11958" s="951"/>
      <c r="D11958" s="960"/>
      <c r="E11958" s="943"/>
      <c r="F11958" s="1070"/>
      <c r="G11958" s="960"/>
      <c r="H11958" s="1033"/>
      <c r="I11958" s="952"/>
    </row>
    <row r="11959" spans="2:9" ht="15.75">
      <c r="B11959" s="1026">
        <v>5.2</v>
      </c>
      <c r="C11959" s="937" t="str">
        <f>+Presupuesto!B690</f>
        <v>Pañete interior</v>
      </c>
      <c r="D11959" s="938"/>
      <c r="E11959" s="962" t="s">
        <v>20</v>
      </c>
      <c r="F11959" s="1066"/>
      <c r="G11959" s="938"/>
      <c r="H11959" s="1029"/>
      <c r="I11959" s="940">
        <f>I11984</f>
        <v>453.5</v>
      </c>
    </row>
    <row r="11960" spans="2:9" ht="15.75">
      <c r="C11960" s="941" t="s">
        <v>908</v>
      </c>
      <c r="D11960" s="942" t="s">
        <v>9</v>
      </c>
      <c r="E11960" s="943" t="s">
        <v>10</v>
      </c>
      <c r="F11960" s="1067" t="s">
        <v>909</v>
      </c>
      <c r="G11960" s="942" t="s">
        <v>910</v>
      </c>
      <c r="H11960" s="1030" t="s">
        <v>911</v>
      </c>
      <c r="I11960" s="944" t="s">
        <v>912</v>
      </c>
    </row>
    <row r="11961" spans="2:9" ht="15.75">
      <c r="C11961" s="945" t="s">
        <v>913</v>
      </c>
      <c r="D11961" s="946"/>
      <c r="E11961" s="947"/>
      <c r="F11961" s="1054"/>
      <c r="G11961" s="946"/>
      <c r="H11961" s="1031"/>
      <c r="I11961" s="948"/>
    </row>
    <row r="11962" spans="2:9" ht="15.75">
      <c r="C11962" s="949" t="s">
        <v>958</v>
      </c>
      <c r="D11962" s="946">
        <v>0.03</v>
      </c>
      <c r="E11962" s="947" t="str">
        <f>+VLOOKUP(C11962,'Basic (equilibrio) (2)'!B:D,2,FALSE)</f>
        <v>m3</v>
      </c>
      <c r="F11962" s="1068">
        <f>'Basic (equilibrio) (2)'!$D$309</f>
        <v>6820</v>
      </c>
      <c r="G11962" s="946">
        <f>F11962-(F11962/1.18)</f>
        <v>1040.3399999999999</v>
      </c>
      <c r="H11962" s="1031"/>
      <c r="I11962" s="948">
        <f>D11962*F11962</f>
        <v>204.6</v>
      </c>
    </row>
    <row r="11963" spans="2:9" ht="15.75">
      <c r="C11963" s="949" t="s">
        <v>1206</v>
      </c>
      <c r="D11963" s="946">
        <v>0.03</v>
      </c>
      <c r="E11963" s="947" t="str">
        <f>+VLOOKUP(C11963,'Basic (equilibrio) (2)'!B:D,2,FALSE)</f>
        <v>pt</v>
      </c>
      <c r="F11963" s="1068">
        <f>'Basic (equilibrio) (2)'!$D$310</f>
        <v>230</v>
      </c>
      <c r="G11963" s="946">
        <f>F11963-(F11963/1.18)</f>
        <v>35.08</v>
      </c>
      <c r="H11963" s="1031"/>
      <c r="I11963" s="948">
        <f>D11963*F11963</f>
        <v>6.9</v>
      </c>
    </row>
    <row r="11964" spans="2:9" ht="15.75">
      <c r="C11964" s="949" t="s">
        <v>1079</v>
      </c>
      <c r="D11964" s="946">
        <v>1</v>
      </c>
      <c r="E11964" s="947" t="str">
        <f>+VLOOKUP(C11964,'Basic (equilibrio) (2)'!B:D,2,FALSE)</f>
        <v>m2</v>
      </c>
      <c r="F11964" s="1068">
        <f>'Basic (equilibrio) (2)'!$D$31</f>
        <v>52</v>
      </c>
      <c r="G11964" s="946">
        <f>F11964-(F11964/1.18)</f>
        <v>7.93</v>
      </c>
      <c r="H11964" s="1031"/>
      <c r="I11964" s="948">
        <f>D11964*F11964</f>
        <v>52</v>
      </c>
    </row>
    <row r="11965" spans="2:9" ht="15.75">
      <c r="C11965" s="951" t="s">
        <v>918</v>
      </c>
      <c r="D11965" s="946"/>
      <c r="E11965" s="947"/>
      <c r="F11965" s="1068"/>
      <c r="G11965" s="946"/>
      <c r="H11965" s="1031"/>
      <c r="I11965" s="952">
        <f>SUM(I11962:I11964)</f>
        <v>263.5</v>
      </c>
    </row>
    <row r="11966" spans="2:9" ht="15.75">
      <c r="C11966" s="949"/>
      <c r="D11966" s="946"/>
      <c r="E11966" s="947"/>
      <c r="F11966" s="1068"/>
      <c r="G11966" s="946"/>
      <c r="H11966" s="1031"/>
      <c r="I11966" s="948"/>
    </row>
    <row r="11967" spans="2:9" ht="15.75">
      <c r="C11967" s="945" t="s">
        <v>919</v>
      </c>
      <c r="D11967" s="946"/>
      <c r="E11967" s="947"/>
      <c r="F11967" s="1068"/>
      <c r="G11967" s="946"/>
      <c r="H11967" s="1031"/>
      <c r="I11967" s="948"/>
    </row>
    <row r="11968" spans="2:9" ht="15.75">
      <c r="C11968" s="949" t="s">
        <v>1078</v>
      </c>
      <c r="D11968" s="953">
        <v>1</v>
      </c>
      <c r="E11968" s="954" t="str">
        <f>+VLOOKUP(C11968,'Basic (equilibrio) (2)'!B:D,2,FALSE)</f>
        <v>m2</v>
      </c>
      <c r="F11968" s="1068">
        <f>+VLOOKUP(C11968,'Basic (equilibrio) (2)'!B:D,3,FALSE)</f>
        <v>190</v>
      </c>
      <c r="G11968" s="946">
        <v>0</v>
      </c>
      <c r="H11968" s="1031"/>
      <c r="I11968" s="948">
        <f>(D11968*F11968)</f>
        <v>190</v>
      </c>
    </row>
    <row r="11969" spans="3:9" ht="15.75">
      <c r="C11969" s="951" t="s">
        <v>918</v>
      </c>
      <c r="D11969" s="946"/>
      <c r="E11969" s="947"/>
      <c r="F11969" s="1054"/>
      <c r="G11969" s="946"/>
      <c r="H11969" s="1031"/>
      <c r="I11969" s="952">
        <f>SUM(I11968:I11968)</f>
        <v>190</v>
      </c>
    </row>
    <row r="11970" spans="3:9" ht="15.75">
      <c r="C11970" s="949"/>
      <c r="D11970" s="946"/>
      <c r="E11970" s="947"/>
      <c r="F11970" s="1054"/>
      <c r="G11970" s="946"/>
      <c r="H11970" s="1031"/>
      <c r="I11970" s="948"/>
    </row>
    <row r="11971" spans="3:9" ht="15.75">
      <c r="C11971" s="945" t="s">
        <v>923</v>
      </c>
      <c r="D11971" s="946"/>
      <c r="E11971" s="947"/>
      <c r="F11971" s="1054"/>
      <c r="G11971" s="946"/>
      <c r="H11971" s="1031"/>
      <c r="I11971" s="948"/>
    </row>
    <row r="11972" spans="3:9" ht="15.75">
      <c r="C11972" s="949" t="s">
        <v>924</v>
      </c>
      <c r="D11972" s="946"/>
      <c r="E11972" s="947" t="str">
        <f>+VLOOKUP(C11972,'Basic (equilibrio) (2)'!B:D,2,FALSE)</f>
        <v>n/a</v>
      </c>
      <c r="F11972" s="1054">
        <f>+VLOOKUP(C11972,'Basic (equilibrio) (2)'!B:D,3,FALSE)</f>
        <v>0</v>
      </c>
      <c r="G11972" s="946">
        <f>F11972-(F11972/1.18)</f>
        <v>0</v>
      </c>
      <c r="H11972" s="1039"/>
      <c r="I11972" s="955">
        <f>D11972*F11972</f>
        <v>0</v>
      </c>
    </row>
    <row r="11973" spans="3:9" ht="15.75">
      <c r="C11973" s="951" t="s">
        <v>918</v>
      </c>
      <c r="D11973" s="946"/>
      <c r="E11973" s="947"/>
      <c r="F11973" s="1054"/>
      <c r="G11973" s="946"/>
      <c r="H11973" s="1031"/>
      <c r="I11973" s="952">
        <f>SUM(I11972:I11972)</f>
        <v>0</v>
      </c>
    </row>
    <row r="11974" spans="3:9" ht="15.75">
      <c r="C11974" s="949"/>
      <c r="D11974" s="946"/>
      <c r="E11974" s="947"/>
      <c r="F11974" s="1054"/>
      <c r="G11974" s="946"/>
      <c r="H11974" s="1031"/>
      <c r="I11974" s="948"/>
    </row>
    <row r="11975" spans="3:9" ht="15.75">
      <c r="C11975" s="945" t="s">
        <v>925</v>
      </c>
      <c r="D11975" s="946"/>
      <c r="E11975" s="947"/>
      <c r="F11975" s="1054"/>
      <c r="G11975" s="946"/>
      <c r="H11975" s="1031"/>
      <c r="I11975" s="948"/>
    </row>
    <row r="11976" spans="3:9" ht="15.75">
      <c r="C11976" s="949" t="s">
        <v>924</v>
      </c>
      <c r="D11976" s="946"/>
      <c r="E11976" s="947" t="str">
        <f>+VLOOKUP(C11976,'Basic (equilibrio) (2)'!B:D,2,FALSE)</f>
        <v>n/a</v>
      </c>
      <c r="F11976" s="1054">
        <f>+VLOOKUP(C11976,'Basic (equilibrio) (2)'!B:D,3,FALSE)</f>
        <v>0</v>
      </c>
      <c r="G11976" s="946"/>
      <c r="H11976" s="1031"/>
      <c r="I11976" s="948">
        <f>D11976*F11976</f>
        <v>0</v>
      </c>
    </row>
    <row r="11977" spans="3:9" ht="15.75">
      <c r="C11977" s="951" t="s">
        <v>918</v>
      </c>
      <c r="D11977" s="946"/>
      <c r="E11977" s="947"/>
      <c r="F11977" s="1054"/>
      <c r="G11977" s="946"/>
      <c r="H11977" s="1031"/>
      <c r="I11977" s="952">
        <f>SUM(I11976)</f>
        <v>0</v>
      </c>
    </row>
    <row r="11978" spans="3:9" ht="15.75">
      <c r="C11978" s="951"/>
      <c r="D11978" s="946"/>
      <c r="E11978" s="947"/>
      <c r="F11978" s="1054"/>
      <c r="G11978" s="946"/>
      <c r="H11978" s="1031"/>
      <c r="I11978" s="952"/>
    </row>
    <row r="11979" spans="3:9" ht="15.75">
      <c r="C11979" s="956" t="s">
        <v>926</v>
      </c>
      <c r="D11979" s="957"/>
      <c r="E11979" s="958"/>
      <c r="F11979" s="1069"/>
      <c r="G11979" s="957"/>
      <c r="H11979" s="1032"/>
      <c r="I11979" s="959">
        <f>+I11965</f>
        <v>263.5</v>
      </c>
    </row>
    <row r="11980" spans="3:9" ht="15.75">
      <c r="C11980" s="956" t="s">
        <v>927</v>
      </c>
      <c r="D11980" s="957"/>
      <c r="E11980" s="958"/>
      <c r="F11980" s="1069"/>
      <c r="G11980" s="957"/>
      <c r="H11980" s="1032"/>
      <c r="I11980" s="959">
        <f>+I11969</f>
        <v>190</v>
      </c>
    </row>
    <row r="11981" spans="3:9" ht="15.75">
      <c r="C11981" s="956" t="s">
        <v>928</v>
      </c>
      <c r="D11981" s="957"/>
      <c r="E11981" s="958"/>
      <c r="F11981" s="1069"/>
      <c r="G11981" s="957"/>
      <c r="H11981" s="1032"/>
      <c r="I11981" s="959">
        <f>+I11973</f>
        <v>0</v>
      </c>
    </row>
    <row r="11982" spans="3:9" ht="15.75">
      <c r="C11982" s="956" t="s">
        <v>929</v>
      </c>
      <c r="D11982" s="957"/>
      <c r="E11982" s="958"/>
      <c r="F11982" s="1069"/>
      <c r="G11982" s="957"/>
      <c r="H11982" s="1032"/>
      <c r="I11982" s="959">
        <f>+I11977</f>
        <v>0</v>
      </c>
    </row>
    <row r="11983" spans="3:9" ht="15.75">
      <c r="C11983" s="949"/>
      <c r="D11983" s="946"/>
      <c r="E11983" s="947"/>
      <c r="F11983" s="1054"/>
      <c r="G11983" s="946"/>
      <c r="H11983" s="1031"/>
      <c r="I11983" s="948"/>
    </row>
    <row r="11984" spans="3:9" ht="15.75">
      <c r="C11984" s="951" t="s">
        <v>930</v>
      </c>
      <c r="D11984" s="960"/>
      <c r="E11984" s="943" t="str">
        <f>+E11959</f>
        <v>M2</v>
      </c>
      <c r="F11984" s="1070"/>
      <c r="G11984" s="960"/>
      <c r="H11984" s="1033"/>
      <c r="I11984" s="952">
        <f>SUM(I11979:I11982)</f>
        <v>453.5</v>
      </c>
    </row>
    <row r="11985" spans="2:9" ht="15.75">
      <c r="C11985" s="951"/>
      <c r="D11985" s="960"/>
      <c r="E11985" s="943"/>
      <c r="F11985" s="1070"/>
      <c r="G11985" s="960"/>
      <c r="H11985" s="1033"/>
      <c r="I11985" s="952"/>
    </row>
    <row r="11986" spans="2:9" ht="15.75">
      <c r="B11986" s="1026">
        <v>5.3</v>
      </c>
      <c r="C11986" s="937" t="str">
        <f>+Presupuesto!B691</f>
        <v>Pañete exterior y vuelos</v>
      </c>
      <c r="D11986" s="938"/>
      <c r="E11986" s="962" t="s">
        <v>20</v>
      </c>
      <c r="F11986" s="1066"/>
      <c r="G11986" s="938"/>
      <c r="H11986" s="1029"/>
      <c r="I11986" s="940">
        <f>I12011</f>
        <v>453.5</v>
      </c>
    </row>
    <row r="11987" spans="2:9" ht="15.75">
      <c r="C11987" s="941" t="s">
        <v>908</v>
      </c>
      <c r="D11987" s="942" t="s">
        <v>9</v>
      </c>
      <c r="E11987" s="943" t="s">
        <v>10</v>
      </c>
      <c r="F11987" s="1067" t="s">
        <v>909</v>
      </c>
      <c r="G11987" s="942" t="s">
        <v>910</v>
      </c>
      <c r="H11987" s="1030" t="s">
        <v>911</v>
      </c>
      <c r="I11987" s="944" t="s">
        <v>912</v>
      </c>
    </row>
    <row r="11988" spans="2:9" ht="15.75">
      <c r="C11988" s="945" t="s">
        <v>913</v>
      </c>
      <c r="D11988" s="946"/>
      <c r="E11988" s="947"/>
      <c r="F11988" s="1054"/>
      <c r="G11988" s="946"/>
      <c r="H11988" s="1031"/>
      <c r="I11988" s="948"/>
    </row>
    <row r="11989" spans="2:9" ht="15.75">
      <c r="C11989" s="949" t="s">
        <v>958</v>
      </c>
      <c r="D11989" s="946">
        <v>0.03</v>
      </c>
      <c r="E11989" s="947" t="str">
        <f>+VLOOKUP(C11989,'Basic (equilibrio) (2)'!B:D,2,FALSE)</f>
        <v>m3</v>
      </c>
      <c r="F11989" s="1068">
        <f>'Basic (equilibrio) (2)'!$D$309</f>
        <v>6820</v>
      </c>
      <c r="G11989" s="946">
        <f>F11989-(F11989/1.18)</f>
        <v>1040.3399999999999</v>
      </c>
      <c r="H11989" s="1031"/>
      <c r="I11989" s="948">
        <f>D11989*F11989</f>
        <v>204.6</v>
      </c>
    </row>
    <row r="11990" spans="2:9" ht="15.75">
      <c r="C11990" s="949" t="s">
        <v>1206</v>
      </c>
      <c r="D11990" s="946">
        <v>0.03</v>
      </c>
      <c r="E11990" s="947" t="str">
        <f>+VLOOKUP(C11990,'Basic (equilibrio) (2)'!B:D,2,FALSE)</f>
        <v>pt</v>
      </c>
      <c r="F11990" s="1068">
        <f>'Basic (equilibrio) (2)'!$D$310</f>
        <v>230</v>
      </c>
      <c r="G11990" s="946">
        <f>F11990-(F11990/1.18)</f>
        <v>35.08</v>
      </c>
      <c r="H11990" s="1031"/>
      <c r="I11990" s="948">
        <f>D11990*F11990</f>
        <v>6.9</v>
      </c>
    </row>
    <row r="11991" spans="2:9" ht="15.75">
      <c r="C11991" s="949" t="s">
        <v>1079</v>
      </c>
      <c r="D11991" s="946">
        <v>1</v>
      </c>
      <c r="E11991" s="947" t="str">
        <f>+VLOOKUP(C11991,'Basic (equilibrio) (2)'!B:D,2,FALSE)</f>
        <v>m2</v>
      </c>
      <c r="F11991" s="1068">
        <f>'Basic (equilibrio) (2)'!$D$31</f>
        <v>52</v>
      </c>
      <c r="G11991" s="946">
        <f>F11991-(F11991/1.18)</f>
        <v>7.93</v>
      </c>
      <c r="H11991" s="1031"/>
      <c r="I11991" s="948">
        <f>D11991*F11991</f>
        <v>52</v>
      </c>
    </row>
    <row r="11992" spans="2:9" ht="15.75">
      <c r="C11992" s="951" t="s">
        <v>918</v>
      </c>
      <c r="D11992" s="946"/>
      <c r="E11992" s="947"/>
      <c r="F11992" s="1068"/>
      <c r="G11992" s="946"/>
      <c r="H11992" s="1031"/>
      <c r="I11992" s="952">
        <f>SUM(I11989:I11991)</f>
        <v>263.5</v>
      </c>
    </row>
    <row r="11993" spans="2:9" ht="15.75">
      <c r="C11993" s="949"/>
      <c r="D11993" s="946"/>
      <c r="E11993" s="947"/>
      <c r="F11993" s="1068"/>
      <c r="G11993" s="946"/>
      <c r="H11993" s="1031"/>
      <c r="I11993" s="948"/>
    </row>
    <row r="11994" spans="2:9" ht="15.75">
      <c r="C11994" s="945" t="s">
        <v>919</v>
      </c>
      <c r="D11994" s="946"/>
      <c r="E11994" s="947"/>
      <c r="F11994" s="1068"/>
      <c r="G11994" s="946"/>
      <c r="H11994" s="1031"/>
      <c r="I11994" s="948"/>
    </row>
    <row r="11995" spans="2:9" ht="15.75">
      <c r="C11995" s="949" t="s">
        <v>1078</v>
      </c>
      <c r="D11995" s="953">
        <v>1</v>
      </c>
      <c r="E11995" s="954" t="str">
        <f>+VLOOKUP(C11995,'Basic (equilibrio) (2)'!B:D,2,FALSE)</f>
        <v>m2</v>
      </c>
      <c r="F11995" s="1068">
        <f>+VLOOKUP(C11995,'Basic (equilibrio) (2)'!B:D,3,FALSE)</f>
        <v>190</v>
      </c>
      <c r="G11995" s="946">
        <v>0</v>
      </c>
      <c r="H11995" s="1031"/>
      <c r="I11995" s="948">
        <f>(D11995*F11995)</f>
        <v>190</v>
      </c>
    </row>
    <row r="11996" spans="2:9" ht="15.75">
      <c r="C11996" s="951" t="s">
        <v>918</v>
      </c>
      <c r="D11996" s="946"/>
      <c r="E11996" s="947"/>
      <c r="F11996" s="1054"/>
      <c r="G11996" s="946"/>
      <c r="H11996" s="1031"/>
      <c r="I11996" s="952">
        <f>SUM(I11995:I11995)</f>
        <v>190</v>
      </c>
    </row>
    <row r="11997" spans="2:9" ht="15.75">
      <c r="C11997" s="949"/>
      <c r="D11997" s="946"/>
      <c r="E11997" s="947"/>
      <c r="F11997" s="1054"/>
      <c r="G11997" s="946"/>
      <c r="H11997" s="1031"/>
      <c r="I11997" s="948"/>
    </row>
    <row r="11998" spans="2:9" ht="15.75">
      <c r="C11998" s="945" t="s">
        <v>923</v>
      </c>
      <c r="D11998" s="946"/>
      <c r="E11998" s="947"/>
      <c r="F11998" s="1054"/>
      <c r="G11998" s="946"/>
      <c r="H11998" s="1031"/>
      <c r="I11998" s="948"/>
    </row>
    <row r="11999" spans="2:9" ht="15.75">
      <c r="C11999" s="949" t="s">
        <v>924</v>
      </c>
      <c r="D11999" s="946"/>
      <c r="E11999" s="947" t="str">
        <f>+VLOOKUP(C11999,'Basic (equilibrio) (2)'!B:D,2,FALSE)</f>
        <v>n/a</v>
      </c>
      <c r="F11999" s="1054">
        <f>+VLOOKUP(C11999,'Basic (equilibrio) (2)'!B:D,3,FALSE)</f>
        <v>0</v>
      </c>
      <c r="G11999" s="946">
        <f>F11999-(F11999/1.18)</f>
        <v>0</v>
      </c>
      <c r="H11999" s="1039"/>
      <c r="I11999" s="955">
        <f>D11999*F11999</f>
        <v>0</v>
      </c>
    </row>
    <row r="12000" spans="2:9" ht="15.75">
      <c r="C12000" s="951" t="s">
        <v>918</v>
      </c>
      <c r="D12000" s="946"/>
      <c r="E12000" s="947"/>
      <c r="F12000" s="1054"/>
      <c r="G12000" s="946"/>
      <c r="H12000" s="1031"/>
      <c r="I12000" s="952">
        <f>SUM(I11999:I11999)</f>
        <v>0</v>
      </c>
    </row>
    <row r="12001" spans="2:9" ht="15.75">
      <c r="C12001" s="949"/>
      <c r="D12001" s="946"/>
      <c r="E12001" s="947"/>
      <c r="F12001" s="1054"/>
      <c r="G12001" s="946"/>
      <c r="H12001" s="1031"/>
      <c r="I12001" s="948"/>
    </row>
    <row r="12002" spans="2:9" ht="15.75">
      <c r="C12002" s="945" t="s">
        <v>925</v>
      </c>
      <c r="D12002" s="946"/>
      <c r="E12002" s="947"/>
      <c r="F12002" s="1054"/>
      <c r="G12002" s="946"/>
      <c r="H12002" s="1031"/>
      <c r="I12002" s="948"/>
    </row>
    <row r="12003" spans="2:9" ht="15.75">
      <c r="C12003" s="949" t="s">
        <v>924</v>
      </c>
      <c r="D12003" s="946"/>
      <c r="E12003" s="947" t="str">
        <f>+VLOOKUP(C12003,'Basic (equilibrio) (2)'!B:D,2,FALSE)</f>
        <v>n/a</v>
      </c>
      <c r="F12003" s="1054">
        <f>+VLOOKUP(C12003,'Basic (equilibrio) (2)'!B:D,3,FALSE)</f>
        <v>0</v>
      </c>
      <c r="G12003" s="946"/>
      <c r="H12003" s="1031"/>
      <c r="I12003" s="948">
        <f>D12003*F12003</f>
        <v>0</v>
      </c>
    </row>
    <row r="12004" spans="2:9" ht="15.75">
      <c r="C12004" s="951" t="s">
        <v>918</v>
      </c>
      <c r="D12004" s="946"/>
      <c r="E12004" s="947"/>
      <c r="F12004" s="1054"/>
      <c r="G12004" s="946"/>
      <c r="H12004" s="1031"/>
      <c r="I12004" s="952">
        <f>SUM(I12003)</f>
        <v>0</v>
      </c>
    </row>
    <row r="12005" spans="2:9" ht="15.75">
      <c r="C12005" s="951"/>
      <c r="D12005" s="946"/>
      <c r="E12005" s="947"/>
      <c r="F12005" s="1054"/>
      <c r="G12005" s="946"/>
      <c r="H12005" s="1031"/>
      <c r="I12005" s="952"/>
    </row>
    <row r="12006" spans="2:9" ht="15.75">
      <c r="C12006" s="956" t="s">
        <v>926</v>
      </c>
      <c r="D12006" s="957"/>
      <c r="E12006" s="958"/>
      <c r="F12006" s="1069"/>
      <c r="G12006" s="957"/>
      <c r="H12006" s="1032"/>
      <c r="I12006" s="959">
        <f>+I11992</f>
        <v>263.5</v>
      </c>
    </row>
    <row r="12007" spans="2:9" ht="15.75">
      <c r="C12007" s="956" t="s">
        <v>927</v>
      </c>
      <c r="D12007" s="957"/>
      <c r="E12007" s="958"/>
      <c r="F12007" s="1069"/>
      <c r="G12007" s="957"/>
      <c r="H12007" s="1032"/>
      <c r="I12007" s="959">
        <f>+I11996</f>
        <v>190</v>
      </c>
    </row>
    <row r="12008" spans="2:9" ht="15.75">
      <c r="C12008" s="956" t="s">
        <v>928</v>
      </c>
      <c r="D12008" s="957"/>
      <c r="E12008" s="958"/>
      <c r="F12008" s="1069"/>
      <c r="G12008" s="957"/>
      <c r="H12008" s="1032"/>
      <c r="I12008" s="959">
        <f>+I12000</f>
        <v>0</v>
      </c>
    </row>
    <row r="12009" spans="2:9" ht="15.75">
      <c r="C12009" s="956" t="s">
        <v>929</v>
      </c>
      <c r="D12009" s="957"/>
      <c r="E12009" s="958"/>
      <c r="F12009" s="1069"/>
      <c r="G12009" s="957"/>
      <c r="H12009" s="1032"/>
      <c r="I12009" s="959">
        <f>+I12004</f>
        <v>0</v>
      </c>
    </row>
    <row r="12010" spans="2:9" ht="15.75">
      <c r="C12010" s="949"/>
      <c r="D12010" s="946"/>
      <c r="E12010" s="947"/>
      <c r="F12010" s="1054"/>
      <c r="G12010" s="946"/>
      <c r="H12010" s="1031"/>
      <c r="I12010" s="948"/>
    </row>
    <row r="12011" spans="2:9" ht="15.75">
      <c r="C12011" s="951" t="s">
        <v>930</v>
      </c>
      <c r="D12011" s="960"/>
      <c r="E12011" s="943" t="str">
        <f>+E11986</f>
        <v>M2</v>
      </c>
      <c r="F12011" s="1070"/>
      <c r="G12011" s="960"/>
      <c r="H12011" s="1033"/>
      <c r="I12011" s="952">
        <f>SUM(I12006:I12009)</f>
        <v>453.5</v>
      </c>
    </row>
    <row r="12012" spans="2:9" ht="15.75">
      <c r="C12012" s="951"/>
      <c r="D12012" s="960"/>
      <c r="E12012" s="943"/>
      <c r="F12012" s="1070"/>
      <c r="G12012" s="960"/>
      <c r="H12012" s="1033"/>
      <c r="I12012" s="952"/>
    </row>
    <row r="12013" spans="2:9" ht="15.75">
      <c r="B12013" s="1026">
        <v>5.4</v>
      </c>
      <c r="C12013" s="937" t="str">
        <f>+Presupuesto!B692</f>
        <v xml:space="preserve">Cantos y mocheta </v>
      </c>
      <c r="D12013" s="938"/>
      <c r="E12013" s="962" t="s">
        <v>15</v>
      </c>
      <c r="F12013" s="1066"/>
      <c r="G12013" s="938"/>
      <c r="H12013" s="1029"/>
      <c r="I12013" s="940">
        <f>+I12037</f>
        <v>138.5</v>
      </c>
    </row>
    <row r="12014" spans="2:9" ht="15.75">
      <c r="C12014" s="941" t="s">
        <v>908</v>
      </c>
      <c r="D12014" s="942" t="s">
        <v>9</v>
      </c>
      <c r="E12014" s="943" t="s">
        <v>10</v>
      </c>
      <c r="F12014" s="1067" t="s">
        <v>909</v>
      </c>
      <c r="G12014" s="942" t="s">
        <v>910</v>
      </c>
      <c r="H12014" s="1030" t="s">
        <v>911</v>
      </c>
      <c r="I12014" s="944" t="s">
        <v>912</v>
      </c>
    </row>
    <row r="12015" spans="2:9" ht="15.75">
      <c r="C12015" s="945" t="s">
        <v>913</v>
      </c>
      <c r="D12015" s="946"/>
      <c r="E12015" s="947"/>
      <c r="F12015" s="1054"/>
      <c r="G12015" s="946"/>
      <c r="H12015" s="1031"/>
      <c r="I12015" s="948"/>
    </row>
    <row r="12016" spans="2:9" ht="15.75">
      <c r="C12016" s="949" t="s">
        <v>958</v>
      </c>
      <c r="D12016" s="946">
        <v>0.01</v>
      </c>
      <c r="E12016" s="947" t="str">
        <f>+VLOOKUP(C12016,'Basic (equilibrio) (2)'!B:D,2,FALSE)</f>
        <v>m3</v>
      </c>
      <c r="F12016" s="1068">
        <f>'Basic (equilibrio) (2)'!$D$309</f>
        <v>6820</v>
      </c>
      <c r="G12016" s="946">
        <f>F12016-(F12016/1.18)</f>
        <v>1040.3399999999999</v>
      </c>
      <c r="H12016" s="1031"/>
      <c r="I12016" s="948">
        <f>D12016*F12016</f>
        <v>68.2</v>
      </c>
    </row>
    <row r="12017" spans="3:9" ht="15.75">
      <c r="C12017" s="949" t="s">
        <v>1206</v>
      </c>
      <c r="D12017" s="946">
        <v>0.11</v>
      </c>
      <c r="E12017" s="947" t="str">
        <f>+VLOOKUP(C12017,'Basic (equilibrio) (2)'!B:D,2,FALSE)</f>
        <v>pt</v>
      </c>
      <c r="F12017" s="1068">
        <f>'Basic (equilibrio) (2)'!$D$310</f>
        <v>230</v>
      </c>
      <c r="G12017" s="946">
        <f>F12017-(F12017/1.18)</f>
        <v>35.08</v>
      </c>
      <c r="H12017" s="1031"/>
      <c r="I12017" s="948">
        <f>D12017*F12017</f>
        <v>25.3</v>
      </c>
    </row>
    <row r="12018" spans="3:9" ht="15.75">
      <c r="C12018" s="951" t="s">
        <v>918</v>
      </c>
      <c r="D12018" s="946"/>
      <c r="E12018" s="947"/>
      <c r="F12018" s="1068"/>
      <c r="G12018" s="946"/>
      <c r="H12018" s="1031"/>
      <c r="I12018" s="952">
        <f>SUM(I12016:I12017)</f>
        <v>93.5</v>
      </c>
    </row>
    <row r="12019" spans="3:9" ht="15.75">
      <c r="C12019" s="949"/>
      <c r="D12019" s="946"/>
      <c r="E12019" s="947"/>
      <c r="F12019" s="1068"/>
      <c r="G12019" s="946"/>
      <c r="H12019" s="1031"/>
      <c r="I12019" s="948"/>
    </row>
    <row r="12020" spans="3:9" ht="15.75">
      <c r="C12020" s="945" t="s">
        <v>919</v>
      </c>
      <c r="D12020" s="946"/>
      <c r="E12020" s="947"/>
      <c r="F12020" s="1068"/>
      <c r="G12020" s="946"/>
      <c r="H12020" s="1031"/>
      <c r="I12020" s="948"/>
    </row>
    <row r="12021" spans="3:9" ht="15.75">
      <c r="C12021" s="949" t="s">
        <v>1582</v>
      </c>
      <c r="D12021" s="953">
        <v>1</v>
      </c>
      <c r="E12021" s="954" t="str">
        <f>+VLOOKUP(C12021,'Basic (equilibrio) (2)'!B:D,2,FALSE)</f>
        <v>m</v>
      </c>
      <c r="F12021" s="1068">
        <f>'Basic (equilibrio) (2)'!$D$6</f>
        <v>45</v>
      </c>
      <c r="G12021" s="946">
        <v>0</v>
      </c>
      <c r="H12021" s="1031"/>
      <c r="I12021" s="948">
        <f>(D12021*F12021)</f>
        <v>45</v>
      </c>
    </row>
    <row r="12022" spans="3:9" ht="15.75">
      <c r="C12022" s="951" t="s">
        <v>918</v>
      </c>
      <c r="D12022" s="946"/>
      <c r="E12022" s="947"/>
      <c r="F12022" s="1054"/>
      <c r="G12022" s="946"/>
      <c r="H12022" s="1031"/>
      <c r="I12022" s="952">
        <f>SUM(I12021:I12021)</f>
        <v>45</v>
      </c>
    </row>
    <row r="12023" spans="3:9" ht="15.75">
      <c r="C12023" s="949"/>
      <c r="D12023" s="946"/>
      <c r="E12023" s="947"/>
      <c r="F12023" s="1054"/>
      <c r="G12023" s="946"/>
      <c r="H12023" s="1031"/>
      <c r="I12023" s="948"/>
    </row>
    <row r="12024" spans="3:9" ht="15.75">
      <c r="C12024" s="945" t="s">
        <v>923</v>
      </c>
      <c r="D12024" s="946"/>
      <c r="E12024" s="947"/>
      <c r="F12024" s="1054"/>
      <c r="G12024" s="946"/>
      <c r="H12024" s="1031"/>
      <c r="I12024" s="948"/>
    </row>
    <row r="12025" spans="3:9" ht="15.75">
      <c r="C12025" s="949" t="s">
        <v>924</v>
      </c>
      <c r="D12025" s="946"/>
      <c r="E12025" s="947" t="str">
        <f>+VLOOKUP(C12025,'Basic (equilibrio) (2)'!B:D,2,FALSE)</f>
        <v>n/a</v>
      </c>
      <c r="F12025" s="1054">
        <f>+VLOOKUP(C12025,'Basic (equilibrio) (2)'!B:D,3,FALSE)</f>
        <v>0</v>
      </c>
      <c r="G12025" s="946">
        <f>F12025-(F12025/1.18)</f>
        <v>0</v>
      </c>
      <c r="H12025" s="1039"/>
      <c r="I12025" s="955">
        <f>D12025*F12025</f>
        <v>0</v>
      </c>
    </row>
    <row r="12026" spans="3:9" ht="15.75">
      <c r="C12026" s="951" t="s">
        <v>918</v>
      </c>
      <c r="D12026" s="946"/>
      <c r="E12026" s="947"/>
      <c r="F12026" s="1054"/>
      <c r="G12026" s="946"/>
      <c r="H12026" s="1031"/>
      <c r="I12026" s="952">
        <f>SUM(I12025:I12025)</f>
        <v>0</v>
      </c>
    </row>
    <row r="12027" spans="3:9" ht="15.75">
      <c r="C12027" s="949"/>
      <c r="D12027" s="946"/>
      <c r="E12027" s="947"/>
      <c r="F12027" s="1054"/>
      <c r="G12027" s="946"/>
      <c r="H12027" s="1031"/>
      <c r="I12027" s="948"/>
    </row>
    <row r="12028" spans="3:9" ht="15.75">
      <c r="C12028" s="945" t="s">
        <v>925</v>
      </c>
      <c r="D12028" s="946"/>
      <c r="E12028" s="947"/>
      <c r="F12028" s="1054"/>
      <c r="G12028" s="946"/>
      <c r="H12028" s="1031"/>
      <c r="I12028" s="948"/>
    </row>
    <row r="12029" spans="3:9" ht="15.75">
      <c r="C12029" s="949" t="s">
        <v>924</v>
      </c>
      <c r="D12029" s="946"/>
      <c r="E12029" s="947" t="str">
        <f>+VLOOKUP(C12029,'Basic (equilibrio) (2)'!B:D,2,FALSE)</f>
        <v>n/a</v>
      </c>
      <c r="F12029" s="1054">
        <f>+VLOOKUP(C12029,'Basic (equilibrio) (2)'!B:D,3,FALSE)</f>
        <v>0</v>
      </c>
      <c r="G12029" s="946"/>
      <c r="H12029" s="1031"/>
      <c r="I12029" s="948">
        <f>D12029*F12029</f>
        <v>0</v>
      </c>
    </row>
    <row r="12030" spans="3:9" ht="15.75">
      <c r="C12030" s="951" t="s">
        <v>918</v>
      </c>
      <c r="D12030" s="946"/>
      <c r="E12030" s="947"/>
      <c r="F12030" s="1054"/>
      <c r="G12030" s="946"/>
      <c r="H12030" s="1031"/>
      <c r="I12030" s="952">
        <f>SUM(I12029)</f>
        <v>0</v>
      </c>
    </row>
    <row r="12031" spans="3:9" ht="15.75">
      <c r="C12031" s="951"/>
      <c r="D12031" s="946"/>
      <c r="E12031" s="947"/>
      <c r="F12031" s="1054"/>
      <c r="G12031" s="946"/>
      <c r="H12031" s="1031"/>
      <c r="I12031" s="952"/>
    </row>
    <row r="12032" spans="3:9" ht="15.75">
      <c r="C12032" s="956" t="s">
        <v>926</v>
      </c>
      <c r="D12032" s="957"/>
      <c r="E12032" s="958"/>
      <c r="F12032" s="1069"/>
      <c r="G12032" s="957"/>
      <c r="H12032" s="1032"/>
      <c r="I12032" s="959">
        <f>+I12018</f>
        <v>93.5</v>
      </c>
    </row>
    <row r="12033" spans="2:9" ht="15.75">
      <c r="C12033" s="956" t="s">
        <v>927</v>
      </c>
      <c r="D12033" s="957"/>
      <c r="E12033" s="958"/>
      <c r="F12033" s="1069"/>
      <c r="G12033" s="957"/>
      <c r="H12033" s="1032"/>
      <c r="I12033" s="959">
        <f>+I12022</f>
        <v>45</v>
      </c>
    </row>
    <row r="12034" spans="2:9" ht="15.75">
      <c r="C12034" s="956" t="s">
        <v>928</v>
      </c>
      <c r="D12034" s="957"/>
      <c r="E12034" s="958"/>
      <c r="F12034" s="1069"/>
      <c r="G12034" s="957"/>
      <c r="H12034" s="1032"/>
      <c r="I12034" s="959">
        <f>+I12026</f>
        <v>0</v>
      </c>
    </row>
    <row r="12035" spans="2:9" ht="15.75">
      <c r="C12035" s="956" t="s">
        <v>929</v>
      </c>
      <c r="D12035" s="957"/>
      <c r="E12035" s="958"/>
      <c r="F12035" s="1069"/>
      <c r="G12035" s="957"/>
      <c r="H12035" s="1032"/>
      <c r="I12035" s="959">
        <f>+I12030</f>
        <v>0</v>
      </c>
    </row>
    <row r="12036" spans="2:9" ht="15.75">
      <c r="C12036" s="949"/>
      <c r="D12036" s="946"/>
      <c r="E12036" s="947"/>
      <c r="F12036" s="1054"/>
      <c r="G12036" s="946"/>
      <c r="H12036" s="1031"/>
      <c r="I12036" s="948"/>
    </row>
    <row r="12037" spans="2:9" ht="15.75">
      <c r="C12037" s="951" t="s">
        <v>930</v>
      </c>
      <c r="D12037" s="960"/>
      <c r="E12037" s="943" t="str">
        <f>+E12014</f>
        <v>Ud</v>
      </c>
      <c r="F12037" s="1070"/>
      <c r="G12037" s="960"/>
      <c r="H12037" s="1033"/>
      <c r="I12037" s="952">
        <f>SUM(I12032:I12035)</f>
        <v>138.5</v>
      </c>
    </row>
    <row r="12038" spans="2:9" ht="15.75">
      <c r="C12038" s="951"/>
      <c r="D12038" s="960"/>
      <c r="E12038" s="943"/>
      <c r="F12038" s="1070"/>
      <c r="G12038" s="960"/>
      <c r="H12038" s="1033"/>
      <c r="I12038" s="952"/>
    </row>
    <row r="12039" spans="2:9" ht="15.75">
      <c r="B12039" s="1026">
        <v>5.5</v>
      </c>
      <c r="C12039" s="937" t="str">
        <f>+Presupuesto!B693</f>
        <v>Antepecho</v>
      </c>
      <c r="D12039" s="938"/>
      <c r="E12039" s="962" t="s">
        <v>1045</v>
      </c>
      <c r="F12039" s="1066"/>
      <c r="G12039" s="938"/>
      <c r="H12039" s="1029"/>
      <c r="I12039" s="940">
        <f>+I12071</f>
        <v>336.93</v>
      </c>
    </row>
    <row r="12040" spans="2:9" ht="15.75">
      <c r="C12040" s="941" t="s">
        <v>908</v>
      </c>
      <c r="D12040" s="942" t="s">
        <v>9</v>
      </c>
      <c r="E12040" s="943" t="s">
        <v>10</v>
      </c>
      <c r="F12040" s="1067" t="s">
        <v>909</v>
      </c>
      <c r="G12040" s="942" t="s">
        <v>910</v>
      </c>
      <c r="H12040" s="1030" t="s">
        <v>911</v>
      </c>
      <c r="I12040" s="944" t="s">
        <v>912</v>
      </c>
    </row>
    <row r="12041" spans="2:9" ht="15.75">
      <c r="C12041" s="945" t="s">
        <v>913</v>
      </c>
      <c r="D12041" s="946"/>
      <c r="E12041" s="947"/>
      <c r="F12041" s="1054"/>
      <c r="G12041" s="946"/>
      <c r="H12041" s="1031"/>
      <c r="I12041" s="948"/>
    </row>
    <row r="12042" spans="2:9" ht="15.75">
      <c r="C12042" s="949" t="s">
        <v>1578</v>
      </c>
      <c r="D12042" s="946">
        <v>11.61</v>
      </c>
      <c r="E12042" s="947" t="str">
        <f>+VLOOKUP(C12042,'Basic (equilibrio) (2)'!B:D,2,FALSE)</f>
        <v>ud</v>
      </c>
      <c r="F12042" s="1068">
        <f>'Basic (equilibrio) (2)'!$D$301</f>
        <v>33.299999999999997</v>
      </c>
      <c r="G12042" s="946">
        <f t="shared" ref="G12042:G12047" si="85">F12042-(F12042/1.18)</f>
        <v>5.08</v>
      </c>
      <c r="H12042" s="1031"/>
      <c r="I12042" s="948">
        <f t="shared" ref="I12042:I12047" si="86">D12042*F12042</f>
        <v>386.61</v>
      </c>
    </row>
    <row r="12043" spans="2:9" ht="15.75">
      <c r="C12043" s="949" t="s">
        <v>1579</v>
      </c>
      <c r="D12043" s="946">
        <v>11.61</v>
      </c>
      <c r="E12043" s="947" t="str">
        <f>+VLOOKUP(C12043,'Basic (equilibrio) (2)'!B:D,2,FALSE)</f>
        <v>ud</v>
      </c>
      <c r="F12043" s="1068">
        <f>'Basic (equilibrio) (2)'!$D$304</f>
        <v>2.2999999999999998</v>
      </c>
      <c r="G12043" s="946">
        <f t="shared" si="85"/>
        <v>0.35</v>
      </c>
      <c r="H12043" s="1031"/>
      <c r="I12043" s="948">
        <f t="shared" si="86"/>
        <v>26.7</v>
      </c>
    </row>
    <row r="12044" spans="2:9" ht="15.75">
      <c r="C12044" s="949" t="s">
        <v>1204</v>
      </c>
      <c r="D12044" s="946">
        <v>0.04</v>
      </c>
      <c r="E12044" s="947" t="str">
        <f>+VLOOKUP(C12044,'Basic (equilibrio) (2)'!B:D,2,FALSE)</f>
        <v>m3</v>
      </c>
      <c r="F12044" s="1068">
        <f>'Basic (equilibrio) (2)'!$D$307</f>
        <v>6174</v>
      </c>
      <c r="G12044" s="946">
        <f t="shared" si="85"/>
        <v>941.8</v>
      </c>
      <c r="H12044" s="1031"/>
      <c r="I12044" s="948">
        <f t="shared" si="86"/>
        <v>246.96</v>
      </c>
    </row>
    <row r="12045" spans="2:9" ht="15.75">
      <c r="C12045" s="949" t="s">
        <v>1205</v>
      </c>
      <c r="D12045" s="946">
        <v>0.04</v>
      </c>
      <c r="E12045" s="947" t="str">
        <f>+VLOOKUP(C12045,'Basic (equilibrio) (2)'!B:D,2,FALSE)</f>
        <v>m3</v>
      </c>
      <c r="F12045" s="1068">
        <f>'Basic (equilibrio) (2)'!$D$308</f>
        <v>5985</v>
      </c>
      <c r="G12045" s="946">
        <f t="shared" si="85"/>
        <v>912.97</v>
      </c>
      <c r="H12045" s="1031"/>
      <c r="I12045" s="948">
        <f t="shared" si="86"/>
        <v>239.4</v>
      </c>
    </row>
    <row r="12046" spans="2:9" ht="15.75">
      <c r="C12046" s="949" t="s">
        <v>1188</v>
      </c>
      <c r="D12046" s="946">
        <v>0.04</v>
      </c>
      <c r="E12046" s="947" t="str">
        <f>+VLOOKUP(C12046,'Basic (equilibrio) (2)'!B:D,2,FALSE)</f>
        <v>qq</v>
      </c>
      <c r="F12046" s="1068">
        <f>'Basic (equilibrio) (2)'!$D$183</f>
        <v>3600</v>
      </c>
      <c r="G12046" s="946">
        <f t="shared" si="85"/>
        <v>549.15</v>
      </c>
      <c r="H12046" s="1031"/>
      <c r="I12046" s="948">
        <f t="shared" si="86"/>
        <v>144</v>
      </c>
    </row>
    <row r="12047" spans="2:9" ht="15.75">
      <c r="C12047" s="949" t="s">
        <v>1328</v>
      </c>
      <c r="D12047" s="946">
        <v>7.0000000000000007E-2</v>
      </c>
      <c r="E12047" s="947" t="str">
        <f>+VLOOKUP(C12047,'Basic (equilibrio) (2)'!B:D,2,FALSE)</f>
        <v>lb</v>
      </c>
      <c r="F12047" s="1068">
        <f>'Basic (equilibrio) (2)'!$D$334</f>
        <v>31.1</v>
      </c>
      <c r="G12047" s="946">
        <f t="shared" si="85"/>
        <v>4.74</v>
      </c>
      <c r="H12047" s="1031"/>
      <c r="I12047" s="948">
        <f t="shared" si="86"/>
        <v>2.1800000000000002</v>
      </c>
    </row>
    <row r="12048" spans="2:9" ht="15.75">
      <c r="C12048" s="951" t="s">
        <v>918</v>
      </c>
      <c r="D12048" s="946"/>
      <c r="E12048" s="947"/>
      <c r="F12048" s="1068"/>
      <c r="G12048" s="946"/>
      <c r="H12048" s="1031"/>
      <c r="I12048" s="952">
        <f>SUM(I12042:I12047)</f>
        <v>1045.8499999999999</v>
      </c>
    </row>
    <row r="12049" spans="3:9" ht="15.75">
      <c r="C12049" s="949"/>
      <c r="D12049" s="946"/>
      <c r="E12049" s="947"/>
      <c r="F12049" s="1068"/>
      <c r="G12049" s="946"/>
      <c r="H12049" s="1031"/>
      <c r="I12049" s="948"/>
    </row>
    <row r="12050" spans="3:9" ht="15.75">
      <c r="C12050" s="945" t="s">
        <v>919</v>
      </c>
      <c r="D12050" s="946"/>
      <c r="E12050" s="947"/>
      <c r="F12050" s="1068"/>
      <c r="G12050" s="946"/>
      <c r="H12050" s="1031"/>
      <c r="I12050" s="948"/>
    </row>
    <row r="12051" spans="3:9" ht="15.75">
      <c r="C12051" s="949" t="s">
        <v>1074</v>
      </c>
      <c r="D12051" s="953">
        <v>11.61</v>
      </c>
      <c r="E12051" s="954" t="str">
        <f>+VLOOKUP(C12051,'Basic (equilibrio) (2)'!B:D,2,FALSE)</f>
        <v>ud</v>
      </c>
      <c r="F12051" s="1068">
        <f>'Basic (equilibrio) (2)'!$D$26</f>
        <v>1</v>
      </c>
      <c r="G12051" s="946">
        <v>0</v>
      </c>
      <c r="H12051" s="1031"/>
      <c r="I12051" s="948">
        <f>(D12051*F12051)</f>
        <v>11.61</v>
      </c>
    </row>
    <row r="12052" spans="3:9" ht="15.75">
      <c r="C12052" s="949" t="s">
        <v>1075</v>
      </c>
      <c r="D12052" s="953">
        <v>11.61</v>
      </c>
      <c r="E12052" s="954" t="str">
        <f>+VLOOKUP(C12052,'Basic (equilibrio) (2)'!B:D,2,FALSE)</f>
        <v>ud</v>
      </c>
      <c r="F12052" s="1068">
        <f>'Basic (equilibrio) (2)'!$D$27</f>
        <v>3</v>
      </c>
      <c r="G12052" s="946">
        <v>0</v>
      </c>
      <c r="H12052" s="1031"/>
      <c r="I12052" s="948">
        <f>(D12052*F12052)</f>
        <v>34.83</v>
      </c>
    </row>
    <row r="12053" spans="3:9" ht="15.75">
      <c r="C12053" s="949" t="s">
        <v>1077</v>
      </c>
      <c r="D12053" s="953">
        <v>11.61</v>
      </c>
      <c r="E12053" s="954" t="str">
        <f>+VLOOKUP(C12053,'Basic (equilibrio) (2)'!B:D,2,FALSE)</f>
        <v>ud</v>
      </c>
      <c r="F12053" s="1068">
        <f>'Basic (equilibrio) (2)'!$D$29</f>
        <v>22</v>
      </c>
      <c r="G12053" s="946">
        <v>0</v>
      </c>
      <c r="H12053" s="1031"/>
      <c r="I12053" s="948">
        <f>(D12053*F12053)</f>
        <v>255.42</v>
      </c>
    </row>
    <row r="12054" spans="3:9" ht="15.75">
      <c r="C12054" s="951" t="s">
        <v>918</v>
      </c>
      <c r="D12054" s="946"/>
      <c r="E12054" s="947"/>
      <c r="F12054" s="1054"/>
      <c r="G12054" s="946"/>
      <c r="H12054" s="1031"/>
      <c r="I12054" s="952">
        <f>SUM(I12051:I12053)</f>
        <v>301.86</v>
      </c>
    </row>
    <row r="12055" spans="3:9" ht="15.75">
      <c r="C12055" s="949"/>
      <c r="D12055" s="946"/>
      <c r="E12055" s="947"/>
      <c r="F12055" s="1054"/>
      <c r="G12055" s="946"/>
      <c r="H12055" s="1031"/>
      <c r="I12055" s="948"/>
    </row>
    <row r="12056" spans="3:9" ht="15.75">
      <c r="C12056" s="945" t="s">
        <v>923</v>
      </c>
      <c r="D12056" s="946"/>
      <c r="E12056" s="947"/>
      <c r="F12056" s="1054"/>
      <c r="G12056" s="946"/>
      <c r="H12056" s="1031"/>
      <c r="I12056" s="948"/>
    </row>
    <row r="12057" spans="3:9" ht="15.75">
      <c r="C12057" s="949" t="s">
        <v>924</v>
      </c>
      <c r="D12057" s="946"/>
      <c r="E12057" s="947" t="str">
        <f>+VLOOKUP(C12057,'Basic (equilibrio) (2)'!B:D,2,FALSE)</f>
        <v>n/a</v>
      </c>
      <c r="F12057" s="1054">
        <f>+VLOOKUP(C12057,'Basic (equilibrio) (2)'!B:D,3,FALSE)</f>
        <v>0</v>
      </c>
      <c r="G12057" s="946">
        <f>F12057-(F12057/1.18)</f>
        <v>0</v>
      </c>
      <c r="H12057" s="1039"/>
      <c r="I12057" s="955">
        <f>D12057*F12057</f>
        <v>0</v>
      </c>
    </row>
    <row r="12058" spans="3:9" ht="15.75">
      <c r="C12058" s="951" t="s">
        <v>918</v>
      </c>
      <c r="D12058" s="946"/>
      <c r="E12058" s="947"/>
      <c r="F12058" s="1054"/>
      <c r="G12058" s="946"/>
      <c r="H12058" s="1031"/>
      <c r="I12058" s="952">
        <f>SUM(I12057:I12057)</f>
        <v>0</v>
      </c>
    </row>
    <row r="12059" spans="3:9" ht="15.75">
      <c r="C12059" s="949"/>
      <c r="D12059" s="946"/>
      <c r="E12059" s="947"/>
      <c r="F12059" s="1054"/>
      <c r="G12059" s="946"/>
      <c r="H12059" s="1031"/>
      <c r="I12059" s="948"/>
    </row>
    <row r="12060" spans="3:9" ht="15.75">
      <c r="C12060" s="945" t="s">
        <v>925</v>
      </c>
      <c r="D12060" s="946"/>
      <c r="E12060" s="947"/>
      <c r="F12060" s="1054"/>
      <c r="G12060" s="946"/>
      <c r="H12060" s="1031"/>
      <c r="I12060" s="948"/>
    </row>
    <row r="12061" spans="3:9" ht="15.75">
      <c r="C12061" s="949" t="s">
        <v>924</v>
      </c>
      <c r="D12061" s="946"/>
      <c r="E12061" s="947" t="str">
        <f>+VLOOKUP(C12061,'Basic (equilibrio) (2)'!B:D,2,FALSE)</f>
        <v>n/a</v>
      </c>
      <c r="F12061" s="1054">
        <f>+VLOOKUP(C12061,'Basic (equilibrio) (2)'!B:D,3,FALSE)</f>
        <v>0</v>
      </c>
      <c r="G12061" s="946"/>
      <c r="H12061" s="1031"/>
      <c r="I12061" s="948">
        <f>D12061*F12061</f>
        <v>0</v>
      </c>
    </row>
    <row r="12062" spans="3:9" ht="15.75">
      <c r="C12062" s="951" t="s">
        <v>918</v>
      </c>
      <c r="D12062" s="946"/>
      <c r="E12062" s="947"/>
      <c r="F12062" s="1054"/>
      <c r="G12062" s="946"/>
      <c r="H12062" s="1031"/>
      <c r="I12062" s="952">
        <f>SUM(I12061)</f>
        <v>0</v>
      </c>
    </row>
    <row r="12063" spans="3:9" ht="15.75">
      <c r="C12063" s="951"/>
      <c r="D12063" s="946"/>
      <c r="E12063" s="947"/>
      <c r="F12063" s="1054"/>
      <c r="G12063" s="946"/>
      <c r="H12063" s="1031"/>
      <c r="I12063" s="952"/>
    </row>
    <row r="12064" spans="3:9" ht="15.75">
      <c r="C12064" s="956" t="s">
        <v>926</v>
      </c>
      <c r="D12064" s="957"/>
      <c r="E12064" s="958"/>
      <c r="F12064" s="1069"/>
      <c r="G12064" s="957"/>
      <c r="H12064" s="1032"/>
      <c r="I12064" s="959">
        <f>+I12048</f>
        <v>1045.8499999999999</v>
      </c>
    </row>
    <row r="12065" spans="2:9" ht="15.75">
      <c r="C12065" s="956" t="s">
        <v>927</v>
      </c>
      <c r="D12065" s="957"/>
      <c r="E12065" s="958"/>
      <c r="F12065" s="1069"/>
      <c r="G12065" s="957"/>
      <c r="H12065" s="1032"/>
      <c r="I12065" s="959">
        <f>+I12054</f>
        <v>301.86</v>
      </c>
    </row>
    <row r="12066" spans="2:9" ht="15.75">
      <c r="C12066" s="956" t="s">
        <v>928</v>
      </c>
      <c r="D12066" s="957"/>
      <c r="E12066" s="958"/>
      <c r="F12066" s="1069"/>
      <c r="G12066" s="957"/>
      <c r="H12066" s="1032"/>
      <c r="I12066" s="959">
        <f>+I12058</f>
        <v>0</v>
      </c>
    </row>
    <row r="12067" spans="2:9" ht="15.75">
      <c r="C12067" s="956" t="s">
        <v>929</v>
      </c>
      <c r="D12067" s="957"/>
      <c r="E12067" s="958"/>
      <c r="F12067" s="1069"/>
      <c r="G12067" s="957"/>
      <c r="H12067" s="1032"/>
      <c r="I12067" s="959">
        <f>+I12062</f>
        <v>0</v>
      </c>
    </row>
    <row r="12068" spans="2:9" ht="15.75">
      <c r="C12068" s="949"/>
      <c r="D12068" s="946"/>
      <c r="E12068" s="947"/>
      <c r="F12068" s="1054"/>
      <c r="G12068" s="946"/>
      <c r="H12068" s="1031"/>
      <c r="I12068" s="948"/>
    </row>
    <row r="12069" spans="2:9" ht="15.75">
      <c r="C12069" s="949"/>
      <c r="D12069" s="946"/>
      <c r="E12069" s="947"/>
      <c r="F12069" s="1054"/>
      <c r="G12069" s="946"/>
      <c r="H12069" s="1031"/>
      <c r="I12069" s="948"/>
    </row>
    <row r="12070" spans="2:9" ht="15.75">
      <c r="C12070" s="951" t="s">
        <v>930</v>
      </c>
      <c r="D12070" s="960">
        <v>4</v>
      </c>
      <c r="E12070" s="943" t="s">
        <v>1656</v>
      </c>
      <c r="F12070" s="1070"/>
      <c r="G12070" s="960"/>
      <c r="H12070" s="1033"/>
      <c r="I12070" s="952">
        <f>SUM(I12064:I12067)</f>
        <v>1347.71</v>
      </c>
    </row>
    <row r="12071" spans="2:9" ht="15.75">
      <c r="C12071" s="951"/>
      <c r="D12071" s="960"/>
      <c r="E12071" s="943" t="s">
        <v>1045</v>
      </c>
      <c r="F12071" s="1070"/>
      <c r="G12071" s="960"/>
      <c r="H12071" s="1033"/>
      <c r="I12071" s="952">
        <f>+I12070/D12070</f>
        <v>336.93</v>
      </c>
    </row>
    <row r="12072" spans="2:9" ht="15.75">
      <c r="C12072" s="951"/>
      <c r="D12072" s="960"/>
      <c r="E12072" s="943"/>
      <c r="F12072" s="1070"/>
      <c r="G12072" s="960"/>
      <c r="H12072" s="1033"/>
      <c r="I12072" s="952"/>
    </row>
    <row r="12073" spans="2:9" ht="15.75">
      <c r="B12073" s="1026">
        <v>5.6</v>
      </c>
      <c r="C12073" s="937" t="str">
        <f>+Presupuesto!B694</f>
        <v>Fino de techo</v>
      </c>
      <c r="D12073" s="938"/>
      <c r="E12073" s="962" t="s">
        <v>1045</v>
      </c>
      <c r="F12073" s="1066"/>
      <c r="G12073" s="938"/>
      <c r="H12073" s="1029"/>
      <c r="I12073" s="940">
        <f>+I12102</f>
        <v>578.22</v>
      </c>
    </row>
    <row r="12074" spans="2:9" ht="15.75">
      <c r="C12074" s="941" t="s">
        <v>908</v>
      </c>
      <c r="D12074" s="942" t="s">
        <v>9</v>
      </c>
      <c r="E12074" s="943" t="s">
        <v>10</v>
      </c>
      <c r="F12074" s="1067" t="s">
        <v>909</v>
      </c>
      <c r="G12074" s="942" t="s">
        <v>910</v>
      </c>
      <c r="H12074" s="1030" t="s">
        <v>911</v>
      </c>
      <c r="I12074" s="944" t="s">
        <v>912</v>
      </c>
    </row>
    <row r="12075" spans="2:9" ht="15.75">
      <c r="C12075" s="945" t="s">
        <v>913</v>
      </c>
      <c r="D12075" s="946"/>
      <c r="E12075" s="947"/>
      <c r="F12075" s="1054"/>
      <c r="G12075" s="946"/>
      <c r="H12075" s="1031"/>
      <c r="I12075" s="948"/>
    </row>
    <row r="12076" spans="2:9" ht="15.75">
      <c r="C12076" s="949" t="s">
        <v>1003</v>
      </c>
      <c r="D12076" s="946">
        <v>0.57999999999999996</v>
      </c>
      <c r="E12076" s="947" t="str">
        <f>+VLOOKUP(C12076,'Basic (equilibrio) (2)'!B:D,2,FALSE)</f>
        <v>fda</v>
      </c>
      <c r="F12076" s="1068">
        <f>'Basic (equilibrio) (2)'!$D$298</f>
        <v>480</v>
      </c>
      <c r="G12076" s="946">
        <f>F12076-(F12076/1.18)</f>
        <v>73.22</v>
      </c>
      <c r="H12076" s="1031"/>
      <c r="I12076" s="948">
        <f>D12076*F12076</f>
        <v>278.39999999999998</v>
      </c>
    </row>
    <row r="12077" spans="2:9" ht="15.75">
      <c r="C12077" s="949" t="s">
        <v>1002</v>
      </c>
      <c r="D12077" s="946">
        <v>0.05</v>
      </c>
      <c r="E12077" s="947" t="str">
        <f>+VLOOKUP(C12077,'Basic (equilibrio) (2)'!B:D,2,FALSE)</f>
        <v>m3e</v>
      </c>
      <c r="F12077" s="1068">
        <f>'Basic (equilibrio) (2)'!$D$181</f>
        <v>1800</v>
      </c>
      <c r="G12077" s="946">
        <f>F12077-(F12077/1.18)</f>
        <v>274.58</v>
      </c>
      <c r="H12077" s="1031"/>
      <c r="I12077" s="948">
        <f>D12077*F12077</f>
        <v>90</v>
      </c>
    </row>
    <row r="12078" spans="2:9" ht="15.75">
      <c r="C12078" s="949" t="s">
        <v>1004</v>
      </c>
      <c r="D12078" s="946">
        <v>3.05</v>
      </c>
      <c r="E12078" s="947" t="str">
        <f>+VLOOKUP(C12078,'Basic (equilibrio) (2)'!B:D,2,FALSE)</f>
        <v>gl</v>
      </c>
      <c r="F12078" s="1068">
        <f>'Basic (equilibrio) (2)'!$D$191</f>
        <v>1</v>
      </c>
      <c r="G12078" s="946">
        <f>F12078-(F12078/1.18)</f>
        <v>0.15</v>
      </c>
      <c r="H12078" s="1031"/>
      <c r="I12078" s="948">
        <f>D12078*F12078</f>
        <v>3.05</v>
      </c>
    </row>
    <row r="12079" spans="2:9" ht="15.75">
      <c r="C12079" s="949" t="s">
        <v>916</v>
      </c>
      <c r="D12079" s="946">
        <v>0.1</v>
      </c>
      <c r="E12079" s="947" t="str">
        <f>+VLOOKUP(C12079,'Basic (equilibrio) (2)'!B:D,2,FALSE)</f>
        <v>pt</v>
      </c>
      <c r="F12079" s="1068">
        <f>'Basic (equilibrio) (2)'!$D$194</f>
        <v>107.7</v>
      </c>
      <c r="G12079" s="946">
        <f>F12079-(F12079/1.18)</f>
        <v>16.43</v>
      </c>
      <c r="H12079" s="1031"/>
      <c r="I12079" s="948">
        <f>D12079*F12079</f>
        <v>10.77</v>
      </c>
    </row>
    <row r="12080" spans="2:9" ht="15.75">
      <c r="C12080" s="951" t="s">
        <v>918</v>
      </c>
      <c r="D12080" s="946"/>
      <c r="E12080" s="947"/>
      <c r="F12080" s="1068"/>
      <c r="G12080" s="946"/>
      <c r="H12080" s="1031"/>
      <c r="I12080" s="952">
        <f>SUM(I12076:I12079)</f>
        <v>382.22</v>
      </c>
    </row>
    <row r="12081" spans="3:9" ht="15.75">
      <c r="C12081" s="949"/>
      <c r="D12081" s="946"/>
      <c r="E12081" s="947"/>
      <c r="F12081" s="1068"/>
      <c r="G12081" s="946"/>
      <c r="H12081" s="1031"/>
      <c r="I12081" s="948"/>
    </row>
    <row r="12082" spans="3:9" ht="15.75">
      <c r="C12082" s="945" t="s">
        <v>919</v>
      </c>
      <c r="D12082" s="946"/>
      <c r="E12082" s="947"/>
      <c r="F12082" s="1068"/>
      <c r="G12082" s="946"/>
      <c r="H12082" s="1031"/>
      <c r="I12082" s="948"/>
    </row>
    <row r="12083" spans="3:9" ht="15.75">
      <c r="C12083" s="949" t="s">
        <v>1029</v>
      </c>
      <c r="D12083" s="953">
        <v>0.05</v>
      </c>
      <c r="E12083" s="954" t="str">
        <f>+VLOOKUP(C12083,'Basic (equilibrio) (2)'!B:D,2,FALSE)</f>
        <v>dia</v>
      </c>
      <c r="F12083" s="1068">
        <f>'Basic (equilibrio) (2)'!$D$14</f>
        <v>900</v>
      </c>
      <c r="G12083" s="946">
        <v>0</v>
      </c>
      <c r="H12083" s="1031"/>
      <c r="I12083" s="948">
        <f>(D12083*F12083)</f>
        <v>45</v>
      </c>
    </row>
    <row r="12084" spans="3:9" ht="15.75">
      <c r="C12084" s="949" t="s">
        <v>1108</v>
      </c>
      <c r="D12084" s="953">
        <v>1</v>
      </c>
      <c r="E12084" s="954" t="str">
        <f>+VLOOKUP(C12084,'Basic (equilibrio) (2)'!B:D,2,FALSE)</f>
        <v>P.a</v>
      </c>
      <c r="F12084" s="1068">
        <f>'Basic (equilibrio) (2)'!$D$39</f>
        <v>12</v>
      </c>
      <c r="G12084" s="946">
        <v>0</v>
      </c>
      <c r="H12084" s="1031"/>
      <c r="I12084" s="948">
        <f>(D12084*F12084)</f>
        <v>12</v>
      </c>
    </row>
    <row r="12085" spans="3:9" ht="15.75">
      <c r="C12085" s="949" t="s">
        <v>1107</v>
      </c>
      <c r="D12085" s="953">
        <v>1</v>
      </c>
      <c r="E12085" s="954" t="str">
        <f>+VLOOKUP(C12085,'Basic (equilibrio) (2)'!B:D,2,FALSE)</f>
        <v>m2</v>
      </c>
      <c r="F12085" s="1068">
        <f>'Basic (equilibrio) (2)'!$D$38</f>
        <v>103</v>
      </c>
      <c r="G12085" s="946">
        <v>0</v>
      </c>
      <c r="H12085" s="1031"/>
      <c r="I12085" s="948">
        <f>(D12085*F12085)</f>
        <v>103</v>
      </c>
    </row>
    <row r="12086" spans="3:9" ht="15.75">
      <c r="C12086" s="951" t="s">
        <v>918</v>
      </c>
      <c r="D12086" s="946"/>
      <c r="E12086" s="947"/>
      <c r="F12086" s="1054"/>
      <c r="G12086" s="946"/>
      <c r="H12086" s="1031"/>
      <c r="I12086" s="952">
        <f>SUM(I12083:I12085)</f>
        <v>160</v>
      </c>
    </row>
    <row r="12087" spans="3:9" ht="15.75">
      <c r="C12087" s="949"/>
      <c r="D12087" s="946"/>
      <c r="E12087" s="947"/>
      <c r="F12087" s="1054"/>
      <c r="G12087" s="946"/>
      <c r="H12087" s="1031"/>
      <c r="I12087" s="948"/>
    </row>
    <row r="12088" spans="3:9" ht="15.75">
      <c r="C12088" s="945" t="s">
        <v>923</v>
      </c>
      <c r="D12088" s="946"/>
      <c r="E12088" s="947"/>
      <c r="F12088" s="1054"/>
      <c r="G12088" s="946"/>
      <c r="H12088" s="1031"/>
      <c r="I12088" s="948"/>
    </row>
    <row r="12089" spans="3:9" ht="15.75">
      <c r="C12089" s="949" t="s">
        <v>1184</v>
      </c>
      <c r="D12089" s="946">
        <v>0.05</v>
      </c>
      <c r="E12089" s="947" t="str">
        <f>+VLOOKUP(C12089,'Basic (equilibrio) (2)'!B:D,2,FALSE)</f>
        <v>m3e</v>
      </c>
      <c r="F12089" s="1054">
        <f>'Basic (equilibrio) (2)'!$D$182</f>
        <v>720</v>
      </c>
      <c r="G12089" s="946">
        <f>F12089-(F12089/1.18)</f>
        <v>109.83</v>
      </c>
      <c r="H12089" s="1039"/>
      <c r="I12089" s="955">
        <f>D12089*F12089</f>
        <v>36</v>
      </c>
    </row>
    <row r="12090" spans="3:9" ht="15.75">
      <c r="C12090" s="951" t="s">
        <v>918</v>
      </c>
      <c r="D12090" s="946"/>
      <c r="E12090" s="947"/>
      <c r="F12090" s="1054"/>
      <c r="G12090" s="946"/>
      <c r="H12090" s="1031"/>
      <c r="I12090" s="952">
        <f>SUM(I12089:I12089)</f>
        <v>36</v>
      </c>
    </row>
    <row r="12091" spans="3:9" ht="15.75">
      <c r="C12091" s="949"/>
      <c r="D12091" s="946"/>
      <c r="E12091" s="947"/>
      <c r="F12091" s="1054"/>
      <c r="G12091" s="946"/>
      <c r="H12091" s="1031"/>
      <c r="I12091" s="948"/>
    </row>
    <row r="12092" spans="3:9" ht="15.75">
      <c r="C12092" s="945" t="s">
        <v>925</v>
      </c>
      <c r="D12092" s="946"/>
      <c r="E12092" s="947"/>
      <c r="F12092" s="1054"/>
      <c r="G12092" s="946"/>
      <c r="H12092" s="1031"/>
      <c r="I12092" s="948"/>
    </row>
    <row r="12093" spans="3:9" ht="15.75">
      <c r="C12093" s="949" t="s">
        <v>924</v>
      </c>
      <c r="D12093" s="946"/>
      <c r="E12093" s="947" t="str">
        <f>+VLOOKUP(C12093,'Basic (equilibrio) (2)'!B:D,2,FALSE)</f>
        <v>n/a</v>
      </c>
      <c r="F12093" s="1054">
        <f>+VLOOKUP(C12093,'Basic (equilibrio) (2)'!B:D,3,FALSE)</f>
        <v>0</v>
      </c>
      <c r="G12093" s="946"/>
      <c r="H12093" s="1031"/>
      <c r="I12093" s="948">
        <f>D12093*F12093</f>
        <v>0</v>
      </c>
    </row>
    <row r="12094" spans="3:9" ht="15.75">
      <c r="C12094" s="951" t="s">
        <v>918</v>
      </c>
      <c r="D12094" s="946"/>
      <c r="E12094" s="947"/>
      <c r="F12094" s="1054"/>
      <c r="G12094" s="946"/>
      <c r="H12094" s="1031"/>
      <c r="I12094" s="952">
        <f>SUM(I12093)</f>
        <v>0</v>
      </c>
    </row>
    <row r="12095" spans="3:9" ht="15.75">
      <c r="C12095" s="951"/>
      <c r="D12095" s="946"/>
      <c r="E12095" s="947"/>
      <c r="F12095" s="1054"/>
      <c r="G12095" s="946"/>
      <c r="H12095" s="1031"/>
      <c r="I12095" s="952"/>
    </row>
    <row r="12096" spans="3:9" ht="15.75">
      <c r="C12096" s="956" t="s">
        <v>926</v>
      </c>
      <c r="D12096" s="957"/>
      <c r="E12096" s="958"/>
      <c r="F12096" s="1069"/>
      <c r="G12096" s="957"/>
      <c r="H12096" s="1032"/>
      <c r="I12096" s="959">
        <f>+I12080</f>
        <v>382.22</v>
      </c>
    </row>
    <row r="12097" spans="2:9" ht="15.75">
      <c r="C12097" s="956" t="s">
        <v>927</v>
      </c>
      <c r="D12097" s="957"/>
      <c r="E12097" s="958"/>
      <c r="F12097" s="1069"/>
      <c r="G12097" s="957"/>
      <c r="H12097" s="1032"/>
      <c r="I12097" s="959">
        <f>+I12086</f>
        <v>160</v>
      </c>
    </row>
    <row r="12098" spans="2:9" ht="15.75">
      <c r="C12098" s="956" t="s">
        <v>928</v>
      </c>
      <c r="D12098" s="957"/>
      <c r="E12098" s="958"/>
      <c r="F12098" s="1069"/>
      <c r="G12098" s="957"/>
      <c r="H12098" s="1032"/>
      <c r="I12098" s="959">
        <f>+I12090</f>
        <v>36</v>
      </c>
    </row>
    <row r="12099" spans="2:9" ht="15.75">
      <c r="C12099" s="956" t="s">
        <v>929</v>
      </c>
      <c r="D12099" s="957"/>
      <c r="E12099" s="958"/>
      <c r="F12099" s="1069"/>
      <c r="G12099" s="957"/>
      <c r="H12099" s="1032"/>
      <c r="I12099" s="959">
        <f>+I12094</f>
        <v>0</v>
      </c>
    </row>
    <row r="12100" spans="2:9" ht="15.75">
      <c r="C12100" s="949"/>
      <c r="D12100" s="946"/>
      <c r="E12100" s="947"/>
      <c r="F12100" s="1054"/>
      <c r="G12100" s="946"/>
      <c r="H12100" s="1031"/>
      <c r="I12100" s="948"/>
    </row>
    <row r="12101" spans="2:9" ht="15.75">
      <c r="C12101" s="949"/>
      <c r="D12101" s="946"/>
      <c r="E12101" s="947"/>
      <c r="F12101" s="1054"/>
      <c r="G12101" s="946"/>
      <c r="H12101" s="1031"/>
      <c r="I12101" s="948"/>
    </row>
    <row r="12102" spans="2:9" ht="15.75">
      <c r="C12102" s="951" t="s">
        <v>930</v>
      </c>
      <c r="D12102" s="960"/>
      <c r="E12102" s="943" t="s">
        <v>20</v>
      </c>
      <c r="F12102" s="1070"/>
      <c r="G12102" s="960"/>
      <c r="H12102" s="1033"/>
      <c r="I12102" s="952">
        <f>SUM(I12096:I12099)</f>
        <v>578.22</v>
      </c>
    </row>
    <row r="12103" spans="2:9" ht="15.75">
      <c r="C12103" s="951"/>
      <c r="D12103" s="960"/>
      <c r="E12103" s="943"/>
      <c r="F12103" s="1070"/>
      <c r="G12103" s="960"/>
      <c r="H12103" s="1033"/>
      <c r="I12103" s="952"/>
    </row>
    <row r="12104" spans="2:9" ht="15.75">
      <c r="B12104" s="1026">
        <v>5.7</v>
      </c>
      <c r="C12104" s="937" t="str">
        <f>+Presupuesto!B695</f>
        <v>Pintura base blanca</v>
      </c>
      <c r="D12104" s="938"/>
      <c r="E12104" s="962" t="s">
        <v>20</v>
      </c>
      <c r="F12104" s="1066"/>
      <c r="G12104" s="938"/>
      <c r="H12104" s="1029"/>
      <c r="I12104" s="940">
        <f>+I12129</f>
        <v>245.56</v>
      </c>
    </row>
    <row r="12105" spans="2:9" ht="15.75">
      <c r="C12105" s="941" t="s">
        <v>908</v>
      </c>
      <c r="D12105" s="942" t="s">
        <v>9</v>
      </c>
      <c r="E12105" s="943" t="s">
        <v>10</v>
      </c>
      <c r="F12105" s="1067" t="s">
        <v>909</v>
      </c>
      <c r="G12105" s="942" t="s">
        <v>910</v>
      </c>
      <c r="H12105" s="1030" t="s">
        <v>911</v>
      </c>
      <c r="I12105" s="944" t="s">
        <v>912</v>
      </c>
    </row>
    <row r="12106" spans="2:9" ht="15.75">
      <c r="C12106" s="945" t="s">
        <v>913</v>
      </c>
      <c r="D12106" s="946"/>
      <c r="E12106" s="947"/>
      <c r="F12106" s="1054"/>
      <c r="G12106" s="946"/>
      <c r="H12106" s="1031"/>
      <c r="I12106" s="948"/>
    </row>
    <row r="12107" spans="2:9" ht="15.75">
      <c r="C12107" s="949" t="s">
        <v>1208</v>
      </c>
      <c r="D12107" s="946">
        <v>0.16</v>
      </c>
      <c r="E12107" s="947" t="s">
        <v>1183</v>
      </c>
      <c r="F12107" s="1068">
        <f>'Basic (equilibrio) (2)'!$D$311</f>
        <v>963.5</v>
      </c>
      <c r="G12107" s="946">
        <f>F12107-(F12107/1.18)</f>
        <v>146.97</v>
      </c>
      <c r="H12107" s="1031"/>
      <c r="I12107" s="948">
        <f>D12107*F12107</f>
        <v>154.16</v>
      </c>
    </row>
    <row r="12108" spans="2:9" ht="15.75">
      <c r="C12108" s="949" t="s">
        <v>1209</v>
      </c>
      <c r="D12108" s="946">
        <v>82</v>
      </c>
      <c r="E12108" s="947" t="s">
        <v>1025</v>
      </c>
      <c r="F12108" s="1068">
        <v>0.2</v>
      </c>
      <c r="G12108" s="946">
        <f>F12108-(F12108/1.18)</f>
        <v>0.03</v>
      </c>
      <c r="H12108" s="1031"/>
      <c r="I12108" s="948">
        <f>D12108*F12108</f>
        <v>16.399999999999999</v>
      </c>
    </row>
    <row r="12109" spans="2:9" ht="15.75">
      <c r="C12109" s="951" t="s">
        <v>918</v>
      </c>
      <c r="D12109" s="946"/>
      <c r="E12109" s="947"/>
      <c r="F12109" s="1068"/>
      <c r="G12109" s="946"/>
      <c r="H12109" s="1031"/>
      <c r="I12109" s="952">
        <f>SUM(I12107:I12108)</f>
        <v>170.56</v>
      </c>
    </row>
    <row r="12110" spans="2:9" ht="15.75">
      <c r="C12110" s="949"/>
      <c r="D12110" s="946"/>
      <c r="E12110" s="947"/>
      <c r="F12110" s="1068"/>
      <c r="G12110" s="946"/>
      <c r="H12110" s="1031"/>
      <c r="I12110" s="948"/>
    </row>
    <row r="12111" spans="2:9" ht="15.75">
      <c r="C12111" s="945" t="s">
        <v>919</v>
      </c>
      <c r="D12111" s="946"/>
      <c r="E12111" s="947"/>
      <c r="F12111" s="1068"/>
      <c r="G12111" s="946"/>
      <c r="H12111" s="1031"/>
      <c r="I12111" s="948"/>
    </row>
    <row r="12112" spans="2:9" ht="15.75">
      <c r="C12112" s="949" t="s">
        <v>1083</v>
      </c>
      <c r="D12112" s="953">
        <v>1</v>
      </c>
      <c r="E12112" s="954" t="str">
        <f>+VLOOKUP(C12112,'Basic (equilibrio) (2)'!B:D,2,FALSE)</f>
        <v>m2</v>
      </c>
      <c r="F12112" s="1068">
        <f>'Basic (equilibrio) (2)'!$D$34</f>
        <v>10</v>
      </c>
      <c r="G12112" s="946">
        <v>0</v>
      </c>
      <c r="H12112" s="1031"/>
      <c r="I12112" s="948">
        <f>(D12112*F12112)</f>
        <v>10</v>
      </c>
    </row>
    <row r="12113" spans="3:9" ht="15.75">
      <c r="C12113" s="949" t="s">
        <v>1084</v>
      </c>
      <c r="D12113" s="953">
        <v>1</v>
      </c>
      <c r="E12113" s="954" t="str">
        <f>+VLOOKUP(C12113,'Basic (equilibrio) (2)'!B:D,2,FALSE)</f>
        <v>m2</v>
      </c>
      <c r="F12113" s="1068">
        <f>'Basic (equilibrio) (2)'!$D$35</f>
        <v>65</v>
      </c>
      <c r="G12113" s="946">
        <v>0</v>
      </c>
      <c r="H12113" s="1031"/>
      <c r="I12113" s="948">
        <f>(D12113*F12113)</f>
        <v>65</v>
      </c>
    </row>
    <row r="12114" spans="3:9" ht="15.75">
      <c r="C12114" s="951" t="s">
        <v>918</v>
      </c>
      <c r="D12114" s="946"/>
      <c r="E12114" s="947"/>
      <c r="F12114" s="1054"/>
      <c r="G12114" s="946"/>
      <c r="H12114" s="1031"/>
      <c r="I12114" s="952">
        <f>SUM(I12112:I12113)</f>
        <v>75</v>
      </c>
    </row>
    <row r="12115" spans="3:9" ht="15.75">
      <c r="C12115" s="949"/>
      <c r="D12115" s="946"/>
      <c r="E12115" s="947"/>
      <c r="F12115" s="1054"/>
      <c r="G12115" s="946"/>
      <c r="H12115" s="1031"/>
      <c r="I12115" s="948"/>
    </row>
    <row r="12116" spans="3:9" ht="15.75">
      <c r="C12116" s="945" t="s">
        <v>923</v>
      </c>
      <c r="D12116" s="946"/>
      <c r="E12116" s="947"/>
      <c r="F12116" s="1054"/>
      <c r="G12116" s="946"/>
      <c r="H12116" s="1031"/>
      <c r="I12116" s="948"/>
    </row>
    <row r="12117" spans="3:9" ht="15.75">
      <c r="C12117" s="949" t="s">
        <v>924</v>
      </c>
      <c r="D12117" s="946"/>
      <c r="E12117" s="947" t="str">
        <f>+VLOOKUP(C12117,'Basic (equilibrio) (2)'!B:D,2,FALSE)</f>
        <v>n/a</v>
      </c>
      <c r="F12117" s="1054">
        <f>+VLOOKUP(C12117,'Basic (equilibrio) (2)'!B:D,3,FALSE)</f>
        <v>0</v>
      </c>
      <c r="G12117" s="946">
        <f>F12117-(F12117/1.18)</f>
        <v>0</v>
      </c>
      <c r="H12117" s="1039"/>
      <c r="I12117" s="955">
        <f>D12117*F12117</f>
        <v>0</v>
      </c>
    </row>
    <row r="12118" spans="3:9" ht="15.75">
      <c r="C12118" s="951" t="s">
        <v>918</v>
      </c>
      <c r="D12118" s="946"/>
      <c r="E12118" s="947"/>
      <c r="F12118" s="1054"/>
      <c r="G12118" s="946"/>
      <c r="H12118" s="1031"/>
      <c r="I12118" s="952">
        <f>SUM(I12117:I12117)</f>
        <v>0</v>
      </c>
    </row>
    <row r="12119" spans="3:9" ht="15.75">
      <c r="C12119" s="949"/>
      <c r="D12119" s="946"/>
      <c r="E12119" s="947"/>
      <c r="F12119" s="1054"/>
      <c r="G12119" s="946"/>
      <c r="H12119" s="1031"/>
      <c r="I12119" s="948"/>
    </row>
    <row r="12120" spans="3:9" ht="15.75">
      <c r="C12120" s="945" t="s">
        <v>925</v>
      </c>
      <c r="D12120" s="946"/>
      <c r="E12120" s="947"/>
      <c r="F12120" s="1054"/>
      <c r="G12120" s="946"/>
      <c r="H12120" s="1031"/>
      <c r="I12120" s="948"/>
    </row>
    <row r="12121" spans="3:9" ht="15.75">
      <c r="C12121" s="949" t="s">
        <v>924</v>
      </c>
      <c r="D12121" s="946"/>
      <c r="E12121" s="947" t="str">
        <f>+VLOOKUP(C12121,'Basic (equilibrio) (2)'!B:D,2,FALSE)</f>
        <v>n/a</v>
      </c>
      <c r="F12121" s="1054">
        <f>+VLOOKUP(C12121,'Basic (equilibrio) (2)'!B:D,3,FALSE)</f>
        <v>0</v>
      </c>
      <c r="G12121" s="946"/>
      <c r="H12121" s="1031"/>
      <c r="I12121" s="948">
        <f>D12121*F12121</f>
        <v>0</v>
      </c>
    </row>
    <row r="12122" spans="3:9" ht="15.75">
      <c r="C12122" s="951" t="s">
        <v>918</v>
      </c>
      <c r="D12122" s="946"/>
      <c r="E12122" s="947"/>
      <c r="F12122" s="1054"/>
      <c r="G12122" s="946"/>
      <c r="H12122" s="1031"/>
      <c r="I12122" s="952">
        <f>SUM(I12121)</f>
        <v>0</v>
      </c>
    </row>
    <row r="12123" spans="3:9" ht="15.75">
      <c r="C12123" s="951"/>
      <c r="D12123" s="946"/>
      <c r="E12123" s="947"/>
      <c r="F12123" s="1054"/>
      <c r="G12123" s="946"/>
      <c r="H12123" s="1031"/>
      <c r="I12123" s="952"/>
    </row>
    <row r="12124" spans="3:9" ht="15.75">
      <c r="C12124" s="956" t="s">
        <v>926</v>
      </c>
      <c r="D12124" s="957"/>
      <c r="E12124" s="958"/>
      <c r="F12124" s="1069"/>
      <c r="G12124" s="957"/>
      <c r="H12124" s="1032"/>
      <c r="I12124" s="959">
        <f>+I12109</f>
        <v>170.56</v>
      </c>
    </row>
    <row r="12125" spans="3:9" ht="15.75">
      <c r="C12125" s="956" t="s">
        <v>927</v>
      </c>
      <c r="D12125" s="957"/>
      <c r="E12125" s="958"/>
      <c r="F12125" s="1069"/>
      <c r="G12125" s="957"/>
      <c r="H12125" s="1032"/>
      <c r="I12125" s="959">
        <f>+I12114</f>
        <v>75</v>
      </c>
    </row>
    <row r="12126" spans="3:9" ht="15.75">
      <c r="C12126" s="956" t="s">
        <v>928</v>
      </c>
      <c r="D12126" s="957"/>
      <c r="E12126" s="958"/>
      <c r="F12126" s="1069"/>
      <c r="G12126" s="957"/>
      <c r="H12126" s="1032"/>
      <c r="I12126" s="959">
        <f>+I12118</f>
        <v>0</v>
      </c>
    </row>
    <row r="12127" spans="3:9" ht="15.75">
      <c r="C12127" s="956" t="s">
        <v>929</v>
      </c>
      <c r="D12127" s="957"/>
      <c r="E12127" s="958"/>
      <c r="F12127" s="1069"/>
      <c r="G12127" s="957"/>
      <c r="H12127" s="1032"/>
      <c r="I12127" s="959">
        <f>+I12122</f>
        <v>0</v>
      </c>
    </row>
    <row r="12128" spans="3:9" ht="15.75">
      <c r="C12128" s="949"/>
      <c r="D12128" s="946"/>
      <c r="E12128" s="947"/>
      <c r="F12128" s="1054"/>
      <c r="G12128" s="946"/>
      <c r="H12128" s="1031"/>
      <c r="I12128" s="948"/>
    </row>
    <row r="12129" spans="2:9" ht="15.75">
      <c r="C12129" s="951" t="s">
        <v>930</v>
      </c>
      <c r="D12129" s="960"/>
      <c r="E12129" s="975" t="str">
        <f>+E12104</f>
        <v>M2</v>
      </c>
      <c r="F12129" s="1070"/>
      <c r="G12129" s="960"/>
      <c r="H12129" s="1033"/>
      <c r="I12129" s="952">
        <f>SUM(I12124:I12127)</f>
        <v>245.56</v>
      </c>
    </row>
    <row r="12130" spans="2:9" ht="15.75">
      <c r="C12130" s="951"/>
      <c r="D12130" s="960"/>
      <c r="E12130" s="943"/>
      <c r="F12130" s="1070"/>
      <c r="G12130" s="960"/>
      <c r="H12130" s="1033"/>
      <c r="I12130" s="952"/>
    </row>
    <row r="12131" spans="2:9" ht="15.75">
      <c r="B12131" s="1026">
        <v>5.8</v>
      </c>
      <c r="C12131" s="937" t="str">
        <f>+Presupuesto!B696</f>
        <v xml:space="preserve">Acrílica azul turquesa en vigas y columnas </v>
      </c>
      <c r="D12131" s="938"/>
      <c r="E12131" s="962" t="s">
        <v>20</v>
      </c>
      <c r="F12131" s="1066"/>
      <c r="G12131" s="938"/>
      <c r="H12131" s="1029"/>
      <c r="I12131" s="940">
        <f>+I12156</f>
        <v>245.56</v>
      </c>
    </row>
    <row r="12132" spans="2:9" ht="15.75">
      <c r="C12132" s="941" t="s">
        <v>908</v>
      </c>
      <c r="D12132" s="942" t="s">
        <v>9</v>
      </c>
      <c r="E12132" s="943" t="s">
        <v>10</v>
      </c>
      <c r="F12132" s="1067" t="s">
        <v>909</v>
      </c>
      <c r="G12132" s="942" t="s">
        <v>910</v>
      </c>
      <c r="H12132" s="1030" t="s">
        <v>911</v>
      </c>
      <c r="I12132" s="944" t="s">
        <v>912</v>
      </c>
    </row>
    <row r="12133" spans="2:9" ht="15.75">
      <c r="C12133" s="945" t="s">
        <v>913</v>
      </c>
      <c r="D12133" s="946"/>
      <c r="E12133" s="947"/>
      <c r="F12133" s="1054"/>
      <c r="G12133" s="946"/>
      <c r="H12133" s="1031"/>
      <c r="I12133" s="948"/>
    </row>
    <row r="12134" spans="2:9" ht="15.75">
      <c r="C12134" s="949" t="s">
        <v>1684</v>
      </c>
      <c r="D12134" s="946">
        <v>0.16</v>
      </c>
      <c r="E12134" s="947" t="s">
        <v>1183</v>
      </c>
      <c r="F12134" s="1068">
        <f>'Basic (equilibrio) (2)'!$D$311</f>
        <v>963.5</v>
      </c>
      <c r="G12134" s="946">
        <f>F12134-(F12134/1.18)</f>
        <v>146.97</v>
      </c>
      <c r="H12134" s="1031"/>
      <c r="I12134" s="948">
        <f>D12134*F12134</f>
        <v>154.16</v>
      </c>
    </row>
    <row r="12135" spans="2:9" ht="15.75">
      <c r="C12135" s="949" t="s">
        <v>1209</v>
      </c>
      <c r="D12135" s="946">
        <v>82</v>
      </c>
      <c r="E12135" s="947" t="s">
        <v>1025</v>
      </c>
      <c r="F12135" s="1068">
        <v>0.2</v>
      </c>
      <c r="G12135" s="946">
        <f>F12135-(F12135/1.18)</f>
        <v>0.03</v>
      </c>
      <c r="H12135" s="1031"/>
      <c r="I12135" s="948">
        <f>D12135*F12135</f>
        <v>16.399999999999999</v>
      </c>
    </row>
    <row r="12136" spans="2:9" ht="15.75">
      <c r="C12136" s="951" t="s">
        <v>918</v>
      </c>
      <c r="D12136" s="946"/>
      <c r="E12136" s="947"/>
      <c r="F12136" s="1068"/>
      <c r="G12136" s="946"/>
      <c r="H12136" s="1031"/>
      <c r="I12136" s="952">
        <f>SUM(I12134:I12135)</f>
        <v>170.56</v>
      </c>
    </row>
    <row r="12137" spans="2:9" ht="15.75">
      <c r="C12137" s="949"/>
      <c r="D12137" s="946"/>
      <c r="E12137" s="947"/>
      <c r="F12137" s="1068"/>
      <c r="G12137" s="946"/>
      <c r="H12137" s="1031"/>
      <c r="I12137" s="948"/>
    </row>
    <row r="12138" spans="2:9" ht="15.75">
      <c r="C12138" s="945" t="s">
        <v>919</v>
      </c>
      <c r="D12138" s="946"/>
      <c r="E12138" s="947"/>
      <c r="F12138" s="1068"/>
      <c r="G12138" s="946"/>
      <c r="H12138" s="1031"/>
      <c r="I12138" s="948"/>
    </row>
    <row r="12139" spans="2:9" ht="15.75">
      <c r="C12139" s="949" t="s">
        <v>1083</v>
      </c>
      <c r="D12139" s="953">
        <v>1</v>
      </c>
      <c r="E12139" s="954" t="str">
        <f>+VLOOKUP(C12139,'Basic (equilibrio) (2)'!B:D,2,FALSE)</f>
        <v>m2</v>
      </c>
      <c r="F12139" s="1068">
        <f>'Basic (equilibrio) (2)'!$D$34</f>
        <v>10</v>
      </c>
      <c r="G12139" s="946">
        <v>0</v>
      </c>
      <c r="H12139" s="1031"/>
      <c r="I12139" s="948">
        <f>(D12139*F12139)</f>
        <v>10</v>
      </c>
    </row>
    <row r="12140" spans="2:9" ht="15.75">
      <c r="C12140" s="949" t="s">
        <v>1084</v>
      </c>
      <c r="D12140" s="953">
        <v>1</v>
      </c>
      <c r="E12140" s="954" t="str">
        <f>+VLOOKUP(C12140,'Basic (equilibrio) (2)'!B:D,2,FALSE)</f>
        <v>m2</v>
      </c>
      <c r="F12140" s="1068">
        <f>'Basic (equilibrio) (2)'!$D$35</f>
        <v>65</v>
      </c>
      <c r="G12140" s="946">
        <v>0</v>
      </c>
      <c r="H12140" s="1031"/>
      <c r="I12140" s="948">
        <f>(D12140*F12140)</f>
        <v>65</v>
      </c>
    </row>
    <row r="12141" spans="2:9" ht="15.75">
      <c r="C12141" s="951" t="s">
        <v>918</v>
      </c>
      <c r="D12141" s="946"/>
      <c r="E12141" s="947"/>
      <c r="F12141" s="1054"/>
      <c r="G12141" s="946"/>
      <c r="H12141" s="1031"/>
      <c r="I12141" s="952">
        <f>SUM(I12139:I12140)</f>
        <v>75</v>
      </c>
    </row>
    <row r="12142" spans="2:9" ht="15.75">
      <c r="C12142" s="949"/>
      <c r="D12142" s="946"/>
      <c r="E12142" s="947"/>
      <c r="F12142" s="1054"/>
      <c r="G12142" s="946"/>
      <c r="H12142" s="1031"/>
      <c r="I12142" s="948"/>
    </row>
    <row r="12143" spans="2:9" ht="15.75">
      <c r="C12143" s="945" t="s">
        <v>923</v>
      </c>
      <c r="D12143" s="946"/>
      <c r="E12143" s="947"/>
      <c r="F12143" s="1054"/>
      <c r="G12143" s="946"/>
      <c r="H12143" s="1031"/>
      <c r="I12143" s="948"/>
    </row>
    <row r="12144" spans="2:9" ht="15.75">
      <c r="C12144" s="949" t="s">
        <v>924</v>
      </c>
      <c r="D12144" s="946"/>
      <c r="E12144" s="947" t="str">
        <f>+VLOOKUP(C12144,'Basic (equilibrio) (2)'!B:D,2,FALSE)</f>
        <v>n/a</v>
      </c>
      <c r="F12144" s="1054">
        <f>+VLOOKUP(C12144,'Basic (equilibrio) (2)'!B:D,3,FALSE)</f>
        <v>0</v>
      </c>
      <c r="G12144" s="946">
        <f>F12144-(F12144/1.18)</f>
        <v>0</v>
      </c>
      <c r="H12144" s="1039"/>
      <c r="I12144" s="955">
        <f>D12144*F12144</f>
        <v>0</v>
      </c>
    </row>
    <row r="12145" spans="2:9" ht="15.75">
      <c r="C12145" s="951" t="s">
        <v>918</v>
      </c>
      <c r="D12145" s="946"/>
      <c r="E12145" s="947"/>
      <c r="F12145" s="1054"/>
      <c r="G12145" s="946"/>
      <c r="H12145" s="1031"/>
      <c r="I12145" s="952">
        <f>SUM(I12144:I12144)</f>
        <v>0</v>
      </c>
    </row>
    <row r="12146" spans="2:9" ht="15.75">
      <c r="C12146" s="949"/>
      <c r="D12146" s="946"/>
      <c r="E12146" s="947"/>
      <c r="F12146" s="1054"/>
      <c r="G12146" s="946"/>
      <c r="H12146" s="1031"/>
      <c r="I12146" s="948"/>
    </row>
    <row r="12147" spans="2:9" ht="15.75">
      <c r="C12147" s="945" t="s">
        <v>925</v>
      </c>
      <c r="D12147" s="946"/>
      <c r="E12147" s="947"/>
      <c r="F12147" s="1054"/>
      <c r="G12147" s="946"/>
      <c r="H12147" s="1031"/>
      <c r="I12147" s="948"/>
    </row>
    <row r="12148" spans="2:9" ht="15.75">
      <c r="C12148" s="949" t="s">
        <v>924</v>
      </c>
      <c r="D12148" s="946"/>
      <c r="E12148" s="947" t="str">
        <f>+VLOOKUP(C12148,'Basic (equilibrio) (2)'!B:D,2,FALSE)</f>
        <v>n/a</v>
      </c>
      <c r="F12148" s="1054">
        <f>+VLOOKUP(C12148,'Basic (equilibrio) (2)'!B:D,3,FALSE)</f>
        <v>0</v>
      </c>
      <c r="G12148" s="946"/>
      <c r="H12148" s="1031"/>
      <c r="I12148" s="948">
        <f>D12148*F12148</f>
        <v>0</v>
      </c>
    </row>
    <row r="12149" spans="2:9" ht="15.75">
      <c r="C12149" s="951" t="s">
        <v>918</v>
      </c>
      <c r="D12149" s="946"/>
      <c r="E12149" s="947"/>
      <c r="F12149" s="1054"/>
      <c r="G12149" s="946"/>
      <c r="H12149" s="1031"/>
      <c r="I12149" s="952">
        <f>SUM(I12148)</f>
        <v>0</v>
      </c>
    </row>
    <row r="12150" spans="2:9" ht="15.75">
      <c r="C12150" s="951"/>
      <c r="D12150" s="946"/>
      <c r="E12150" s="947"/>
      <c r="F12150" s="1054"/>
      <c r="G12150" s="946"/>
      <c r="H12150" s="1031"/>
      <c r="I12150" s="952"/>
    </row>
    <row r="12151" spans="2:9" ht="15.75">
      <c r="C12151" s="956" t="s">
        <v>926</v>
      </c>
      <c r="D12151" s="957"/>
      <c r="E12151" s="958"/>
      <c r="F12151" s="1069"/>
      <c r="G12151" s="957"/>
      <c r="H12151" s="1032"/>
      <c r="I12151" s="959">
        <f>+I12136</f>
        <v>170.56</v>
      </c>
    </row>
    <row r="12152" spans="2:9" ht="15.75">
      <c r="C12152" s="956" t="s">
        <v>927</v>
      </c>
      <c r="D12152" s="957"/>
      <c r="E12152" s="958"/>
      <c r="F12152" s="1069"/>
      <c r="G12152" s="957"/>
      <c r="H12152" s="1032"/>
      <c r="I12152" s="959">
        <f>+I12141</f>
        <v>75</v>
      </c>
    </row>
    <row r="12153" spans="2:9" ht="15.75">
      <c r="C12153" s="956" t="s">
        <v>928</v>
      </c>
      <c r="D12153" s="957"/>
      <c r="E12153" s="958"/>
      <c r="F12153" s="1069"/>
      <c r="G12153" s="957"/>
      <c r="H12153" s="1032"/>
      <c r="I12153" s="959">
        <f>+I12145</f>
        <v>0</v>
      </c>
    </row>
    <row r="12154" spans="2:9" ht="15.75">
      <c r="C12154" s="956" t="s">
        <v>929</v>
      </c>
      <c r="D12154" s="957"/>
      <c r="E12154" s="958"/>
      <c r="F12154" s="1069"/>
      <c r="G12154" s="957"/>
      <c r="H12154" s="1032"/>
      <c r="I12154" s="959">
        <f>+I12149</f>
        <v>0</v>
      </c>
    </row>
    <row r="12155" spans="2:9" ht="15.75">
      <c r="C12155" s="949"/>
      <c r="D12155" s="946"/>
      <c r="E12155" s="947"/>
      <c r="F12155" s="1054"/>
      <c r="G12155" s="946"/>
      <c r="H12155" s="1031"/>
      <c r="I12155" s="948"/>
    </row>
    <row r="12156" spans="2:9" ht="15.75">
      <c r="C12156" s="951" t="s">
        <v>930</v>
      </c>
      <c r="D12156" s="960"/>
      <c r="E12156" s="975" t="str">
        <f>+E12131</f>
        <v>M2</v>
      </c>
      <c r="F12156" s="1070"/>
      <c r="G12156" s="960"/>
      <c r="H12156" s="1033"/>
      <c r="I12156" s="952">
        <f>SUM(I12151:I12154)</f>
        <v>245.56</v>
      </c>
    </row>
    <row r="12157" spans="2:9" ht="15.75">
      <c r="C12157" s="951"/>
      <c r="D12157" s="960"/>
      <c r="E12157" s="943"/>
      <c r="F12157" s="1070"/>
      <c r="G12157" s="960"/>
      <c r="H12157" s="1033"/>
      <c r="I12157" s="952"/>
    </row>
    <row r="12158" spans="2:9" ht="31.5">
      <c r="B12158" s="1026">
        <v>5.9</v>
      </c>
      <c r="C12158" s="937" t="str">
        <f>+Presupuesto!B697</f>
        <v>Cerámica criolla en baño (incluye paredes del en area de inodoro y lavamano h= 1.50 m.)</v>
      </c>
      <c r="D12158" s="938"/>
      <c r="E12158" s="962" t="s">
        <v>1000</v>
      </c>
      <c r="F12158" s="1066"/>
      <c r="G12158" s="938"/>
      <c r="H12158" s="1029"/>
      <c r="I12158" s="940">
        <f>+I12181</f>
        <v>1876.8</v>
      </c>
    </row>
    <row r="12159" spans="2:9" ht="15.75">
      <c r="C12159" s="941" t="s">
        <v>908</v>
      </c>
      <c r="D12159" s="942" t="s">
        <v>9</v>
      </c>
      <c r="E12159" s="943" t="s">
        <v>10</v>
      </c>
      <c r="F12159" s="1067" t="s">
        <v>909</v>
      </c>
      <c r="G12159" s="942" t="s">
        <v>910</v>
      </c>
      <c r="H12159" s="1030" t="s">
        <v>911</v>
      </c>
      <c r="I12159" s="944" t="s">
        <v>912</v>
      </c>
    </row>
    <row r="12160" spans="2:9" ht="15.75">
      <c r="C12160" s="945" t="s">
        <v>913</v>
      </c>
      <c r="D12160" s="946"/>
      <c r="E12160" s="947"/>
      <c r="F12160" s="1054"/>
      <c r="G12160" s="946"/>
      <c r="H12160" s="1031"/>
      <c r="I12160" s="948"/>
    </row>
    <row r="12161" spans="3:9" ht="15.75">
      <c r="C12161" s="949" t="s">
        <v>1686</v>
      </c>
      <c r="D12161" s="946">
        <v>1.02</v>
      </c>
      <c r="E12161" s="947" t="str">
        <f>+VLOOKUP(C12161,'Basic (equilibrio) (2)'!B:D,2,FALSE)</f>
        <v>m2</v>
      </c>
      <c r="F12161" s="1068">
        <f>'Basic (equilibrio) (2)'!$D$199</f>
        <v>1840</v>
      </c>
      <c r="G12161" s="946">
        <f>F12161-(F12161/1.18)</f>
        <v>280.68</v>
      </c>
      <c r="H12161" s="1031"/>
      <c r="I12161" s="948">
        <f>D12161*F12161</f>
        <v>1876.8</v>
      </c>
    </row>
    <row r="12162" spans="3:9" ht="15.75">
      <c r="C12162" s="951" t="s">
        <v>918</v>
      </c>
      <c r="D12162" s="946"/>
      <c r="E12162" s="947"/>
      <c r="F12162" s="1068"/>
      <c r="G12162" s="946"/>
      <c r="H12162" s="1031"/>
      <c r="I12162" s="952">
        <f>SUM(I12161:I12161)</f>
        <v>1876.8</v>
      </c>
    </row>
    <row r="12163" spans="3:9" ht="15.75">
      <c r="C12163" s="949"/>
      <c r="D12163" s="946"/>
      <c r="E12163" s="947"/>
      <c r="F12163" s="1068"/>
      <c r="G12163" s="946"/>
      <c r="H12163" s="1031"/>
      <c r="I12163" s="948"/>
    </row>
    <row r="12164" spans="3:9" ht="15.75">
      <c r="C12164" s="945" t="s">
        <v>919</v>
      </c>
      <c r="D12164" s="946"/>
      <c r="E12164" s="947"/>
      <c r="F12164" s="1068"/>
      <c r="G12164" s="946"/>
      <c r="H12164" s="1031"/>
      <c r="I12164" s="948"/>
    </row>
    <row r="12165" spans="3:9" ht="15.75">
      <c r="C12165" s="949" t="s">
        <v>924</v>
      </c>
      <c r="D12165" s="953">
        <v>8.33</v>
      </c>
      <c r="E12165" s="954" t="str">
        <f>+VLOOKUP(C12165,'Basic (equilibrio) (2)'!B:D,2,FALSE)</f>
        <v>n/a</v>
      </c>
      <c r="F12165" s="1068">
        <f>+VLOOKUP(C12165,'Basic (equilibrio) (2)'!B:D,3,FALSE)</f>
        <v>0</v>
      </c>
      <c r="G12165" s="946">
        <v>0</v>
      </c>
      <c r="H12165" s="1031"/>
      <c r="I12165" s="948">
        <f>(D12165*F12165)</f>
        <v>0</v>
      </c>
    </row>
    <row r="12166" spans="3:9" ht="15.75">
      <c r="C12166" s="951" t="s">
        <v>918</v>
      </c>
      <c r="D12166" s="946"/>
      <c r="E12166" s="947"/>
      <c r="F12166" s="1054"/>
      <c r="G12166" s="946"/>
      <c r="H12166" s="1031"/>
      <c r="I12166" s="952">
        <f>SUM(I12165:I12165)</f>
        <v>0</v>
      </c>
    </row>
    <row r="12167" spans="3:9" ht="15.75">
      <c r="C12167" s="949"/>
      <c r="D12167" s="946"/>
      <c r="E12167" s="947"/>
      <c r="F12167" s="1054"/>
      <c r="G12167" s="946"/>
      <c r="H12167" s="1031"/>
      <c r="I12167" s="948"/>
    </row>
    <row r="12168" spans="3:9" ht="15.75">
      <c r="C12168" s="945" t="s">
        <v>923</v>
      </c>
      <c r="D12168" s="946"/>
      <c r="E12168" s="947"/>
      <c r="F12168" s="1054"/>
      <c r="G12168" s="946"/>
      <c r="H12168" s="1031"/>
      <c r="I12168" s="948"/>
    </row>
    <row r="12169" spans="3:9" ht="15.75">
      <c r="C12169" s="949" t="s">
        <v>924</v>
      </c>
      <c r="D12169" s="946"/>
      <c r="E12169" s="947" t="str">
        <f>+VLOOKUP(C12169,'Basic (equilibrio) (2)'!B:D,2,FALSE)</f>
        <v>n/a</v>
      </c>
      <c r="F12169" s="1054">
        <f>+VLOOKUP(C12169,'Basic (equilibrio) (2)'!B:D,3,FALSE)</f>
        <v>0</v>
      </c>
      <c r="G12169" s="946">
        <f>F12169-(F12169/1.18)</f>
        <v>0</v>
      </c>
      <c r="H12169" s="1039"/>
      <c r="I12169" s="955">
        <f>D12169*F12169</f>
        <v>0</v>
      </c>
    </row>
    <row r="12170" spans="3:9" ht="15.75">
      <c r="C12170" s="951" t="s">
        <v>918</v>
      </c>
      <c r="D12170" s="946"/>
      <c r="E12170" s="947"/>
      <c r="F12170" s="1054"/>
      <c r="G12170" s="946"/>
      <c r="H12170" s="1031"/>
      <c r="I12170" s="952">
        <f>SUM(I12169:I12169)</f>
        <v>0</v>
      </c>
    </row>
    <row r="12171" spans="3:9" ht="15.75">
      <c r="C12171" s="949"/>
      <c r="D12171" s="946"/>
      <c r="E12171" s="947"/>
      <c r="F12171" s="1054"/>
      <c r="G12171" s="946"/>
      <c r="H12171" s="1031"/>
      <c r="I12171" s="948"/>
    </row>
    <row r="12172" spans="3:9" ht="15.75">
      <c r="C12172" s="945" t="s">
        <v>925</v>
      </c>
      <c r="D12172" s="946"/>
      <c r="E12172" s="947"/>
      <c r="F12172" s="1054"/>
      <c r="G12172" s="946"/>
      <c r="H12172" s="1031"/>
      <c r="I12172" s="948"/>
    </row>
    <row r="12173" spans="3:9" ht="15.75">
      <c r="C12173" s="949" t="s">
        <v>924</v>
      </c>
      <c r="D12173" s="946"/>
      <c r="E12173" s="947" t="str">
        <f>+VLOOKUP(C12173,'Basic (equilibrio) (2)'!B:D,2,FALSE)</f>
        <v>n/a</v>
      </c>
      <c r="F12173" s="1054">
        <f>+VLOOKUP(C12173,'Basic (equilibrio) (2)'!B:D,3,FALSE)</f>
        <v>0</v>
      </c>
      <c r="G12173" s="946"/>
      <c r="H12173" s="1031"/>
      <c r="I12173" s="948">
        <f>D12173*F12173</f>
        <v>0</v>
      </c>
    </row>
    <row r="12174" spans="3:9" ht="15.75">
      <c r="C12174" s="951" t="s">
        <v>918</v>
      </c>
      <c r="D12174" s="946"/>
      <c r="E12174" s="947"/>
      <c r="F12174" s="1054"/>
      <c r="G12174" s="946"/>
      <c r="H12174" s="1031"/>
      <c r="I12174" s="952">
        <f>SUM(I12173)</f>
        <v>0</v>
      </c>
    </row>
    <row r="12175" spans="3:9" ht="15.75">
      <c r="C12175" s="951"/>
      <c r="D12175" s="946"/>
      <c r="E12175" s="947"/>
      <c r="F12175" s="1054"/>
      <c r="G12175" s="946"/>
      <c r="H12175" s="1031"/>
      <c r="I12175" s="952"/>
    </row>
    <row r="12176" spans="3:9" ht="15.75">
      <c r="C12176" s="956" t="s">
        <v>926</v>
      </c>
      <c r="D12176" s="957"/>
      <c r="E12176" s="958"/>
      <c r="F12176" s="1069"/>
      <c r="G12176" s="957"/>
      <c r="H12176" s="1032"/>
      <c r="I12176" s="959">
        <f>+I12162</f>
        <v>1876.8</v>
      </c>
    </row>
    <row r="12177" spans="2:9" ht="15.75">
      <c r="C12177" s="956" t="s">
        <v>927</v>
      </c>
      <c r="D12177" s="957"/>
      <c r="E12177" s="958"/>
      <c r="F12177" s="1069"/>
      <c r="G12177" s="957"/>
      <c r="H12177" s="1032"/>
      <c r="I12177" s="959">
        <f>+I12166</f>
        <v>0</v>
      </c>
    </row>
    <row r="12178" spans="2:9" ht="15.75">
      <c r="C12178" s="956" t="s">
        <v>928</v>
      </c>
      <c r="D12178" s="957"/>
      <c r="E12178" s="958"/>
      <c r="F12178" s="1069"/>
      <c r="G12178" s="957"/>
      <c r="H12178" s="1032"/>
      <c r="I12178" s="959">
        <f>+I12170</f>
        <v>0</v>
      </c>
    </row>
    <row r="12179" spans="2:9" ht="15.75">
      <c r="C12179" s="956" t="s">
        <v>929</v>
      </c>
      <c r="D12179" s="957"/>
      <c r="E12179" s="958"/>
      <c r="F12179" s="1069"/>
      <c r="G12179" s="957"/>
      <c r="H12179" s="1032"/>
      <c r="I12179" s="959">
        <f>+I12174</f>
        <v>0</v>
      </c>
    </row>
    <row r="12180" spans="2:9" ht="15.75">
      <c r="C12180" s="949"/>
      <c r="D12180" s="946"/>
      <c r="E12180" s="947"/>
      <c r="F12180" s="1054"/>
      <c r="G12180" s="946"/>
      <c r="H12180" s="1031"/>
      <c r="I12180" s="948"/>
    </row>
    <row r="12181" spans="2:9" ht="15.75">
      <c r="C12181" s="951" t="s">
        <v>930</v>
      </c>
      <c r="D12181" s="960"/>
      <c r="E12181" s="975" t="str">
        <f>+E12158</f>
        <v>m2</v>
      </c>
      <c r="F12181" s="1070"/>
      <c r="G12181" s="960"/>
      <c r="H12181" s="1033"/>
      <c r="I12181" s="952">
        <f>SUM(I12176:I12179)</f>
        <v>1876.8</v>
      </c>
    </row>
    <row r="12182" spans="2:9" ht="15.75">
      <c r="C12182" s="951"/>
      <c r="D12182" s="960"/>
      <c r="E12182" s="943"/>
      <c r="F12182" s="1070"/>
      <c r="G12182" s="960"/>
      <c r="H12182" s="1033"/>
      <c r="I12182" s="952"/>
    </row>
    <row r="12183" spans="2:9" ht="15.75">
      <c r="B12183" s="1062">
        <v>5.0999999999999996</v>
      </c>
      <c r="C12183" s="937" t="str">
        <f>+Presupuesto!B698</f>
        <v xml:space="preserve">Cerámica criolla en piso, incluye bañera </v>
      </c>
      <c r="D12183" s="938"/>
      <c r="E12183" s="962" t="s">
        <v>1000</v>
      </c>
      <c r="F12183" s="1066"/>
      <c r="G12183" s="938"/>
      <c r="H12183" s="1029"/>
      <c r="I12183" s="940">
        <f>+I12206</f>
        <v>1377</v>
      </c>
    </row>
    <row r="12184" spans="2:9" ht="15.75">
      <c r="C12184" s="941" t="s">
        <v>908</v>
      </c>
      <c r="D12184" s="942" t="s">
        <v>9</v>
      </c>
      <c r="E12184" s="943" t="s">
        <v>10</v>
      </c>
      <c r="F12184" s="1067" t="s">
        <v>909</v>
      </c>
      <c r="G12184" s="942" t="s">
        <v>910</v>
      </c>
      <c r="H12184" s="1030" t="s">
        <v>911</v>
      </c>
      <c r="I12184" s="944" t="s">
        <v>912</v>
      </c>
    </row>
    <row r="12185" spans="2:9" ht="15.75">
      <c r="C12185" s="945" t="s">
        <v>913</v>
      </c>
      <c r="D12185" s="946"/>
      <c r="E12185" s="947"/>
      <c r="F12185" s="1054"/>
      <c r="G12185" s="946"/>
      <c r="H12185" s="1031"/>
      <c r="I12185" s="948"/>
    </row>
    <row r="12186" spans="2:9" ht="15.75">
      <c r="C12186" s="949" t="s">
        <v>1685</v>
      </c>
      <c r="D12186" s="946">
        <v>1.02</v>
      </c>
      <c r="E12186" s="947" t="str">
        <f>+VLOOKUP(C12186,'Basic (equilibrio) (2)'!B:D,2,FALSE)</f>
        <v>m3</v>
      </c>
      <c r="F12186" s="1068">
        <f>'Basic (equilibrio) (2)'!$D$200</f>
        <v>1350</v>
      </c>
      <c r="G12186" s="946">
        <f>F12186-(F12186/1.18)</f>
        <v>205.93</v>
      </c>
      <c r="H12186" s="1031"/>
      <c r="I12186" s="948">
        <f>D12186*F12186</f>
        <v>1377</v>
      </c>
    </row>
    <row r="12187" spans="2:9" ht="15.75">
      <c r="C12187" s="951" t="s">
        <v>918</v>
      </c>
      <c r="D12187" s="946"/>
      <c r="E12187" s="947"/>
      <c r="F12187" s="1068"/>
      <c r="G12187" s="946"/>
      <c r="H12187" s="1031"/>
      <c r="I12187" s="952">
        <f>SUM(I12186:I12186)</f>
        <v>1377</v>
      </c>
    </row>
    <row r="12188" spans="2:9" ht="15.75">
      <c r="C12188" s="949"/>
      <c r="D12188" s="946"/>
      <c r="E12188" s="947"/>
      <c r="F12188" s="1068"/>
      <c r="G12188" s="946"/>
      <c r="H12188" s="1031"/>
      <c r="I12188" s="948"/>
    </row>
    <row r="12189" spans="2:9" ht="15.75">
      <c r="C12189" s="945" t="s">
        <v>919</v>
      </c>
      <c r="D12189" s="946"/>
      <c r="E12189" s="947"/>
      <c r="F12189" s="1068"/>
      <c r="G12189" s="946"/>
      <c r="H12189" s="1031"/>
      <c r="I12189" s="948"/>
    </row>
    <row r="12190" spans="2:9" ht="15.75">
      <c r="C12190" s="949" t="s">
        <v>924</v>
      </c>
      <c r="D12190" s="953"/>
      <c r="E12190" s="954" t="str">
        <f>+VLOOKUP(C12190,'Basic (equilibrio) (2)'!B:D,2,FALSE)</f>
        <v>n/a</v>
      </c>
      <c r="F12190" s="1068">
        <f>+VLOOKUP(C12190,'Basic (equilibrio) (2)'!B:D,3,FALSE)</f>
        <v>0</v>
      </c>
      <c r="G12190" s="946">
        <v>0</v>
      </c>
      <c r="H12190" s="1031"/>
      <c r="I12190" s="948">
        <f>(D12190*F12190)</f>
        <v>0</v>
      </c>
    </row>
    <row r="12191" spans="2:9" ht="15.75">
      <c r="C12191" s="951" t="s">
        <v>918</v>
      </c>
      <c r="D12191" s="946"/>
      <c r="E12191" s="947"/>
      <c r="F12191" s="1054"/>
      <c r="G12191" s="946"/>
      <c r="H12191" s="1031"/>
      <c r="I12191" s="952">
        <f>SUM(I12190:I12190)</f>
        <v>0</v>
      </c>
    </row>
    <row r="12192" spans="2:9" ht="15.75">
      <c r="C12192" s="949"/>
      <c r="D12192" s="946"/>
      <c r="E12192" s="947"/>
      <c r="F12192" s="1054"/>
      <c r="G12192" s="946"/>
      <c r="H12192" s="1031"/>
      <c r="I12192" s="948"/>
    </row>
    <row r="12193" spans="2:9" ht="15.75">
      <c r="C12193" s="945" t="s">
        <v>923</v>
      </c>
      <c r="D12193" s="946"/>
      <c r="E12193" s="947"/>
      <c r="F12193" s="1054"/>
      <c r="G12193" s="946"/>
      <c r="H12193" s="1031"/>
      <c r="I12193" s="948"/>
    </row>
    <row r="12194" spans="2:9" ht="15.75">
      <c r="C12194" s="949" t="s">
        <v>924</v>
      </c>
      <c r="D12194" s="946"/>
      <c r="E12194" s="947" t="str">
        <f>+VLOOKUP(C12194,'Basic (equilibrio) (2)'!B:D,2,FALSE)</f>
        <v>n/a</v>
      </c>
      <c r="F12194" s="1054">
        <f>+VLOOKUP(C12194,'Basic (equilibrio) (2)'!B:D,3,FALSE)</f>
        <v>0</v>
      </c>
      <c r="G12194" s="946">
        <f>F12194-(F12194/1.18)</f>
        <v>0</v>
      </c>
      <c r="H12194" s="1039"/>
      <c r="I12194" s="955">
        <f>D12194*F12194</f>
        <v>0</v>
      </c>
    </row>
    <row r="12195" spans="2:9" ht="15.75">
      <c r="C12195" s="951" t="s">
        <v>918</v>
      </c>
      <c r="D12195" s="946"/>
      <c r="E12195" s="947"/>
      <c r="F12195" s="1054"/>
      <c r="G12195" s="946"/>
      <c r="H12195" s="1031"/>
      <c r="I12195" s="952">
        <f>SUM(I12194:I12194)</f>
        <v>0</v>
      </c>
    </row>
    <row r="12196" spans="2:9" ht="15.75">
      <c r="C12196" s="949"/>
      <c r="D12196" s="946"/>
      <c r="E12196" s="947"/>
      <c r="F12196" s="1054"/>
      <c r="G12196" s="946"/>
      <c r="H12196" s="1031"/>
      <c r="I12196" s="948"/>
    </row>
    <row r="12197" spans="2:9" ht="15.75">
      <c r="C12197" s="945" t="s">
        <v>925</v>
      </c>
      <c r="D12197" s="946"/>
      <c r="E12197" s="947"/>
      <c r="F12197" s="1054"/>
      <c r="G12197" s="946"/>
      <c r="H12197" s="1031"/>
      <c r="I12197" s="948"/>
    </row>
    <row r="12198" spans="2:9" ht="15.75">
      <c r="C12198" s="949" t="s">
        <v>924</v>
      </c>
      <c r="D12198" s="946"/>
      <c r="E12198" s="947" t="str">
        <f>+VLOOKUP(C12198,'Basic (equilibrio) (2)'!B:D,2,FALSE)</f>
        <v>n/a</v>
      </c>
      <c r="F12198" s="1054">
        <f>+VLOOKUP(C12198,'Basic (equilibrio) (2)'!B:D,3,FALSE)</f>
        <v>0</v>
      </c>
      <c r="G12198" s="946"/>
      <c r="H12198" s="1031"/>
      <c r="I12198" s="948">
        <f>D12198*F12198</f>
        <v>0</v>
      </c>
    </row>
    <row r="12199" spans="2:9" ht="15.75">
      <c r="C12199" s="951" t="s">
        <v>918</v>
      </c>
      <c r="D12199" s="946"/>
      <c r="E12199" s="947"/>
      <c r="F12199" s="1054"/>
      <c r="G12199" s="946"/>
      <c r="H12199" s="1031"/>
      <c r="I12199" s="952">
        <f>SUM(I12198)</f>
        <v>0</v>
      </c>
    </row>
    <row r="12200" spans="2:9" ht="15.75">
      <c r="C12200" s="951"/>
      <c r="D12200" s="946"/>
      <c r="E12200" s="947"/>
      <c r="F12200" s="1054"/>
      <c r="G12200" s="946"/>
      <c r="H12200" s="1031"/>
      <c r="I12200" s="952"/>
    </row>
    <row r="12201" spans="2:9" ht="15.75">
      <c r="C12201" s="956" t="s">
        <v>926</v>
      </c>
      <c r="D12201" s="957"/>
      <c r="E12201" s="958"/>
      <c r="F12201" s="1069"/>
      <c r="G12201" s="957"/>
      <c r="H12201" s="1032"/>
      <c r="I12201" s="959">
        <f>+I12187</f>
        <v>1377</v>
      </c>
    </row>
    <row r="12202" spans="2:9" ht="15.75">
      <c r="C12202" s="956" t="s">
        <v>927</v>
      </c>
      <c r="D12202" s="957"/>
      <c r="E12202" s="958"/>
      <c r="F12202" s="1069"/>
      <c r="G12202" s="957"/>
      <c r="H12202" s="1032"/>
      <c r="I12202" s="959">
        <f>+I12191</f>
        <v>0</v>
      </c>
    </row>
    <row r="12203" spans="2:9" ht="15.75">
      <c r="C12203" s="956" t="s">
        <v>928</v>
      </c>
      <c r="D12203" s="957"/>
      <c r="E12203" s="958"/>
      <c r="F12203" s="1069"/>
      <c r="G12203" s="957"/>
      <c r="H12203" s="1032"/>
      <c r="I12203" s="959">
        <f>+I12195</f>
        <v>0</v>
      </c>
    </row>
    <row r="12204" spans="2:9" ht="15.75">
      <c r="C12204" s="956" t="s">
        <v>929</v>
      </c>
      <c r="D12204" s="957"/>
      <c r="E12204" s="958"/>
      <c r="F12204" s="1069"/>
      <c r="G12204" s="957"/>
      <c r="H12204" s="1032"/>
      <c r="I12204" s="959">
        <f>+I12199</f>
        <v>0</v>
      </c>
    </row>
    <row r="12205" spans="2:9" ht="15.75">
      <c r="C12205" s="949"/>
      <c r="D12205" s="946"/>
      <c r="E12205" s="947"/>
      <c r="F12205" s="1054"/>
      <c r="G12205" s="946"/>
      <c r="H12205" s="1031"/>
      <c r="I12205" s="948"/>
    </row>
    <row r="12206" spans="2:9" ht="15.75">
      <c r="C12206" s="951" t="s">
        <v>930</v>
      </c>
      <c r="D12206" s="960"/>
      <c r="E12206" s="975" t="str">
        <f>+E12183</f>
        <v>m2</v>
      </c>
      <c r="F12206" s="1070"/>
      <c r="G12206" s="960"/>
      <c r="H12206" s="1033"/>
      <c r="I12206" s="952">
        <f>SUM(I12201:I12204)</f>
        <v>1377</v>
      </c>
    </row>
    <row r="12207" spans="2:9" ht="15.75">
      <c r="C12207" s="951"/>
      <c r="D12207" s="960"/>
      <c r="E12207" s="943"/>
      <c r="F12207" s="1070"/>
      <c r="G12207" s="960"/>
      <c r="H12207" s="1033"/>
      <c r="I12207" s="952"/>
    </row>
    <row r="12208" spans="2:9" ht="31.5">
      <c r="B12208" s="1062">
        <v>5.1100000000000003</v>
      </c>
      <c r="C12208" s="937" t="str">
        <f>+Presupuesto!B699</f>
        <v>Suministro y colocacion de falso techo en plafon, pvc todo costos</v>
      </c>
      <c r="D12208" s="938"/>
      <c r="E12208" s="962" t="s">
        <v>1109</v>
      </c>
      <c r="F12208" s="1066"/>
      <c r="G12208" s="938"/>
      <c r="H12208" s="1029"/>
      <c r="I12208" s="940">
        <f>+I12231</f>
        <v>1530</v>
      </c>
    </row>
    <row r="12209" spans="3:9" ht="15.75">
      <c r="C12209" s="941" t="s">
        <v>908</v>
      </c>
      <c r="D12209" s="942" t="s">
        <v>9</v>
      </c>
      <c r="E12209" s="943" t="s">
        <v>10</v>
      </c>
      <c r="F12209" s="1067" t="s">
        <v>909</v>
      </c>
      <c r="G12209" s="942" t="s">
        <v>910</v>
      </c>
      <c r="H12209" s="1030" t="s">
        <v>911</v>
      </c>
      <c r="I12209" s="944" t="s">
        <v>912</v>
      </c>
    </row>
    <row r="12210" spans="3:9" ht="15.75">
      <c r="C12210" s="945" t="s">
        <v>913</v>
      </c>
      <c r="D12210" s="946"/>
      <c r="E12210" s="947"/>
      <c r="F12210" s="1054"/>
      <c r="G12210" s="946"/>
      <c r="H12210" s="1031"/>
      <c r="I12210" s="948"/>
    </row>
    <row r="12211" spans="3:9" ht="15.75">
      <c r="C12211" s="949" t="s">
        <v>1615</v>
      </c>
      <c r="D12211" s="946">
        <v>1.02</v>
      </c>
      <c r="E12211" s="947" t="str">
        <f>+VLOOKUP(C12211,'Basic (equilibrio) (2)'!B:D,2,FALSE)</f>
        <v>m2</v>
      </c>
      <c r="F12211" s="1068">
        <f>'Basic (equilibrio) (2)'!$D$230</f>
        <v>1500</v>
      </c>
      <c r="G12211" s="946">
        <f>F12211-(F12211/1.18)</f>
        <v>228.81</v>
      </c>
      <c r="H12211" s="1031"/>
      <c r="I12211" s="948">
        <f>D12211*F12211</f>
        <v>1530</v>
      </c>
    </row>
    <row r="12212" spans="3:9" ht="15.75">
      <c r="C12212" s="951" t="s">
        <v>918</v>
      </c>
      <c r="D12212" s="946"/>
      <c r="E12212" s="947"/>
      <c r="F12212" s="1068"/>
      <c r="G12212" s="946"/>
      <c r="H12212" s="1031"/>
      <c r="I12212" s="952">
        <f>SUM(I12211:I12211)</f>
        <v>1530</v>
      </c>
    </row>
    <row r="12213" spans="3:9" ht="15.75">
      <c r="C12213" s="949"/>
      <c r="D12213" s="946"/>
      <c r="E12213" s="947"/>
      <c r="F12213" s="1068"/>
      <c r="G12213" s="946"/>
      <c r="H12213" s="1031"/>
      <c r="I12213" s="948"/>
    </row>
    <row r="12214" spans="3:9" ht="15.75">
      <c r="C12214" s="945" t="s">
        <v>919</v>
      </c>
      <c r="D12214" s="946"/>
      <c r="E12214" s="947"/>
      <c r="F12214" s="1068"/>
      <c r="G12214" s="946"/>
      <c r="H12214" s="1031"/>
      <c r="I12214" s="948"/>
    </row>
    <row r="12215" spans="3:9" ht="15.75">
      <c r="C12215" s="949" t="s">
        <v>924</v>
      </c>
      <c r="D12215" s="953"/>
      <c r="E12215" s="954" t="str">
        <f>+VLOOKUP(C12215,'Basic (equilibrio) (2)'!B:D,2,FALSE)</f>
        <v>n/a</v>
      </c>
      <c r="F12215" s="1068">
        <f>+VLOOKUP(C12215,'Basic (equilibrio) (2)'!B:D,3,FALSE)</f>
        <v>0</v>
      </c>
      <c r="G12215" s="946">
        <v>0</v>
      </c>
      <c r="H12215" s="1031"/>
      <c r="I12215" s="948">
        <f>(D12215*F12215)</f>
        <v>0</v>
      </c>
    </row>
    <row r="12216" spans="3:9" ht="15.75">
      <c r="C12216" s="951" t="s">
        <v>918</v>
      </c>
      <c r="D12216" s="946"/>
      <c r="E12216" s="947"/>
      <c r="F12216" s="1054"/>
      <c r="G12216" s="946"/>
      <c r="H12216" s="1031"/>
      <c r="I12216" s="952">
        <f>SUM(I12215:I12215)</f>
        <v>0</v>
      </c>
    </row>
    <row r="12217" spans="3:9" ht="15.75">
      <c r="C12217" s="949"/>
      <c r="D12217" s="946"/>
      <c r="E12217" s="947"/>
      <c r="F12217" s="1054"/>
      <c r="G12217" s="946"/>
      <c r="H12217" s="1031"/>
      <c r="I12217" s="948"/>
    </row>
    <row r="12218" spans="3:9" ht="15.75">
      <c r="C12218" s="945" t="s">
        <v>923</v>
      </c>
      <c r="D12218" s="946"/>
      <c r="E12218" s="947"/>
      <c r="F12218" s="1054"/>
      <c r="G12218" s="946"/>
      <c r="H12218" s="1031"/>
      <c r="I12218" s="948"/>
    </row>
    <row r="12219" spans="3:9" ht="15.75">
      <c r="C12219" s="949" t="s">
        <v>924</v>
      </c>
      <c r="D12219" s="946"/>
      <c r="E12219" s="947" t="str">
        <f>+VLOOKUP(C12219,'Basic (equilibrio) (2)'!B:D,2,FALSE)</f>
        <v>n/a</v>
      </c>
      <c r="F12219" s="1054">
        <f>+VLOOKUP(C12219,'Basic (equilibrio) (2)'!B:D,3,FALSE)</f>
        <v>0</v>
      </c>
      <c r="G12219" s="946">
        <f>F12219-(F12219/1.18)</f>
        <v>0</v>
      </c>
      <c r="H12219" s="1039"/>
      <c r="I12219" s="955">
        <f>D12219*F12219</f>
        <v>0</v>
      </c>
    </row>
    <row r="12220" spans="3:9" ht="15.75">
      <c r="C12220" s="951" t="s">
        <v>918</v>
      </c>
      <c r="D12220" s="946"/>
      <c r="E12220" s="947"/>
      <c r="F12220" s="1054"/>
      <c r="G12220" s="946"/>
      <c r="H12220" s="1031"/>
      <c r="I12220" s="952">
        <f>SUM(I12219:I12219)</f>
        <v>0</v>
      </c>
    </row>
    <row r="12221" spans="3:9" ht="15.75">
      <c r="C12221" s="949"/>
      <c r="D12221" s="946"/>
      <c r="E12221" s="947"/>
      <c r="F12221" s="1054"/>
      <c r="G12221" s="946"/>
      <c r="H12221" s="1031"/>
      <c r="I12221" s="948"/>
    </row>
    <row r="12222" spans="3:9" ht="15.75">
      <c r="C12222" s="945" t="s">
        <v>925</v>
      </c>
      <c r="D12222" s="946"/>
      <c r="E12222" s="947"/>
      <c r="F12222" s="1054"/>
      <c r="G12222" s="946"/>
      <c r="H12222" s="1031"/>
      <c r="I12222" s="948"/>
    </row>
    <row r="12223" spans="3:9" ht="15.75">
      <c r="C12223" s="949" t="s">
        <v>924</v>
      </c>
      <c r="D12223" s="946"/>
      <c r="E12223" s="947" t="str">
        <f>+VLOOKUP(C12223,'Basic (equilibrio) (2)'!B:D,2,FALSE)</f>
        <v>n/a</v>
      </c>
      <c r="F12223" s="1054">
        <f>+VLOOKUP(C12223,'Basic (equilibrio) (2)'!B:D,3,FALSE)</f>
        <v>0</v>
      </c>
      <c r="G12223" s="946"/>
      <c r="H12223" s="1031"/>
      <c r="I12223" s="948">
        <f>D12223*F12223</f>
        <v>0</v>
      </c>
    </row>
    <row r="12224" spans="3:9" ht="15.75">
      <c r="C12224" s="951" t="s">
        <v>918</v>
      </c>
      <c r="D12224" s="946"/>
      <c r="E12224" s="947"/>
      <c r="F12224" s="1054"/>
      <c r="G12224" s="946"/>
      <c r="H12224" s="1031"/>
      <c r="I12224" s="952">
        <f>SUM(I12223)</f>
        <v>0</v>
      </c>
    </row>
    <row r="12225" spans="2:9" ht="15.75">
      <c r="C12225" s="951"/>
      <c r="D12225" s="946"/>
      <c r="E12225" s="947"/>
      <c r="F12225" s="1054"/>
      <c r="G12225" s="946"/>
      <c r="H12225" s="1031"/>
      <c r="I12225" s="952"/>
    </row>
    <row r="12226" spans="2:9" ht="15.75">
      <c r="C12226" s="956" t="s">
        <v>926</v>
      </c>
      <c r="D12226" s="957"/>
      <c r="E12226" s="958"/>
      <c r="F12226" s="1069"/>
      <c r="G12226" s="957"/>
      <c r="H12226" s="1032"/>
      <c r="I12226" s="959">
        <f>+I12212</f>
        <v>1530</v>
      </c>
    </row>
    <row r="12227" spans="2:9" ht="15.75">
      <c r="C12227" s="956" t="s">
        <v>927</v>
      </c>
      <c r="D12227" s="957"/>
      <c r="E12227" s="958"/>
      <c r="F12227" s="1069"/>
      <c r="G12227" s="957"/>
      <c r="H12227" s="1032"/>
      <c r="I12227" s="959">
        <f>+I12216</f>
        <v>0</v>
      </c>
    </row>
    <row r="12228" spans="2:9" ht="15.75">
      <c r="C12228" s="956" t="s">
        <v>928</v>
      </c>
      <c r="D12228" s="957"/>
      <c r="E12228" s="958"/>
      <c r="F12228" s="1069"/>
      <c r="G12228" s="957"/>
      <c r="H12228" s="1032"/>
      <c r="I12228" s="959">
        <f>+I12220</f>
        <v>0</v>
      </c>
    </row>
    <row r="12229" spans="2:9" ht="15.75">
      <c r="C12229" s="956" t="s">
        <v>929</v>
      </c>
      <c r="D12229" s="957"/>
      <c r="E12229" s="958"/>
      <c r="F12229" s="1069"/>
      <c r="G12229" s="957"/>
      <c r="H12229" s="1032"/>
      <c r="I12229" s="959">
        <f>+I12224</f>
        <v>0</v>
      </c>
    </row>
    <row r="12230" spans="2:9" ht="15.75">
      <c r="C12230" s="949"/>
      <c r="D12230" s="946"/>
      <c r="E12230" s="947"/>
      <c r="F12230" s="1054"/>
      <c r="G12230" s="946"/>
      <c r="H12230" s="1031"/>
      <c r="I12230" s="948"/>
    </row>
    <row r="12231" spans="2:9" ht="15.75">
      <c r="C12231" s="951" t="s">
        <v>930</v>
      </c>
      <c r="D12231" s="960"/>
      <c r="E12231" s="975" t="str">
        <f>+E12208</f>
        <v>P.a</v>
      </c>
      <c r="F12231" s="1070"/>
      <c r="G12231" s="960"/>
      <c r="H12231" s="1033"/>
      <c r="I12231" s="952">
        <f>SUM(I12226:I12229)</f>
        <v>1530</v>
      </c>
    </row>
    <row r="12232" spans="2:9" ht="15.75">
      <c r="B12232" s="1099"/>
      <c r="C12232" s="1100"/>
      <c r="D12232" s="1101"/>
      <c r="E12232" s="1102"/>
      <c r="F12232" s="1103"/>
      <c r="G12232" s="1101"/>
      <c r="H12232" s="1104"/>
      <c r="I12232" s="1095"/>
    </row>
    <row r="12233" spans="2:9" ht="15.75">
      <c r="B12233" s="1026">
        <v>5.12</v>
      </c>
      <c r="C12233" s="937" t="str">
        <f>+Presupuesto!B700</f>
        <v>Acera perimetral 0.80 m</v>
      </c>
      <c r="D12233" s="938"/>
      <c r="E12233" s="962" t="s">
        <v>1000</v>
      </c>
      <c r="F12233" s="1066"/>
      <c r="G12233" s="938"/>
      <c r="H12233" s="1029"/>
      <c r="I12233" s="940">
        <f>+I12261</f>
        <v>1589.22</v>
      </c>
    </row>
    <row r="12234" spans="2:9" ht="15.75">
      <c r="C12234" s="941" t="s">
        <v>908</v>
      </c>
      <c r="D12234" s="942" t="s">
        <v>9</v>
      </c>
      <c r="E12234" s="943" t="s">
        <v>10</v>
      </c>
      <c r="F12234" s="1067" t="s">
        <v>909</v>
      </c>
      <c r="G12234" s="942" t="s">
        <v>910</v>
      </c>
      <c r="H12234" s="1030" t="s">
        <v>911</v>
      </c>
      <c r="I12234" s="944" t="s">
        <v>912</v>
      </c>
    </row>
    <row r="12235" spans="2:9" ht="15.75">
      <c r="C12235" s="945" t="s">
        <v>913</v>
      </c>
      <c r="D12235" s="946"/>
      <c r="E12235" s="947"/>
      <c r="F12235" s="1054"/>
      <c r="G12235" s="946"/>
      <c r="H12235" s="1031"/>
      <c r="I12235" s="948"/>
    </row>
    <row r="12236" spans="2:9" ht="15.75">
      <c r="C12236" s="949" t="s">
        <v>956</v>
      </c>
      <c r="D12236" s="946">
        <v>1</v>
      </c>
      <c r="E12236" s="947" t="str">
        <f>+VLOOKUP(C12236,'Basic (equilibrio) (2)'!B:D,2,FALSE)</f>
        <v>rollo</v>
      </c>
      <c r="F12236" s="1068">
        <f>'Basic (equilibrio) (2)'!$D$330</f>
        <v>22294</v>
      </c>
      <c r="G12236" s="946">
        <f>F12236-(F12236/1.18)</f>
        <v>3400.78</v>
      </c>
      <c r="H12236" s="1031">
        <v>96</v>
      </c>
      <c r="I12236" s="948">
        <f>D12236*F12236/H12236</f>
        <v>232.23</v>
      </c>
    </row>
    <row r="12237" spans="2:9" ht="15.75">
      <c r="C12237" s="949" t="s">
        <v>957</v>
      </c>
      <c r="D12237" s="946">
        <v>0.11</v>
      </c>
      <c r="E12237" s="947" t="str">
        <f>+VLOOKUP(C12237,'Basic (equilibrio) (2)'!B:D,2,FALSE)</f>
        <v>m3</v>
      </c>
      <c r="F12237" s="1068">
        <f>'Basic (equilibrio) (2)'!$D$178</f>
        <v>7900</v>
      </c>
      <c r="G12237" s="946">
        <f>F12237-(F12237/1.18)</f>
        <v>1205.08</v>
      </c>
      <c r="H12237" s="1031"/>
      <c r="I12237" s="948">
        <f>D12237*F12237</f>
        <v>869</v>
      </c>
    </row>
    <row r="12238" spans="2:9" ht="15.75">
      <c r="C12238" s="949" t="s">
        <v>958</v>
      </c>
      <c r="D12238" s="946">
        <v>0.02</v>
      </c>
      <c r="E12238" s="947" t="str">
        <f>+VLOOKUP(C12238,'Basic (equilibrio) (2)'!B:D,2,FALSE)</f>
        <v>m3</v>
      </c>
      <c r="F12238" s="1068">
        <f>'Basic (equilibrio) (2)'!$D$309</f>
        <v>6820</v>
      </c>
      <c r="G12238" s="946">
        <f>F12238-(F12238/1.18)</f>
        <v>1040.3399999999999</v>
      </c>
      <c r="H12238" s="1031"/>
      <c r="I12238" s="948">
        <f>D12238*F12238</f>
        <v>136.4</v>
      </c>
    </row>
    <row r="12239" spans="2:9" ht="15.75">
      <c r="C12239" s="949" t="s">
        <v>916</v>
      </c>
      <c r="D12239" s="946">
        <v>0.18</v>
      </c>
      <c r="E12239" s="947" t="str">
        <f>+VLOOKUP(C12239,'Basic (equilibrio) (2)'!B:D,2,FALSE)</f>
        <v>pt</v>
      </c>
      <c r="F12239" s="1068">
        <f>'Basic (equilibrio) (2)'!$D$194</f>
        <v>107.7</v>
      </c>
      <c r="G12239" s="946">
        <f>F12239-(F12239/1.18)</f>
        <v>16.43</v>
      </c>
      <c r="H12239" s="1031"/>
      <c r="I12239" s="948">
        <f>D12239*F12239</f>
        <v>19.39</v>
      </c>
    </row>
    <row r="12240" spans="2:9" ht="15.75">
      <c r="C12240" s="951" t="s">
        <v>918</v>
      </c>
      <c r="D12240" s="946"/>
      <c r="E12240" s="947"/>
      <c r="F12240" s="1068"/>
      <c r="G12240" s="946"/>
      <c r="H12240" s="1031"/>
      <c r="I12240" s="952">
        <f>SUM(I12236:I12239)</f>
        <v>1257.02</v>
      </c>
    </row>
    <row r="12241" spans="3:9" ht="15.75">
      <c r="C12241" s="949"/>
      <c r="D12241" s="946"/>
      <c r="E12241" s="947"/>
      <c r="F12241" s="1068"/>
      <c r="G12241" s="946"/>
      <c r="H12241" s="1031"/>
      <c r="I12241" s="948"/>
    </row>
    <row r="12242" spans="3:9" ht="15.75">
      <c r="C12242" s="945" t="s">
        <v>919</v>
      </c>
      <c r="D12242" s="946"/>
      <c r="E12242" s="947"/>
      <c r="F12242" s="1068"/>
      <c r="G12242" s="946"/>
      <c r="H12242" s="1031"/>
      <c r="I12242" s="948"/>
    </row>
    <row r="12243" spans="3:9" ht="15.75">
      <c r="C12243" s="949" t="s">
        <v>959</v>
      </c>
      <c r="D12243" s="953">
        <v>1</v>
      </c>
      <c r="E12243" s="954" t="str">
        <f>+VLOOKUP(C12243,'Basic (equilibrio) (2)'!B:D,2,FALSE)</f>
        <v>m2</v>
      </c>
      <c r="F12243" s="1068">
        <f>'Basic (equilibrio) (2)'!$D$17</f>
        <v>50</v>
      </c>
      <c r="G12243" s="946">
        <v>0</v>
      </c>
      <c r="H12243" s="1031"/>
      <c r="I12243" s="948">
        <f>(D12243*F12243)</f>
        <v>50</v>
      </c>
    </row>
    <row r="12244" spans="3:9" ht="31.5">
      <c r="C12244" s="949" t="s">
        <v>960</v>
      </c>
      <c r="D12244" s="946">
        <v>1</v>
      </c>
      <c r="E12244" s="947" t="str">
        <f>+VLOOKUP(C12244,'Basic (equilibrio) (2)'!B:D,2,FALSE)</f>
        <v>m2</v>
      </c>
      <c r="F12244" s="1068">
        <f>'Basic (equilibrio) (2)'!$D$24</f>
        <v>196</v>
      </c>
      <c r="G12244" s="946">
        <f>F12244-(F12244/1.18)</f>
        <v>29.9</v>
      </c>
      <c r="H12244" s="1031"/>
      <c r="I12244" s="948">
        <f>D12244*F12244</f>
        <v>196</v>
      </c>
    </row>
    <row r="12245" spans="3:9" ht="15.75">
      <c r="C12245" s="949" t="s">
        <v>961</v>
      </c>
      <c r="D12245" s="946">
        <v>1</v>
      </c>
      <c r="E12245" s="947" t="str">
        <f>+VLOOKUP(C12245,'Basic (equilibrio) (2)'!B:D,2,FALSE)</f>
        <v>m2</v>
      </c>
      <c r="F12245" s="1068">
        <f>+'Basic (equilibrio) (2)'!$D$47</f>
        <v>86.2</v>
      </c>
      <c r="G12245" s="946">
        <f>F12245-(F12245/1.18)</f>
        <v>13.15</v>
      </c>
      <c r="H12245" s="1031"/>
      <c r="I12245" s="948">
        <f>D12245*F12245</f>
        <v>86.2</v>
      </c>
    </row>
    <row r="12246" spans="3:9" ht="15.75">
      <c r="C12246" s="951" t="s">
        <v>918</v>
      </c>
      <c r="D12246" s="946"/>
      <c r="E12246" s="947"/>
      <c r="F12246" s="1054"/>
      <c r="G12246" s="946"/>
      <c r="H12246" s="1031"/>
      <c r="I12246" s="952">
        <f>SUM(I12243:I12245)</f>
        <v>332.2</v>
      </c>
    </row>
    <row r="12247" spans="3:9" ht="15.75">
      <c r="C12247" s="949"/>
      <c r="D12247" s="946"/>
      <c r="E12247" s="947"/>
      <c r="F12247" s="1054"/>
      <c r="G12247" s="946"/>
      <c r="H12247" s="1031"/>
      <c r="I12247" s="948"/>
    </row>
    <row r="12248" spans="3:9" ht="15.75">
      <c r="C12248" s="945" t="s">
        <v>923</v>
      </c>
      <c r="D12248" s="946"/>
      <c r="E12248" s="947"/>
      <c r="F12248" s="1054"/>
      <c r="G12248" s="946"/>
      <c r="H12248" s="1031"/>
      <c r="I12248" s="948"/>
    </row>
    <row r="12249" spans="3:9" ht="15.75">
      <c r="C12249" s="949" t="s">
        <v>924</v>
      </c>
      <c r="D12249" s="946"/>
      <c r="E12249" s="947" t="str">
        <f>+VLOOKUP(C12249,'Basic (equilibrio) (2)'!B:D,2,FALSE)</f>
        <v>n/a</v>
      </c>
      <c r="F12249" s="1054">
        <f>+VLOOKUP(C12249,'Basic (equilibrio) (2)'!B:D,3,FALSE)</f>
        <v>0</v>
      </c>
      <c r="G12249" s="946">
        <f>F12249-(F12249/1.18)</f>
        <v>0</v>
      </c>
      <c r="H12249" s="1039"/>
      <c r="I12249" s="955">
        <f>D12249*F12249</f>
        <v>0</v>
      </c>
    </row>
    <row r="12250" spans="3:9" ht="15.75">
      <c r="C12250" s="951" t="s">
        <v>918</v>
      </c>
      <c r="D12250" s="946"/>
      <c r="E12250" s="947"/>
      <c r="F12250" s="1054"/>
      <c r="G12250" s="946"/>
      <c r="H12250" s="1031"/>
      <c r="I12250" s="952">
        <f>SUM(I12249:I12249)</f>
        <v>0</v>
      </c>
    </row>
    <row r="12251" spans="3:9" ht="15.75">
      <c r="C12251" s="949"/>
      <c r="D12251" s="946"/>
      <c r="E12251" s="947"/>
      <c r="F12251" s="1054"/>
      <c r="G12251" s="946"/>
      <c r="H12251" s="1031"/>
      <c r="I12251" s="948"/>
    </row>
    <row r="12252" spans="3:9" ht="15.75">
      <c r="C12252" s="945" t="s">
        <v>925</v>
      </c>
      <c r="D12252" s="946"/>
      <c r="E12252" s="947"/>
      <c r="F12252" s="1054"/>
      <c r="G12252" s="946"/>
      <c r="H12252" s="1031"/>
      <c r="I12252" s="948"/>
    </row>
    <row r="12253" spans="3:9" ht="15.75">
      <c r="C12253" s="949" t="s">
        <v>925</v>
      </c>
      <c r="D12253" s="946">
        <f>+I12246</f>
        <v>332.2</v>
      </c>
      <c r="E12253" s="947" t="str">
        <f>+VLOOKUP(C12253,'Basic (equilibrio) (2)'!B:D,2,FALSE)</f>
        <v>Pa</v>
      </c>
      <c r="F12253" s="1054">
        <f>+VLOOKUP(C12253,'Basic (equilibrio) (2)'!B:D,3,FALSE)</f>
        <v>0</v>
      </c>
      <c r="G12253" s="946"/>
      <c r="H12253" s="1031"/>
      <c r="I12253" s="948">
        <f>D12253*F12253</f>
        <v>0</v>
      </c>
    </row>
    <row r="12254" spans="3:9" ht="15.75">
      <c r="C12254" s="951" t="s">
        <v>918</v>
      </c>
      <c r="D12254" s="946"/>
      <c r="E12254" s="947"/>
      <c r="F12254" s="1054"/>
      <c r="G12254" s="946"/>
      <c r="H12254" s="1031"/>
      <c r="I12254" s="952">
        <f>SUM(I12253)</f>
        <v>0</v>
      </c>
    </row>
    <row r="12255" spans="3:9" ht="15.75">
      <c r="C12255" s="951"/>
      <c r="D12255" s="946"/>
      <c r="E12255" s="947"/>
      <c r="F12255" s="1054"/>
      <c r="G12255" s="946"/>
      <c r="H12255" s="1031"/>
      <c r="I12255" s="952"/>
    </row>
    <row r="12256" spans="3:9" ht="15.75">
      <c r="C12256" s="956" t="s">
        <v>926</v>
      </c>
      <c r="D12256" s="957"/>
      <c r="E12256" s="958"/>
      <c r="F12256" s="1069"/>
      <c r="G12256" s="957"/>
      <c r="H12256" s="1032"/>
      <c r="I12256" s="959">
        <f>+I12240</f>
        <v>1257.02</v>
      </c>
    </row>
    <row r="12257" spans="2:9" ht="15.75">
      <c r="C12257" s="956" t="s">
        <v>927</v>
      </c>
      <c r="D12257" s="957"/>
      <c r="E12257" s="958"/>
      <c r="F12257" s="1069"/>
      <c r="G12257" s="957"/>
      <c r="H12257" s="1032"/>
      <c r="I12257" s="959">
        <f>+I12246</f>
        <v>332.2</v>
      </c>
    </row>
    <row r="12258" spans="2:9" ht="15.75">
      <c r="C12258" s="956" t="s">
        <v>928</v>
      </c>
      <c r="D12258" s="957"/>
      <c r="E12258" s="958"/>
      <c r="F12258" s="1069"/>
      <c r="G12258" s="957"/>
      <c r="H12258" s="1032"/>
      <c r="I12258" s="959">
        <f>+I12250</f>
        <v>0</v>
      </c>
    </row>
    <row r="12259" spans="2:9" ht="15.75">
      <c r="C12259" s="956" t="s">
        <v>929</v>
      </c>
      <c r="D12259" s="957"/>
      <c r="E12259" s="958"/>
      <c r="F12259" s="1069"/>
      <c r="G12259" s="957"/>
      <c r="H12259" s="1032"/>
      <c r="I12259" s="959">
        <f>+I12254</f>
        <v>0</v>
      </c>
    </row>
    <row r="12260" spans="2:9" ht="15.75">
      <c r="C12260" s="949"/>
      <c r="D12260" s="946"/>
      <c r="E12260" s="947"/>
      <c r="F12260" s="1054"/>
      <c r="G12260" s="946"/>
      <c r="H12260" s="1031"/>
      <c r="I12260" s="948"/>
    </row>
    <row r="12261" spans="2:9" ht="15.75">
      <c r="C12261" s="951" t="s">
        <v>930</v>
      </c>
      <c r="D12261" s="960"/>
      <c r="E12261" s="975" t="str">
        <f>+E12233</f>
        <v>m2</v>
      </c>
      <c r="F12261" s="1070"/>
      <c r="G12261" s="960"/>
      <c r="H12261" s="1033"/>
      <c r="I12261" s="952">
        <f>SUM(I12256:I12259)</f>
        <v>1589.22</v>
      </c>
    </row>
    <row r="12262" spans="2:9" ht="15.75">
      <c r="C12262" s="951"/>
      <c r="D12262" s="960"/>
      <c r="E12262" s="943"/>
      <c r="F12262" s="1070"/>
      <c r="G12262" s="960"/>
      <c r="H12262" s="1033"/>
      <c r="I12262" s="952"/>
    </row>
    <row r="12263" spans="2:9" ht="15.75">
      <c r="B12263" s="1026">
        <v>5.13</v>
      </c>
      <c r="C12263" s="937" t="str">
        <f>+Presupuesto!B701</f>
        <v xml:space="preserve">Escalones huella y contra huella redondeada 0.30m  </v>
      </c>
      <c r="D12263" s="938"/>
      <c r="E12263" s="962" t="s">
        <v>15</v>
      </c>
      <c r="F12263" s="1066"/>
      <c r="G12263" s="938"/>
      <c r="H12263" s="1029"/>
      <c r="I12263" s="940">
        <f>+I12292</f>
        <v>1079.22</v>
      </c>
    </row>
    <row r="12264" spans="2:9" ht="15.75">
      <c r="C12264" s="941" t="s">
        <v>908</v>
      </c>
      <c r="D12264" s="942" t="s">
        <v>9</v>
      </c>
      <c r="E12264" s="943" t="s">
        <v>10</v>
      </c>
      <c r="F12264" s="1067" t="s">
        <v>909</v>
      </c>
      <c r="G12264" s="942" t="s">
        <v>910</v>
      </c>
      <c r="H12264" s="1030" t="s">
        <v>911</v>
      </c>
      <c r="I12264" s="944" t="s">
        <v>912</v>
      </c>
    </row>
    <row r="12265" spans="2:9" ht="15.75">
      <c r="C12265" s="945" t="s">
        <v>913</v>
      </c>
      <c r="D12265" s="946"/>
      <c r="E12265" s="947"/>
      <c r="F12265" s="1054"/>
      <c r="G12265" s="946"/>
      <c r="H12265" s="1031"/>
      <c r="I12265" s="948"/>
    </row>
    <row r="12266" spans="2:9" ht="15.75">
      <c r="C12266" s="949" t="s">
        <v>994</v>
      </c>
      <c r="D12266" s="946">
        <v>1.05</v>
      </c>
      <c r="E12266" s="947" t="str">
        <f>+VLOOKUP(C12266,'Basic (equilibrio) (2)'!B:D,2,FALSE)</f>
        <v>m3</v>
      </c>
      <c r="F12266" s="1068">
        <f>'Basic (equilibrio) (2)'!$D$179</f>
        <v>7600</v>
      </c>
      <c r="G12266" s="946">
        <f>F12266-(F12266/1.18)</f>
        <v>1159.32</v>
      </c>
      <c r="H12266" s="1031"/>
      <c r="I12266" s="948">
        <f>D12266*F12266</f>
        <v>7980</v>
      </c>
    </row>
    <row r="12267" spans="2:9" ht="15.75">
      <c r="C12267" s="949" t="s">
        <v>1188</v>
      </c>
      <c r="D12267" s="946">
        <v>2.78</v>
      </c>
      <c r="E12267" s="947" t="str">
        <f>+VLOOKUP(C12267,'Basic (equilibrio) (2)'!B:D,2,FALSE)</f>
        <v>qq</v>
      </c>
      <c r="F12267" s="1068">
        <f>'Basic (equilibrio) (2)'!$D$183</f>
        <v>3600</v>
      </c>
      <c r="G12267" s="946">
        <f>F12267-(F12267/1.18)</f>
        <v>549.15</v>
      </c>
      <c r="H12267" s="1031"/>
      <c r="I12267" s="948">
        <f>D12267*F12267</f>
        <v>10008</v>
      </c>
    </row>
    <row r="12268" spans="2:9" ht="15.75">
      <c r="C12268" s="949" t="s">
        <v>1328</v>
      </c>
      <c r="D12268" s="946">
        <v>5.56</v>
      </c>
      <c r="E12268" s="947" t="str">
        <f>+VLOOKUP(C12268,'Basic (equilibrio) (2)'!B:D,2,FALSE)</f>
        <v>lb</v>
      </c>
      <c r="F12268" s="1068">
        <f>'Basic (equilibrio) (2)'!$D$334</f>
        <v>31.1</v>
      </c>
      <c r="G12268" s="946">
        <f>F12268-(F12268/1.18)</f>
        <v>4.74</v>
      </c>
      <c r="H12268" s="1031"/>
      <c r="I12268" s="948">
        <f>D12268*F12268</f>
        <v>172.92</v>
      </c>
    </row>
    <row r="12269" spans="2:9" ht="15.75">
      <c r="C12269" s="949" t="s">
        <v>1072</v>
      </c>
      <c r="D12269" s="946">
        <v>25</v>
      </c>
      <c r="E12269" s="947" t="str">
        <f>+VLOOKUP(C12269,'Basic (equilibrio) (2)'!B:D,2,FALSE)</f>
        <v>ml</v>
      </c>
      <c r="F12269" s="1068">
        <f>'Basic (equilibrio) (2)'!$D$22</f>
        <v>351</v>
      </c>
      <c r="G12269" s="946">
        <f>F12269-(F12269/1.18)</f>
        <v>53.54</v>
      </c>
      <c r="H12269" s="1031"/>
      <c r="I12269" s="948">
        <f>D12269*F12269</f>
        <v>8775</v>
      </c>
    </row>
    <row r="12270" spans="2:9" ht="15.75">
      <c r="C12270" s="951" t="s">
        <v>918</v>
      </c>
      <c r="D12270" s="946"/>
      <c r="E12270" s="947"/>
      <c r="F12270" s="1068"/>
      <c r="G12270" s="946"/>
      <c r="H12270" s="1031"/>
      <c r="I12270" s="952">
        <f>SUM(I12266:I12269)</f>
        <v>26935.919999999998</v>
      </c>
    </row>
    <row r="12271" spans="2:9" ht="15.75">
      <c r="C12271" s="949"/>
      <c r="D12271" s="946"/>
      <c r="E12271" s="947"/>
      <c r="F12271" s="1068"/>
      <c r="G12271" s="946"/>
      <c r="H12271" s="1031"/>
      <c r="I12271" s="948"/>
    </row>
    <row r="12272" spans="2:9" ht="15.75">
      <c r="C12272" s="945" t="s">
        <v>919</v>
      </c>
      <c r="D12272" s="946"/>
      <c r="E12272" s="947"/>
      <c r="F12272" s="1068"/>
      <c r="G12272" s="946"/>
      <c r="H12272" s="1031"/>
      <c r="I12272" s="948"/>
    </row>
    <row r="12273" spans="3:9" ht="15.75">
      <c r="C12273" s="949" t="s">
        <v>1073</v>
      </c>
      <c r="D12273" s="953">
        <v>25</v>
      </c>
      <c r="E12273" s="954" t="str">
        <f>+VLOOKUP(C12273,'Basic (equilibrio) (2)'!B:D,2,FALSE)</f>
        <v>ml</v>
      </c>
      <c r="F12273" s="1068">
        <f>'Basic (equilibrio) (2)'!$D$25</f>
        <v>125</v>
      </c>
      <c r="G12273" s="946">
        <v>0</v>
      </c>
      <c r="H12273" s="1031">
        <v>70</v>
      </c>
      <c r="I12273" s="948">
        <f>(D12273*F12273)/H12273</f>
        <v>44.64</v>
      </c>
    </row>
    <row r="12274" spans="3:9" ht="15.75">
      <c r="C12274" s="951" t="s">
        <v>918</v>
      </c>
      <c r="D12274" s="946"/>
      <c r="E12274" s="947"/>
      <c r="F12274" s="1054"/>
      <c r="G12274" s="946"/>
      <c r="H12274" s="1031"/>
      <c r="I12274" s="952">
        <f>SUM(I12273:I12273)</f>
        <v>44.64</v>
      </c>
    </row>
    <row r="12275" spans="3:9" ht="15.75">
      <c r="C12275" s="949"/>
      <c r="D12275" s="946"/>
      <c r="E12275" s="947"/>
      <c r="F12275" s="1054"/>
      <c r="G12275" s="946"/>
      <c r="H12275" s="1031"/>
      <c r="I12275" s="948"/>
    </row>
    <row r="12276" spans="3:9" ht="15.75">
      <c r="C12276" s="945" t="s">
        <v>923</v>
      </c>
      <c r="D12276" s="946"/>
      <c r="E12276" s="947"/>
      <c r="F12276" s="1054"/>
      <c r="G12276" s="946"/>
      <c r="H12276" s="1031"/>
      <c r="I12276" s="948"/>
    </row>
    <row r="12277" spans="3:9" ht="15.75">
      <c r="C12277" s="949" t="s">
        <v>924</v>
      </c>
      <c r="D12277" s="946"/>
      <c r="E12277" s="947" t="str">
        <f>+VLOOKUP(C12277,'Basic (equilibrio) (2)'!B:D,2,FALSE)</f>
        <v>n/a</v>
      </c>
      <c r="F12277" s="1054">
        <f>+VLOOKUP(C12277,'Basic (equilibrio) (2)'!B:D,3,FALSE)</f>
        <v>0</v>
      </c>
      <c r="G12277" s="946">
        <f>F12277-(F12277/1.18)</f>
        <v>0</v>
      </c>
      <c r="H12277" s="1039"/>
      <c r="I12277" s="955">
        <f>D12277*F12277</f>
        <v>0</v>
      </c>
    </row>
    <row r="12278" spans="3:9" ht="15.75">
      <c r="C12278" s="951" t="s">
        <v>918</v>
      </c>
      <c r="D12278" s="946"/>
      <c r="E12278" s="947"/>
      <c r="F12278" s="1054"/>
      <c r="G12278" s="946"/>
      <c r="H12278" s="1031"/>
      <c r="I12278" s="952">
        <f>SUM(I12277:I12277)</f>
        <v>0</v>
      </c>
    </row>
    <row r="12279" spans="3:9" ht="15.75">
      <c r="C12279" s="949"/>
      <c r="D12279" s="946"/>
      <c r="E12279" s="947"/>
      <c r="F12279" s="1054"/>
      <c r="G12279" s="946"/>
      <c r="H12279" s="1031"/>
      <c r="I12279" s="948"/>
    </row>
    <row r="12280" spans="3:9" ht="15.75">
      <c r="C12280" s="945" t="s">
        <v>925</v>
      </c>
      <c r="D12280" s="946"/>
      <c r="E12280" s="947"/>
      <c r="F12280" s="1054"/>
      <c r="G12280" s="946"/>
      <c r="H12280" s="1031"/>
      <c r="I12280" s="948"/>
    </row>
    <row r="12281" spans="3:9" ht="15.75">
      <c r="C12281" s="949" t="s">
        <v>924</v>
      </c>
      <c r="D12281" s="946"/>
      <c r="E12281" s="947" t="str">
        <f>+VLOOKUP(C12281,'Basic (equilibrio) (2)'!B:D,2,FALSE)</f>
        <v>n/a</v>
      </c>
      <c r="F12281" s="1054">
        <f>+VLOOKUP(C12281,'Basic (equilibrio) (2)'!B:D,3,FALSE)</f>
        <v>0</v>
      </c>
      <c r="G12281" s="946"/>
      <c r="H12281" s="1031"/>
      <c r="I12281" s="948">
        <f>D12281*F12281</f>
        <v>0</v>
      </c>
    </row>
    <row r="12282" spans="3:9" ht="15.75">
      <c r="C12282" s="951" t="s">
        <v>918</v>
      </c>
      <c r="D12282" s="946"/>
      <c r="E12282" s="947"/>
      <c r="F12282" s="1054"/>
      <c r="G12282" s="946"/>
      <c r="H12282" s="1031"/>
      <c r="I12282" s="952">
        <f>SUM(I12281)</f>
        <v>0</v>
      </c>
    </row>
    <row r="12283" spans="3:9" ht="15.75">
      <c r="C12283" s="951"/>
      <c r="D12283" s="946"/>
      <c r="E12283" s="947"/>
      <c r="F12283" s="1054"/>
      <c r="G12283" s="946"/>
      <c r="H12283" s="1031"/>
      <c r="I12283" s="952"/>
    </row>
    <row r="12284" spans="3:9" ht="15.75">
      <c r="C12284" s="956" t="s">
        <v>926</v>
      </c>
      <c r="D12284" s="957"/>
      <c r="E12284" s="958"/>
      <c r="F12284" s="1069"/>
      <c r="G12284" s="957"/>
      <c r="H12284" s="1032"/>
      <c r="I12284" s="959">
        <f>+I12270</f>
        <v>26935.919999999998</v>
      </c>
    </row>
    <row r="12285" spans="3:9" ht="15.75">
      <c r="C12285" s="956" t="s">
        <v>927</v>
      </c>
      <c r="D12285" s="957"/>
      <c r="E12285" s="958"/>
      <c r="F12285" s="1069"/>
      <c r="G12285" s="957"/>
      <c r="H12285" s="1032"/>
      <c r="I12285" s="959">
        <f>+I12274</f>
        <v>44.64</v>
      </c>
    </row>
    <row r="12286" spans="3:9" ht="15.75">
      <c r="C12286" s="956" t="s">
        <v>928</v>
      </c>
      <c r="D12286" s="957"/>
      <c r="E12286" s="958"/>
      <c r="F12286" s="1069"/>
      <c r="G12286" s="957"/>
      <c r="H12286" s="1032"/>
      <c r="I12286" s="959">
        <f>+I12278</f>
        <v>0</v>
      </c>
    </row>
    <row r="12287" spans="3:9" ht="15.75">
      <c r="C12287" s="956" t="s">
        <v>929</v>
      </c>
      <c r="D12287" s="957"/>
      <c r="E12287" s="958"/>
      <c r="F12287" s="1069"/>
      <c r="G12287" s="957"/>
      <c r="H12287" s="1032"/>
      <c r="I12287" s="959">
        <f>+I12282</f>
        <v>0</v>
      </c>
    </row>
    <row r="12288" spans="3:9" ht="15.75">
      <c r="C12288" s="949"/>
      <c r="D12288" s="946"/>
      <c r="E12288" s="947"/>
      <c r="F12288" s="1054"/>
      <c r="G12288" s="946"/>
      <c r="H12288" s="1031"/>
      <c r="I12288" s="948"/>
    </row>
    <row r="12289" spans="2:9" ht="15.75">
      <c r="C12289" s="949"/>
      <c r="D12289" s="946"/>
      <c r="E12289" s="947"/>
      <c r="F12289" s="1054"/>
      <c r="G12289" s="946"/>
      <c r="H12289" s="1031"/>
      <c r="I12289" s="948"/>
    </row>
    <row r="12290" spans="2:9" ht="15.75">
      <c r="C12290" s="951" t="s">
        <v>930</v>
      </c>
      <c r="D12290" s="960"/>
      <c r="E12290" s="943" t="str">
        <f>+E12263</f>
        <v>M</v>
      </c>
      <c r="F12290" s="1070"/>
      <c r="G12290" s="960"/>
      <c r="H12290" s="1033"/>
      <c r="I12290" s="952">
        <f>SUM(I12284:I12287)</f>
        <v>26980.560000000001</v>
      </c>
    </row>
    <row r="12291" spans="2:9" ht="15.75">
      <c r="C12291" s="951"/>
      <c r="D12291" s="960">
        <v>25</v>
      </c>
      <c r="E12291" s="943" t="s">
        <v>1558</v>
      </c>
      <c r="F12291" s="1070"/>
      <c r="G12291" s="960"/>
      <c r="H12291" s="1033"/>
      <c r="I12291" s="952"/>
    </row>
    <row r="12292" spans="2:9" ht="15.75">
      <c r="C12292" s="951"/>
      <c r="D12292" s="960"/>
      <c r="E12292" s="943" t="s">
        <v>15</v>
      </c>
      <c r="F12292" s="1070"/>
      <c r="G12292" s="960"/>
      <c r="H12292" s="1033"/>
      <c r="I12292" s="952">
        <f>+I12290/D12291</f>
        <v>1079.22</v>
      </c>
    </row>
    <row r="12293" spans="2:9" ht="15.75">
      <c r="C12293" s="951"/>
      <c r="D12293" s="960"/>
      <c r="E12293" s="943"/>
      <c r="F12293" s="1070"/>
      <c r="G12293" s="960"/>
      <c r="H12293" s="1033"/>
      <c r="I12293" s="952"/>
    </row>
    <row r="12294" spans="2:9" ht="15.75">
      <c r="B12294" s="1026">
        <v>6.1</v>
      </c>
      <c r="C12294" s="937" t="str">
        <f>+Presupuesto!B704</f>
        <v>Inodoro completo</v>
      </c>
      <c r="D12294" s="938"/>
      <c r="E12294" s="962" t="s">
        <v>10</v>
      </c>
      <c r="F12294" s="1066"/>
      <c r="G12294" s="938"/>
      <c r="H12294" s="1029"/>
      <c r="I12294" s="940">
        <f>+I12317</f>
        <v>13056</v>
      </c>
    </row>
    <row r="12295" spans="2:9" ht="15.75">
      <c r="C12295" s="941" t="s">
        <v>908</v>
      </c>
      <c r="D12295" s="942" t="s">
        <v>9</v>
      </c>
      <c r="E12295" s="943" t="s">
        <v>10</v>
      </c>
      <c r="F12295" s="1067" t="s">
        <v>909</v>
      </c>
      <c r="G12295" s="942" t="s">
        <v>910</v>
      </c>
      <c r="H12295" s="1030" t="s">
        <v>911</v>
      </c>
      <c r="I12295" s="944" t="s">
        <v>912</v>
      </c>
    </row>
    <row r="12296" spans="2:9" ht="15.75">
      <c r="C12296" s="945" t="s">
        <v>913</v>
      </c>
      <c r="D12296" s="946"/>
      <c r="E12296" s="947"/>
      <c r="F12296" s="1054"/>
      <c r="G12296" s="946"/>
      <c r="H12296" s="1031"/>
      <c r="I12296" s="948"/>
    </row>
    <row r="12297" spans="2:9" ht="15.75">
      <c r="C12297" s="949" t="s">
        <v>1596</v>
      </c>
      <c r="D12297" s="946">
        <v>1.02</v>
      </c>
      <c r="E12297" s="947" t="str">
        <f>+VLOOKUP(C12297,'Basic (equilibrio) (2)'!B:D,2,FALSE)</f>
        <v>ud</v>
      </c>
      <c r="F12297" s="1068">
        <f>'Basic (equilibrio) (2)'!$D$208</f>
        <v>12800</v>
      </c>
      <c r="G12297" s="946">
        <f>F12297-(F12297/1.18)</f>
        <v>1952.54</v>
      </c>
      <c r="H12297" s="1031"/>
      <c r="I12297" s="948">
        <f>D12297*F12297</f>
        <v>13056</v>
      </c>
    </row>
    <row r="12298" spans="2:9" ht="15.75">
      <c r="C12298" s="951" t="s">
        <v>918</v>
      </c>
      <c r="D12298" s="946"/>
      <c r="E12298" s="947"/>
      <c r="F12298" s="1068"/>
      <c r="G12298" s="946"/>
      <c r="H12298" s="1031"/>
      <c r="I12298" s="952">
        <f>SUM(I12297:I12297)</f>
        <v>13056</v>
      </c>
    </row>
    <row r="12299" spans="2:9" ht="15.75">
      <c r="C12299" s="949"/>
      <c r="D12299" s="946"/>
      <c r="E12299" s="947"/>
      <c r="F12299" s="1068"/>
      <c r="G12299" s="946"/>
      <c r="H12299" s="1031"/>
      <c r="I12299" s="948"/>
    </row>
    <row r="12300" spans="2:9" ht="15.75">
      <c r="C12300" s="945" t="s">
        <v>919</v>
      </c>
      <c r="D12300" s="946"/>
      <c r="E12300" s="947"/>
      <c r="F12300" s="1068"/>
      <c r="G12300" s="946"/>
      <c r="H12300" s="1031"/>
      <c r="I12300" s="948"/>
    </row>
    <row r="12301" spans="2:9" ht="15.75">
      <c r="C12301" s="949" t="s">
        <v>924</v>
      </c>
      <c r="D12301" s="953"/>
      <c r="E12301" s="954" t="str">
        <f>+VLOOKUP(C12301,'Basic (equilibrio) (2)'!B:D,2,FALSE)</f>
        <v>n/a</v>
      </c>
      <c r="F12301" s="1068">
        <f>+VLOOKUP(C12301,'Basic (equilibrio) (2)'!B:D,3,FALSE)</f>
        <v>0</v>
      </c>
      <c r="G12301" s="946">
        <v>0</v>
      </c>
      <c r="H12301" s="1031"/>
      <c r="I12301" s="948">
        <f>(D12301*F12301)</f>
        <v>0</v>
      </c>
    </row>
    <row r="12302" spans="2:9" ht="15.75">
      <c r="C12302" s="951" t="s">
        <v>918</v>
      </c>
      <c r="D12302" s="946"/>
      <c r="E12302" s="947"/>
      <c r="F12302" s="1054"/>
      <c r="G12302" s="946"/>
      <c r="H12302" s="1031"/>
      <c r="I12302" s="952">
        <f>SUM(I12301:I12301)</f>
        <v>0</v>
      </c>
    </row>
    <row r="12303" spans="2:9" ht="15.75">
      <c r="C12303" s="949"/>
      <c r="D12303" s="946"/>
      <c r="E12303" s="947"/>
      <c r="F12303" s="1054"/>
      <c r="G12303" s="946"/>
      <c r="H12303" s="1031"/>
      <c r="I12303" s="948"/>
    </row>
    <row r="12304" spans="2:9" ht="15.75">
      <c r="C12304" s="945" t="s">
        <v>923</v>
      </c>
      <c r="D12304" s="946"/>
      <c r="E12304" s="947"/>
      <c r="F12304" s="1054"/>
      <c r="G12304" s="946"/>
      <c r="H12304" s="1031"/>
      <c r="I12304" s="948"/>
    </row>
    <row r="12305" spans="2:9" ht="15.75">
      <c r="C12305" s="949" t="s">
        <v>924</v>
      </c>
      <c r="D12305" s="946"/>
      <c r="E12305" s="947" t="str">
        <f>+VLOOKUP(C12305,'Basic (equilibrio) (2)'!B:D,2,FALSE)</f>
        <v>n/a</v>
      </c>
      <c r="F12305" s="1054">
        <f>+VLOOKUP(C12305,'Basic (equilibrio) (2)'!B:D,3,FALSE)</f>
        <v>0</v>
      </c>
      <c r="G12305" s="946">
        <f>F12305-(F12305/1.18)</f>
        <v>0</v>
      </c>
      <c r="H12305" s="1039"/>
      <c r="I12305" s="955">
        <f>D12305*F12305</f>
        <v>0</v>
      </c>
    </row>
    <row r="12306" spans="2:9" ht="15.75">
      <c r="C12306" s="951" t="s">
        <v>918</v>
      </c>
      <c r="D12306" s="946"/>
      <c r="E12306" s="947"/>
      <c r="F12306" s="1054"/>
      <c r="G12306" s="946"/>
      <c r="H12306" s="1031"/>
      <c r="I12306" s="952">
        <f>SUM(I12305:I12305)</f>
        <v>0</v>
      </c>
    </row>
    <row r="12307" spans="2:9" ht="15.75">
      <c r="C12307" s="949"/>
      <c r="D12307" s="946"/>
      <c r="E12307" s="947"/>
      <c r="F12307" s="1054"/>
      <c r="G12307" s="946"/>
      <c r="H12307" s="1031"/>
      <c r="I12307" s="948"/>
    </row>
    <row r="12308" spans="2:9" ht="15.75">
      <c r="C12308" s="945" t="s">
        <v>925</v>
      </c>
      <c r="D12308" s="946"/>
      <c r="E12308" s="947"/>
      <c r="F12308" s="1054"/>
      <c r="G12308" s="946"/>
      <c r="H12308" s="1031"/>
      <c r="I12308" s="948"/>
    </row>
    <row r="12309" spans="2:9" ht="15.75">
      <c r="C12309" s="949" t="s">
        <v>924</v>
      </c>
      <c r="D12309" s="946"/>
      <c r="E12309" s="947" t="str">
        <f>+VLOOKUP(C12309,'Basic (equilibrio) (2)'!B:D,2,FALSE)</f>
        <v>n/a</v>
      </c>
      <c r="F12309" s="1054">
        <f>+VLOOKUP(C12309,'Basic (equilibrio) (2)'!B:D,3,FALSE)</f>
        <v>0</v>
      </c>
      <c r="G12309" s="946"/>
      <c r="H12309" s="1031"/>
      <c r="I12309" s="948">
        <f>D12309*F12309</f>
        <v>0</v>
      </c>
    </row>
    <row r="12310" spans="2:9" ht="15.75">
      <c r="C12310" s="951" t="s">
        <v>918</v>
      </c>
      <c r="D12310" s="946"/>
      <c r="E12310" s="947"/>
      <c r="F12310" s="1054"/>
      <c r="G12310" s="946"/>
      <c r="H12310" s="1031"/>
      <c r="I12310" s="952">
        <f>SUM(I12309)</f>
        <v>0</v>
      </c>
    </row>
    <row r="12311" spans="2:9" ht="15.75">
      <c r="C12311" s="951"/>
      <c r="D12311" s="946"/>
      <c r="E12311" s="947"/>
      <c r="F12311" s="1054"/>
      <c r="G12311" s="946"/>
      <c r="H12311" s="1031"/>
      <c r="I12311" s="952"/>
    </row>
    <row r="12312" spans="2:9" ht="15.75">
      <c r="C12312" s="956" t="s">
        <v>926</v>
      </c>
      <c r="D12312" s="957"/>
      <c r="E12312" s="958"/>
      <c r="F12312" s="1069"/>
      <c r="G12312" s="957"/>
      <c r="H12312" s="1032"/>
      <c r="I12312" s="959">
        <f>+I12298</f>
        <v>13056</v>
      </c>
    </row>
    <row r="12313" spans="2:9" ht="15.75">
      <c r="C12313" s="956" t="s">
        <v>927</v>
      </c>
      <c r="D12313" s="957"/>
      <c r="E12313" s="958"/>
      <c r="F12313" s="1069"/>
      <c r="G12313" s="957"/>
      <c r="H12313" s="1032"/>
      <c r="I12313" s="959">
        <f>+I12302</f>
        <v>0</v>
      </c>
    </row>
    <row r="12314" spans="2:9" ht="15.75">
      <c r="C12314" s="956" t="s">
        <v>928</v>
      </c>
      <c r="D12314" s="957"/>
      <c r="E12314" s="958"/>
      <c r="F12314" s="1069"/>
      <c r="G12314" s="957"/>
      <c r="H12314" s="1032"/>
      <c r="I12314" s="959">
        <f>+I12306</f>
        <v>0</v>
      </c>
    </row>
    <row r="12315" spans="2:9" ht="15.75">
      <c r="C12315" s="956" t="s">
        <v>929</v>
      </c>
      <c r="D12315" s="957"/>
      <c r="E12315" s="958"/>
      <c r="F12315" s="1069"/>
      <c r="G12315" s="957"/>
      <c r="H12315" s="1032"/>
      <c r="I12315" s="959">
        <f>+I12310</f>
        <v>0</v>
      </c>
    </row>
    <row r="12316" spans="2:9" ht="15.75">
      <c r="C12316" s="949"/>
      <c r="D12316" s="946"/>
      <c r="E12316" s="947"/>
      <c r="F12316" s="1054"/>
      <c r="G12316" s="946"/>
      <c r="H12316" s="1031"/>
      <c r="I12316" s="948"/>
    </row>
    <row r="12317" spans="2:9" ht="15.75">
      <c r="C12317" s="951" t="s">
        <v>930</v>
      </c>
      <c r="D12317" s="960"/>
      <c r="E12317" s="975" t="str">
        <f>+E12294</f>
        <v>Ud</v>
      </c>
      <c r="F12317" s="1070"/>
      <c r="G12317" s="960"/>
      <c r="H12317" s="1033"/>
      <c r="I12317" s="952">
        <f>SUM(I12312:I12315)</f>
        <v>13056</v>
      </c>
    </row>
    <row r="12318" spans="2:9" ht="15.75">
      <c r="C12318" s="951"/>
      <c r="D12318" s="960"/>
      <c r="E12318" s="943"/>
      <c r="F12318" s="1070"/>
      <c r="G12318" s="960"/>
      <c r="H12318" s="1033"/>
      <c r="I12318" s="952"/>
    </row>
    <row r="12319" spans="2:9" ht="15.75">
      <c r="B12319" s="1026">
        <v>6.2</v>
      </c>
      <c r="C12319" s="937" t="str">
        <f>+Presupuesto!B705</f>
        <v xml:space="preserve">Lavamanos blanco para empotrar incluye mezcladora </v>
      </c>
      <c r="D12319" s="938"/>
      <c r="E12319" s="962" t="s">
        <v>10</v>
      </c>
      <c r="F12319" s="1066"/>
      <c r="G12319" s="938"/>
      <c r="H12319" s="1029"/>
      <c r="I12319" s="940">
        <f>+I12342</f>
        <v>11034.77</v>
      </c>
    </row>
    <row r="12320" spans="2:9" ht="15.75">
      <c r="C12320" s="941" t="s">
        <v>908</v>
      </c>
      <c r="D12320" s="942" t="s">
        <v>9</v>
      </c>
      <c r="E12320" s="943" t="s">
        <v>10</v>
      </c>
      <c r="F12320" s="1067" t="s">
        <v>909</v>
      </c>
      <c r="G12320" s="942" t="s">
        <v>910</v>
      </c>
      <c r="H12320" s="1030" t="s">
        <v>911</v>
      </c>
      <c r="I12320" s="944" t="s">
        <v>912</v>
      </c>
    </row>
    <row r="12321" spans="3:9" ht="15.75">
      <c r="C12321" s="945" t="s">
        <v>913</v>
      </c>
      <c r="D12321" s="946"/>
      <c r="E12321" s="947"/>
      <c r="F12321" s="1054"/>
      <c r="G12321" s="946"/>
      <c r="H12321" s="1031"/>
      <c r="I12321" s="948"/>
    </row>
    <row r="12322" spans="3:9" ht="15.75">
      <c r="C12322" s="949" t="s">
        <v>1597</v>
      </c>
      <c r="D12322" s="946">
        <v>1.02</v>
      </c>
      <c r="E12322" s="947" t="str">
        <f>+VLOOKUP(C12322,'Basic (equilibrio) (2)'!B:D,2,FALSE)</f>
        <v>ud</v>
      </c>
      <c r="F12322" s="1068">
        <f>'Basic (equilibrio) (2)'!$D$209</f>
        <v>10818.4</v>
      </c>
      <c r="G12322" s="946">
        <f>F12322-(F12322/1.18)</f>
        <v>1650.26</v>
      </c>
      <c r="H12322" s="1031"/>
      <c r="I12322" s="948">
        <f>D12322*F12322</f>
        <v>11034.77</v>
      </c>
    </row>
    <row r="12323" spans="3:9" ht="15.75">
      <c r="C12323" s="951" t="s">
        <v>918</v>
      </c>
      <c r="D12323" s="946"/>
      <c r="E12323" s="947"/>
      <c r="F12323" s="1068"/>
      <c r="G12323" s="946"/>
      <c r="H12323" s="1031"/>
      <c r="I12323" s="952">
        <f>SUM(I12322:I12322)</f>
        <v>11034.77</v>
      </c>
    </row>
    <row r="12324" spans="3:9" ht="15.75">
      <c r="C12324" s="949"/>
      <c r="D12324" s="946"/>
      <c r="E12324" s="947"/>
      <c r="F12324" s="1068"/>
      <c r="G12324" s="946"/>
      <c r="H12324" s="1031"/>
      <c r="I12324" s="948"/>
    </row>
    <row r="12325" spans="3:9" ht="15.75">
      <c r="C12325" s="945" t="s">
        <v>919</v>
      </c>
      <c r="D12325" s="946"/>
      <c r="E12325" s="947"/>
      <c r="F12325" s="1068"/>
      <c r="G12325" s="946"/>
      <c r="H12325" s="1031"/>
      <c r="I12325" s="948"/>
    </row>
    <row r="12326" spans="3:9" ht="15.75">
      <c r="C12326" s="949" t="s">
        <v>924</v>
      </c>
      <c r="D12326" s="953"/>
      <c r="E12326" s="954" t="str">
        <f>+VLOOKUP(C12326,'Basic (equilibrio) (2)'!B:D,2,FALSE)</f>
        <v>n/a</v>
      </c>
      <c r="F12326" s="1068">
        <f>+VLOOKUP(C12326,'Basic (equilibrio) (2)'!B:D,3,FALSE)</f>
        <v>0</v>
      </c>
      <c r="G12326" s="946">
        <v>0</v>
      </c>
      <c r="H12326" s="1031"/>
      <c r="I12326" s="948">
        <f>(D12326*F12326)</f>
        <v>0</v>
      </c>
    </row>
    <row r="12327" spans="3:9" ht="15.75">
      <c r="C12327" s="951" t="s">
        <v>918</v>
      </c>
      <c r="D12327" s="946"/>
      <c r="E12327" s="947"/>
      <c r="F12327" s="1054"/>
      <c r="G12327" s="946"/>
      <c r="H12327" s="1031"/>
      <c r="I12327" s="952">
        <f>SUM(I12326:I12326)</f>
        <v>0</v>
      </c>
    </row>
    <row r="12328" spans="3:9" ht="15.75">
      <c r="C12328" s="949"/>
      <c r="D12328" s="946"/>
      <c r="E12328" s="947"/>
      <c r="F12328" s="1054"/>
      <c r="G12328" s="946"/>
      <c r="H12328" s="1031"/>
      <c r="I12328" s="948"/>
    </row>
    <row r="12329" spans="3:9" ht="15.75">
      <c r="C12329" s="945" t="s">
        <v>923</v>
      </c>
      <c r="D12329" s="946"/>
      <c r="E12329" s="947"/>
      <c r="F12329" s="1054"/>
      <c r="G12329" s="946"/>
      <c r="H12329" s="1031"/>
      <c r="I12329" s="948"/>
    </row>
    <row r="12330" spans="3:9" ht="15.75">
      <c r="C12330" s="949" t="s">
        <v>924</v>
      </c>
      <c r="D12330" s="946"/>
      <c r="E12330" s="947" t="str">
        <f>+VLOOKUP(C12330,'Basic (equilibrio) (2)'!B:D,2,FALSE)</f>
        <v>n/a</v>
      </c>
      <c r="F12330" s="1054">
        <f>+VLOOKUP(C12330,'Basic (equilibrio) (2)'!B:D,3,FALSE)</f>
        <v>0</v>
      </c>
      <c r="G12330" s="946">
        <f>F12330-(F12330/1.18)</f>
        <v>0</v>
      </c>
      <c r="H12330" s="1039"/>
      <c r="I12330" s="955">
        <f>D12330*F12330</f>
        <v>0</v>
      </c>
    </row>
    <row r="12331" spans="3:9" ht="15.75">
      <c r="C12331" s="951" t="s">
        <v>918</v>
      </c>
      <c r="D12331" s="946"/>
      <c r="E12331" s="947"/>
      <c r="F12331" s="1054"/>
      <c r="G12331" s="946"/>
      <c r="H12331" s="1031"/>
      <c r="I12331" s="952">
        <f>SUM(I12330:I12330)</f>
        <v>0</v>
      </c>
    </row>
    <row r="12332" spans="3:9" ht="15.75">
      <c r="C12332" s="949"/>
      <c r="D12332" s="946"/>
      <c r="E12332" s="947"/>
      <c r="F12332" s="1054"/>
      <c r="G12332" s="946"/>
      <c r="H12332" s="1031"/>
      <c r="I12332" s="948"/>
    </row>
    <row r="12333" spans="3:9" ht="15.75">
      <c r="C12333" s="945" t="s">
        <v>925</v>
      </c>
      <c r="D12333" s="946"/>
      <c r="E12333" s="947"/>
      <c r="F12333" s="1054"/>
      <c r="G12333" s="946"/>
      <c r="H12333" s="1031"/>
      <c r="I12333" s="948"/>
    </row>
    <row r="12334" spans="3:9" ht="15.75">
      <c r="C12334" s="949" t="s">
        <v>924</v>
      </c>
      <c r="D12334" s="946"/>
      <c r="E12334" s="947" t="str">
        <f>+VLOOKUP(C12334,'Basic (equilibrio) (2)'!B:D,2,FALSE)</f>
        <v>n/a</v>
      </c>
      <c r="F12334" s="1054">
        <f>+VLOOKUP(C12334,'Basic (equilibrio) (2)'!B:D,3,FALSE)</f>
        <v>0</v>
      </c>
      <c r="G12334" s="946"/>
      <c r="H12334" s="1031"/>
      <c r="I12334" s="948">
        <f>D12334*F12334</f>
        <v>0</v>
      </c>
    </row>
    <row r="12335" spans="3:9" ht="15.75">
      <c r="C12335" s="951" t="s">
        <v>918</v>
      </c>
      <c r="D12335" s="946"/>
      <c r="E12335" s="947"/>
      <c r="F12335" s="1054"/>
      <c r="G12335" s="946"/>
      <c r="H12335" s="1031"/>
      <c r="I12335" s="952">
        <f>SUM(I12334)</f>
        <v>0</v>
      </c>
    </row>
    <row r="12336" spans="3:9" ht="15.75">
      <c r="C12336" s="951"/>
      <c r="D12336" s="946"/>
      <c r="E12336" s="947"/>
      <c r="F12336" s="1054"/>
      <c r="G12336" s="946"/>
      <c r="H12336" s="1031"/>
      <c r="I12336" s="952"/>
    </row>
    <row r="12337" spans="2:9" ht="15.75">
      <c r="C12337" s="956" t="s">
        <v>926</v>
      </c>
      <c r="D12337" s="957"/>
      <c r="E12337" s="958"/>
      <c r="F12337" s="1069"/>
      <c r="G12337" s="957"/>
      <c r="H12337" s="1032"/>
      <c r="I12337" s="959">
        <f>+I12323</f>
        <v>11034.77</v>
      </c>
    </row>
    <row r="12338" spans="2:9" ht="15.75">
      <c r="C12338" s="956" t="s">
        <v>927</v>
      </c>
      <c r="D12338" s="957"/>
      <c r="E12338" s="958"/>
      <c r="F12338" s="1069"/>
      <c r="G12338" s="957"/>
      <c r="H12338" s="1032"/>
      <c r="I12338" s="959">
        <f>+I12327</f>
        <v>0</v>
      </c>
    </row>
    <row r="12339" spans="2:9" ht="15.75">
      <c r="C12339" s="956" t="s">
        <v>928</v>
      </c>
      <c r="D12339" s="957"/>
      <c r="E12339" s="958"/>
      <c r="F12339" s="1069"/>
      <c r="G12339" s="957"/>
      <c r="H12339" s="1032"/>
      <c r="I12339" s="959">
        <f>+I12331</f>
        <v>0</v>
      </c>
    </row>
    <row r="12340" spans="2:9" ht="15.75">
      <c r="C12340" s="956" t="s">
        <v>929</v>
      </c>
      <c r="D12340" s="957"/>
      <c r="E12340" s="958"/>
      <c r="F12340" s="1069"/>
      <c r="G12340" s="957"/>
      <c r="H12340" s="1032"/>
      <c r="I12340" s="959">
        <f>+I12335</f>
        <v>0</v>
      </c>
    </row>
    <row r="12341" spans="2:9" ht="15.75">
      <c r="C12341" s="949"/>
      <c r="D12341" s="946"/>
      <c r="E12341" s="947"/>
      <c r="F12341" s="1054"/>
      <c r="G12341" s="946"/>
      <c r="H12341" s="1031"/>
      <c r="I12341" s="948"/>
    </row>
    <row r="12342" spans="2:9" ht="15.75">
      <c r="C12342" s="951" t="s">
        <v>930</v>
      </c>
      <c r="D12342" s="960"/>
      <c r="E12342" s="975" t="str">
        <f>+E12319</f>
        <v>Ud</v>
      </c>
      <c r="F12342" s="1070"/>
      <c r="G12342" s="960"/>
      <c r="H12342" s="1033"/>
      <c r="I12342" s="952">
        <f>SUM(I12337:I12340)</f>
        <v>11034.77</v>
      </c>
    </row>
    <row r="12343" spans="2:9" ht="15.75">
      <c r="C12343" s="951"/>
      <c r="D12343" s="960"/>
      <c r="E12343" s="943"/>
      <c r="F12343" s="1070"/>
      <c r="G12343" s="960"/>
      <c r="H12343" s="1033"/>
      <c r="I12343" s="952"/>
    </row>
    <row r="12344" spans="2:9" ht="15.75">
      <c r="B12344" s="1026">
        <v>6.3</v>
      </c>
      <c r="C12344" s="937" t="str">
        <f>+Presupuesto!B706</f>
        <v xml:space="preserve">Urinales </v>
      </c>
      <c r="D12344" s="938"/>
      <c r="E12344" s="962" t="s">
        <v>10</v>
      </c>
      <c r="F12344" s="1066"/>
      <c r="G12344" s="938"/>
      <c r="H12344" s="1029"/>
      <c r="I12344" s="940">
        <f>+I12367</f>
        <v>19227</v>
      </c>
    </row>
    <row r="12345" spans="2:9" ht="15.75">
      <c r="C12345" s="941" t="s">
        <v>908</v>
      </c>
      <c r="D12345" s="942" t="s">
        <v>9</v>
      </c>
      <c r="E12345" s="943" t="s">
        <v>10</v>
      </c>
      <c r="F12345" s="1067" t="s">
        <v>909</v>
      </c>
      <c r="G12345" s="942" t="s">
        <v>910</v>
      </c>
      <c r="H12345" s="1030" t="s">
        <v>911</v>
      </c>
      <c r="I12345" s="944" t="s">
        <v>912</v>
      </c>
    </row>
    <row r="12346" spans="2:9" ht="15.75">
      <c r="C12346" s="945" t="s">
        <v>913</v>
      </c>
      <c r="D12346" s="946"/>
      <c r="E12346" s="947"/>
      <c r="F12346" s="1054"/>
      <c r="G12346" s="946"/>
      <c r="H12346" s="1031"/>
      <c r="I12346" s="948"/>
    </row>
    <row r="12347" spans="2:9" ht="15.75">
      <c r="C12347" s="949" t="s">
        <v>1687</v>
      </c>
      <c r="D12347" s="946">
        <v>1.02</v>
      </c>
      <c r="E12347" s="947" t="str">
        <f>+VLOOKUP(C12347,'Basic (equilibrio) (2)'!B:D,2,FALSE)</f>
        <v>ud</v>
      </c>
      <c r="F12347" s="1068">
        <f>'Basic (equilibrio) (2)'!$D$210</f>
        <v>18850</v>
      </c>
      <c r="G12347" s="946">
        <f>F12347-(F12347/1.18)</f>
        <v>2875.42</v>
      </c>
      <c r="H12347" s="1031"/>
      <c r="I12347" s="948">
        <f>D12347*F12347</f>
        <v>19227</v>
      </c>
    </row>
    <row r="12348" spans="2:9" ht="15.75">
      <c r="C12348" s="951" t="s">
        <v>918</v>
      </c>
      <c r="D12348" s="946"/>
      <c r="E12348" s="947"/>
      <c r="F12348" s="1068"/>
      <c r="G12348" s="946"/>
      <c r="H12348" s="1031"/>
      <c r="I12348" s="952">
        <f>SUM(I12347:I12347)</f>
        <v>19227</v>
      </c>
    </row>
    <row r="12349" spans="2:9" ht="15.75">
      <c r="C12349" s="949"/>
      <c r="D12349" s="946"/>
      <c r="E12349" s="947"/>
      <c r="F12349" s="1068"/>
      <c r="G12349" s="946"/>
      <c r="H12349" s="1031"/>
      <c r="I12349" s="948"/>
    </row>
    <row r="12350" spans="2:9" ht="15.75">
      <c r="C12350" s="945" t="s">
        <v>919</v>
      </c>
      <c r="D12350" s="946"/>
      <c r="E12350" s="947"/>
      <c r="F12350" s="1068"/>
      <c r="G12350" s="946"/>
      <c r="H12350" s="1031"/>
      <c r="I12350" s="948"/>
    </row>
    <row r="12351" spans="2:9" ht="15.75">
      <c r="C12351" s="949" t="s">
        <v>924</v>
      </c>
      <c r="D12351" s="953"/>
      <c r="E12351" s="954" t="str">
        <f>+VLOOKUP(C12351,'Basic (equilibrio) (2)'!B:D,2,FALSE)</f>
        <v>n/a</v>
      </c>
      <c r="F12351" s="1068">
        <f>+VLOOKUP(C12351,'Basic (equilibrio) (2)'!B:D,3,FALSE)</f>
        <v>0</v>
      </c>
      <c r="G12351" s="946">
        <v>0</v>
      </c>
      <c r="H12351" s="1031"/>
      <c r="I12351" s="948">
        <f>(D12351*F12351)</f>
        <v>0</v>
      </c>
    </row>
    <row r="12352" spans="2:9" ht="15.75">
      <c r="C12352" s="951" t="s">
        <v>918</v>
      </c>
      <c r="D12352" s="946"/>
      <c r="E12352" s="947"/>
      <c r="F12352" s="1054"/>
      <c r="G12352" s="946"/>
      <c r="H12352" s="1031"/>
      <c r="I12352" s="952">
        <f>SUM(I12351:I12351)</f>
        <v>0</v>
      </c>
    </row>
    <row r="12353" spans="3:9" ht="15.75">
      <c r="C12353" s="949"/>
      <c r="D12353" s="946"/>
      <c r="E12353" s="947"/>
      <c r="F12353" s="1054"/>
      <c r="G12353" s="946"/>
      <c r="H12353" s="1031"/>
      <c r="I12353" s="948"/>
    </row>
    <row r="12354" spans="3:9" ht="15.75">
      <c r="C12354" s="945" t="s">
        <v>923</v>
      </c>
      <c r="D12354" s="946"/>
      <c r="E12354" s="947"/>
      <c r="F12354" s="1054"/>
      <c r="G12354" s="946"/>
      <c r="H12354" s="1031"/>
      <c r="I12354" s="948"/>
    </row>
    <row r="12355" spans="3:9" ht="15.75">
      <c r="C12355" s="949" t="s">
        <v>924</v>
      </c>
      <c r="D12355" s="946"/>
      <c r="E12355" s="947" t="str">
        <f>+VLOOKUP(C12355,'Basic (equilibrio) (2)'!B:D,2,FALSE)</f>
        <v>n/a</v>
      </c>
      <c r="F12355" s="1054">
        <f>+VLOOKUP(C12355,'Basic (equilibrio) (2)'!B:D,3,FALSE)</f>
        <v>0</v>
      </c>
      <c r="G12355" s="946">
        <f>F12355-(F12355/1.18)</f>
        <v>0</v>
      </c>
      <c r="H12355" s="1039"/>
      <c r="I12355" s="955">
        <f>D12355*F12355</f>
        <v>0</v>
      </c>
    </row>
    <row r="12356" spans="3:9" ht="15.75">
      <c r="C12356" s="951" t="s">
        <v>918</v>
      </c>
      <c r="D12356" s="946"/>
      <c r="E12356" s="947"/>
      <c r="F12356" s="1054"/>
      <c r="G12356" s="946"/>
      <c r="H12356" s="1031"/>
      <c r="I12356" s="952">
        <f>SUM(I12355:I12355)</f>
        <v>0</v>
      </c>
    </row>
    <row r="12357" spans="3:9" ht="15.75">
      <c r="C12357" s="949"/>
      <c r="D12357" s="946"/>
      <c r="E12357" s="947"/>
      <c r="F12357" s="1054"/>
      <c r="G12357" s="946"/>
      <c r="H12357" s="1031"/>
      <c r="I12357" s="948"/>
    </row>
    <row r="12358" spans="3:9" ht="15.75">
      <c r="C12358" s="945" t="s">
        <v>925</v>
      </c>
      <c r="D12358" s="946"/>
      <c r="E12358" s="947"/>
      <c r="F12358" s="1054"/>
      <c r="G12358" s="946"/>
      <c r="H12358" s="1031"/>
      <c r="I12358" s="948"/>
    </row>
    <row r="12359" spans="3:9" ht="15.75">
      <c r="C12359" s="949" t="s">
        <v>924</v>
      </c>
      <c r="D12359" s="946"/>
      <c r="E12359" s="947" t="str">
        <f>+VLOOKUP(C12359,'Basic (equilibrio) (2)'!B:D,2,FALSE)</f>
        <v>n/a</v>
      </c>
      <c r="F12359" s="1054">
        <f>+VLOOKUP(C12359,'Basic (equilibrio) (2)'!B:D,3,FALSE)</f>
        <v>0</v>
      </c>
      <c r="G12359" s="946"/>
      <c r="H12359" s="1031"/>
      <c r="I12359" s="948">
        <f>D12359*F12359</f>
        <v>0</v>
      </c>
    </row>
    <row r="12360" spans="3:9" ht="15.75">
      <c r="C12360" s="951" t="s">
        <v>918</v>
      </c>
      <c r="D12360" s="946"/>
      <c r="E12360" s="947"/>
      <c r="F12360" s="1054"/>
      <c r="G12360" s="946"/>
      <c r="H12360" s="1031"/>
      <c r="I12360" s="952">
        <f>SUM(I12359)</f>
        <v>0</v>
      </c>
    </row>
    <row r="12361" spans="3:9" ht="15.75">
      <c r="C12361" s="951"/>
      <c r="D12361" s="946"/>
      <c r="E12361" s="947"/>
      <c r="F12361" s="1054"/>
      <c r="G12361" s="946"/>
      <c r="H12361" s="1031"/>
      <c r="I12361" s="952"/>
    </row>
    <row r="12362" spans="3:9" ht="15.75">
      <c r="C12362" s="956" t="s">
        <v>926</v>
      </c>
      <c r="D12362" s="957"/>
      <c r="E12362" s="958"/>
      <c r="F12362" s="1069"/>
      <c r="G12362" s="957"/>
      <c r="H12362" s="1032"/>
      <c r="I12362" s="959">
        <f>+I12348</f>
        <v>19227</v>
      </c>
    </row>
    <row r="12363" spans="3:9" ht="15.75">
      <c r="C12363" s="956" t="s">
        <v>927</v>
      </c>
      <c r="D12363" s="957"/>
      <c r="E12363" s="958"/>
      <c r="F12363" s="1069"/>
      <c r="G12363" s="957"/>
      <c r="H12363" s="1032"/>
      <c r="I12363" s="959">
        <f>+I12352</f>
        <v>0</v>
      </c>
    </row>
    <row r="12364" spans="3:9" ht="15.75">
      <c r="C12364" s="956" t="s">
        <v>928</v>
      </c>
      <c r="D12364" s="957"/>
      <c r="E12364" s="958"/>
      <c r="F12364" s="1069"/>
      <c r="G12364" s="957"/>
      <c r="H12364" s="1032"/>
      <c r="I12364" s="959">
        <f>+I12356</f>
        <v>0</v>
      </c>
    </row>
    <row r="12365" spans="3:9" ht="15.75">
      <c r="C12365" s="956" t="s">
        <v>929</v>
      </c>
      <c r="D12365" s="957"/>
      <c r="E12365" s="958"/>
      <c r="F12365" s="1069"/>
      <c r="G12365" s="957"/>
      <c r="H12365" s="1032"/>
      <c r="I12365" s="959">
        <f>+I12360</f>
        <v>0</v>
      </c>
    </row>
    <row r="12366" spans="3:9" ht="15.75">
      <c r="C12366" s="949"/>
      <c r="D12366" s="946"/>
      <c r="E12366" s="947"/>
      <c r="F12366" s="1054"/>
      <c r="G12366" s="946"/>
      <c r="H12366" s="1031"/>
      <c r="I12366" s="948"/>
    </row>
    <row r="12367" spans="3:9" ht="15.75">
      <c r="C12367" s="951" t="s">
        <v>930</v>
      </c>
      <c r="D12367" s="960"/>
      <c r="E12367" s="975" t="str">
        <f>+E12344</f>
        <v>Ud</v>
      </c>
      <c r="F12367" s="1070"/>
      <c r="G12367" s="960"/>
      <c r="H12367" s="1033"/>
      <c r="I12367" s="952">
        <f>SUM(I12362:I12365)</f>
        <v>19227</v>
      </c>
    </row>
    <row r="12368" spans="3:9" ht="15.75">
      <c r="C12368" s="951"/>
      <c r="D12368" s="960"/>
      <c r="E12368" s="943"/>
      <c r="F12368" s="1070"/>
      <c r="G12368" s="960"/>
      <c r="H12368" s="1033"/>
      <c r="I12368" s="952"/>
    </row>
    <row r="12369" spans="2:9" ht="15.75">
      <c r="B12369" s="1026">
        <v>6.4</v>
      </c>
      <c r="C12369" s="937" t="str">
        <f>+Presupuesto!B707</f>
        <v>Tope en granito natural brasil, todo costo</v>
      </c>
      <c r="D12369" s="938"/>
      <c r="E12369" s="962" t="s">
        <v>10</v>
      </c>
      <c r="F12369" s="1066"/>
      <c r="G12369" s="938"/>
      <c r="H12369" s="1029"/>
      <c r="I12369" s="940">
        <f>+I12392</f>
        <v>9690</v>
      </c>
    </row>
    <row r="12370" spans="2:9" ht="15.75">
      <c r="C12370" s="941" t="s">
        <v>908</v>
      </c>
      <c r="D12370" s="942" t="s">
        <v>9</v>
      </c>
      <c r="E12370" s="943" t="s">
        <v>10</v>
      </c>
      <c r="F12370" s="1067" t="s">
        <v>909</v>
      </c>
      <c r="G12370" s="942" t="s">
        <v>910</v>
      </c>
      <c r="H12370" s="1030" t="s">
        <v>911</v>
      </c>
      <c r="I12370" s="944" t="s">
        <v>912</v>
      </c>
    </row>
    <row r="12371" spans="2:9" ht="15.75">
      <c r="C12371" s="945" t="s">
        <v>913</v>
      </c>
      <c r="D12371" s="946"/>
      <c r="E12371" s="947"/>
      <c r="F12371" s="1054"/>
      <c r="G12371" s="946"/>
      <c r="H12371" s="1031"/>
      <c r="I12371" s="948"/>
    </row>
    <row r="12372" spans="2:9" ht="15.75">
      <c r="C12372" s="949" t="s">
        <v>1729</v>
      </c>
      <c r="D12372" s="946">
        <v>1.02</v>
      </c>
      <c r="E12372" s="947" t="str">
        <f>+VLOOKUP(C12372,'Basic (equilibrio) (2)'!B:D,2,FALSE)</f>
        <v>m2</v>
      </c>
      <c r="F12372" s="1068">
        <f>'Basic (equilibrio) (2)'!$D$318</f>
        <v>9500</v>
      </c>
      <c r="G12372" s="946">
        <f>F12372-(F12372/1.18)</f>
        <v>1449.15</v>
      </c>
      <c r="H12372" s="1031"/>
      <c r="I12372" s="948">
        <f>D12372*F12372</f>
        <v>9690</v>
      </c>
    </row>
    <row r="12373" spans="2:9" ht="15.75">
      <c r="C12373" s="951" t="s">
        <v>918</v>
      </c>
      <c r="D12373" s="946"/>
      <c r="E12373" s="947"/>
      <c r="F12373" s="1068"/>
      <c r="G12373" s="946"/>
      <c r="H12373" s="1031"/>
      <c r="I12373" s="952">
        <f>SUM(I12372:I12372)</f>
        <v>9690</v>
      </c>
    </row>
    <row r="12374" spans="2:9" ht="15.75">
      <c r="C12374" s="949"/>
      <c r="D12374" s="946"/>
      <c r="E12374" s="947"/>
      <c r="F12374" s="1068"/>
      <c r="G12374" s="946"/>
      <c r="H12374" s="1031"/>
      <c r="I12374" s="948"/>
    </row>
    <row r="12375" spans="2:9" ht="15.75">
      <c r="C12375" s="945" t="s">
        <v>919</v>
      </c>
      <c r="D12375" s="946"/>
      <c r="E12375" s="947"/>
      <c r="F12375" s="1068"/>
      <c r="G12375" s="946"/>
      <c r="H12375" s="1031"/>
      <c r="I12375" s="948"/>
    </row>
    <row r="12376" spans="2:9" ht="15.75">
      <c r="C12376" s="949" t="s">
        <v>924</v>
      </c>
      <c r="D12376" s="953"/>
      <c r="E12376" s="954" t="str">
        <f>+VLOOKUP(C12376,'Basic (equilibrio) (2)'!B:D,2,FALSE)</f>
        <v>n/a</v>
      </c>
      <c r="F12376" s="1068">
        <f>+VLOOKUP(C12376,'Basic (equilibrio) (2)'!B:D,3,FALSE)</f>
        <v>0</v>
      </c>
      <c r="G12376" s="946">
        <v>0</v>
      </c>
      <c r="H12376" s="1031"/>
      <c r="I12376" s="948">
        <f>(D12376*F12376)</f>
        <v>0</v>
      </c>
    </row>
    <row r="12377" spans="2:9" ht="15.75">
      <c r="C12377" s="951" t="s">
        <v>918</v>
      </c>
      <c r="D12377" s="946"/>
      <c r="E12377" s="947"/>
      <c r="F12377" s="1054"/>
      <c r="G12377" s="946"/>
      <c r="H12377" s="1031"/>
      <c r="I12377" s="952">
        <f>SUM(I12376:I12376)</f>
        <v>0</v>
      </c>
    </row>
    <row r="12378" spans="2:9" ht="15.75">
      <c r="C12378" s="949"/>
      <c r="D12378" s="946"/>
      <c r="E12378" s="947"/>
      <c r="F12378" s="1054"/>
      <c r="G12378" s="946"/>
      <c r="H12378" s="1031"/>
      <c r="I12378" s="948"/>
    </row>
    <row r="12379" spans="2:9" ht="15.75">
      <c r="C12379" s="945" t="s">
        <v>923</v>
      </c>
      <c r="D12379" s="946"/>
      <c r="E12379" s="947"/>
      <c r="F12379" s="1054"/>
      <c r="G12379" s="946"/>
      <c r="H12379" s="1031"/>
      <c r="I12379" s="948"/>
    </row>
    <row r="12380" spans="2:9" ht="15.75">
      <c r="C12380" s="949" t="s">
        <v>924</v>
      </c>
      <c r="D12380" s="946"/>
      <c r="E12380" s="947" t="str">
        <f>+VLOOKUP(C12380,'Basic (equilibrio) (2)'!B:D,2,FALSE)</f>
        <v>n/a</v>
      </c>
      <c r="F12380" s="1054">
        <f>+VLOOKUP(C12380,'Basic (equilibrio) (2)'!B:D,3,FALSE)</f>
        <v>0</v>
      </c>
      <c r="G12380" s="946">
        <f>F12380-(F12380/1.18)</f>
        <v>0</v>
      </c>
      <c r="H12380" s="1039"/>
      <c r="I12380" s="955">
        <f>D12380*F12380</f>
        <v>0</v>
      </c>
    </row>
    <row r="12381" spans="2:9" ht="15.75">
      <c r="C12381" s="951" t="s">
        <v>918</v>
      </c>
      <c r="D12381" s="946"/>
      <c r="E12381" s="947"/>
      <c r="F12381" s="1054"/>
      <c r="G12381" s="946"/>
      <c r="H12381" s="1031"/>
      <c r="I12381" s="952">
        <f>SUM(I12380:I12380)</f>
        <v>0</v>
      </c>
    </row>
    <row r="12382" spans="2:9" ht="15.75">
      <c r="C12382" s="949"/>
      <c r="D12382" s="946"/>
      <c r="E12382" s="947"/>
      <c r="F12382" s="1054"/>
      <c r="G12382" s="946"/>
      <c r="H12382" s="1031"/>
      <c r="I12382" s="948"/>
    </row>
    <row r="12383" spans="2:9" ht="15.75">
      <c r="C12383" s="945" t="s">
        <v>925</v>
      </c>
      <c r="D12383" s="946"/>
      <c r="E12383" s="947"/>
      <c r="F12383" s="1054"/>
      <c r="G12383" s="946"/>
      <c r="H12383" s="1031"/>
      <c r="I12383" s="948"/>
    </row>
    <row r="12384" spans="2:9" ht="15.75">
      <c r="C12384" s="949" t="s">
        <v>924</v>
      </c>
      <c r="D12384" s="946"/>
      <c r="E12384" s="947" t="str">
        <f>+VLOOKUP(C12384,'Basic (equilibrio) (2)'!B:D,2,FALSE)</f>
        <v>n/a</v>
      </c>
      <c r="F12384" s="1054">
        <f>+VLOOKUP(C12384,'Basic (equilibrio) (2)'!B:D,3,FALSE)</f>
        <v>0</v>
      </c>
      <c r="G12384" s="946"/>
      <c r="H12384" s="1031"/>
      <c r="I12384" s="948">
        <f>D12384*F12384</f>
        <v>0</v>
      </c>
    </row>
    <row r="12385" spans="2:9" ht="15.75">
      <c r="C12385" s="951" t="s">
        <v>918</v>
      </c>
      <c r="D12385" s="946"/>
      <c r="E12385" s="947"/>
      <c r="F12385" s="1054"/>
      <c r="G12385" s="946"/>
      <c r="H12385" s="1031"/>
      <c r="I12385" s="952">
        <f>SUM(I12384)</f>
        <v>0</v>
      </c>
    </row>
    <row r="12386" spans="2:9" ht="15.75">
      <c r="C12386" s="951"/>
      <c r="D12386" s="946"/>
      <c r="E12386" s="947"/>
      <c r="F12386" s="1054"/>
      <c r="G12386" s="946"/>
      <c r="H12386" s="1031"/>
      <c r="I12386" s="952"/>
    </row>
    <row r="12387" spans="2:9" ht="15.75">
      <c r="C12387" s="956" t="s">
        <v>926</v>
      </c>
      <c r="D12387" s="957"/>
      <c r="E12387" s="958"/>
      <c r="F12387" s="1069"/>
      <c r="G12387" s="957"/>
      <c r="H12387" s="1032"/>
      <c r="I12387" s="959">
        <f>+I12373</f>
        <v>9690</v>
      </c>
    </row>
    <row r="12388" spans="2:9" ht="15.75">
      <c r="C12388" s="956" t="s">
        <v>927</v>
      </c>
      <c r="D12388" s="957"/>
      <c r="E12388" s="958"/>
      <c r="F12388" s="1069"/>
      <c r="G12388" s="957"/>
      <c r="H12388" s="1032"/>
      <c r="I12388" s="959">
        <f>+I12377</f>
        <v>0</v>
      </c>
    </row>
    <row r="12389" spans="2:9" ht="15.75">
      <c r="C12389" s="956" t="s">
        <v>928</v>
      </c>
      <c r="D12389" s="957"/>
      <c r="E12389" s="958"/>
      <c r="F12389" s="1069"/>
      <c r="G12389" s="957"/>
      <c r="H12389" s="1032"/>
      <c r="I12389" s="959">
        <f>+I12381</f>
        <v>0</v>
      </c>
    </row>
    <row r="12390" spans="2:9" ht="15.75">
      <c r="C12390" s="956" t="s">
        <v>929</v>
      </c>
      <c r="D12390" s="957"/>
      <c r="E12390" s="958"/>
      <c r="F12390" s="1069"/>
      <c r="G12390" s="957"/>
      <c r="H12390" s="1032"/>
      <c r="I12390" s="959">
        <f>+I12385</f>
        <v>0</v>
      </c>
    </row>
    <row r="12391" spans="2:9" ht="15.75">
      <c r="C12391" s="949"/>
      <c r="D12391" s="946"/>
      <c r="E12391" s="947"/>
      <c r="F12391" s="1054"/>
      <c r="G12391" s="946"/>
      <c r="H12391" s="1031"/>
      <c r="I12391" s="948"/>
    </row>
    <row r="12392" spans="2:9" ht="15.75">
      <c r="C12392" s="951" t="s">
        <v>930</v>
      </c>
      <c r="D12392" s="960"/>
      <c r="E12392" s="975" t="str">
        <f>+E12369</f>
        <v>Ud</v>
      </c>
      <c r="F12392" s="1070"/>
      <c r="G12392" s="960"/>
      <c r="H12392" s="1033"/>
      <c r="I12392" s="952">
        <f>SUM(I12387:I12390)</f>
        <v>9690</v>
      </c>
    </row>
    <row r="12393" spans="2:9" ht="15.75">
      <c r="C12393" s="951"/>
      <c r="D12393" s="960"/>
      <c r="E12393" s="943"/>
      <c r="F12393" s="1070"/>
      <c r="G12393" s="960"/>
      <c r="H12393" s="1033"/>
      <c r="I12393" s="952"/>
    </row>
    <row r="12394" spans="2:9" ht="15.75">
      <c r="B12394" s="1026">
        <v>6.5</v>
      </c>
      <c r="C12394" s="937" t="str">
        <f>+Presupuesto!B708</f>
        <v>Desagüe de piso</v>
      </c>
      <c r="D12394" s="938"/>
      <c r="E12394" s="962" t="s">
        <v>10</v>
      </c>
      <c r="F12394" s="1066"/>
      <c r="G12394" s="938"/>
      <c r="H12394" s="1029"/>
      <c r="I12394" s="940">
        <f>+I12417</f>
        <v>1382.51</v>
      </c>
    </row>
    <row r="12395" spans="2:9" ht="15.75">
      <c r="C12395" s="941" t="s">
        <v>908</v>
      </c>
      <c r="D12395" s="942" t="s">
        <v>9</v>
      </c>
      <c r="E12395" s="943" t="s">
        <v>10</v>
      </c>
      <c r="F12395" s="1067" t="s">
        <v>909</v>
      </c>
      <c r="G12395" s="942" t="s">
        <v>910</v>
      </c>
      <c r="H12395" s="1030" t="s">
        <v>911</v>
      </c>
      <c r="I12395" s="944" t="s">
        <v>912</v>
      </c>
    </row>
    <row r="12396" spans="2:9" ht="15.75">
      <c r="C12396" s="945" t="s">
        <v>913</v>
      </c>
      <c r="D12396" s="946"/>
      <c r="E12396" s="947"/>
      <c r="F12396" s="1054"/>
      <c r="G12396" s="946"/>
      <c r="H12396" s="1031"/>
      <c r="I12396" s="948"/>
    </row>
    <row r="12397" spans="2:9" ht="15.75">
      <c r="C12397" s="949" t="s">
        <v>1601</v>
      </c>
      <c r="D12397" s="946">
        <v>1.02</v>
      </c>
      <c r="E12397" s="947" t="str">
        <f>+VLOOKUP(C12397,'Basic (equilibrio) (2)'!B:D,2,FALSE)</f>
        <v>ud</v>
      </c>
      <c r="F12397" s="1068">
        <f>'Basic (equilibrio) (2)'!$D$215</f>
        <v>1355.4</v>
      </c>
      <c r="G12397" s="946">
        <f>F12397-(F12397/1.18)</f>
        <v>206.76</v>
      </c>
      <c r="H12397" s="1031"/>
      <c r="I12397" s="948">
        <f>D12397*F12397</f>
        <v>1382.51</v>
      </c>
    </row>
    <row r="12398" spans="2:9" ht="15.75">
      <c r="C12398" s="951" t="s">
        <v>918</v>
      </c>
      <c r="D12398" s="946"/>
      <c r="E12398" s="947"/>
      <c r="F12398" s="1068"/>
      <c r="G12398" s="946"/>
      <c r="H12398" s="1031"/>
      <c r="I12398" s="952">
        <f>SUM(I12397:I12397)</f>
        <v>1382.51</v>
      </c>
    </row>
    <row r="12399" spans="2:9" ht="15.75">
      <c r="C12399" s="949"/>
      <c r="D12399" s="946"/>
      <c r="E12399" s="947"/>
      <c r="F12399" s="1068"/>
      <c r="G12399" s="946"/>
      <c r="H12399" s="1031"/>
      <c r="I12399" s="948"/>
    </row>
    <row r="12400" spans="2:9" ht="15.75">
      <c r="C12400" s="945" t="s">
        <v>919</v>
      </c>
      <c r="D12400" s="946"/>
      <c r="E12400" s="947"/>
      <c r="F12400" s="1068"/>
      <c r="G12400" s="946"/>
      <c r="H12400" s="1031"/>
      <c r="I12400" s="948"/>
    </row>
    <row r="12401" spans="3:9" ht="15.75">
      <c r="C12401" s="949" t="s">
        <v>924</v>
      </c>
      <c r="D12401" s="953"/>
      <c r="E12401" s="954" t="str">
        <f>+VLOOKUP(C12401,'Basic (equilibrio) (2)'!B:D,2,FALSE)</f>
        <v>n/a</v>
      </c>
      <c r="F12401" s="1068">
        <f>+VLOOKUP(C12401,'Basic (equilibrio) (2)'!B:D,3,FALSE)</f>
        <v>0</v>
      </c>
      <c r="G12401" s="946">
        <v>0</v>
      </c>
      <c r="H12401" s="1031"/>
      <c r="I12401" s="948">
        <f>(D12401*F12401)</f>
        <v>0</v>
      </c>
    </row>
    <row r="12402" spans="3:9" ht="15.75">
      <c r="C12402" s="951" t="s">
        <v>918</v>
      </c>
      <c r="D12402" s="946"/>
      <c r="E12402" s="947"/>
      <c r="F12402" s="1054"/>
      <c r="G12402" s="946"/>
      <c r="H12402" s="1031"/>
      <c r="I12402" s="952">
        <f>SUM(I12401:I12401)</f>
        <v>0</v>
      </c>
    </row>
    <row r="12403" spans="3:9" ht="15.75">
      <c r="C12403" s="949"/>
      <c r="D12403" s="946"/>
      <c r="E12403" s="947"/>
      <c r="F12403" s="1054"/>
      <c r="G12403" s="946"/>
      <c r="H12403" s="1031"/>
      <c r="I12403" s="948"/>
    </row>
    <row r="12404" spans="3:9" ht="15.75">
      <c r="C12404" s="945" t="s">
        <v>923</v>
      </c>
      <c r="D12404" s="946"/>
      <c r="E12404" s="947"/>
      <c r="F12404" s="1054"/>
      <c r="G12404" s="946"/>
      <c r="H12404" s="1031"/>
      <c r="I12404" s="948"/>
    </row>
    <row r="12405" spans="3:9" ht="15.75">
      <c r="C12405" s="949" t="s">
        <v>924</v>
      </c>
      <c r="D12405" s="946"/>
      <c r="E12405" s="947" t="str">
        <f>+VLOOKUP(C12405,'Basic (equilibrio) (2)'!B:D,2,FALSE)</f>
        <v>n/a</v>
      </c>
      <c r="F12405" s="1054">
        <f>+VLOOKUP(C12405,'Basic (equilibrio) (2)'!B:D,3,FALSE)</f>
        <v>0</v>
      </c>
      <c r="G12405" s="946">
        <f>F12405-(F12405/1.18)</f>
        <v>0</v>
      </c>
      <c r="H12405" s="1039"/>
      <c r="I12405" s="955">
        <f>D12405*F12405</f>
        <v>0</v>
      </c>
    </row>
    <row r="12406" spans="3:9" ht="15.75">
      <c r="C12406" s="951" t="s">
        <v>918</v>
      </c>
      <c r="D12406" s="946"/>
      <c r="E12406" s="947"/>
      <c r="F12406" s="1054"/>
      <c r="G12406" s="946"/>
      <c r="H12406" s="1031"/>
      <c r="I12406" s="952">
        <f>SUM(I12405:I12405)</f>
        <v>0</v>
      </c>
    </row>
    <row r="12407" spans="3:9" ht="15.75">
      <c r="C12407" s="949"/>
      <c r="D12407" s="946"/>
      <c r="E12407" s="947"/>
      <c r="F12407" s="1054"/>
      <c r="G12407" s="946"/>
      <c r="H12407" s="1031"/>
      <c r="I12407" s="948"/>
    </row>
    <row r="12408" spans="3:9" ht="15.75">
      <c r="C12408" s="945" t="s">
        <v>925</v>
      </c>
      <c r="D12408" s="946"/>
      <c r="E12408" s="947"/>
      <c r="F12408" s="1054"/>
      <c r="G12408" s="946"/>
      <c r="H12408" s="1031"/>
      <c r="I12408" s="948"/>
    </row>
    <row r="12409" spans="3:9" ht="15.75">
      <c r="C12409" s="949" t="s">
        <v>924</v>
      </c>
      <c r="D12409" s="946"/>
      <c r="E12409" s="947" t="str">
        <f>+VLOOKUP(C12409,'Basic (equilibrio) (2)'!B:D,2,FALSE)</f>
        <v>n/a</v>
      </c>
      <c r="F12409" s="1054">
        <f>+VLOOKUP(C12409,'Basic (equilibrio) (2)'!B:D,3,FALSE)</f>
        <v>0</v>
      </c>
      <c r="G12409" s="946"/>
      <c r="H12409" s="1031"/>
      <c r="I12409" s="948">
        <f>D12409*F12409</f>
        <v>0</v>
      </c>
    </row>
    <row r="12410" spans="3:9" ht="15.75">
      <c r="C12410" s="951" t="s">
        <v>918</v>
      </c>
      <c r="D12410" s="946"/>
      <c r="E12410" s="947"/>
      <c r="F12410" s="1054"/>
      <c r="G12410" s="946"/>
      <c r="H12410" s="1031"/>
      <c r="I12410" s="952">
        <f>SUM(I12409)</f>
        <v>0</v>
      </c>
    </row>
    <row r="12411" spans="3:9" ht="15.75">
      <c r="C12411" s="951"/>
      <c r="D12411" s="946"/>
      <c r="E12411" s="947"/>
      <c r="F12411" s="1054"/>
      <c r="G12411" s="946"/>
      <c r="H12411" s="1031"/>
      <c r="I12411" s="952"/>
    </row>
    <row r="12412" spans="3:9" ht="15.75">
      <c r="C12412" s="956" t="s">
        <v>926</v>
      </c>
      <c r="D12412" s="957"/>
      <c r="E12412" s="958"/>
      <c r="F12412" s="1069"/>
      <c r="G12412" s="957"/>
      <c r="H12412" s="1032"/>
      <c r="I12412" s="959">
        <f>+I12398</f>
        <v>1382.51</v>
      </c>
    </row>
    <row r="12413" spans="3:9" ht="15.75">
      <c r="C12413" s="956" t="s">
        <v>927</v>
      </c>
      <c r="D12413" s="957"/>
      <c r="E12413" s="958"/>
      <c r="F12413" s="1069"/>
      <c r="G12413" s="957"/>
      <c r="H12413" s="1032"/>
      <c r="I12413" s="959">
        <f>+I12402</f>
        <v>0</v>
      </c>
    </row>
    <row r="12414" spans="3:9" ht="15.75">
      <c r="C12414" s="956" t="s">
        <v>928</v>
      </c>
      <c r="D12414" s="957"/>
      <c r="E12414" s="958"/>
      <c r="F12414" s="1069"/>
      <c r="G12414" s="957"/>
      <c r="H12414" s="1032"/>
      <c r="I12414" s="959">
        <f>+I12406</f>
        <v>0</v>
      </c>
    </row>
    <row r="12415" spans="3:9" ht="15.75">
      <c r="C12415" s="956" t="s">
        <v>929</v>
      </c>
      <c r="D12415" s="957"/>
      <c r="E12415" s="958"/>
      <c r="F12415" s="1069"/>
      <c r="G12415" s="957"/>
      <c r="H12415" s="1032"/>
      <c r="I12415" s="959">
        <f>+I12410</f>
        <v>0</v>
      </c>
    </row>
    <row r="12416" spans="3:9" ht="15.75">
      <c r="C12416" s="949"/>
      <c r="D12416" s="946"/>
      <c r="E12416" s="947"/>
      <c r="F12416" s="1054"/>
      <c r="G12416" s="946"/>
      <c r="H12416" s="1031"/>
      <c r="I12416" s="948"/>
    </row>
    <row r="12417" spans="2:9" ht="15.75">
      <c r="C12417" s="951" t="s">
        <v>930</v>
      </c>
      <c r="D12417" s="960"/>
      <c r="E12417" s="975" t="str">
        <f>+E12394</f>
        <v>Ud</v>
      </c>
      <c r="F12417" s="1070"/>
      <c r="G12417" s="960"/>
      <c r="H12417" s="1033"/>
      <c r="I12417" s="952">
        <f>SUM(I12412:I12415)</f>
        <v>1382.51</v>
      </c>
    </row>
    <row r="12418" spans="2:9" ht="15.75">
      <c r="C12418" s="951"/>
      <c r="D12418" s="960"/>
      <c r="E12418" s="943"/>
      <c r="F12418" s="1070"/>
      <c r="G12418" s="960"/>
      <c r="H12418" s="1033"/>
      <c r="I12418" s="952"/>
    </row>
    <row r="12419" spans="2:9" ht="15.75">
      <c r="B12419" s="1026">
        <v>6.6</v>
      </c>
      <c r="C12419" s="937" t="str">
        <f>+Presupuesto!B709</f>
        <v>Desagüe de techo</v>
      </c>
      <c r="D12419" s="938"/>
      <c r="E12419" s="962" t="s">
        <v>10</v>
      </c>
      <c r="F12419" s="1066"/>
      <c r="G12419" s="938"/>
      <c r="H12419" s="1029"/>
      <c r="I12419" s="940">
        <f>+I12442</f>
        <v>2073.66</v>
      </c>
    </row>
    <row r="12420" spans="2:9" ht="15.75">
      <c r="C12420" s="941" t="s">
        <v>908</v>
      </c>
      <c r="D12420" s="942" t="s">
        <v>9</v>
      </c>
      <c r="E12420" s="943" t="s">
        <v>10</v>
      </c>
      <c r="F12420" s="1067" t="s">
        <v>909</v>
      </c>
      <c r="G12420" s="942" t="s">
        <v>910</v>
      </c>
      <c r="H12420" s="1030" t="s">
        <v>911</v>
      </c>
      <c r="I12420" s="944" t="s">
        <v>912</v>
      </c>
    </row>
    <row r="12421" spans="2:9" ht="15.75">
      <c r="C12421" s="945" t="s">
        <v>913</v>
      </c>
      <c r="D12421" s="946"/>
      <c r="E12421" s="947"/>
      <c r="F12421" s="1054"/>
      <c r="G12421" s="946"/>
      <c r="H12421" s="1031"/>
      <c r="I12421" s="948"/>
    </row>
    <row r="12422" spans="2:9" ht="15.75">
      <c r="C12422" s="949" t="s">
        <v>1604</v>
      </c>
      <c r="D12422" s="946">
        <v>1.02</v>
      </c>
      <c r="E12422" s="947" t="str">
        <f>+VLOOKUP(C12422,'Basic (equilibrio) (2)'!B:D,2,FALSE)</f>
        <v>ud</v>
      </c>
      <c r="F12422" s="1068">
        <f>'Basic (equilibrio) (2)'!$D$219</f>
        <v>2033</v>
      </c>
      <c r="G12422" s="946">
        <f>F12422-(F12422/1.18)</f>
        <v>310.12</v>
      </c>
      <c r="H12422" s="1031"/>
      <c r="I12422" s="948">
        <f>D12422*F12422</f>
        <v>2073.66</v>
      </c>
    </row>
    <row r="12423" spans="2:9" ht="15.75">
      <c r="C12423" s="951" t="s">
        <v>918</v>
      </c>
      <c r="D12423" s="946"/>
      <c r="E12423" s="947"/>
      <c r="F12423" s="1068"/>
      <c r="G12423" s="946"/>
      <c r="H12423" s="1031"/>
      <c r="I12423" s="952">
        <f>SUM(I12422:I12422)</f>
        <v>2073.66</v>
      </c>
    </row>
    <row r="12424" spans="2:9" ht="15.75">
      <c r="C12424" s="949"/>
      <c r="D12424" s="946"/>
      <c r="E12424" s="947"/>
      <c r="F12424" s="1068"/>
      <c r="G12424" s="946"/>
      <c r="H12424" s="1031"/>
      <c r="I12424" s="948"/>
    </row>
    <row r="12425" spans="2:9" ht="15.75">
      <c r="C12425" s="945" t="s">
        <v>919</v>
      </c>
      <c r="D12425" s="946"/>
      <c r="E12425" s="947"/>
      <c r="F12425" s="1068"/>
      <c r="G12425" s="946"/>
      <c r="H12425" s="1031"/>
      <c r="I12425" s="948"/>
    </row>
    <row r="12426" spans="2:9" ht="15.75">
      <c r="C12426" s="949" t="s">
        <v>924</v>
      </c>
      <c r="D12426" s="953"/>
      <c r="E12426" s="954" t="str">
        <f>+VLOOKUP(C12426,'Basic (equilibrio) (2)'!B:D,2,FALSE)</f>
        <v>n/a</v>
      </c>
      <c r="F12426" s="1068">
        <f>+VLOOKUP(C12426,'Basic (equilibrio) (2)'!B:D,3,FALSE)</f>
        <v>0</v>
      </c>
      <c r="G12426" s="946">
        <v>0</v>
      </c>
      <c r="H12426" s="1031"/>
      <c r="I12426" s="948">
        <f>(D12426*F12426)</f>
        <v>0</v>
      </c>
    </row>
    <row r="12427" spans="2:9" ht="15.75">
      <c r="C12427" s="951" t="s">
        <v>918</v>
      </c>
      <c r="D12427" s="946"/>
      <c r="E12427" s="947"/>
      <c r="F12427" s="1054"/>
      <c r="G12427" s="946"/>
      <c r="H12427" s="1031"/>
      <c r="I12427" s="952">
        <f>SUM(I12426:I12426)</f>
        <v>0</v>
      </c>
    </row>
    <row r="12428" spans="2:9" ht="15.75">
      <c r="C12428" s="949"/>
      <c r="D12428" s="946"/>
      <c r="E12428" s="947"/>
      <c r="F12428" s="1054"/>
      <c r="G12428" s="946"/>
      <c r="H12428" s="1031"/>
      <c r="I12428" s="948"/>
    </row>
    <row r="12429" spans="2:9" ht="15.75">
      <c r="C12429" s="945" t="s">
        <v>923</v>
      </c>
      <c r="D12429" s="946"/>
      <c r="E12429" s="947"/>
      <c r="F12429" s="1054"/>
      <c r="G12429" s="946"/>
      <c r="H12429" s="1031"/>
      <c r="I12429" s="948"/>
    </row>
    <row r="12430" spans="2:9" ht="15.75">
      <c r="C12430" s="949" t="s">
        <v>924</v>
      </c>
      <c r="D12430" s="946"/>
      <c r="E12430" s="947" t="str">
        <f>+VLOOKUP(C12430,'Basic (equilibrio) (2)'!B:D,2,FALSE)</f>
        <v>n/a</v>
      </c>
      <c r="F12430" s="1054">
        <f>+VLOOKUP(C12430,'Basic (equilibrio) (2)'!B:D,3,FALSE)</f>
        <v>0</v>
      </c>
      <c r="G12430" s="946">
        <f>F12430-(F12430/1.18)</f>
        <v>0</v>
      </c>
      <c r="H12430" s="1039"/>
      <c r="I12430" s="955">
        <f>D12430*F12430</f>
        <v>0</v>
      </c>
    </row>
    <row r="12431" spans="2:9" ht="15.75">
      <c r="C12431" s="951" t="s">
        <v>918</v>
      </c>
      <c r="D12431" s="946"/>
      <c r="E12431" s="947"/>
      <c r="F12431" s="1054"/>
      <c r="G12431" s="946"/>
      <c r="H12431" s="1031"/>
      <c r="I12431" s="952">
        <f>SUM(I12430:I12430)</f>
        <v>0</v>
      </c>
    </row>
    <row r="12432" spans="2:9" ht="15.75">
      <c r="C12432" s="949"/>
      <c r="D12432" s="946"/>
      <c r="E12432" s="947"/>
      <c r="F12432" s="1054"/>
      <c r="G12432" s="946"/>
      <c r="H12432" s="1031"/>
      <c r="I12432" s="948"/>
    </row>
    <row r="12433" spans="2:9" ht="15.75">
      <c r="C12433" s="945" t="s">
        <v>925</v>
      </c>
      <c r="D12433" s="946"/>
      <c r="E12433" s="947"/>
      <c r="F12433" s="1054"/>
      <c r="G12433" s="946"/>
      <c r="H12433" s="1031"/>
      <c r="I12433" s="948"/>
    </row>
    <row r="12434" spans="2:9" ht="15.75">
      <c r="C12434" s="949" t="s">
        <v>924</v>
      </c>
      <c r="D12434" s="946"/>
      <c r="E12434" s="947" t="str">
        <f>+VLOOKUP(C12434,'Basic (equilibrio) (2)'!B:D,2,FALSE)</f>
        <v>n/a</v>
      </c>
      <c r="F12434" s="1054">
        <f>+VLOOKUP(C12434,'Basic (equilibrio) (2)'!B:D,3,FALSE)</f>
        <v>0</v>
      </c>
      <c r="G12434" s="946"/>
      <c r="H12434" s="1031"/>
      <c r="I12434" s="948">
        <f>D12434*F12434</f>
        <v>0</v>
      </c>
    </row>
    <row r="12435" spans="2:9" ht="15.75">
      <c r="C12435" s="951" t="s">
        <v>918</v>
      </c>
      <c r="D12435" s="946"/>
      <c r="E12435" s="947"/>
      <c r="F12435" s="1054"/>
      <c r="G12435" s="946"/>
      <c r="H12435" s="1031"/>
      <c r="I12435" s="952">
        <f>SUM(I12434)</f>
        <v>0</v>
      </c>
    </row>
    <row r="12436" spans="2:9" ht="15.75">
      <c r="C12436" s="951"/>
      <c r="D12436" s="946"/>
      <c r="E12436" s="947"/>
      <c r="F12436" s="1054"/>
      <c r="G12436" s="946"/>
      <c r="H12436" s="1031"/>
      <c r="I12436" s="952"/>
    </row>
    <row r="12437" spans="2:9" ht="15.75">
      <c r="C12437" s="956" t="s">
        <v>926</v>
      </c>
      <c r="D12437" s="957"/>
      <c r="E12437" s="958"/>
      <c r="F12437" s="1069"/>
      <c r="G12437" s="957"/>
      <c r="H12437" s="1032"/>
      <c r="I12437" s="959">
        <f>+I12423</f>
        <v>2073.66</v>
      </c>
    </row>
    <row r="12438" spans="2:9" ht="15.75">
      <c r="C12438" s="956" t="s">
        <v>927</v>
      </c>
      <c r="D12438" s="957"/>
      <c r="E12438" s="958"/>
      <c r="F12438" s="1069"/>
      <c r="G12438" s="957"/>
      <c r="H12438" s="1032"/>
      <c r="I12438" s="959">
        <f>+I12427</f>
        <v>0</v>
      </c>
    </row>
    <row r="12439" spans="2:9" ht="15.75">
      <c r="C12439" s="956" t="s">
        <v>928</v>
      </c>
      <c r="D12439" s="957"/>
      <c r="E12439" s="958"/>
      <c r="F12439" s="1069"/>
      <c r="G12439" s="957"/>
      <c r="H12439" s="1032"/>
      <c r="I12439" s="959">
        <f>+I12431</f>
        <v>0</v>
      </c>
    </row>
    <row r="12440" spans="2:9" ht="15.75">
      <c r="C12440" s="956" t="s">
        <v>929</v>
      </c>
      <c r="D12440" s="957"/>
      <c r="E12440" s="958"/>
      <c r="F12440" s="1069"/>
      <c r="G12440" s="957"/>
      <c r="H12440" s="1032"/>
      <c r="I12440" s="959">
        <f>+I12435</f>
        <v>0</v>
      </c>
    </row>
    <row r="12441" spans="2:9" ht="15.75">
      <c r="C12441" s="949"/>
      <c r="D12441" s="946"/>
      <c r="E12441" s="947"/>
      <c r="F12441" s="1054"/>
      <c r="G12441" s="946"/>
      <c r="H12441" s="1031"/>
      <c r="I12441" s="948"/>
    </row>
    <row r="12442" spans="2:9" ht="15.75">
      <c r="C12442" s="951" t="s">
        <v>930</v>
      </c>
      <c r="D12442" s="960"/>
      <c r="E12442" s="975" t="str">
        <f>+E12419</f>
        <v>Ud</v>
      </c>
      <c r="F12442" s="1070"/>
      <c r="G12442" s="960"/>
      <c r="H12442" s="1033"/>
      <c r="I12442" s="952">
        <f>SUM(I12437:I12440)</f>
        <v>2073.66</v>
      </c>
    </row>
    <row r="12443" spans="2:9" ht="15.75">
      <c r="C12443" s="951"/>
      <c r="D12443" s="960"/>
      <c r="E12443" s="943"/>
      <c r="F12443" s="1070"/>
      <c r="G12443" s="960"/>
      <c r="H12443" s="1033"/>
      <c r="I12443" s="952"/>
    </row>
    <row r="12444" spans="2:9" ht="15.75">
      <c r="B12444" s="1026">
        <v>6.7</v>
      </c>
      <c r="C12444" s="937" t="str">
        <f>+Presupuesto!B710</f>
        <v xml:space="preserve">Cámara de inspección, según detalle </v>
      </c>
      <c r="D12444" s="938"/>
      <c r="E12444" s="962" t="s">
        <v>10</v>
      </c>
      <c r="F12444" s="1066"/>
      <c r="G12444" s="938"/>
      <c r="H12444" s="1029"/>
      <c r="I12444" s="940">
        <f>+I12467</f>
        <v>6426.2</v>
      </c>
    </row>
    <row r="12445" spans="2:9" ht="15.75">
      <c r="C12445" s="941" t="s">
        <v>908</v>
      </c>
      <c r="D12445" s="942" t="s">
        <v>9</v>
      </c>
      <c r="E12445" s="943" t="s">
        <v>10</v>
      </c>
      <c r="F12445" s="1067" t="s">
        <v>909</v>
      </c>
      <c r="G12445" s="942" t="s">
        <v>910</v>
      </c>
      <c r="H12445" s="1030" t="s">
        <v>911</v>
      </c>
      <c r="I12445" s="944" t="s">
        <v>912</v>
      </c>
    </row>
    <row r="12446" spans="2:9" ht="15.75">
      <c r="C12446" s="945" t="s">
        <v>913</v>
      </c>
      <c r="D12446" s="946"/>
      <c r="E12446" s="947"/>
      <c r="F12446" s="1054"/>
      <c r="G12446" s="946"/>
      <c r="H12446" s="1031"/>
      <c r="I12446" s="948"/>
    </row>
    <row r="12447" spans="2:9" ht="15.75">
      <c r="C12447" s="949" t="s">
        <v>1659</v>
      </c>
      <c r="D12447" s="946">
        <v>1.02</v>
      </c>
      <c r="E12447" s="947" t="str">
        <f>+VLOOKUP(C12447,'Basic (equilibrio) (2)'!B:D,2,FALSE)</f>
        <v>ud</v>
      </c>
      <c r="F12447" s="1068">
        <f>'Basic (equilibrio) (2)'!$D$207</f>
        <v>6300.2</v>
      </c>
      <c r="G12447" s="946">
        <f>F12447-(F12447/1.18)</f>
        <v>961.05</v>
      </c>
      <c r="H12447" s="1031"/>
      <c r="I12447" s="948">
        <f>D12447*F12447</f>
        <v>6426.2</v>
      </c>
    </row>
    <row r="12448" spans="2:9" ht="15.75">
      <c r="C12448" s="951" t="s">
        <v>918</v>
      </c>
      <c r="D12448" s="946"/>
      <c r="E12448" s="947"/>
      <c r="F12448" s="1068"/>
      <c r="G12448" s="946"/>
      <c r="H12448" s="1031"/>
      <c r="I12448" s="952">
        <f>SUM(I12447:I12447)</f>
        <v>6426.2</v>
      </c>
    </row>
    <row r="12449" spans="3:9" ht="15.75">
      <c r="C12449" s="949"/>
      <c r="D12449" s="946"/>
      <c r="E12449" s="947"/>
      <c r="F12449" s="1068"/>
      <c r="G12449" s="946"/>
      <c r="H12449" s="1031"/>
      <c r="I12449" s="948"/>
    </row>
    <row r="12450" spans="3:9" ht="15.75">
      <c r="C12450" s="945" t="s">
        <v>919</v>
      </c>
      <c r="D12450" s="946"/>
      <c r="E12450" s="947"/>
      <c r="F12450" s="1068"/>
      <c r="G12450" s="946"/>
      <c r="H12450" s="1031"/>
      <c r="I12450" s="948"/>
    </row>
    <row r="12451" spans="3:9" ht="15.75">
      <c r="C12451" s="949" t="s">
        <v>924</v>
      </c>
      <c r="D12451" s="953"/>
      <c r="E12451" s="954" t="str">
        <f>+VLOOKUP(C12451,'Basic (equilibrio) (2)'!B:D,2,FALSE)</f>
        <v>n/a</v>
      </c>
      <c r="F12451" s="1068">
        <f>+VLOOKUP(C12451,'Basic (equilibrio) (2)'!B:D,3,FALSE)</f>
        <v>0</v>
      </c>
      <c r="G12451" s="946">
        <v>0</v>
      </c>
      <c r="H12451" s="1031"/>
      <c r="I12451" s="948">
        <f>(D12451*F12451)</f>
        <v>0</v>
      </c>
    </row>
    <row r="12452" spans="3:9" ht="15.75">
      <c r="C12452" s="951" t="s">
        <v>918</v>
      </c>
      <c r="D12452" s="946"/>
      <c r="E12452" s="947"/>
      <c r="F12452" s="1054"/>
      <c r="G12452" s="946"/>
      <c r="H12452" s="1031"/>
      <c r="I12452" s="952">
        <f>SUM(I12451:I12451)</f>
        <v>0</v>
      </c>
    </row>
    <row r="12453" spans="3:9" ht="15.75">
      <c r="C12453" s="949"/>
      <c r="D12453" s="946"/>
      <c r="E12453" s="947"/>
      <c r="F12453" s="1054"/>
      <c r="G12453" s="946"/>
      <c r="H12453" s="1031"/>
      <c r="I12453" s="948"/>
    </row>
    <row r="12454" spans="3:9" ht="15.75">
      <c r="C12454" s="945" t="s">
        <v>923</v>
      </c>
      <c r="D12454" s="946"/>
      <c r="E12454" s="947"/>
      <c r="F12454" s="1054"/>
      <c r="G12454" s="946"/>
      <c r="H12454" s="1031"/>
      <c r="I12454" s="948"/>
    </row>
    <row r="12455" spans="3:9" ht="15.75">
      <c r="C12455" s="949" t="s">
        <v>924</v>
      </c>
      <c r="D12455" s="946"/>
      <c r="E12455" s="947" t="str">
        <f>+VLOOKUP(C12455,'Basic (equilibrio) (2)'!B:D,2,FALSE)</f>
        <v>n/a</v>
      </c>
      <c r="F12455" s="1054">
        <f>+VLOOKUP(C12455,'Basic (equilibrio) (2)'!B:D,3,FALSE)</f>
        <v>0</v>
      </c>
      <c r="G12455" s="946">
        <f>F12455-(F12455/1.18)</f>
        <v>0</v>
      </c>
      <c r="H12455" s="1039"/>
      <c r="I12455" s="955">
        <f>D12455*F12455</f>
        <v>0</v>
      </c>
    </row>
    <row r="12456" spans="3:9" ht="15.75">
      <c r="C12456" s="951" t="s">
        <v>918</v>
      </c>
      <c r="D12456" s="946"/>
      <c r="E12456" s="947"/>
      <c r="F12456" s="1054"/>
      <c r="G12456" s="946"/>
      <c r="H12456" s="1031"/>
      <c r="I12456" s="952">
        <f>SUM(I12455:I12455)</f>
        <v>0</v>
      </c>
    </row>
    <row r="12457" spans="3:9" ht="15.75">
      <c r="C12457" s="949"/>
      <c r="D12457" s="946"/>
      <c r="E12457" s="947"/>
      <c r="F12457" s="1054"/>
      <c r="G12457" s="946"/>
      <c r="H12457" s="1031"/>
      <c r="I12457" s="948"/>
    </row>
    <row r="12458" spans="3:9" ht="15.75">
      <c r="C12458" s="945" t="s">
        <v>925</v>
      </c>
      <c r="D12458" s="946"/>
      <c r="E12458" s="947"/>
      <c r="F12458" s="1054"/>
      <c r="G12458" s="946"/>
      <c r="H12458" s="1031"/>
      <c r="I12458" s="948"/>
    </row>
    <row r="12459" spans="3:9" ht="15.75">
      <c r="C12459" s="949" t="s">
        <v>924</v>
      </c>
      <c r="D12459" s="946"/>
      <c r="E12459" s="947" t="str">
        <f>+VLOOKUP(C12459,'Basic (equilibrio) (2)'!B:D,2,FALSE)</f>
        <v>n/a</v>
      </c>
      <c r="F12459" s="1054">
        <f>+VLOOKUP(C12459,'Basic (equilibrio) (2)'!B:D,3,FALSE)</f>
        <v>0</v>
      </c>
      <c r="G12459" s="946"/>
      <c r="H12459" s="1031"/>
      <c r="I12459" s="948">
        <f>D12459*F12459</f>
        <v>0</v>
      </c>
    </row>
    <row r="12460" spans="3:9" ht="15.75">
      <c r="C12460" s="951" t="s">
        <v>918</v>
      </c>
      <c r="D12460" s="946"/>
      <c r="E12460" s="947"/>
      <c r="F12460" s="1054"/>
      <c r="G12460" s="946"/>
      <c r="H12460" s="1031"/>
      <c r="I12460" s="952">
        <f>SUM(I12459)</f>
        <v>0</v>
      </c>
    </row>
    <row r="12461" spans="3:9" ht="15.75">
      <c r="C12461" s="951"/>
      <c r="D12461" s="946"/>
      <c r="E12461" s="947"/>
      <c r="F12461" s="1054"/>
      <c r="G12461" s="946"/>
      <c r="H12461" s="1031"/>
      <c r="I12461" s="952"/>
    </row>
    <row r="12462" spans="3:9" ht="15.75">
      <c r="C12462" s="956" t="s">
        <v>926</v>
      </c>
      <c r="D12462" s="957"/>
      <c r="E12462" s="958"/>
      <c r="F12462" s="1069"/>
      <c r="G12462" s="957"/>
      <c r="H12462" s="1032"/>
      <c r="I12462" s="959">
        <f>+I12448</f>
        <v>6426.2</v>
      </c>
    </row>
    <row r="12463" spans="3:9" ht="15.75">
      <c r="C12463" s="956" t="s">
        <v>927</v>
      </c>
      <c r="D12463" s="957"/>
      <c r="E12463" s="958"/>
      <c r="F12463" s="1069"/>
      <c r="G12463" s="957"/>
      <c r="H12463" s="1032"/>
      <c r="I12463" s="959">
        <f>+I12452</f>
        <v>0</v>
      </c>
    </row>
    <row r="12464" spans="3:9" ht="15.75">
      <c r="C12464" s="956" t="s">
        <v>928</v>
      </c>
      <c r="D12464" s="957"/>
      <c r="E12464" s="958"/>
      <c r="F12464" s="1069"/>
      <c r="G12464" s="957"/>
      <c r="H12464" s="1032"/>
      <c r="I12464" s="959">
        <f>+I12456</f>
        <v>0</v>
      </c>
    </row>
    <row r="12465" spans="2:9" ht="15.75">
      <c r="C12465" s="956" t="s">
        <v>929</v>
      </c>
      <c r="D12465" s="957"/>
      <c r="E12465" s="958"/>
      <c r="F12465" s="1069"/>
      <c r="G12465" s="957"/>
      <c r="H12465" s="1032"/>
      <c r="I12465" s="959">
        <f>+I12460</f>
        <v>0</v>
      </c>
    </row>
    <row r="12466" spans="2:9" ht="15.75">
      <c r="C12466" s="949"/>
      <c r="D12466" s="946"/>
      <c r="E12466" s="947"/>
      <c r="F12466" s="1054"/>
      <c r="G12466" s="946"/>
      <c r="H12466" s="1031"/>
      <c r="I12466" s="948"/>
    </row>
    <row r="12467" spans="2:9" ht="15.75">
      <c r="C12467" s="951" t="s">
        <v>930</v>
      </c>
      <c r="D12467" s="960"/>
      <c r="E12467" s="975" t="str">
        <f>+E12444</f>
        <v>Ud</v>
      </c>
      <c r="F12467" s="1070"/>
      <c r="G12467" s="960"/>
      <c r="H12467" s="1033"/>
      <c r="I12467" s="952">
        <f>SUM(I12462:I12465)</f>
        <v>6426.2</v>
      </c>
    </row>
    <row r="12468" spans="2:9" ht="15.75">
      <c r="C12468" s="951"/>
      <c r="D12468" s="960"/>
      <c r="E12468" s="943"/>
      <c r="F12468" s="1070"/>
      <c r="G12468" s="960"/>
      <c r="H12468" s="1033"/>
      <c r="I12468" s="952"/>
    </row>
    <row r="12469" spans="2:9" ht="15.75">
      <c r="B12469" s="1063">
        <v>6.8</v>
      </c>
      <c r="C12469" s="937" t="str">
        <f>+Presupuesto!B711</f>
        <v xml:space="preserve">Cámara de séptica, según detalle  </v>
      </c>
      <c r="D12469" s="938"/>
      <c r="E12469" s="962" t="s">
        <v>10</v>
      </c>
      <c r="F12469" s="1066"/>
      <c r="G12469" s="938"/>
      <c r="H12469" s="1029"/>
      <c r="I12469" s="940">
        <f>+I12492</f>
        <v>66139.960000000006</v>
      </c>
    </row>
    <row r="12470" spans="2:9" ht="15.75">
      <c r="C12470" s="941"/>
      <c r="D12470" s="942" t="s">
        <v>9</v>
      </c>
      <c r="E12470" s="943" t="s">
        <v>10</v>
      </c>
      <c r="F12470" s="1067" t="s">
        <v>909</v>
      </c>
      <c r="G12470" s="942" t="s">
        <v>910</v>
      </c>
      <c r="H12470" s="1030" t="s">
        <v>911</v>
      </c>
      <c r="I12470" s="944" t="s">
        <v>912</v>
      </c>
    </row>
    <row r="12471" spans="2:9" ht="15.75">
      <c r="C12471" s="945" t="s">
        <v>913</v>
      </c>
      <c r="D12471" s="946"/>
      <c r="E12471" s="947"/>
      <c r="F12471" s="1054"/>
      <c r="G12471" s="946"/>
      <c r="H12471" s="1031"/>
      <c r="I12471" s="948"/>
    </row>
    <row r="12472" spans="2:9" ht="15.75">
      <c r="C12472" s="949" t="s">
        <v>1608</v>
      </c>
      <c r="D12472" s="946">
        <v>1.02</v>
      </c>
      <c r="E12472" s="947" t="str">
        <f>+VLOOKUP(C12472,'Basic (equilibrio) (2)'!B:D,2,FALSE)</f>
        <v>ud</v>
      </c>
      <c r="F12472" s="1068">
        <f>'Basic (equilibrio) (2)'!$D$223</f>
        <v>64843.1</v>
      </c>
      <c r="G12472" s="946">
        <f>F12472-(F12472/1.18)</f>
        <v>9891.32</v>
      </c>
      <c r="H12472" s="1031"/>
      <c r="I12472" s="948">
        <f>D12472*F12472</f>
        <v>66139.960000000006</v>
      </c>
    </row>
    <row r="12473" spans="2:9" ht="15.75">
      <c r="C12473" s="951" t="s">
        <v>918</v>
      </c>
      <c r="D12473" s="946"/>
      <c r="E12473" s="947"/>
      <c r="F12473" s="1068"/>
      <c r="G12473" s="946"/>
      <c r="H12473" s="1031"/>
      <c r="I12473" s="952">
        <f>SUM(I12472:I12472)</f>
        <v>66139.960000000006</v>
      </c>
    </row>
    <row r="12474" spans="2:9" ht="15.75">
      <c r="C12474" s="949"/>
      <c r="D12474" s="946"/>
      <c r="E12474" s="947"/>
      <c r="F12474" s="1068"/>
      <c r="G12474" s="946"/>
      <c r="H12474" s="1031"/>
      <c r="I12474" s="948"/>
    </row>
    <row r="12475" spans="2:9" ht="15.75">
      <c r="C12475" s="945" t="s">
        <v>919</v>
      </c>
      <c r="D12475" s="946"/>
      <c r="E12475" s="947"/>
      <c r="F12475" s="1068"/>
      <c r="G12475" s="946"/>
      <c r="H12475" s="1031"/>
      <c r="I12475" s="948"/>
    </row>
    <row r="12476" spans="2:9" ht="15.75">
      <c r="C12476" s="949" t="s">
        <v>924</v>
      </c>
      <c r="D12476" s="953"/>
      <c r="E12476" s="954" t="str">
        <f>+VLOOKUP(C12476,'Basic (equilibrio) (2)'!B:D,2,FALSE)</f>
        <v>n/a</v>
      </c>
      <c r="F12476" s="1068">
        <f>+VLOOKUP(C12476,'Basic (equilibrio) (2)'!B:D,3,FALSE)</f>
        <v>0</v>
      </c>
      <c r="G12476" s="946">
        <v>0</v>
      </c>
      <c r="H12476" s="1031"/>
      <c r="I12476" s="948">
        <f>(D12476*F12476)</f>
        <v>0</v>
      </c>
    </row>
    <row r="12477" spans="2:9" ht="15.75">
      <c r="C12477" s="951" t="s">
        <v>918</v>
      </c>
      <c r="D12477" s="946"/>
      <c r="E12477" s="947"/>
      <c r="F12477" s="1054"/>
      <c r="G12477" s="946"/>
      <c r="H12477" s="1031"/>
      <c r="I12477" s="952">
        <f>SUM(I12476:I12476)</f>
        <v>0</v>
      </c>
    </row>
    <row r="12478" spans="2:9" ht="15.75">
      <c r="C12478" s="949"/>
      <c r="D12478" s="946"/>
      <c r="E12478" s="947"/>
      <c r="F12478" s="1054"/>
      <c r="G12478" s="946"/>
      <c r="H12478" s="1031"/>
      <c r="I12478" s="948"/>
    </row>
    <row r="12479" spans="2:9" ht="15.75">
      <c r="C12479" s="945" t="s">
        <v>923</v>
      </c>
      <c r="D12479" s="946"/>
      <c r="E12479" s="947"/>
      <c r="F12479" s="1054"/>
      <c r="G12479" s="946"/>
      <c r="H12479" s="1031"/>
      <c r="I12479" s="948"/>
    </row>
    <row r="12480" spans="2:9" ht="15.75">
      <c r="C12480" s="949" t="s">
        <v>924</v>
      </c>
      <c r="D12480" s="946"/>
      <c r="E12480" s="947" t="str">
        <f>+VLOOKUP(C12480,'Basic (equilibrio) (2)'!B:D,2,FALSE)</f>
        <v>n/a</v>
      </c>
      <c r="F12480" s="1054">
        <f>+VLOOKUP(C12480,'Basic (equilibrio) (2)'!B:D,3,FALSE)</f>
        <v>0</v>
      </c>
      <c r="G12480" s="946">
        <f>F12480-(F12480/1.18)</f>
        <v>0</v>
      </c>
      <c r="H12480" s="1039"/>
      <c r="I12480" s="955">
        <f>D12480*F12480</f>
        <v>0</v>
      </c>
    </row>
    <row r="12481" spans="2:9" ht="15.75">
      <c r="C12481" s="951" t="s">
        <v>918</v>
      </c>
      <c r="D12481" s="946"/>
      <c r="E12481" s="947"/>
      <c r="F12481" s="1054"/>
      <c r="G12481" s="946"/>
      <c r="H12481" s="1031"/>
      <c r="I12481" s="952">
        <f>SUM(I12480:I12480)</f>
        <v>0</v>
      </c>
    </row>
    <row r="12482" spans="2:9" ht="15.75">
      <c r="C12482" s="949"/>
      <c r="D12482" s="946"/>
      <c r="E12482" s="947"/>
      <c r="F12482" s="1054"/>
      <c r="G12482" s="946"/>
      <c r="H12482" s="1031"/>
      <c r="I12482" s="948"/>
    </row>
    <row r="12483" spans="2:9" ht="15.75">
      <c r="C12483" s="945" t="s">
        <v>925</v>
      </c>
      <c r="D12483" s="946"/>
      <c r="E12483" s="947"/>
      <c r="F12483" s="1054"/>
      <c r="G12483" s="946"/>
      <c r="H12483" s="1031"/>
      <c r="I12483" s="948"/>
    </row>
    <row r="12484" spans="2:9" ht="15.75">
      <c r="C12484" s="949" t="s">
        <v>924</v>
      </c>
      <c r="D12484" s="946"/>
      <c r="E12484" s="947" t="str">
        <f>+VLOOKUP(C12484,'Basic (equilibrio) (2)'!B:D,2,FALSE)</f>
        <v>n/a</v>
      </c>
      <c r="F12484" s="1054">
        <f>+VLOOKUP(C12484,'Basic (equilibrio) (2)'!B:D,3,FALSE)</f>
        <v>0</v>
      </c>
      <c r="G12484" s="946"/>
      <c r="H12484" s="1031"/>
      <c r="I12484" s="948">
        <f>D12484*F12484</f>
        <v>0</v>
      </c>
    </row>
    <row r="12485" spans="2:9" ht="15.75">
      <c r="C12485" s="951" t="s">
        <v>918</v>
      </c>
      <c r="D12485" s="946"/>
      <c r="E12485" s="947"/>
      <c r="F12485" s="1054"/>
      <c r="G12485" s="946"/>
      <c r="H12485" s="1031"/>
      <c r="I12485" s="952">
        <f>SUM(I12484)</f>
        <v>0</v>
      </c>
    </row>
    <row r="12486" spans="2:9" ht="15.75">
      <c r="C12486" s="951"/>
      <c r="D12486" s="946"/>
      <c r="E12486" s="947"/>
      <c r="F12486" s="1054"/>
      <c r="G12486" s="946"/>
      <c r="H12486" s="1031"/>
      <c r="I12486" s="952"/>
    </row>
    <row r="12487" spans="2:9" ht="15.75">
      <c r="C12487" s="956" t="s">
        <v>926</v>
      </c>
      <c r="D12487" s="957"/>
      <c r="E12487" s="958"/>
      <c r="F12487" s="1069"/>
      <c r="G12487" s="957"/>
      <c r="H12487" s="1032"/>
      <c r="I12487" s="959">
        <f>+I12473</f>
        <v>66139.960000000006</v>
      </c>
    </row>
    <row r="12488" spans="2:9" ht="15.75">
      <c r="C12488" s="956" t="s">
        <v>927</v>
      </c>
      <c r="D12488" s="957"/>
      <c r="E12488" s="958"/>
      <c r="F12488" s="1069"/>
      <c r="G12488" s="957"/>
      <c r="H12488" s="1032"/>
      <c r="I12488" s="959">
        <f>+I12477</f>
        <v>0</v>
      </c>
    </row>
    <row r="12489" spans="2:9" ht="15.75">
      <c r="C12489" s="956" t="s">
        <v>928</v>
      </c>
      <c r="D12489" s="957"/>
      <c r="E12489" s="958"/>
      <c r="F12489" s="1069"/>
      <c r="G12489" s="957"/>
      <c r="H12489" s="1032"/>
      <c r="I12489" s="959">
        <f>+I12481</f>
        <v>0</v>
      </c>
    </row>
    <row r="12490" spans="2:9" ht="15.75">
      <c r="C12490" s="956" t="s">
        <v>929</v>
      </c>
      <c r="D12490" s="957"/>
      <c r="E12490" s="958"/>
      <c r="F12490" s="1069"/>
      <c r="G12490" s="957"/>
      <c r="H12490" s="1032"/>
      <c r="I12490" s="959">
        <f>+I12485</f>
        <v>0</v>
      </c>
    </row>
    <row r="12491" spans="2:9" ht="15.75">
      <c r="C12491" s="949"/>
      <c r="D12491" s="946"/>
      <c r="E12491" s="947"/>
      <c r="F12491" s="1054"/>
      <c r="G12491" s="946"/>
      <c r="H12491" s="1031"/>
      <c r="I12491" s="948"/>
    </row>
    <row r="12492" spans="2:9" ht="15.75">
      <c r="C12492" s="951" t="s">
        <v>930</v>
      </c>
      <c r="D12492" s="960"/>
      <c r="E12492" s="975" t="str">
        <f>+E12469</f>
        <v>Ud</v>
      </c>
      <c r="F12492" s="1070"/>
      <c r="G12492" s="960"/>
      <c r="H12492" s="1033"/>
      <c r="I12492" s="952">
        <f>SUM(I12487:I12490)</f>
        <v>66139.960000000006</v>
      </c>
    </row>
    <row r="12493" spans="2:9" ht="15.75">
      <c r="C12493" s="951"/>
      <c r="D12493" s="960"/>
      <c r="E12493" s="943"/>
      <c r="F12493" s="1070"/>
      <c r="G12493" s="960"/>
      <c r="H12493" s="1033"/>
      <c r="I12493" s="952"/>
    </row>
    <row r="12494" spans="2:9" ht="15.75">
      <c r="B12494" s="1026">
        <v>6.9</v>
      </c>
      <c r="C12494" s="937" t="str">
        <f>+Presupuesto!B712</f>
        <v xml:space="preserve">Zócalo </v>
      </c>
      <c r="D12494" s="938"/>
      <c r="E12494" s="962" t="s">
        <v>1000</v>
      </c>
      <c r="F12494" s="1066"/>
      <c r="G12494" s="938"/>
      <c r="H12494" s="1029"/>
      <c r="I12494" s="940">
        <f>+I12517</f>
        <v>317.22000000000003</v>
      </c>
    </row>
    <row r="12495" spans="2:9" ht="15.75">
      <c r="C12495" s="941" t="s">
        <v>908</v>
      </c>
      <c r="D12495" s="942" t="s">
        <v>9</v>
      </c>
      <c r="E12495" s="943" t="s">
        <v>10</v>
      </c>
      <c r="F12495" s="1067" t="s">
        <v>909</v>
      </c>
      <c r="G12495" s="942" t="s">
        <v>910</v>
      </c>
      <c r="H12495" s="1030" t="s">
        <v>911</v>
      </c>
      <c r="I12495" s="944" t="s">
        <v>912</v>
      </c>
    </row>
    <row r="12496" spans="2:9" ht="15.75">
      <c r="C12496" s="945" t="s">
        <v>913</v>
      </c>
      <c r="D12496" s="946"/>
      <c r="E12496" s="947"/>
      <c r="F12496" s="1054"/>
      <c r="G12496" s="946"/>
      <c r="H12496" s="1031"/>
      <c r="I12496" s="948"/>
    </row>
    <row r="12497" spans="3:9" ht="15.75">
      <c r="C12497" s="949" t="s">
        <v>1677</v>
      </c>
      <c r="D12497" s="946">
        <v>1.02</v>
      </c>
      <c r="E12497" s="947" t="str">
        <f>+VLOOKUP(C12497,'Basic (equilibrio) (2)'!B:D,2,FALSE)</f>
        <v>m</v>
      </c>
      <c r="F12497" s="1068">
        <f>'Basic (equilibrio) (2)'!$D$281</f>
        <v>311</v>
      </c>
      <c r="G12497" s="946">
        <f>F12497-(F12497/1.18)</f>
        <v>47.44</v>
      </c>
      <c r="H12497" s="1031"/>
      <c r="I12497" s="948">
        <f>D12497*F12497</f>
        <v>317.22000000000003</v>
      </c>
    </row>
    <row r="12498" spans="3:9" ht="15.75">
      <c r="C12498" s="951" t="s">
        <v>918</v>
      </c>
      <c r="D12498" s="946"/>
      <c r="E12498" s="947"/>
      <c r="F12498" s="1068"/>
      <c r="G12498" s="946"/>
      <c r="H12498" s="1031"/>
      <c r="I12498" s="952">
        <f>SUM(I12497:I12497)</f>
        <v>317.22000000000003</v>
      </c>
    </row>
    <row r="12499" spans="3:9" ht="15.75">
      <c r="C12499" s="949"/>
      <c r="D12499" s="946"/>
      <c r="E12499" s="947"/>
      <c r="F12499" s="1068"/>
      <c r="G12499" s="946"/>
      <c r="H12499" s="1031"/>
      <c r="I12499" s="948"/>
    </row>
    <row r="12500" spans="3:9" ht="15.75">
      <c r="C12500" s="945" t="s">
        <v>919</v>
      </c>
      <c r="D12500" s="946"/>
      <c r="E12500" s="947"/>
      <c r="F12500" s="1068"/>
      <c r="G12500" s="946"/>
      <c r="H12500" s="1031"/>
      <c r="I12500" s="948"/>
    </row>
    <row r="12501" spans="3:9" ht="15.75">
      <c r="C12501" s="949" t="s">
        <v>924</v>
      </c>
      <c r="D12501" s="953">
        <v>8.33</v>
      </c>
      <c r="E12501" s="954" t="str">
        <f>+VLOOKUP(C12501,'Basic (equilibrio) (2)'!B:D,2,FALSE)</f>
        <v>n/a</v>
      </c>
      <c r="F12501" s="1068">
        <f>+VLOOKUP(C12501,'Basic (equilibrio) (2)'!B:D,3,FALSE)</f>
        <v>0</v>
      </c>
      <c r="G12501" s="946">
        <v>0</v>
      </c>
      <c r="H12501" s="1031"/>
      <c r="I12501" s="948">
        <f>(D12501*F12501)</f>
        <v>0</v>
      </c>
    </row>
    <row r="12502" spans="3:9" ht="15.75">
      <c r="C12502" s="951" t="s">
        <v>918</v>
      </c>
      <c r="D12502" s="946"/>
      <c r="E12502" s="947"/>
      <c r="F12502" s="1054"/>
      <c r="G12502" s="946"/>
      <c r="H12502" s="1031"/>
      <c r="I12502" s="952">
        <f>SUM(I12501:I12501)</f>
        <v>0</v>
      </c>
    </row>
    <row r="12503" spans="3:9" ht="15.75">
      <c r="C12503" s="949"/>
      <c r="D12503" s="946"/>
      <c r="E12503" s="947"/>
      <c r="F12503" s="1054"/>
      <c r="G12503" s="946"/>
      <c r="H12503" s="1031"/>
      <c r="I12503" s="948"/>
    </row>
    <row r="12504" spans="3:9" ht="15.75">
      <c r="C12504" s="945" t="s">
        <v>923</v>
      </c>
      <c r="D12504" s="946"/>
      <c r="E12504" s="947"/>
      <c r="F12504" s="1054"/>
      <c r="G12504" s="946"/>
      <c r="H12504" s="1031"/>
      <c r="I12504" s="948"/>
    </row>
    <row r="12505" spans="3:9" ht="15.75">
      <c r="C12505" s="949" t="s">
        <v>924</v>
      </c>
      <c r="D12505" s="946"/>
      <c r="E12505" s="947" t="str">
        <f>+VLOOKUP(C12505,'Basic (equilibrio) (2)'!B:D,2,FALSE)</f>
        <v>n/a</v>
      </c>
      <c r="F12505" s="1054">
        <f>+VLOOKUP(C12505,'Basic (equilibrio) (2)'!B:D,3,FALSE)</f>
        <v>0</v>
      </c>
      <c r="G12505" s="946">
        <f>F12505-(F12505/1.18)</f>
        <v>0</v>
      </c>
      <c r="H12505" s="1039"/>
      <c r="I12505" s="955">
        <f>D12505*F12505</f>
        <v>0</v>
      </c>
    </row>
    <row r="12506" spans="3:9" ht="15.75">
      <c r="C12506" s="951" t="s">
        <v>918</v>
      </c>
      <c r="D12506" s="946"/>
      <c r="E12506" s="947"/>
      <c r="F12506" s="1054"/>
      <c r="G12506" s="946"/>
      <c r="H12506" s="1031"/>
      <c r="I12506" s="952">
        <f>SUM(I12505:I12505)</f>
        <v>0</v>
      </c>
    </row>
    <row r="12507" spans="3:9" ht="15.75">
      <c r="C12507" s="949"/>
      <c r="D12507" s="946"/>
      <c r="E12507" s="947"/>
      <c r="F12507" s="1054"/>
      <c r="G12507" s="946"/>
      <c r="H12507" s="1031"/>
      <c r="I12507" s="948"/>
    </row>
    <row r="12508" spans="3:9" ht="15.75">
      <c r="C12508" s="945" t="s">
        <v>925</v>
      </c>
      <c r="D12508" s="946"/>
      <c r="E12508" s="947"/>
      <c r="F12508" s="1054"/>
      <c r="G12508" s="946"/>
      <c r="H12508" s="1031"/>
      <c r="I12508" s="948"/>
    </row>
    <row r="12509" spans="3:9" ht="15.75">
      <c r="C12509" s="949" t="s">
        <v>924</v>
      </c>
      <c r="D12509" s="946"/>
      <c r="E12509" s="947" t="str">
        <f>+VLOOKUP(C12509,'Basic (equilibrio) (2)'!B:D,2,FALSE)</f>
        <v>n/a</v>
      </c>
      <c r="F12509" s="1054">
        <f>+VLOOKUP(C12509,'Basic (equilibrio) (2)'!B:D,3,FALSE)</f>
        <v>0</v>
      </c>
      <c r="G12509" s="946"/>
      <c r="H12509" s="1031"/>
      <c r="I12509" s="948">
        <f>D12509*F12509</f>
        <v>0</v>
      </c>
    </row>
    <row r="12510" spans="3:9" ht="15.75">
      <c r="C12510" s="951" t="s">
        <v>918</v>
      </c>
      <c r="D12510" s="946"/>
      <c r="E12510" s="947"/>
      <c r="F12510" s="1054"/>
      <c r="G12510" s="946"/>
      <c r="H12510" s="1031"/>
      <c r="I12510" s="952">
        <f>SUM(I12509)</f>
        <v>0</v>
      </c>
    </row>
    <row r="12511" spans="3:9" ht="15.75">
      <c r="C12511" s="951"/>
      <c r="D12511" s="946"/>
      <c r="E12511" s="947"/>
      <c r="F12511" s="1054"/>
      <c r="G12511" s="946"/>
      <c r="H12511" s="1031"/>
      <c r="I12511" s="952"/>
    </row>
    <row r="12512" spans="3:9" ht="15.75">
      <c r="C12512" s="956" t="s">
        <v>926</v>
      </c>
      <c r="D12512" s="957"/>
      <c r="E12512" s="958"/>
      <c r="F12512" s="1069"/>
      <c r="G12512" s="957"/>
      <c r="H12512" s="1032"/>
      <c r="I12512" s="959">
        <f>+I12498</f>
        <v>317.22000000000003</v>
      </c>
    </row>
    <row r="12513" spans="2:9" ht="15.75">
      <c r="C12513" s="956" t="s">
        <v>927</v>
      </c>
      <c r="D12513" s="957"/>
      <c r="E12513" s="958"/>
      <c r="F12513" s="1069"/>
      <c r="G12513" s="957"/>
      <c r="H12513" s="1032"/>
      <c r="I12513" s="959">
        <f>+I12502</f>
        <v>0</v>
      </c>
    </row>
    <row r="12514" spans="2:9" ht="15.75">
      <c r="C12514" s="956" t="s">
        <v>928</v>
      </c>
      <c r="D12514" s="957"/>
      <c r="E12514" s="958"/>
      <c r="F12514" s="1069"/>
      <c r="G12514" s="957"/>
      <c r="H12514" s="1032"/>
      <c r="I12514" s="959">
        <f>+I12506</f>
        <v>0</v>
      </c>
    </row>
    <row r="12515" spans="2:9" ht="15.75">
      <c r="C12515" s="956" t="s">
        <v>929</v>
      </c>
      <c r="D12515" s="957"/>
      <c r="E12515" s="958"/>
      <c r="F12515" s="1069"/>
      <c r="G12515" s="957"/>
      <c r="H12515" s="1032"/>
      <c r="I12515" s="959">
        <f>+I12510</f>
        <v>0</v>
      </c>
    </row>
    <row r="12516" spans="2:9" ht="15.75">
      <c r="C12516" s="949"/>
      <c r="D12516" s="946"/>
      <c r="E12516" s="947"/>
      <c r="F12516" s="1054"/>
      <c r="G12516" s="946"/>
      <c r="H12516" s="1031"/>
      <c r="I12516" s="948"/>
    </row>
    <row r="12517" spans="2:9" ht="15.75">
      <c r="C12517" s="951" t="s">
        <v>930</v>
      </c>
      <c r="D12517" s="960"/>
      <c r="E12517" s="975" t="str">
        <f>+E12494</f>
        <v>m2</v>
      </c>
      <c r="F12517" s="1070"/>
      <c r="G12517" s="960"/>
      <c r="H12517" s="1033"/>
      <c r="I12517" s="952">
        <f>SUM(I12512:I12515)</f>
        <v>317.22000000000003</v>
      </c>
    </row>
    <row r="12518" spans="2:9" ht="15.75">
      <c r="C12518" s="951"/>
      <c r="D12518" s="960"/>
      <c r="E12518" s="943"/>
      <c r="F12518" s="1070"/>
      <c r="G12518" s="960"/>
      <c r="H12518" s="1033"/>
      <c r="I12518" s="952"/>
    </row>
    <row r="12519" spans="2:9" ht="31.5">
      <c r="B12519" s="1062">
        <v>10.220000000000001</v>
      </c>
      <c r="C12519" s="937" t="str">
        <f>+Presupuesto!B713</f>
        <v xml:space="preserve">Tuberías y piezas para conexión de agua potable, ventilación y drenaje sanitario </v>
      </c>
      <c r="D12519" s="938"/>
      <c r="E12519" s="962" t="s">
        <v>1109</v>
      </c>
      <c r="F12519" s="1066"/>
      <c r="G12519" s="938"/>
      <c r="H12519" s="1029"/>
      <c r="I12519" s="940">
        <f>+I12543</f>
        <v>27540</v>
      </c>
    </row>
    <row r="12520" spans="2:9" ht="15.75">
      <c r="C12520" s="941" t="s">
        <v>908</v>
      </c>
      <c r="D12520" s="942" t="s">
        <v>9</v>
      </c>
      <c r="E12520" s="943" t="s">
        <v>10</v>
      </c>
      <c r="F12520" s="1067" t="s">
        <v>909</v>
      </c>
      <c r="G12520" s="942" t="s">
        <v>910</v>
      </c>
      <c r="H12520" s="1030" t="s">
        <v>911</v>
      </c>
      <c r="I12520" s="944" t="s">
        <v>912</v>
      </c>
    </row>
    <row r="12521" spans="2:9" ht="15.75">
      <c r="C12521" s="945" t="s">
        <v>913</v>
      </c>
      <c r="D12521" s="946"/>
      <c r="E12521" s="947"/>
      <c r="F12521" s="1054"/>
      <c r="G12521" s="946"/>
      <c r="H12521" s="1031"/>
      <c r="I12521" s="948"/>
    </row>
    <row r="12522" spans="2:9" ht="15.75">
      <c r="C12522" s="949" t="s">
        <v>1618</v>
      </c>
      <c r="D12522" s="946">
        <v>1.02</v>
      </c>
      <c r="E12522" s="947" t="str">
        <f>+VLOOKUP(C12522,'Basic (equilibrio) (2)'!B:D,2,FALSE)</f>
        <v>p.a</v>
      </c>
      <c r="F12522" s="1068">
        <f>'Basic (equilibrio) (2)'!$D$232</f>
        <v>12000</v>
      </c>
      <c r="G12522" s="946">
        <f>F12522-(F12522/1.18)</f>
        <v>1830.51</v>
      </c>
      <c r="H12522" s="1031"/>
      <c r="I12522" s="948">
        <f>D12522*F12522</f>
        <v>12240</v>
      </c>
    </row>
    <row r="12523" spans="2:9" ht="15.75">
      <c r="C12523" s="949" t="s">
        <v>1619</v>
      </c>
      <c r="D12523" s="946">
        <v>1.02</v>
      </c>
      <c r="E12523" s="947" t="str">
        <f>+VLOOKUP(C12523,'Basic (equilibrio) (2)'!B:D,2,FALSE)</f>
        <v>p.a</v>
      </c>
      <c r="F12523" s="1068">
        <f>'Basic (equilibrio) (2)'!$D$233</f>
        <v>15000</v>
      </c>
      <c r="G12523" s="946">
        <f>F12523-(F12523/1.18)</f>
        <v>2288.14</v>
      </c>
      <c r="H12523" s="1031"/>
      <c r="I12523" s="948">
        <f>D12523*F12523</f>
        <v>15300</v>
      </c>
    </row>
    <row r="12524" spans="2:9" ht="15.75">
      <c r="C12524" s="951" t="s">
        <v>918</v>
      </c>
      <c r="D12524" s="946"/>
      <c r="E12524" s="947"/>
      <c r="F12524" s="1068"/>
      <c r="G12524" s="946"/>
      <c r="H12524" s="1031"/>
      <c r="I12524" s="952">
        <f>SUM(I12522:I12523)</f>
        <v>27540</v>
      </c>
    </row>
    <row r="12525" spans="2:9" ht="15.75">
      <c r="C12525" s="949"/>
      <c r="D12525" s="946"/>
      <c r="E12525" s="947"/>
      <c r="F12525" s="1068"/>
      <c r="G12525" s="946"/>
      <c r="H12525" s="1031"/>
      <c r="I12525" s="948"/>
    </row>
    <row r="12526" spans="2:9" ht="15.75">
      <c r="C12526" s="945" t="s">
        <v>919</v>
      </c>
      <c r="D12526" s="946"/>
      <c r="E12526" s="947"/>
      <c r="F12526" s="1068"/>
      <c r="G12526" s="946"/>
      <c r="H12526" s="1031"/>
      <c r="I12526" s="948"/>
    </row>
    <row r="12527" spans="2:9" ht="15.75">
      <c r="C12527" s="949" t="s">
        <v>924</v>
      </c>
      <c r="D12527" s="953"/>
      <c r="E12527" s="954" t="str">
        <f>+VLOOKUP(C12527,'Basic (equilibrio) (2)'!B:D,2,FALSE)</f>
        <v>n/a</v>
      </c>
      <c r="F12527" s="1068">
        <f>+VLOOKUP(C12527,'Basic (equilibrio) (2)'!B:D,3,FALSE)</f>
        <v>0</v>
      </c>
      <c r="G12527" s="946">
        <v>0</v>
      </c>
      <c r="H12527" s="1031"/>
      <c r="I12527" s="948">
        <f>(D12527*F12527)</f>
        <v>0</v>
      </c>
    </row>
    <row r="12528" spans="2:9" ht="15.75">
      <c r="C12528" s="951" t="s">
        <v>918</v>
      </c>
      <c r="D12528" s="946"/>
      <c r="E12528" s="947"/>
      <c r="F12528" s="1054"/>
      <c r="G12528" s="946"/>
      <c r="H12528" s="1031"/>
      <c r="I12528" s="952">
        <f>SUM(I12527:I12527)</f>
        <v>0</v>
      </c>
    </row>
    <row r="12529" spans="3:9" ht="15.75">
      <c r="C12529" s="949"/>
      <c r="D12529" s="946"/>
      <c r="E12529" s="947"/>
      <c r="F12529" s="1054"/>
      <c r="G12529" s="946"/>
      <c r="H12529" s="1031"/>
      <c r="I12529" s="948"/>
    </row>
    <row r="12530" spans="3:9" ht="15.75">
      <c r="C12530" s="945" t="s">
        <v>923</v>
      </c>
      <c r="D12530" s="946"/>
      <c r="E12530" s="947"/>
      <c r="F12530" s="1054"/>
      <c r="G12530" s="946"/>
      <c r="H12530" s="1031"/>
      <c r="I12530" s="948"/>
    </row>
    <row r="12531" spans="3:9" ht="15.75">
      <c r="C12531" s="949" t="s">
        <v>924</v>
      </c>
      <c r="D12531" s="946"/>
      <c r="E12531" s="947" t="str">
        <f>+VLOOKUP(C12531,'Basic (equilibrio) (2)'!B:D,2,FALSE)</f>
        <v>n/a</v>
      </c>
      <c r="F12531" s="1054">
        <f>+VLOOKUP(C12531,'Basic (equilibrio) (2)'!B:D,3,FALSE)</f>
        <v>0</v>
      </c>
      <c r="G12531" s="946">
        <f>F12531-(F12531/1.18)</f>
        <v>0</v>
      </c>
      <c r="H12531" s="1039"/>
      <c r="I12531" s="955">
        <f>D12531*F12531</f>
        <v>0</v>
      </c>
    </row>
    <row r="12532" spans="3:9" ht="15.75">
      <c r="C12532" s="951" t="s">
        <v>918</v>
      </c>
      <c r="D12532" s="946"/>
      <c r="E12532" s="947"/>
      <c r="F12532" s="1054"/>
      <c r="G12532" s="946"/>
      <c r="H12532" s="1031"/>
      <c r="I12532" s="952">
        <f>SUM(I12531:I12531)</f>
        <v>0</v>
      </c>
    </row>
    <row r="12533" spans="3:9" ht="15.75">
      <c r="C12533" s="949"/>
      <c r="D12533" s="946"/>
      <c r="E12533" s="947"/>
      <c r="F12533" s="1054"/>
      <c r="G12533" s="946"/>
      <c r="H12533" s="1031"/>
      <c r="I12533" s="948"/>
    </row>
    <row r="12534" spans="3:9" ht="15.75">
      <c r="C12534" s="945" t="s">
        <v>925</v>
      </c>
      <c r="D12534" s="946"/>
      <c r="E12534" s="947"/>
      <c r="F12534" s="1054"/>
      <c r="G12534" s="946"/>
      <c r="H12534" s="1031"/>
      <c r="I12534" s="948"/>
    </row>
    <row r="12535" spans="3:9" ht="15.75">
      <c r="C12535" s="949" t="s">
        <v>924</v>
      </c>
      <c r="D12535" s="946"/>
      <c r="E12535" s="947" t="str">
        <f>+VLOOKUP(C12535,'Basic (equilibrio) (2)'!B:D,2,FALSE)</f>
        <v>n/a</v>
      </c>
      <c r="F12535" s="1054">
        <f>+VLOOKUP(C12535,'Basic (equilibrio) (2)'!B:D,3,FALSE)</f>
        <v>0</v>
      </c>
      <c r="G12535" s="946"/>
      <c r="H12535" s="1031"/>
      <c r="I12535" s="948">
        <f>D12535*F12535</f>
        <v>0</v>
      </c>
    </row>
    <row r="12536" spans="3:9" ht="15.75">
      <c r="C12536" s="951" t="s">
        <v>918</v>
      </c>
      <c r="D12536" s="946"/>
      <c r="E12536" s="947"/>
      <c r="F12536" s="1054"/>
      <c r="G12536" s="946"/>
      <c r="H12536" s="1031"/>
      <c r="I12536" s="952">
        <f>SUM(I12535)</f>
        <v>0</v>
      </c>
    </row>
    <row r="12537" spans="3:9" ht="15.75">
      <c r="C12537" s="951"/>
      <c r="D12537" s="946"/>
      <c r="E12537" s="947"/>
      <c r="F12537" s="1054"/>
      <c r="G12537" s="946"/>
      <c r="H12537" s="1031"/>
      <c r="I12537" s="952"/>
    </row>
    <row r="12538" spans="3:9" ht="15.75">
      <c r="C12538" s="956" t="s">
        <v>926</v>
      </c>
      <c r="D12538" s="957"/>
      <c r="E12538" s="958"/>
      <c r="F12538" s="1069"/>
      <c r="G12538" s="957"/>
      <c r="H12538" s="1032"/>
      <c r="I12538" s="959">
        <f>+I12524</f>
        <v>27540</v>
      </c>
    </row>
    <row r="12539" spans="3:9" ht="15.75">
      <c r="C12539" s="956" t="s">
        <v>927</v>
      </c>
      <c r="D12539" s="957"/>
      <c r="E12539" s="958"/>
      <c r="F12539" s="1069"/>
      <c r="G12539" s="957"/>
      <c r="H12539" s="1032"/>
      <c r="I12539" s="959">
        <f>+I12528</f>
        <v>0</v>
      </c>
    </row>
    <row r="12540" spans="3:9" ht="15.75">
      <c r="C12540" s="956" t="s">
        <v>928</v>
      </c>
      <c r="D12540" s="957"/>
      <c r="E12540" s="958"/>
      <c r="F12540" s="1069"/>
      <c r="G12540" s="957"/>
      <c r="H12540" s="1032"/>
      <c r="I12540" s="959">
        <f>+I12532</f>
        <v>0</v>
      </c>
    </row>
    <row r="12541" spans="3:9" ht="15.75">
      <c r="C12541" s="956" t="s">
        <v>929</v>
      </c>
      <c r="D12541" s="957"/>
      <c r="E12541" s="958"/>
      <c r="F12541" s="1069"/>
      <c r="G12541" s="957"/>
      <c r="H12541" s="1032"/>
      <c r="I12541" s="959">
        <f>+I12536</f>
        <v>0</v>
      </c>
    </row>
    <row r="12542" spans="3:9" ht="15.75">
      <c r="C12542" s="949"/>
      <c r="D12542" s="946"/>
      <c r="E12542" s="947"/>
      <c r="F12542" s="1054"/>
      <c r="G12542" s="946"/>
      <c r="H12542" s="1031"/>
      <c r="I12542" s="948"/>
    </row>
    <row r="12543" spans="3:9" ht="15.75">
      <c r="C12543" s="951" t="s">
        <v>930</v>
      </c>
      <c r="D12543" s="960"/>
      <c r="E12543" s="975" t="str">
        <f>+E12519</f>
        <v>P.a</v>
      </c>
      <c r="F12543" s="1070"/>
      <c r="G12543" s="960"/>
      <c r="H12543" s="1033"/>
      <c r="I12543" s="952">
        <f>SUM(I12538:I12541)</f>
        <v>27540</v>
      </c>
    </row>
    <row r="12544" spans="3:9" ht="15.75">
      <c r="C12544" s="951"/>
      <c r="D12544" s="960"/>
      <c r="E12544" s="943"/>
      <c r="F12544" s="1070"/>
      <c r="G12544" s="960"/>
      <c r="H12544" s="1033"/>
      <c r="I12544" s="952"/>
    </row>
    <row r="12545" spans="2:9" ht="15.75">
      <c r="B12545" s="1026">
        <v>6.11</v>
      </c>
      <c r="C12545" s="937" t="str">
        <f>+Presupuesto!B714</f>
        <v xml:space="preserve">Juego accesorios dispensador de papel </v>
      </c>
      <c r="D12545" s="938"/>
      <c r="E12545" s="962" t="s">
        <v>1056</v>
      </c>
      <c r="F12545" s="1066"/>
      <c r="G12545" s="938"/>
      <c r="H12545" s="1029"/>
      <c r="I12545" s="940">
        <f>+I12568</f>
        <v>1326</v>
      </c>
    </row>
    <row r="12546" spans="2:9" ht="15.75">
      <c r="C12546" s="941" t="s">
        <v>908</v>
      </c>
      <c r="D12546" s="942" t="s">
        <v>9</v>
      </c>
      <c r="E12546" s="943" t="s">
        <v>10</v>
      </c>
      <c r="F12546" s="1067" t="s">
        <v>909</v>
      </c>
      <c r="G12546" s="942" t="s">
        <v>910</v>
      </c>
      <c r="H12546" s="1030" t="s">
        <v>911</v>
      </c>
      <c r="I12546" s="944" t="s">
        <v>912</v>
      </c>
    </row>
    <row r="12547" spans="2:9" ht="15.75">
      <c r="C12547" s="945" t="s">
        <v>913</v>
      </c>
      <c r="D12547" s="946"/>
      <c r="E12547" s="947"/>
      <c r="F12547" s="1054"/>
      <c r="G12547" s="946"/>
      <c r="H12547" s="1031"/>
      <c r="I12547" s="948"/>
    </row>
    <row r="12548" spans="2:9" ht="15.75">
      <c r="C12548" s="949" t="s">
        <v>1689</v>
      </c>
      <c r="D12548" s="946">
        <v>1.02</v>
      </c>
      <c r="E12548" s="947" t="str">
        <f>+VLOOKUP(C12548,'Basic (equilibrio) (2)'!B:D,2,FALSE)</f>
        <v>ud</v>
      </c>
      <c r="F12548" s="1068">
        <f>'Basic (equilibrio) (2)'!$D$286</f>
        <v>1300</v>
      </c>
      <c r="G12548" s="946">
        <f>F12548-(F12548/1.18)</f>
        <v>198.31</v>
      </c>
      <c r="H12548" s="1031"/>
      <c r="I12548" s="948">
        <f>D12548*F12548</f>
        <v>1326</v>
      </c>
    </row>
    <row r="12549" spans="2:9" ht="15.75">
      <c r="C12549" s="951" t="s">
        <v>918</v>
      </c>
      <c r="D12549" s="946"/>
      <c r="E12549" s="947"/>
      <c r="F12549" s="1068"/>
      <c r="G12549" s="946"/>
      <c r="H12549" s="1031"/>
      <c r="I12549" s="952">
        <f>SUM(I12548:I12548)</f>
        <v>1326</v>
      </c>
    </row>
    <row r="12550" spans="2:9" ht="15.75">
      <c r="C12550" s="949"/>
      <c r="D12550" s="946"/>
      <c r="E12550" s="947"/>
      <c r="F12550" s="1068"/>
      <c r="G12550" s="946"/>
      <c r="H12550" s="1031"/>
      <c r="I12550" s="948"/>
    </row>
    <row r="12551" spans="2:9" ht="15.75">
      <c r="C12551" s="945" t="s">
        <v>919</v>
      </c>
      <c r="D12551" s="946"/>
      <c r="E12551" s="947"/>
      <c r="F12551" s="1068"/>
      <c r="G12551" s="946"/>
      <c r="H12551" s="1031"/>
      <c r="I12551" s="948"/>
    </row>
    <row r="12552" spans="2:9" ht="15.75">
      <c r="C12552" s="949" t="s">
        <v>924</v>
      </c>
      <c r="D12552" s="953">
        <v>8.33</v>
      </c>
      <c r="E12552" s="954" t="str">
        <f>+VLOOKUP(C12552,'Basic (equilibrio) (2)'!B:D,2,FALSE)</f>
        <v>n/a</v>
      </c>
      <c r="F12552" s="1068">
        <f>+VLOOKUP(C12552,'Basic (equilibrio) (2)'!B:D,3,FALSE)</f>
        <v>0</v>
      </c>
      <c r="G12552" s="946">
        <v>0</v>
      </c>
      <c r="H12552" s="1031"/>
      <c r="I12552" s="948">
        <f>(D12552*F12552)</f>
        <v>0</v>
      </c>
    </row>
    <row r="12553" spans="2:9" ht="15.75">
      <c r="C12553" s="951" t="s">
        <v>918</v>
      </c>
      <c r="D12553" s="946"/>
      <c r="E12553" s="947"/>
      <c r="F12553" s="1054"/>
      <c r="G12553" s="946"/>
      <c r="H12553" s="1031"/>
      <c r="I12553" s="952">
        <f>SUM(I12552:I12552)</f>
        <v>0</v>
      </c>
    </row>
    <row r="12554" spans="2:9" ht="15.75">
      <c r="C12554" s="949"/>
      <c r="D12554" s="946"/>
      <c r="E12554" s="947"/>
      <c r="F12554" s="1054"/>
      <c r="G12554" s="946"/>
      <c r="H12554" s="1031"/>
      <c r="I12554" s="948"/>
    </row>
    <row r="12555" spans="2:9" ht="15.75">
      <c r="C12555" s="945" t="s">
        <v>923</v>
      </c>
      <c r="D12555" s="946"/>
      <c r="E12555" s="947"/>
      <c r="F12555" s="1054"/>
      <c r="G12555" s="946"/>
      <c r="H12555" s="1031"/>
      <c r="I12555" s="948"/>
    </row>
    <row r="12556" spans="2:9" ht="15.75">
      <c r="C12556" s="949" t="s">
        <v>924</v>
      </c>
      <c r="D12556" s="946"/>
      <c r="E12556" s="947" t="str">
        <f>+VLOOKUP(C12556,'Basic (equilibrio) (2)'!B:D,2,FALSE)</f>
        <v>n/a</v>
      </c>
      <c r="F12556" s="1054">
        <f>+VLOOKUP(C12556,'Basic (equilibrio) (2)'!B:D,3,FALSE)</f>
        <v>0</v>
      </c>
      <c r="G12556" s="946">
        <f>F12556-(F12556/1.18)</f>
        <v>0</v>
      </c>
      <c r="H12556" s="1039"/>
      <c r="I12556" s="955">
        <f>D12556*F12556</f>
        <v>0</v>
      </c>
    </row>
    <row r="12557" spans="2:9" ht="15.75">
      <c r="C12557" s="951" t="s">
        <v>918</v>
      </c>
      <c r="D12557" s="946"/>
      <c r="E12557" s="947"/>
      <c r="F12557" s="1054"/>
      <c r="G12557" s="946"/>
      <c r="H12557" s="1031"/>
      <c r="I12557" s="952">
        <f>SUM(I12556:I12556)</f>
        <v>0</v>
      </c>
    </row>
    <row r="12558" spans="2:9" ht="15.75">
      <c r="C12558" s="949"/>
      <c r="D12558" s="946"/>
      <c r="E12558" s="947"/>
      <c r="F12558" s="1054"/>
      <c r="G12558" s="946"/>
      <c r="H12558" s="1031"/>
      <c r="I12558" s="948"/>
    </row>
    <row r="12559" spans="2:9" ht="15.75">
      <c r="C12559" s="945" t="s">
        <v>925</v>
      </c>
      <c r="D12559" s="946"/>
      <c r="E12559" s="947"/>
      <c r="F12559" s="1054"/>
      <c r="G12559" s="946"/>
      <c r="H12559" s="1031"/>
      <c r="I12559" s="948"/>
    </row>
    <row r="12560" spans="2:9" ht="15.75">
      <c r="C12560" s="949" t="s">
        <v>924</v>
      </c>
      <c r="D12560" s="946"/>
      <c r="E12560" s="947" t="str">
        <f>+VLOOKUP(C12560,'Basic (equilibrio) (2)'!B:D,2,FALSE)</f>
        <v>n/a</v>
      </c>
      <c r="F12560" s="1054">
        <f>+VLOOKUP(C12560,'Basic (equilibrio) (2)'!B:D,3,FALSE)</f>
        <v>0</v>
      </c>
      <c r="G12560" s="946"/>
      <c r="H12560" s="1031"/>
      <c r="I12560" s="948">
        <f>D12560*F12560</f>
        <v>0</v>
      </c>
    </row>
    <row r="12561" spans="2:9" ht="15.75">
      <c r="C12561" s="951" t="s">
        <v>918</v>
      </c>
      <c r="D12561" s="946"/>
      <c r="E12561" s="947"/>
      <c r="F12561" s="1054"/>
      <c r="G12561" s="946"/>
      <c r="H12561" s="1031"/>
      <c r="I12561" s="952">
        <f>SUM(I12560)</f>
        <v>0</v>
      </c>
    </row>
    <row r="12562" spans="2:9" ht="15.75">
      <c r="C12562" s="951"/>
      <c r="D12562" s="946"/>
      <c r="E12562" s="947"/>
      <c r="F12562" s="1054"/>
      <c r="G12562" s="946"/>
      <c r="H12562" s="1031"/>
      <c r="I12562" s="952"/>
    </row>
    <row r="12563" spans="2:9" ht="15.75">
      <c r="C12563" s="956" t="s">
        <v>926</v>
      </c>
      <c r="D12563" s="957"/>
      <c r="E12563" s="958"/>
      <c r="F12563" s="1069"/>
      <c r="G12563" s="957"/>
      <c r="H12563" s="1032"/>
      <c r="I12563" s="959">
        <f>+I12549</f>
        <v>1326</v>
      </c>
    </row>
    <row r="12564" spans="2:9" ht="15.75">
      <c r="C12564" s="956" t="s">
        <v>927</v>
      </c>
      <c r="D12564" s="957"/>
      <c r="E12564" s="958"/>
      <c r="F12564" s="1069"/>
      <c r="G12564" s="957"/>
      <c r="H12564" s="1032"/>
      <c r="I12564" s="959">
        <f>+I12553</f>
        <v>0</v>
      </c>
    </row>
    <row r="12565" spans="2:9" ht="15.75">
      <c r="C12565" s="956" t="s">
        <v>928</v>
      </c>
      <c r="D12565" s="957"/>
      <c r="E12565" s="958"/>
      <c r="F12565" s="1069"/>
      <c r="G12565" s="957"/>
      <c r="H12565" s="1032"/>
      <c r="I12565" s="959">
        <f>+I12557</f>
        <v>0</v>
      </c>
    </row>
    <row r="12566" spans="2:9" ht="15.75">
      <c r="C12566" s="956" t="s">
        <v>929</v>
      </c>
      <c r="D12566" s="957"/>
      <c r="E12566" s="958"/>
      <c r="F12566" s="1069"/>
      <c r="G12566" s="957"/>
      <c r="H12566" s="1032"/>
      <c r="I12566" s="959">
        <f>+I12561</f>
        <v>0</v>
      </c>
    </row>
    <row r="12567" spans="2:9" ht="15.75">
      <c r="C12567" s="949"/>
      <c r="D12567" s="946"/>
      <c r="E12567" s="947"/>
      <c r="F12567" s="1054"/>
      <c r="G12567" s="946"/>
      <c r="H12567" s="1031"/>
      <c r="I12567" s="948"/>
    </row>
    <row r="12568" spans="2:9" ht="15.75">
      <c r="C12568" s="951" t="s">
        <v>930</v>
      </c>
      <c r="D12568" s="960"/>
      <c r="E12568" s="975" t="str">
        <f>+E12545</f>
        <v>ud</v>
      </c>
      <c r="F12568" s="1070"/>
      <c r="G12568" s="960"/>
      <c r="H12568" s="1033"/>
      <c r="I12568" s="952">
        <f>SUM(I12563:I12566)</f>
        <v>1326</v>
      </c>
    </row>
    <row r="12569" spans="2:9" ht="15.75">
      <c r="C12569" s="951"/>
      <c r="D12569" s="960"/>
      <c r="E12569" s="943"/>
      <c r="F12569" s="1070"/>
      <c r="G12569" s="960"/>
      <c r="H12569" s="1033"/>
      <c r="I12569" s="952"/>
    </row>
    <row r="12570" spans="2:9" ht="15.75">
      <c r="B12570" s="1026">
        <v>6.12</v>
      </c>
      <c r="C12570" s="937" t="str">
        <f>+Presupuesto!B715</f>
        <v>Juego accesorios dispensador de jabon</v>
      </c>
      <c r="D12570" s="938"/>
      <c r="E12570" s="962" t="s">
        <v>1056</v>
      </c>
      <c r="F12570" s="1066"/>
      <c r="G12570" s="938"/>
      <c r="H12570" s="1029"/>
      <c r="I12570" s="940">
        <f>+I12593</f>
        <v>1881.9</v>
      </c>
    </row>
    <row r="12571" spans="2:9" ht="15.75">
      <c r="C12571" s="941" t="s">
        <v>908</v>
      </c>
      <c r="D12571" s="942" t="s">
        <v>9</v>
      </c>
      <c r="E12571" s="943" t="s">
        <v>10</v>
      </c>
      <c r="F12571" s="1067" t="s">
        <v>909</v>
      </c>
      <c r="G12571" s="942" t="s">
        <v>910</v>
      </c>
      <c r="H12571" s="1030" t="s">
        <v>911</v>
      </c>
      <c r="I12571" s="944" t="s">
        <v>912</v>
      </c>
    </row>
    <row r="12572" spans="2:9" ht="15.75">
      <c r="C12572" s="945" t="s">
        <v>913</v>
      </c>
      <c r="D12572" s="946"/>
      <c r="E12572" s="947"/>
      <c r="F12572" s="1054"/>
      <c r="G12572" s="946"/>
      <c r="H12572" s="1031"/>
      <c r="I12572" s="948"/>
    </row>
    <row r="12573" spans="2:9" ht="15.75">
      <c r="C12573" s="949" t="s">
        <v>1690</v>
      </c>
      <c r="D12573" s="946">
        <v>1.02</v>
      </c>
      <c r="E12573" s="947" t="str">
        <f>+VLOOKUP(C12573,'Basic (equilibrio) (2)'!B:D,2,FALSE)</f>
        <v>ud</v>
      </c>
      <c r="F12573" s="1068">
        <f>'Basic (equilibrio) (2)'!$D$287</f>
        <v>1845</v>
      </c>
      <c r="G12573" s="946">
        <f>F12573-(F12573/1.18)</f>
        <v>281.44</v>
      </c>
      <c r="H12573" s="1031"/>
      <c r="I12573" s="948">
        <f>D12573*F12573</f>
        <v>1881.9</v>
      </c>
    </row>
    <row r="12574" spans="2:9" ht="15.75">
      <c r="C12574" s="951" t="s">
        <v>918</v>
      </c>
      <c r="D12574" s="946"/>
      <c r="E12574" s="947"/>
      <c r="F12574" s="1068"/>
      <c r="G12574" s="946"/>
      <c r="H12574" s="1031"/>
      <c r="I12574" s="952">
        <f>SUM(I12573:I12573)</f>
        <v>1881.9</v>
      </c>
    </row>
    <row r="12575" spans="2:9" ht="15.75">
      <c r="C12575" s="949"/>
      <c r="D12575" s="946"/>
      <c r="E12575" s="947"/>
      <c r="F12575" s="1068"/>
      <c r="G12575" s="946"/>
      <c r="H12575" s="1031"/>
      <c r="I12575" s="948"/>
    </row>
    <row r="12576" spans="2:9" ht="15.75">
      <c r="C12576" s="945" t="s">
        <v>919</v>
      </c>
      <c r="D12576" s="946"/>
      <c r="E12576" s="947"/>
      <c r="F12576" s="1068"/>
      <c r="G12576" s="946"/>
      <c r="H12576" s="1031"/>
      <c r="I12576" s="948"/>
    </row>
    <row r="12577" spans="3:9" ht="15.75">
      <c r="C12577" s="949" t="s">
        <v>924</v>
      </c>
      <c r="D12577" s="953">
        <v>8.33</v>
      </c>
      <c r="E12577" s="954" t="str">
        <f>+VLOOKUP(C12577,'Basic (equilibrio) (2)'!B:D,2,FALSE)</f>
        <v>n/a</v>
      </c>
      <c r="F12577" s="1068">
        <f>+VLOOKUP(C12577,'Basic (equilibrio) (2)'!B:D,3,FALSE)</f>
        <v>0</v>
      </c>
      <c r="G12577" s="946">
        <v>0</v>
      </c>
      <c r="H12577" s="1031"/>
      <c r="I12577" s="948">
        <f>(D12577*F12577)</f>
        <v>0</v>
      </c>
    </row>
    <row r="12578" spans="3:9" ht="15.75">
      <c r="C12578" s="951" t="s">
        <v>918</v>
      </c>
      <c r="D12578" s="946"/>
      <c r="E12578" s="947"/>
      <c r="F12578" s="1054"/>
      <c r="G12578" s="946"/>
      <c r="H12578" s="1031"/>
      <c r="I12578" s="952">
        <f>SUM(I12577:I12577)</f>
        <v>0</v>
      </c>
    </row>
    <row r="12579" spans="3:9" ht="15.75">
      <c r="C12579" s="949"/>
      <c r="D12579" s="946"/>
      <c r="E12579" s="947"/>
      <c r="F12579" s="1054"/>
      <c r="G12579" s="946"/>
      <c r="H12579" s="1031"/>
      <c r="I12579" s="948"/>
    </row>
    <row r="12580" spans="3:9" ht="15.75">
      <c r="C12580" s="945" t="s">
        <v>923</v>
      </c>
      <c r="D12580" s="946"/>
      <c r="E12580" s="947"/>
      <c r="F12580" s="1054"/>
      <c r="G12580" s="946"/>
      <c r="H12580" s="1031"/>
      <c r="I12580" s="948"/>
    </row>
    <row r="12581" spans="3:9" ht="15.75">
      <c r="C12581" s="949" t="s">
        <v>924</v>
      </c>
      <c r="D12581" s="946"/>
      <c r="E12581" s="947" t="str">
        <f>+VLOOKUP(C12581,'Basic (equilibrio) (2)'!B:D,2,FALSE)</f>
        <v>n/a</v>
      </c>
      <c r="F12581" s="1054">
        <f>+VLOOKUP(C12581,'Basic (equilibrio) (2)'!B:D,3,FALSE)</f>
        <v>0</v>
      </c>
      <c r="G12581" s="946">
        <f>F12581-(F12581/1.18)</f>
        <v>0</v>
      </c>
      <c r="H12581" s="1039"/>
      <c r="I12581" s="955">
        <f>D12581*F12581</f>
        <v>0</v>
      </c>
    </row>
    <row r="12582" spans="3:9" ht="15.75">
      <c r="C12582" s="951" t="s">
        <v>918</v>
      </c>
      <c r="D12582" s="946"/>
      <c r="E12582" s="947"/>
      <c r="F12582" s="1054"/>
      <c r="G12582" s="946"/>
      <c r="H12582" s="1031"/>
      <c r="I12582" s="952">
        <f>SUM(I12581:I12581)</f>
        <v>0</v>
      </c>
    </row>
    <row r="12583" spans="3:9" ht="15.75">
      <c r="C12583" s="949"/>
      <c r="D12583" s="946"/>
      <c r="E12583" s="947"/>
      <c r="F12583" s="1054"/>
      <c r="G12583" s="946"/>
      <c r="H12583" s="1031"/>
      <c r="I12583" s="948"/>
    </row>
    <row r="12584" spans="3:9" ht="15.75">
      <c r="C12584" s="945" t="s">
        <v>925</v>
      </c>
      <c r="D12584" s="946"/>
      <c r="E12584" s="947"/>
      <c r="F12584" s="1054"/>
      <c r="G12584" s="946"/>
      <c r="H12584" s="1031"/>
      <c r="I12584" s="948"/>
    </row>
    <row r="12585" spans="3:9" ht="15.75">
      <c r="C12585" s="949" t="s">
        <v>924</v>
      </c>
      <c r="D12585" s="946"/>
      <c r="E12585" s="947" t="str">
        <f>+VLOOKUP(C12585,'Basic (equilibrio) (2)'!B:D,2,FALSE)</f>
        <v>n/a</v>
      </c>
      <c r="F12585" s="1054">
        <f>+VLOOKUP(C12585,'Basic (equilibrio) (2)'!B:D,3,FALSE)</f>
        <v>0</v>
      </c>
      <c r="G12585" s="946"/>
      <c r="H12585" s="1031"/>
      <c r="I12585" s="948">
        <f>D12585*F12585</f>
        <v>0</v>
      </c>
    </row>
    <row r="12586" spans="3:9" ht="15.75">
      <c r="C12586" s="951" t="s">
        <v>918</v>
      </c>
      <c r="D12586" s="946"/>
      <c r="E12586" s="947"/>
      <c r="F12586" s="1054"/>
      <c r="G12586" s="946"/>
      <c r="H12586" s="1031"/>
      <c r="I12586" s="952">
        <f>SUM(I12585)</f>
        <v>0</v>
      </c>
    </row>
    <row r="12587" spans="3:9" ht="15.75">
      <c r="C12587" s="951"/>
      <c r="D12587" s="946"/>
      <c r="E12587" s="947"/>
      <c r="F12587" s="1054"/>
      <c r="G12587" s="946"/>
      <c r="H12587" s="1031"/>
      <c r="I12587" s="952"/>
    </row>
    <row r="12588" spans="3:9" ht="15.75">
      <c r="C12588" s="956" t="s">
        <v>926</v>
      </c>
      <c r="D12588" s="957"/>
      <c r="E12588" s="958"/>
      <c r="F12588" s="1069"/>
      <c r="G12588" s="957"/>
      <c r="H12588" s="1032"/>
      <c r="I12588" s="959">
        <f>+I12574</f>
        <v>1881.9</v>
      </c>
    </row>
    <row r="12589" spans="3:9" ht="15.75">
      <c r="C12589" s="956" t="s">
        <v>927</v>
      </c>
      <c r="D12589" s="957"/>
      <c r="E12589" s="958"/>
      <c r="F12589" s="1069"/>
      <c r="G12589" s="957"/>
      <c r="H12589" s="1032"/>
      <c r="I12589" s="959">
        <f>+I12578</f>
        <v>0</v>
      </c>
    </row>
    <row r="12590" spans="3:9" ht="15.75">
      <c r="C12590" s="956" t="s">
        <v>928</v>
      </c>
      <c r="D12590" s="957"/>
      <c r="E12590" s="958"/>
      <c r="F12590" s="1069"/>
      <c r="G12590" s="957"/>
      <c r="H12590" s="1032"/>
      <c r="I12590" s="959">
        <f>+I12582</f>
        <v>0</v>
      </c>
    </row>
    <row r="12591" spans="3:9" ht="15.75">
      <c r="C12591" s="956" t="s">
        <v>929</v>
      </c>
      <c r="D12591" s="957"/>
      <c r="E12591" s="958"/>
      <c r="F12591" s="1069"/>
      <c r="G12591" s="957"/>
      <c r="H12591" s="1032"/>
      <c r="I12591" s="959">
        <f>+I12586</f>
        <v>0</v>
      </c>
    </row>
    <row r="12592" spans="3:9" ht="15.75">
      <c r="C12592" s="949"/>
      <c r="D12592" s="946"/>
      <c r="E12592" s="947"/>
      <c r="F12592" s="1054"/>
      <c r="G12592" s="946"/>
      <c r="H12592" s="1031"/>
      <c r="I12592" s="948"/>
    </row>
    <row r="12593" spans="2:9" ht="15.75">
      <c r="C12593" s="951" t="s">
        <v>930</v>
      </c>
      <c r="D12593" s="960"/>
      <c r="E12593" s="975" t="str">
        <f>+E12570</f>
        <v>ud</v>
      </c>
      <c r="F12593" s="1070"/>
      <c r="G12593" s="960"/>
      <c r="H12593" s="1033"/>
      <c r="I12593" s="952">
        <f>SUM(I12588:I12591)</f>
        <v>1881.9</v>
      </c>
    </row>
    <row r="12594" spans="2:9" ht="15.75">
      <c r="C12594" s="951"/>
      <c r="D12594" s="960"/>
      <c r="E12594" s="943"/>
      <c r="F12594" s="1070"/>
      <c r="G12594" s="960"/>
      <c r="H12594" s="1033"/>
      <c r="I12594" s="952"/>
    </row>
    <row r="12595" spans="2:9" ht="15.75">
      <c r="B12595" s="1026">
        <v>6.13</v>
      </c>
      <c r="C12595" s="937" t="str">
        <f>+Presupuesto!B716</f>
        <v>Juego de accesorios de baño cristal y cromado</v>
      </c>
      <c r="D12595" s="938"/>
      <c r="E12595" s="962" t="s">
        <v>1056</v>
      </c>
      <c r="F12595" s="1066"/>
      <c r="G12595" s="938"/>
      <c r="H12595" s="1029"/>
      <c r="I12595" s="940">
        <f>+I12618</f>
        <v>4998</v>
      </c>
    </row>
    <row r="12596" spans="2:9" ht="15.75">
      <c r="C12596" s="941" t="s">
        <v>908</v>
      </c>
      <c r="D12596" s="942" t="s">
        <v>9</v>
      </c>
      <c r="E12596" s="943" t="s">
        <v>10</v>
      </c>
      <c r="F12596" s="1067" t="s">
        <v>909</v>
      </c>
      <c r="G12596" s="942" t="s">
        <v>910</v>
      </c>
      <c r="H12596" s="1030" t="s">
        <v>911</v>
      </c>
      <c r="I12596" s="944" t="s">
        <v>912</v>
      </c>
    </row>
    <row r="12597" spans="2:9" ht="15.75">
      <c r="C12597" s="945" t="s">
        <v>913</v>
      </c>
      <c r="D12597" s="946"/>
      <c r="E12597" s="947"/>
      <c r="F12597" s="1054"/>
      <c r="G12597" s="946"/>
      <c r="H12597" s="1031"/>
      <c r="I12597" s="948"/>
    </row>
    <row r="12598" spans="2:9" ht="15.75">
      <c r="C12598" s="949" t="s">
        <v>1691</v>
      </c>
      <c r="D12598" s="946">
        <v>1.02</v>
      </c>
      <c r="E12598" s="947" t="str">
        <f>+VLOOKUP(C12598,'Basic (equilibrio) (2)'!B:D,2,FALSE)</f>
        <v>ud</v>
      </c>
      <c r="F12598" s="1068">
        <f>'Basic (equilibrio) (2)'!$D$288</f>
        <v>4900</v>
      </c>
      <c r="G12598" s="946">
        <f>F12598-(F12598/1.18)</f>
        <v>747.46</v>
      </c>
      <c r="H12598" s="1031"/>
      <c r="I12598" s="948">
        <f>D12598*F12598</f>
        <v>4998</v>
      </c>
    </row>
    <row r="12599" spans="2:9" ht="15.75">
      <c r="C12599" s="951" t="s">
        <v>918</v>
      </c>
      <c r="D12599" s="946"/>
      <c r="E12599" s="947"/>
      <c r="F12599" s="1068"/>
      <c r="G12599" s="946"/>
      <c r="H12599" s="1031"/>
      <c r="I12599" s="952">
        <f>SUM(I12598:I12598)</f>
        <v>4998</v>
      </c>
    </row>
    <row r="12600" spans="2:9" ht="15.75">
      <c r="C12600" s="949"/>
      <c r="D12600" s="946"/>
      <c r="E12600" s="947"/>
      <c r="F12600" s="1068"/>
      <c r="G12600" s="946"/>
      <c r="H12600" s="1031"/>
      <c r="I12600" s="948"/>
    </row>
    <row r="12601" spans="2:9" ht="15.75">
      <c r="C12601" s="945" t="s">
        <v>919</v>
      </c>
      <c r="D12601" s="946"/>
      <c r="E12601" s="947"/>
      <c r="F12601" s="1068"/>
      <c r="G12601" s="946"/>
      <c r="H12601" s="1031"/>
      <c r="I12601" s="948"/>
    </row>
    <row r="12602" spans="2:9" ht="15.75">
      <c r="C12602" s="949" t="s">
        <v>924</v>
      </c>
      <c r="D12602" s="953">
        <v>8.33</v>
      </c>
      <c r="E12602" s="954" t="str">
        <f>+VLOOKUP(C12602,'Basic (equilibrio) (2)'!B:D,2,FALSE)</f>
        <v>n/a</v>
      </c>
      <c r="F12602" s="1068">
        <f>+VLOOKUP(C12602,'Basic (equilibrio) (2)'!B:D,3,FALSE)</f>
        <v>0</v>
      </c>
      <c r="G12602" s="946">
        <v>0</v>
      </c>
      <c r="H12602" s="1031"/>
      <c r="I12602" s="948">
        <f>(D12602*F12602)</f>
        <v>0</v>
      </c>
    </row>
    <row r="12603" spans="2:9" ht="15.75">
      <c r="C12603" s="951" t="s">
        <v>918</v>
      </c>
      <c r="D12603" s="946"/>
      <c r="E12603" s="947"/>
      <c r="F12603" s="1054"/>
      <c r="G12603" s="946"/>
      <c r="H12603" s="1031"/>
      <c r="I12603" s="952">
        <f>SUM(I12602:I12602)</f>
        <v>0</v>
      </c>
    </row>
    <row r="12604" spans="2:9" ht="15.75">
      <c r="C12604" s="949"/>
      <c r="D12604" s="946"/>
      <c r="E12604" s="947"/>
      <c r="F12604" s="1054"/>
      <c r="G12604" s="946"/>
      <c r="H12604" s="1031"/>
      <c r="I12604" s="948"/>
    </row>
    <row r="12605" spans="2:9" ht="15.75">
      <c r="C12605" s="945" t="s">
        <v>923</v>
      </c>
      <c r="D12605" s="946"/>
      <c r="E12605" s="947"/>
      <c r="F12605" s="1054"/>
      <c r="G12605" s="946"/>
      <c r="H12605" s="1031"/>
      <c r="I12605" s="948"/>
    </row>
    <row r="12606" spans="2:9" ht="15.75">
      <c r="C12606" s="949" t="s">
        <v>924</v>
      </c>
      <c r="D12606" s="946"/>
      <c r="E12606" s="947" t="str">
        <f>+VLOOKUP(C12606,'Basic (equilibrio) (2)'!B:D,2,FALSE)</f>
        <v>n/a</v>
      </c>
      <c r="F12606" s="1054">
        <f>+VLOOKUP(C12606,'Basic (equilibrio) (2)'!B:D,3,FALSE)</f>
        <v>0</v>
      </c>
      <c r="G12606" s="946">
        <f>F12606-(F12606/1.18)</f>
        <v>0</v>
      </c>
      <c r="H12606" s="1039"/>
      <c r="I12606" s="955">
        <f>D12606*F12606</f>
        <v>0</v>
      </c>
    </row>
    <row r="12607" spans="2:9" ht="15.75">
      <c r="C12607" s="951" t="s">
        <v>918</v>
      </c>
      <c r="D12607" s="946"/>
      <c r="E12607" s="947"/>
      <c r="F12607" s="1054"/>
      <c r="G12607" s="946"/>
      <c r="H12607" s="1031"/>
      <c r="I12607" s="952">
        <f>SUM(I12606:I12606)</f>
        <v>0</v>
      </c>
    </row>
    <row r="12608" spans="2:9" ht="15.75">
      <c r="C12608" s="949"/>
      <c r="D12608" s="946"/>
      <c r="E12608" s="947"/>
      <c r="F12608" s="1054"/>
      <c r="G12608" s="946"/>
      <c r="H12608" s="1031"/>
      <c r="I12608" s="948"/>
    </row>
    <row r="12609" spans="2:9" ht="15.75">
      <c r="C12609" s="945" t="s">
        <v>925</v>
      </c>
      <c r="D12609" s="946"/>
      <c r="E12609" s="947"/>
      <c r="F12609" s="1054"/>
      <c r="G12609" s="946"/>
      <c r="H12609" s="1031"/>
      <c r="I12609" s="948"/>
    </row>
    <row r="12610" spans="2:9" ht="15.75">
      <c r="C12610" s="949" t="s">
        <v>924</v>
      </c>
      <c r="D12610" s="946"/>
      <c r="E12610" s="947" t="str">
        <f>+VLOOKUP(C12610,'Basic (equilibrio) (2)'!B:D,2,FALSE)</f>
        <v>n/a</v>
      </c>
      <c r="F12610" s="1054">
        <f>+VLOOKUP(C12610,'Basic (equilibrio) (2)'!B:D,3,FALSE)</f>
        <v>0</v>
      </c>
      <c r="G12610" s="946"/>
      <c r="H12610" s="1031"/>
      <c r="I12610" s="948">
        <f>D12610*F12610</f>
        <v>0</v>
      </c>
    </row>
    <row r="12611" spans="2:9" ht="15.75">
      <c r="C12611" s="951" t="s">
        <v>918</v>
      </c>
      <c r="D12611" s="946"/>
      <c r="E12611" s="947"/>
      <c r="F12611" s="1054"/>
      <c r="G12611" s="946"/>
      <c r="H12611" s="1031"/>
      <c r="I12611" s="952">
        <f>SUM(I12610)</f>
        <v>0</v>
      </c>
    </row>
    <row r="12612" spans="2:9" ht="15.75">
      <c r="C12612" s="951"/>
      <c r="D12612" s="946"/>
      <c r="E12612" s="947"/>
      <c r="F12612" s="1054"/>
      <c r="G12612" s="946"/>
      <c r="H12612" s="1031"/>
      <c r="I12612" s="952"/>
    </row>
    <row r="12613" spans="2:9" ht="15.75">
      <c r="C12613" s="956" t="s">
        <v>926</v>
      </c>
      <c r="D12613" s="957"/>
      <c r="E12613" s="958"/>
      <c r="F12613" s="1069"/>
      <c r="G12613" s="957"/>
      <c r="H12613" s="1032"/>
      <c r="I12613" s="959">
        <f>+I12599</f>
        <v>4998</v>
      </c>
    </row>
    <row r="12614" spans="2:9" ht="15.75">
      <c r="C12614" s="956" t="s">
        <v>927</v>
      </c>
      <c r="D12614" s="957"/>
      <c r="E12614" s="958"/>
      <c r="F12614" s="1069"/>
      <c r="G12614" s="957"/>
      <c r="H12614" s="1032"/>
      <c r="I12614" s="959">
        <f>+I12603</f>
        <v>0</v>
      </c>
    </row>
    <row r="12615" spans="2:9" ht="15.75">
      <c r="C12615" s="956" t="s">
        <v>928</v>
      </c>
      <c r="D12615" s="957"/>
      <c r="E12615" s="958"/>
      <c r="F12615" s="1069"/>
      <c r="G12615" s="957"/>
      <c r="H12615" s="1032"/>
      <c r="I12615" s="959">
        <f>+I12607</f>
        <v>0</v>
      </c>
    </row>
    <row r="12616" spans="2:9" ht="15.75">
      <c r="C12616" s="956" t="s">
        <v>929</v>
      </c>
      <c r="D12616" s="957"/>
      <c r="E12616" s="958"/>
      <c r="F12616" s="1069"/>
      <c r="G12616" s="957"/>
      <c r="H12616" s="1032"/>
      <c r="I12616" s="959">
        <f>+I12611</f>
        <v>0</v>
      </c>
    </row>
    <row r="12617" spans="2:9" ht="15.75">
      <c r="C12617" s="949"/>
      <c r="D12617" s="946"/>
      <c r="E12617" s="947"/>
      <c r="F12617" s="1054"/>
      <c r="G12617" s="946"/>
      <c r="H12617" s="1031"/>
      <c r="I12617" s="948"/>
    </row>
    <row r="12618" spans="2:9" ht="15.75">
      <c r="C12618" s="951" t="s">
        <v>930</v>
      </c>
      <c r="D12618" s="960"/>
      <c r="E12618" s="975" t="str">
        <f>+E12595</f>
        <v>ud</v>
      </c>
      <c r="F12618" s="1070"/>
      <c r="G12618" s="960"/>
      <c r="H12618" s="1033"/>
      <c r="I12618" s="952">
        <f>SUM(I12613:I12616)</f>
        <v>4998</v>
      </c>
    </row>
    <row r="12619" spans="2:9" ht="15.75">
      <c r="C12619" s="951"/>
      <c r="D12619" s="960"/>
      <c r="E12619" s="943"/>
      <c r="F12619" s="1070"/>
      <c r="G12619" s="960"/>
      <c r="H12619" s="1033"/>
      <c r="I12619" s="952"/>
    </row>
    <row r="12620" spans="2:9" ht="31.5">
      <c r="B12620" s="1026">
        <v>6.14</v>
      </c>
      <c r="C12620" s="937" t="str">
        <f>+Presupuesto!B717</f>
        <v>Mampara de cristal templado para bañera 1.00m x 2.33m x 8mm</v>
      </c>
      <c r="D12620" s="938"/>
      <c r="E12620" s="962" t="s">
        <v>1056</v>
      </c>
      <c r="F12620" s="1066"/>
      <c r="G12620" s="938"/>
      <c r="H12620" s="1029"/>
      <c r="I12620" s="940">
        <f>+I12643</f>
        <v>6120</v>
      </c>
    </row>
    <row r="12621" spans="2:9" ht="15.75">
      <c r="C12621" s="941" t="s">
        <v>908</v>
      </c>
      <c r="D12621" s="942" t="s">
        <v>9</v>
      </c>
      <c r="E12621" s="943" t="s">
        <v>10</v>
      </c>
      <c r="F12621" s="1067" t="s">
        <v>909</v>
      </c>
      <c r="G12621" s="942" t="s">
        <v>910</v>
      </c>
      <c r="H12621" s="1030" t="s">
        <v>911</v>
      </c>
      <c r="I12621" s="944" t="s">
        <v>912</v>
      </c>
    </row>
    <row r="12622" spans="2:9" ht="15.75">
      <c r="C12622" s="945" t="s">
        <v>913</v>
      </c>
      <c r="D12622" s="946"/>
      <c r="E12622" s="947"/>
      <c r="F12622" s="1054"/>
      <c r="G12622" s="946"/>
      <c r="H12622" s="1031"/>
      <c r="I12622" s="948"/>
    </row>
    <row r="12623" spans="2:9" ht="15.75">
      <c r="C12623" s="949" t="s">
        <v>1692</v>
      </c>
      <c r="D12623" s="946">
        <v>1.02</v>
      </c>
      <c r="E12623" s="947" t="str">
        <f>+VLOOKUP(C12623,'Basic (equilibrio) (2)'!B:D,2,FALSE)</f>
        <v>ud</v>
      </c>
      <c r="F12623" s="1068">
        <f>'Basic (equilibrio) (2)'!$D$289</f>
        <v>6000</v>
      </c>
      <c r="G12623" s="946">
        <f>F12623-(F12623/1.18)</f>
        <v>915.25</v>
      </c>
      <c r="H12623" s="1031"/>
      <c r="I12623" s="948">
        <f>D12623*F12623</f>
        <v>6120</v>
      </c>
    </row>
    <row r="12624" spans="2:9" ht="15.75">
      <c r="C12624" s="951" t="s">
        <v>918</v>
      </c>
      <c r="D12624" s="946"/>
      <c r="E12624" s="947"/>
      <c r="F12624" s="1068"/>
      <c r="G12624" s="946"/>
      <c r="H12624" s="1031"/>
      <c r="I12624" s="952">
        <f>SUM(I12623:I12623)</f>
        <v>6120</v>
      </c>
    </row>
    <row r="12625" spans="3:9" ht="15.75">
      <c r="C12625" s="949"/>
      <c r="D12625" s="946"/>
      <c r="E12625" s="947"/>
      <c r="F12625" s="1068"/>
      <c r="G12625" s="946"/>
      <c r="H12625" s="1031"/>
      <c r="I12625" s="948"/>
    </row>
    <row r="12626" spans="3:9" ht="15.75">
      <c r="C12626" s="945" t="s">
        <v>919</v>
      </c>
      <c r="D12626" s="946"/>
      <c r="E12626" s="947"/>
      <c r="F12626" s="1068"/>
      <c r="G12626" s="946"/>
      <c r="H12626" s="1031"/>
      <c r="I12626" s="948"/>
    </row>
    <row r="12627" spans="3:9" ht="15.75">
      <c r="C12627" s="949" t="s">
        <v>924</v>
      </c>
      <c r="D12627" s="953">
        <v>8.33</v>
      </c>
      <c r="E12627" s="954" t="str">
        <f>+VLOOKUP(C12627,'Basic (equilibrio) (2)'!B:D,2,FALSE)</f>
        <v>n/a</v>
      </c>
      <c r="F12627" s="1068">
        <f>+VLOOKUP(C12627,'Basic (equilibrio) (2)'!B:D,3,FALSE)</f>
        <v>0</v>
      </c>
      <c r="G12627" s="946">
        <v>0</v>
      </c>
      <c r="H12627" s="1031"/>
      <c r="I12627" s="948">
        <f>(D12627*F12627)</f>
        <v>0</v>
      </c>
    </row>
    <row r="12628" spans="3:9" ht="15.75">
      <c r="C12628" s="951" t="s">
        <v>918</v>
      </c>
      <c r="D12628" s="946"/>
      <c r="E12628" s="947"/>
      <c r="F12628" s="1054"/>
      <c r="G12628" s="946"/>
      <c r="H12628" s="1031"/>
      <c r="I12628" s="952">
        <f>SUM(I12627:I12627)</f>
        <v>0</v>
      </c>
    </row>
    <row r="12629" spans="3:9" ht="15.75">
      <c r="C12629" s="949"/>
      <c r="D12629" s="946"/>
      <c r="E12629" s="947"/>
      <c r="F12629" s="1054"/>
      <c r="G12629" s="946"/>
      <c r="H12629" s="1031"/>
      <c r="I12629" s="948"/>
    </row>
    <row r="12630" spans="3:9" ht="15.75">
      <c r="C12630" s="945" t="s">
        <v>923</v>
      </c>
      <c r="D12630" s="946"/>
      <c r="E12630" s="947"/>
      <c r="F12630" s="1054"/>
      <c r="G12630" s="946"/>
      <c r="H12630" s="1031"/>
      <c r="I12630" s="948"/>
    </row>
    <row r="12631" spans="3:9" ht="15.75">
      <c r="C12631" s="949" t="s">
        <v>924</v>
      </c>
      <c r="D12631" s="946"/>
      <c r="E12631" s="947" t="str">
        <f>+VLOOKUP(C12631,'Basic (equilibrio) (2)'!B:D,2,FALSE)</f>
        <v>n/a</v>
      </c>
      <c r="F12631" s="1054">
        <f>+VLOOKUP(C12631,'Basic (equilibrio) (2)'!B:D,3,FALSE)</f>
        <v>0</v>
      </c>
      <c r="G12631" s="946">
        <f>F12631-(F12631/1.18)</f>
        <v>0</v>
      </c>
      <c r="H12631" s="1039"/>
      <c r="I12631" s="955">
        <f>D12631*F12631</f>
        <v>0</v>
      </c>
    </row>
    <row r="12632" spans="3:9" ht="15.75">
      <c r="C12632" s="951" t="s">
        <v>918</v>
      </c>
      <c r="D12632" s="946"/>
      <c r="E12632" s="947"/>
      <c r="F12632" s="1054"/>
      <c r="G12632" s="946"/>
      <c r="H12632" s="1031"/>
      <c r="I12632" s="952">
        <f>SUM(I12631:I12631)</f>
        <v>0</v>
      </c>
    </row>
    <row r="12633" spans="3:9" ht="15.75">
      <c r="C12633" s="949"/>
      <c r="D12633" s="946"/>
      <c r="E12633" s="947"/>
      <c r="F12633" s="1054"/>
      <c r="G12633" s="946"/>
      <c r="H12633" s="1031"/>
      <c r="I12633" s="948"/>
    </row>
    <row r="12634" spans="3:9" ht="15.75">
      <c r="C12634" s="945" t="s">
        <v>925</v>
      </c>
      <c r="D12634" s="946"/>
      <c r="E12634" s="947"/>
      <c r="F12634" s="1054"/>
      <c r="G12634" s="946"/>
      <c r="H12634" s="1031"/>
      <c r="I12634" s="948"/>
    </row>
    <row r="12635" spans="3:9" ht="15.75">
      <c r="C12635" s="949" t="s">
        <v>924</v>
      </c>
      <c r="D12635" s="946"/>
      <c r="E12635" s="947" t="str">
        <f>+VLOOKUP(C12635,'Basic (equilibrio) (2)'!B:D,2,FALSE)</f>
        <v>n/a</v>
      </c>
      <c r="F12635" s="1054">
        <f>+VLOOKUP(C12635,'Basic (equilibrio) (2)'!B:D,3,FALSE)</f>
        <v>0</v>
      </c>
      <c r="G12635" s="946"/>
      <c r="H12635" s="1031"/>
      <c r="I12635" s="948">
        <f>D12635*F12635</f>
        <v>0</v>
      </c>
    </row>
    <row r="12636" spans="3:9" ht="15.75">
      <c r="C12636" s="951" t="s">
        <v>918</v>
      </c>
      <c r="D12636" s="946"/>
      <c r="E12636" s="947"/>
      <c r="F12636" s="1054"/>
      <c r="G12636" s="946"/>
      <c r="H12636" s="1031"/>
      <c r="I12636" s="952">
        <f>SUM(I12635)</f>
        <v>0</v>
      </c>
    </row>
    <row r="12637" spans="3:9" ht="15.75">
      <c r="C12637" s="951"/>
      <c r="D12637" s="946"/>
      <c r="E12637" s="947"/>
      <c r="F12637" s="1054"/>
      <c r="G12637" s="946"/>
      <c r="H12637" s="1031"/>
      <c r="I12637" s="952"/>
    </row>
    <row r="12638" spans="3:9" ht="15.75">
      <c r="C12638" s="956" t="s">
        <v>926</v>
      </c>
      <c r="D12638" s="957"/>
      <c r="E12638" s="958"/>
      <c r="F12638" s="1069"/>
      <c r="G12638" s="957"/>
      <c r="H12638" s="1032"/>
      <c r="I12638" s="959">
        <f>+I12624</f>
        <v>6120</v>
      </c>
    </row>
    <row r="12639" spans="3:9" ht="15.75">
      <c r="C12639" s="956" t="s">
        <v>927</v>
      </c>
      <c r="D12639" s="957"/>
      <c r="E12639" s="958"/>
      <c r="F12639" s="1069"/>
      <c r="G12639" s="957"/>
      <c r="H12639" s="1032"/>
      <c r="I12639" s="959">
        <f>+I12628</f>
        <v>0</v>
      </c>
    </row>
    <row r="12640" spans="3:9" ht="15.75">
      <c r="C12640" s="956" t="s">
        <v>928</v>
      </c>
      <c r="D12640" s="957"/>
      <c r="E12640" s="958"/>
      <c r="F12640" s="1069"/>
      <c r="G12640" s="957"/>
      <c r="H12640" s="1032"/>
      <c r="I12640" s="959">
        <f>+I12632</f>
        <v>0</v>
      </c>
    </row>
    <row r="12641" spans="2:9" ht="15.75">
      <c r="C12641" s="956" t="s">
        <v>929</v>
      </c>
      <c r="D12641" s="957"/>
      <c r="E12641" s="958"/>
      <c r="F12641" s="1069"/>
      <c r="G12641" s="957"/>
      <c r="H12641" s="1032"/>
      <c r="I12641" s="959">
        <f>+I12636</f>
        <v>0</v>
      </c>
    </row>
    <row r="12642" spans="2:9" ht="15.75">
      <c r="C12642" s="949"/>
      <c r="D12642" s="946"/>
      <c r="E12642" s="947"/>
      <c r="F12642" s="1054"/>
      <c r="G12642" s="946"/>
      <c r="H12642" s="1031"/>
      <c r="I12642" s="948"/>
    </row>
    <row r="12643" spans="2:9" ht="15.75">
      <c r="C12643" s="951" t="s">
        <v>930</v>
      </c>
      <c r="D12643" s="960"/>
      <c r="E12643" s="975" t="str">
        <f>+E12620</f>
        <v>ud</v>
      </c>
      <c r="F12643" s="1070"/>
      <c r="G12643" s="960"/>
      <c r="H12643" s="1033"/>
      <c r="I12643" s="952">
        <f>SUM(I12638:I12641)</f>
        <v>6120</v>
      </c>
    </row>
    <row r="12644" spans="2:9" ht="15.75">
      <c r="C12644" s="951"/>
      <c r="D12644" s="960"/>
      <c r="E12644" s="943"/>
      <c r="F12644" s="1070"/>
      <c r="G12644" s="960"/>
      <c r="H12644" s="1033"/>
      <c r="I12644" s="952"/>
    </row>
    <row r="12645" spans="2:9" ht="15.75">
      <c r="B12645" s="1026">
        <v>6.15</v>
      </c>
      <c r="C12645" s="937" t="str">
        <f>+Presupuesto!B718</f>
        <v>Barra de seguridad acero inoxidable ducha/indoro 40cms</v>
      </c>
      <c r="D12645" s="938"/>
      <c r="E12645" s="962" t="s">
        <v>1056</v>
      </c>
      <c r="F12645" s="1066"/>
      <c r="G12645" s="938"/>
      <c r="H12645" s="1029"/>
      <c r="I12645" s="940">
        <f>+I12668</f>
        <v>1606.81</v>
      </c>
    </row>
    <row r="12646" spans="2:9" ht="15.75">
      <c r="C12646" s="941" t="s">
        <v>908</v>
      </c>
      <c r="D12646" s="942" t="s">
        <v>9</v>
      </c>
      <c r="E12646" s="943" t="s">
        <v>10</v>
      </c>
      <c r="F12646" s="1067" t="s">
        <v>909</v>
      </c>
      <c r="G12646" s="942" t="s">
        <v>910</v>
      </c>
      <c r="H12646" s="1030" t="s">
        <v>911</v>
      </c>
      <c r="I12646" s="944" t="s">
        <v>912</v>
      </c>
    </row>
    <row r="12647" spans="2:9" ht="15.75">
      <c r="C12647" s="945" t="s">
        <v>913</v>
      </c>
      <c r="D12647" s="946"/>
      <c r="E12647" s="947"/>
      <c r="F12647" s="1054"/>
      <c r="G12647" s="946"/>
      <c r="H12647" s="1031"/>
      <c r="I12647" s="948"/>
    </row>
    <row r="12648" spans="2:9" ht="15.75">
      <c r="C12648" s="949" t="s">
        <v>1693</v>
      </c>
      <c r="D12648" s="946">
        <v>1.02</v>
      </c>
      <c r="E12648" s="947" t="str">
        <f>+VLOOKUP(C12648,'Basic (equilibrio) (2)'!B:D,2,FALSE)</f>
        <v>ud</v>
      </c>
      <c r="F12648" s="1068">
        <f>'Basic (equilibrio) (2)'!$D$290</f>
        <v>1575.3</v>
      </c>
      <c r="G12648" s="946">
        <f>F12648-(F12648/1.18)</f>
        <v>240.3</v>
      </c>
      <c r="H12648" s="1031"/>
      <c r="I12648" s="948">
        <f>D12648*F12648</f>
        <v>1606.81</v>
      </c>
    </row>
    <row r="12649" spans="2:9" ht="15.75">
      <c r="C12649" s="951" t="s">
        <v>918</v>
      </c>
      <c r="D12649" s="946"/>
      <c r="E12649" s="947"/>
      <c r="F12649" s="1068"/>
      <c r="G12649" s="946"/>
      <c r="H12649" s="1031"/>
      <c r="I12649" s="952">
        <f>SUM(I12648:I12648)</f>
        <v>1606.81</v>
      </c>
    </row>
    <row r="12650" spans="2:9" ht="15.75">
      <c r="C12650" s="949"/>
      <c r="D12650" s="946"/>
      <c r="E12650" s="947"/>
      <c r="F12650" s="1068"/>
      <c r="G12650" s="946"/>
      <c r="H12650" s="1031"/>
      <c r="I12650" s="948"/>
    </row>
    <row r="12651" spans="2:9" ht="15.75">
      <c r="C12651" s="945" t="s">
        <v>919</v>
      </c>
      <c r="D12651" s="946"/>
      <c r="E12651" s="947"/>
      <c r="F12651" s="1068"/>
      <c r="G12651" s="946"/>
      <c r="H12651" s="1031"/>
      <c r="I12651" s="948"/>
    </row>
    <row r="12652" spans="2:9" ht="15.75">
      <c r="C12652" s="949" t="s">
        <v>924</v>
      </c>
      <c r="D12652" s="953">
        <v>8.33</v>
      </c>
      <c r="E12652" s="954" t="str">
        <f>+VLOOKUP(C12652,'Basic (equilibrio) (2)'!B:D,2,FALSE)</f>
        <v>n/a</v>
      </c>
      <c r="F12652" s="1068">
        <f>+VLOOKUP(C12652,'Basic (equilibrio) (2)'!B:D,3,FALSE)</f>
        <v>0</v>
      </c>
      <c r="G12652" s="946">
        <v>0</v>
      </c>
      <c r="H12652" s="1031"/>
      <c r="I12652" s="948">
        <f>(D12652*F12652)</f>
        <v>0</v>
      </c>
    </row>
    <row r="12653" spans="2:9" ht="15.75">
      <c r="C12653" s="951" t="s">
        <v>918</v>
      </c>
      <c r="D12653" s="946"/>
      <c r="E12653" s="947"/>
      <c r="F12653" s="1054"/>
      <c r="G12653" s="946"/>
      <c r="H12653" s="1031"/>
      <c r="I12653" s="952">
        <f>SUM(I12652:I12652)</f>
        <v>0</v>
      </c>
    </row>
    <row r="12654" spans="2:9" ht="15.75">
      <c r="C12654" s="949"/>
      <c r="D12654" s="946"/>
      <c r="E12654" s="947"/>
      <c r="F12654" s="1054"/>
      <c r="G12654" s="946"/>
      <c r="H12654" s="1031"/>
      <c r="I12654" s="948"/>
    </row>
    <row r="12655" spans="2:9" ht="15.75">
      <c r="C12655" s="945" t="s">
        <v>923</v>
      </c>
      <c r="D12655" s="946"/>
      <c r="E12655" s="947"/>
      <c r="F12655" s="1054"/>
      <c r="G12655" s="946"/>
      <c r="H12655" s="1031"/>
      <c r="I12655" s="948"/>
    </row>
    <row r="12656" spans="2:9" ht="15.75">
      <c r="C12656" s="949" t="s">
        <v>924</v>
      </c>
      <c r="D12656" s="946"/>
      <c r="E12656" s="947" t="str">
        <f>+VLOOKUP(C12656,'Basic (equilibrio) (2)'!B:D,2,FALSE)</f>
        <v>n/a</v>
      </c>
      <c r="F12656" s="1054">
        <f>+VLOOKUP(C12656,'Basic (equilibrio) (2)'!B:D,3,FALSE)</f>
        <v>0</v>
      </c>
      <c r="G12656" s="946">
        <f>F12656-(F12656/1.18)</f>
        <v>0</v>
      </c>
      <c r="H12656" s="1039"/>
      <c r="I12656" s="955">
        <f>D12656*F12656</f>
        <v>0</v>
      </c>
    </row>
    <row r="12657" spans="2:9" ht="15.75">
      <c r="C12657" s="951" t="s">
        <v>918</v>
      </c>
      <c r="D12657" s="946"/>
      <c r="E12657" s="947"/>
      <c r="F12657" s="1054"/>
      <c r="G12657" s="946"/>
      <c r="H12657" s="1031"/>
      <c r="I12657" s="952">
        <f>SUM(I12656:I12656)</f>
        <v>0</v>
      </c>
    </row>
    <row r="12658" spans="2:9" ht="15.75">
      <c r="C12658" s="949"/>
      <c r="D12658" s="946"/>
      <c r="E12658" s="947"/>
      <c r="F12658" s="1054"/>
      <c r="G12658" s="946"/>
      <c r="H12658" s="1031"/>
      <c r="I12658" s="948"/>
    </row>
    <row r="12659" spans="2:9" ht="15.75">
      <c r="C12659" s="945" t="s">
        <v>925</v>
      </c>
      <c r="D12659" s="946"/>
      <c r="E12659" s="947"/>
      <c r="F12659" s="1054"/>
      <c r="G12659" s="946"/>
      <c r="H12659" s="1031"/>
      <c r="I12659" s="948"/>
    </row>
    <row r="12660" spans="2:9" ht="15.75">
      <c r="C12660" s="949" t="s">
        <v>924</v>
      </c>
      <c r="D12660" s="946"/>
      <c r="E12660" s="947" t="str">
        <f>+VLOOKUP(C12660,'Basic (equilibrio) (2)'!B:D,2,FALSE)</f>
        <v>n/a</v>
      </c>
      <c r="F12660" s="1054">
        <f>+VLOOKUP(C12660,'Basic (equilibrio) (2)'!B:D,3,FALSE)</f>
        <v>0</v>
      </c>
      <c r="G12660" s="946"/>
      <c r="H12660" s="1031"/>
      <c r="I12660" s="948">
        <f>D12660*F12660</f>
        <v>0</v>
      </c>
    </row>
    <row r="12661" spans="2:9" ht="15.75">
      <c r="C12661" s="951" t="s">
        <v>918</v>
      </c>
      <c r="D12661" s="946"/>
      <c r="E12661" s="947"/>
      <c r="F12661" s="1054"/>
      <c r="G12661" s="946"/>
      <c r="H12661" s="1031"/>
      <c r="I12661" s="952">
        <f>SUM(I12660)</f>
        <v>0</v>
      </c>
    </row>
    <row r="12662" spans="2:9" ht="15.75">
      <c r="C12662" s="951"/>
      <c r="D12662" s="946"/>
      <c r="E12662" s="947"/>
      <c r="F12662" s="1054"/>
      <c r="G12662" s="946"/>
      <c r="H12662" s="1031"/>
      <c r="I12662" s="952"/>
    </row>
    <row r="12663" spans="2:9" ht="15.75">
      <c r="C12663" s="956" t="s">
        <v>926</v>
      </c>
      <c r="D12663" s="957"/>
      <c r="E12663" s="958"/>
      <c r="F12663" s="1069"/>
      <c r="G12663" s="957"/>
      <c r="H12663" s="1032"/>
      <c r="I12663" s="959">
        <f>+I12649</f>
        <v>1606.81</v>
      </c>
    </row>
    <row r="12664" spans="2:9" ht="15.75">
      <c r="C12664" s="956" t="s">
        <v>927</v>
      </c>
      <c r="D12664" s="957"/>
      <c r="E12664" s="958"/>
      <c r="F12664" s="1069"/>
      <c r="G12664" s="957"/>
      <c r="H12664" s="1032"/>
      <c r="I12664" s="959">
        <f>+I12653</f>
        <v>0</v>
      </c>
    </row>
    <row r="12665" spans="2:9" ht="15.75">
      <c r="C12665" s="956" t="s">
        <v>928</v>
      </c>
      <c r="D12665" s="957"/>
      <c r="E12665" s="958"/>
      <c r="F12665" s="1069"/>
      <c r="G12665" s="957"/>
      <c r="H12665" s="1032"/>
      <c r="I12665" s="959">
        <f>+I12657</f>
        <v>0</v>
      </c>
    </row>
    <row r="12666" spans="2:9" ht="15.75">
      <c r="C12666" s="956" t="s">
        <v>929</v>
      </c>
      <c r="D12666" s="957"/>
      <c r="E12666" s="958"/>
      <c r="F12666" s="1069"/>
      <c r="G12666" s="957"/>
      <c r="H12666" s="1032"/>
      <c r="I12666" s="959">
        <f>+I12661</f>
        <v>0</v>
      </c>
    </row>
    <row r="12667" spans="2:9" ht="15.75">
      <c r="C12667" s="949"/>
      <c r="D12667" s="946"/>
      <c r="E12667" s="947"/>
      <c r="F12667" s="1054"/>
      <c r="G12667" s="946"/>
      <c r="H12667" s="1031"/>
      <c r="I12667" s="948"/>
    </row>
    <row r="12668" spans="2:9" ht="15.75">
      <c r="C12668" s="951" t="s">
        <v>930</v>
      </c>
      <c r="D12668" s="960"/>
      <c r="E12668" s="975" t="str">
        <f>+E12645</f>
        <v>ud</v>
      </c>
      <c r="F12668" s="1070"/>
      <c r="G12668" s="960"/>
      <c r="H12668" s="1033"/>
      <c r="I12668" s="952">
        <f>SUM(I12663:I12666)</f>
        <v>1606.81</v>
      </c>
    </row>
    <row r="12669" spans="2:9" ht="15.75">
      <c r="C12669" s="951"/>
      <c r="D12669" s="960"/>
      <c r="E12669" s="943"/>
      <c r="F12669" s="1070"/>
      <c r="G12669" s="960"/>
      <c r="H12669" s="1033"/>
      <c r="I12669" s="952"/>
    </row>
    <row r="12670" spans="2:9" ht="31.5">
      <c r="B12670" s="1026">
        <v>6.16</v>
      </c>
      <c r="C12670" s="937" t="str">
        <f>+Presupuesto!B719</f>
        <v xml:space="preserve">Suministro e instalación tinaco 700 gls, inc. piezas, accesorios </v>
      </c>
      <c r="D12670" s="938"/>
      <c r="E12670" s="962" t="s">
        <v>1056</v>
      </c>
      <c r="F12670" s="1066"/>
      <c r="G12670" s="938"/>
      <c r="H12670" s="1029"/>
      <c r="I12670" s="940">
        <f>+I12693</f>
        <v>22086.06</v>
      </c>
    </row>
    <row r="12671" spans="2:9" ht="15.75">
      <c r="C12671" s="941" t="s">
        <v>908</v>
      </c>
      <c r="D12671" s="942" t="s">
        <v>9</v>
      </c>
      <c r="E12671" s="943" t="s">
        <v>10</v>
      </c>
      <c r="F12671" s="1067" t="s">
        <v>909</v>
      </c>
      <c r="G12671" s="942" t="s">
        <v>910</v>
      </c>
      <c r="H12671" s="1030" t="s">
        <v>911</v>
      </c>
      <c r="I12671" s="944" t="s">
        <v>912</v>
      </c>
    </row>
    <row r="12672" spans="2:9" ht="15.75">
      <c r="C12672" s="945" t="s">
        <v>913</v>
      </c>
      <c r="D12672" s="946"/>
      <c r="E12672" s="947"/>
      <c r="F12672" s="1054"/>
      <c r="G12672" s="946"/>
      <c r="H12672" s="1031"/>
      <c r="I12672" s="948"/>
    </row>
    <row r="12673" spans="3:9" ht="15.75">
      <c r="C12673" s="949" t="s">
        <v>1694</v>
      </c>
      <c r="D12673" s="946">
        <v>1.02</v>
      </c>
      <c r="E12673" s="947" t="str">
        <f>+VLOOKUP(C12673,'Basic (equilibrio) (2)'!B:D,2,FALSE)</f>
        <v>ud</v>
      </c>
      <c r="F12673" s="1068">
        <f>'Basic (equilibrio) (2)'!$D$291</f>
        <v>21653</v>
      </c>
      <c r="G12673" s="946">
        <f>F12673-(F12673/1.18)</f>
        <v>3303</v>
      </c>
      <c r="H12673" s="1031"/>
      <c r="I12673" s="948">
        <f>D12673*F12673</f>
        <v>22086.06</v>
      </c>
    </row>
    <row r="12674" spans="3:9" ht="15.75">
      <c r="C12674" s="951" t="s">
        <v>918</v>
      </c>
      <c r="D12674" s="946"/>
      <c r="E12674" s="947"/>
      <c r="F12674" s="1068"/>
      <c r="G12674" s="946"/>
      <c r="H12674" s="1031"/>
      <c r="I12674" s="952">
        <f>SUM(I12673:I12673)</f>
        <v>22086.06</v>
      </c>
    </row>
    <row r="12675" spans="3:9" ht="15.75">
      <c r="C12675" s="949"/>
      <c r="D12675" s="946"/>
      <c r="E12675" s="947"/>
      <c r="F12675" s="1068"/>
      <c r="G12675" s="946"/>
      <c r="H12675" s="1031"/>
      <c r="I12675" s="948"/>
    </row>
    <row r="12676" spans="3:9" ht="15.75">
      <c r="C12676" s="945" t="s">
        <v>919</v>
      </c>
      <c r="D12676" s="946"/>
      <c r="E12676" s="947"/>
      <c r="F12676" s="1068"/>
      <c r="G12676" s="946"/>
      <c r="H12676" s="1031"/>
      <c r="I12676" s="948"/>
    </row>
    <row r="12677" spans="3:9" ht="15.75">
      <c r="C12677" s="949" t="s">
        <v>924</v>
      </c>
      <c r="D12677" s="953">
        <v>8.33</v>
      </c>
      <c r="E12677" s="954" t="str">
        <f>+VLOOKUP(C12677,'Basic (equilibrio) (2)'!B:D,2,FALSE)</f>
        <v>n/a</v>
      </c>
      <c r="F12677" s="1068">
        <f>+VLOOKUP(C12677,'Basic (equilibrio) (2)'!B:D,3,FALSE)</f>
        <v>0</v>
      </c>
      <c r="G12677" s="946">
        <v>0</v>
      </c>
      <c r="H12677" s="1031"/>
      <c r="I12677" s="948">
        <f>(D12677*F12677)</f>
        <v>0</v>
      </c>
    </row>
    <row r="12678" spans="3:9" ht="15.75">
      <c r="C12678" s="951" t="s">
        <v>918</v>
      </c>
      <c r="D12678" s="946"/>
      <c r="E12678" s="947"/>
      <c r="F12678" s="1054"/>
      <c r="G12678" s="946"/>
      <c r="H12678" s="1031"/>
      <c r="I12678" s="952">
        <f>SUM(I12677:I12677)</f>
        <v>0</v>
      </c>
    </row>
    <row r="12679" spans="3:9" ht="15.75">
      <c r="C12679" s="949"/>
      <c r="D12679" s="946"/>
      <c r="E12679" s="947"/>
      <c r="F12679" s="1054"/>
      <c r="G12679" s="946"/>
      <c r="H12679" s="1031"/>
      <c r="I12679" s="948"/>
    </row>
    <row r="12680" spans="3:9" ht="15.75">
      <c r="C12680" s="945" t="s">
        <v>923</v>
      </c>
      <c r="D12680" s="946"/>
      <c r="E12680" s="947"/>
      <c r="F12680" s="1054"/>
      <c r="G12680" s="946"/>
      <c r="H12680" s="1031"/>
      <c r="I12680" s="948"/>
    </row>
    <row r="12681" spans="3:9" ht="15.75">
      <c r="C12681" s="949" t="s">
        <v>924</v>
      </c>
      <c r="D12681" s="946"/>
      <c r="E12681" s="947" t="str">
        <f>+VLOOKUP(C12681,'Basic (equilibrio) (2)'!B:D,2,FALSE)</f>
        <v>n/a</v>
      </c>
      <c r="F12681" s="1054">
        <f>+VLOOKUP(C12681,'Basic (equilibrio) (2)'!B:D,3,FALSE)</f>
        <v>0</v>
      </c>
      <c r="G12681" s="946">
        <f>F12681-(F12681/1.18)</f>
        <v>0</v>
      </c>
      <c r="H12681" s="1039"/>
      <c r="I12681" s="955">
        <f>D12681*F12681</f>
        <v>0</v>
      </c>
    </row>
    <row r="12682" spans="3:9" ht="15.75">
      <c r="C12682" s="951" t="s">
        <v>918</v>
      </c>
      <c r="D12682" s="946"/>
      <c r="E12682" s="947"/>
      <c r="F12682" s="1054"/>
      <c r="G12682" s="946"/>
      <c r="H12682" s="1031"/>
      <c r="I12682" s="952">
        <f>SUM(I12681:I12681)</f>
        <v>0</v>
      </c>
    </row>
    <row r="12683" spans="3:9" ht="15.75">
      <c r="C12683" s="949"/>
      <c r="D12683" s="946"/>
      <c r="E12683" s="947"/>
      <c r="F12683" s="1054"/>
      <c r="G12683" s="946"/>
      <c r="H12683" s="1031"/>
      <c r="I12683" s="948"/>
    </row>
    <row r="12684" spans="3:9" ht="15.75">
      <c r="C12684" s="945" t="s">
        <v>925</v>
      </c>
      <c r="D12684" s="946"/>
      <c r="E12684" s="947"/>
      <c r="F12684" s="1054"/>
      <c r="G12684" s="946"/>
      <c r="H12684" s="1031"/>
      <c r="I12684" s="948"/>
    </row>
    <row r="12685" spans="3:9" ht="15.75">
      <c r="C12685" s="949" t="s">
        <v>924</v>
      </c>
      <c r="D12685" s="946"/>
      <c r="E12685" s="947" t="str">
        <f>+VLOOKUP(C12685,'Basic (equilibrio) (2)'!B:D,2,FALSE)</f>
        <v>n/a</v>
      </c>
      <c r="F12685" s="1054">
        <f>+VLOOKUP(C12685,'Basic (equilibrio) (2)'!B:D,3,FALSE)</f>
        <v>0</v>
      </c>
      <c r="G12685" s="946"/>
      <c r="H12685" s="1031"/>
      <c r="I12685" s="948">
        <f>D12685*F12685</f>
        <v>0</v>
      </c>
    </row>
    <row r="12686" spans="3:9" ht="15.75">
      <c r="C12686" s="951" t="s">
        <v>918</v>
      </c>
      <c r="D12686" s="946"/>
      <c r="E12686" s="947"/>
      <c r="F12686" s="1054"/>
      <c r="G12686" s="946"/>
      <c r="H12686" s="1031"/>
      <c r="I12686" s="952">
        <f>SUM(I12685)</f>
        <v>0</v>
      </c>
    </row>
    <row r="12687" spans="3:9" ht="15.75">
      <c r="C12687" s="951"/>
      <c r="D12687" s="946"/>
      <c r="E12687" s="947"/>
      <c r="F12687" s="1054"/>
      <c r="G12687" s="946"/>
      <c r="H12687" s="1031"/>
      <c r="I12687" s="952"/>
    </row>
    <row r="12688" spans="3:9" ht="15.75">
      <c r="C12688" s="956" t="s">
        <v>926</v>
      </c>
      <c r="D12688" s="957"/>
      <c r="E12688" s="958"/>
      <c r="F12688" s="1069"/>
      <c r="G12688" s="957"/>
      <c r="H12688" s="1032"/>
      <c r="I12688" s="959">
        <f>+I12674</f>
        <v>22086.06</v>
      </c>
    </row>
    <row r="12689" spans="2:9" ht="15.75">
      <c r="C12689" s="956" t="s">
        <v>927</v>
      </c>
      <c r="D12689" s="957"/>
      <c r="E12689" s="958"/>
      <c r="F12689" s="1069"/>
      <c r="G12689" s="957"/>
      <c r="H12689" s="1032"/>
      <c r="I12689" s="959">
        <f>+I12678</f>
        <v>0</v>
      </c>
    </row>
    <row r="12690" spans="2:9" ht="15.75">
      <c r="C12690" s="956" t="s">
        <v>928</v>
      </c>
      <c r="D12690" s="957"/>
      <c r="E12690" s="958"/>
      <c r="F12690" s="1069"/>
      <c r="G12690" s="957"/>
      <c r="H12690" s="1032"/>
      <c r="I12690" s="959">
        <f>+I12682</f>
        <v>0</v>
      </c>
    </row>
    <row r="12691" spans="2:9" ht="15.75">
      <c r="C12691" s="956" t="s">
        <v>929</v>
      </c>
      <c r="D12691" s="957"/>
      <c r="E12691" s="958"/>
      <c r="F12691" s="1069"/>
      <c r="G12691" s="957"/>
      <c r="H12691" s="1032"/>
      <c r="I12691" s="959">
        <f>+I12686</f>
        <v>0</v>
      </c>
    </row>
    <row r="12692" spans="2:9" ht="15.75">
      <c r="C12692" s="949"/>
      <c r="D12692" s="946"/>
      <c r="E12692" s="947"/>
      <c r="F12692" s="1054"/>
      <c r="G12692" s="946"/>
      <c r="H12692" s="1031"/>
      <c r="I12692" s="948"/>
    </row>
    <row r="12693" spans="2:9" ht="15.75">
      <c r="C12693" s="951" t="s">
        <v>930</v>
      </c>
      <c r="D12693" s="960"/>
      <c r="E12693" s="975" t="str">
        <f>+E12670</f>
        <v>ud</v>
      </c>
      <c r="F12693" s="1070"/>
      <c r="G12693" s="960"/>
      <c r="H12693" s="1033"/>
      <c r="I12693" s="952">
        <f>SUM(I12688:I12691)</f>
        <v>22086.06</v>
      </c>
    </row>
    <row r="12694" spans="2:9" ht="15.75">
      <c r="C12694" s="951"/>
      <c r="D12694" s="960"/>
      <c r="E12694" s="943"/>
      <c r="F12694" s="1070"/>
      <c r="G12694" s="960"/>
      <c r="H12694" s="1033"/>
      <c r="I12694" s="952"/>
    </row>
    <row r="12695" spans="2:9" ht="15.75">
      <c r="B12695" s="1026">
        <v>6.17</v>
      </c>
      <c r="C12695" s="937" t="str">
        <f>+Presupuesto!B720:B720</f>
        <v>Mano de obra plomería en general</v>
      </c>
      <c r="D12695" s="938"/>
      <c r="E12695" s="962" t="s">
        <v>1056</v>
      </c>
      <c r="F12695" s="1066"/>
      <c r="G12695" s="938"/>
      <c r="H12695" s="1029"/>
      <c r="I12695" s="940">
        <f>+I12718</f>
        <v>40800</v>
      </c>
    </row>
    <row r="12696" spans="2:9" ht="15.75">
      <c r="C12696" s="941" t="s">
        <v>908</v>
      </c>
      <c r="D12696" s="942" t="s">
        <v>9</v>
      </c>
      <c r="E12696" s="943" t="s">
        <v>10</v>
      </c>
      <c r="F12696" s="1067" t="s">
        <v>909</v>
      </c>
      <c r="G12696" s="942" t="s">
        <v>910</v>
      </c>
      <c r="H12696" s="1030" t="s">
        <v>911</v>
      </c>
      <c r="I12696" s="944" t="s">
        <v>912</v>
      </c>
    </row>
    <row r="12697" spans="2:9" ht="15.75">
      <c r="C12697" s="945" t="s">
        <v>913</v>
      </c>
      <c r="D12697" s="946"/>
      <c r="E12697" s="947"/>
      <c r="F12697" s="1054"/>
      <c r="G12697" s="946"/>
      <c r="H12697" s="1031"/>
      <c r="I12697" s="948"/>
    </row>
    <row r="12698" spans="2:9" ht="15.75">
      <c r="C12698" s="949" t="s">
        <v>1695</v>
      </c>
      <c r="D12698" s="946">
        <v>1.02</v>
      </c>
      <c r="E12698" s="947" t="str">
        <f>+VLOOKUP(C12698,'Basic (equilibrio) (2)'!B:D,2,FALSE)</f>
        <v>P.a</v>
      </c>
      <c r="F12698" s="1068">
        <f>'Basic (equilibrio) (2)'!$D$292</f>
        <v>40000</v>
      </c>
      <c r="G12698" s="946">
        <f>F12698-(F12698/1.18)</f>
        <v>6101.69</v>
      </c>
      <c r="H12698" s="1031"/>
      <c r="I12698" s="948">
        <f>D12698*F12698</f>
        <v>40800</v>
      </c>
    </row>
    <row r="12699" spans="2:9" ht="15.75">
      <c r="C12699" s="951" t="s">
        <v>918</v>
      </c>
      <c r="D12699" s="946"/>
      <c r="E12699" s="947"/>
      <c r="F12699" s="1068"/>
      <c r="G12699" s="946"/>
      <c r="H12699" s="1031"/>
      <c r="I12699" s="952">
        <f>SUM(I12698:I12698)</f>
        <v>40800</v>
      </c>
    </row>
    <row r="12700" spans="2:9" ht="15.75">
      <c r="C12700" s="949"/>
      <c r="D12700" s="946"/>
      <c r="E12700" s="947"/>
      <c r="F12700" s="1068"/>
      <c r="G12700" s="946"/>
      <c r="H12700" s="1031"/>
      <c r="I12700" s="948"/>
    </row>
    <row r="12701" spans="2:9" ht="15.75">
      <c r="C12701" s="945" t="s">
        <v>919</v>
      </c>
      <c r="D12701" s="946"/>
      <c r="E12701" s="947"/>
      <c r="F12701" s="1068"/>
      <c r="G12701" s="946"/>
      <c r="H12701" s="1031"/>
      <c r="I12701" s="948"/>
    </row>
    <row r="12702" spans="2:9" ht="15.75">
      <c r="C12702" s="949" t="s">
        <v>924</v>
      </c>
      <c r="D12702" s="953">
        <v>8.33</v>
      </c>
      <c r="E12702" s="954" t="str">
        <f>+VLOOKUP(C12702,'Basic (equilibrio) (2)'!B:D,2,FALSE)</f>
        <v>n/a</v>
      </c>
      <c r="F12702" s="1068">
        <f>+VLOOKUP(C12702,'Basic (equilibrio) (2)'!B:D,3,FALSE)</f>
        <v>0</v>
      </c>
      <c r="G12702" s="946">
        <v>0</v>
      </c>
      <c r="H12702" s="1031"/>
      <c r="I12702" s="948">
        <f>(D12702*F12702)</f>
        <v>0</v>
      </c>
    </row>
    <row r="12703" spans="2:9" ht="15.75">
      <c r="C12703" s="951" t="s">
        <v>918</v>
      </c>
      <c r="D12703" s="946"/>
      <c r="E12703" s="947"/>
      <c r="F12703" s="1054"/>
      <c r="G12703" s="946"/>
      <c r="H12703" s="1031"/>
      <c r="I12703" s="952">
        <f>SUM(I12702:I12702)</f>
        <v>0</v>
      </c>
    </row>
    <row r="12704" spans="2:9" ht="15.75">
      <c r="C12704" s="949"/>
      <c r="D12704" s="946"/>
      <c r="E12704" s="947"/>
      <c r="F12704" s="1054"/>
      <c r="G12704" s="946"/>
      <c r="H12704" s="1031"/>
      <c r="I12704" s="948"/>
    </row>
    <row r="12705" spans="2:9" ht="15.75">
      <c r="C12705" s="945" t="s">
        <v>923</v>
      </c>
      <c r="D12705" s="946"/>
      <c r="E12705" s="947"/>
      <c r="F12705" s="1054"/>
      <c r="G12705" s="946"/>
      <c r="H12705" s="1031"/>
      <c r="I12705" s="948"/>
    </row>
    <row r="12706" spans="2:9" ht="15.75">
      <c r="C12706" s="949" t="s">
        <v>924</v>
      </c>
      <c r="D12706" s="946"/>
      <c r="E12706" s="947" t="str">
        <f>+VLOOKUP(C12706,'Basic (equilibrio) (2)'!B:D,2,FALSE)</f>
        <v>n/a</v>
      </c>
      <c r="F12706" s="1054">
        <f>+VLOOKUP(C12706,'Basic (equilibrio) (2)'!B:D,3,FALSE)</f>
        <v>0</v>
      </c>
      <c r="G12706" s="946">
        <f>F12706-(F12706/1.18)</f>
        <v>0</v>
      </c>
      <c r="H12706" s="1039"/>
      <c r="I12706" s="955">
        <f>D12706*F12706</f>
        <v>0</v>
      </c>
    </row>
    <row r="12707" spans="2:9" ht="15.75">
      <c r="C12707" s="951" t="s">
        <v>918</v>
      </c>
      <c r="D12707" s="946"/>
      <c r="E12707" s="947"/>
      <c r="F12707" s="1054"/>
      <c r="G12707" s="946"/>
      <c r="H12707" s="1031"/>
      <c r="I12707" s="952">
        <f>SUM(I12706:I12706)</f>
        <v>0</v>
      </c>
    </row>
    <row r="12708" spans="2:9" ht="15.75">
      <c r="C12708" s="949"/>
      <c r="D12708" s="946"/>
      <c r="E12708" s="947"/>
      <c r="F12708" s="1054"/>
      <c r="G12708" s="946"/>
      <c r="H12708" s="1031"/>
      <c r="I12708" s="948"/>
    </row>
    <row r="12709" spans="2:9" ht="15.75">
      <c r="C12709" s="945" t="s">
        <v>925</v>
      </c>
      <c r="D12709" s="946"/>
      <c r="E12709" s="947"/>
      <c r="F12709" s="1054"/>
      <c r="G12709" s="946"/>
      <c r="H12709" s="1031"/>
      <c r="I12709" s="948"/>
    </row>
    <row r="12710" spans="2:9" ht="15.75">
      <c r="C12710" s="949" t="s">
        <v>924</v>
      </c>
      <c r="D12710" s="946"/>
      <c r="E12710" s="947" t="str">
        <f>+VLOOKUP(C12710,'Basic (equilibrio) (2)'!B:D,2,FALSE)</f>
        <v>n/a</v>
      </c>
      <c r="F12710" s="1054">
        <f>+VLOOKUP(C12710,'Basic (equilibrio) (2)'!B:D,3,FALSE)</f>
        <v>0</v>
      </c>
      <c r="G12710" s="946"/>
      <c r="H12710" s="1031"/>
      <c r="I12710" s="948">
        <f>D12710*F12710</f>
        <v>0</v>
      </c>
    </row>
    <row r="12711" spans="2:9" ht="15.75">
      <c r="C12711" s="951" t="s">
        <v>918</v>
      </c>
      <c r="D12711" s="946"/>
      <c r="E12711" s="947"/>
      <c r="F12711" s="1054"/>
      <c r="G12711" s="946"/>
      <c r="H12711" s="1031"/>
      <c r="I12711" s="952">
        <f>SUM(I12710)</f>
        <v>0</v>
      </c>
    </row>
    <row r="12712" spans="2:9" ht="15.75">
      <c r="C12712" s="951"/>
      <c r="D12712" s="946"/>
      <c r="E12712" s="947"/>
      <c r="F12712" s="1054"/>
      <c r="G12712" s="946"/>
      <c r="H12712" s="1031"/>
      <c r="I12712" s="952"/>
    </row>
    <row r="12713" spans="2:9" ht="15.75">
      <c r="C12713" s="956" t="s">
        <v>926</v>
      </c>
      <c r="D12713" s="957"/>
      <c r="E12713" s="958"/>
      <c r="F12713" s="1069"/>
      <c r="G12713" s="957"/>
      <c r="H12713" s="1032"/>
      <c r="I12713" s="959">
        <f>+I12699</f>
        <v>40800</v>
      </c>
    </row>
    <row r="12714" spans="2:9" ht="15.75">
      <c r="C12714" s="956" t="s">
        <v>927</v>
      </c>
      <c r="D12714" s="957"/>
      <c r="E12714" s="958"/>
      <c r="F12714" s="1069"/>
      <c r="G12714" s="957"/>
      <c r="H12714" s="1032"/>
      <c r="I12714" s="959">
        <f>+I12703</f>
        <v>0</v>
      </c>
    </row>
    <row r="12715" spans="2:9" ht="15.75">
      <c r="C12715" s="956" t="s">
        <v>928</v>
      </c>
      <c r="D12715" s="957"/>
      <c r="E12715" s="958"/>
      <c r="F12715" s="1069"/>
      <c r="G12715" s="957"/>
      <c r="H12715" s="1032"/>
      <c r="I12715" s="959">
        <f>+I12707</f>
        <v>0</v>
      </c>
    </row>
    <row r="12716" spans="2:9" ht="15.75">
      <c r="C12716" s="956" t="s">
        <v>929</v>
      </c>
      <c r="D12716" s="957"/>
      <c r="E12716" s="958"/>
      <c r="F12716" s="1069"/>
      <c r="G12716" s="957"/>
      <c r="H12716" s="1032"/>
      <c r="I12716" s="959">
        <f>+I12711</f>
        <v>0</v>
      </c>
    </row>
    <row r="12717" spans="2:9" ht="15.75">
      <c r="C12717" s="949"/>
      <c r="D12717" s="946"/>
      <c r="E12717" s="947"/>
      <c r="F12717" s="1054"/>
      <c r="G12717" s="946"/>
      <c r="H12717" s="1031"/>
      <c r="I12717" s="948"/>
    </row>
    <row r="12718" spans="2:9" ht="15.75">
      <c r="C12718" s="951" t="s">
        <v>930</v>
      </c>
      <c r="D12718" s="960"/>
      <c r="E12718" s="975" t="str">
        <f>+E12695</f>
        <v>ud</v>
      </c>
      <c r="F12718" s="1070"/>
      <c r="G12718" s="960"/>
      <c r="H12718" s="1033"/>
      <c r="I12718" s="952">
        <f>SUM(I12713:I12716)</f>
        <v>40800</v>
      </c>
    </row>
    <row r="12719" spans="2:9" ht="15.75">
      <c r="C12719" s="951"/>
      <c r="D12719" s="960"/>
      <c r="E12719" s="943"/>
      <c r="F12719" s="1070"/>
      <c r="G12719" s="960"/>
      <c r="H12719" s="1033"/>
      <c r="I12719" s="952"/>
    </row>
    <row r="12720" spans="2:9" ht="15.75">
      <c r="B12720" s="1063">
        <v>7.1</v>
      </c>
      <c r="C12720" s="937" t="str">
        <f>+Presupuesto!B723</f>
        <v xml:space="preserve">Puerta polimetal (1.00m x 2.10m) (Incluye llavín) </v>
      </c>
      <c r="D12720" s="938"/>
      <c r="E12720" s="962" t="s">
        <v>1056</v>
      </c>
      <c r="F12720" s="1066"/>
      <c r="G12720" s="938"/>
      <c r="H12720" s="1029"/>
      <c r="I12720" s="940">
        <f>+I12743</f>
        <v>8500</v>
      </c>
    </row>
    <row r="12721" spans="3:9" ht="15.75">
      <c r="C12721" s="941" t="s">
        <v>908</v>
      </c>
      <c r="D12721" s="942" t="s">
        <v>9</v>
      </c>
      <c r="E12721" s="943" t="s">
        <v>10</v>
      </c>
      <c r="F12721" s="1067" t="s">
        <v>909</v>
      </c>
      <c r="G12721" s="942" t="s">
        <v>910</v>
      </c>
      <c r="H12721" s="1030" t="s">
        <v>911</v>
      </c>
      <c r="I12721" s="944" t="s">
        <v>912</v>
      </c>
    </row>
    <row r="12722" spans="3:9" ht="15.75">
      <c r="C12722" s="945" t="s">
        <v>913</v>
      </c>
      <c r="D12722" s="946"/>
      <c r="E12722" s="947"/>
      <c r="F12722" s="1054"/>
      <c r="G12722" s="946"/>
      <c r="H12722" s="1031"/>
      <c r="I12722" s="948"/>
    </row>
    <row r="12723" spans="3:9" ht="15.75">
      <c r="C12723" s="949" t="s">
        <v>1305</v>
      </c>
      <c r="D12723" s="946">
        <v>1</v>
      </c>
      <c r="E12723" s="947" t="str">
        <f>+VLOOKUP(C12723,'Basic (equilibrio) (2)'!B:D,2,FALSE)</f>
        <v>ud</v>
      </c>
      <c r="F12723" s="1068">
        <f>'Basic (equilibrio) (2)'!$D$338</f>
        <v>8500</v>
      </c>
      <c r="G12723" s="946">
        <f>F12723-(F12723/1.18)</f>
        <v>1296.6099999999999</v>
      </c>
      <c r="H12723" s="1031"/>
      <c r="I12723" s="948">
        <f>D12723*F12723</f>
        <v>8500</v>
      </c>
    </row>
    <row r="12724" spans="3:9" ht="15.75">
      <c r="C12724" s="951" t="s">
        <v>918</v>
      </c>
      <c r="D12724" s="946"/>
      <c r="E12724" s="947"/>
      <c r="F12724" s="1068"/>
      <c r="G12724" s="946"/>
      <c r="H12724" s="1031"/>
      <c r="I12724" s="952">
        <f>SUM(I12723:I12723)</f>
        <v>8500</v>
      </c>
    </row>
    <row r="12725" spans="3:9" ht="15.75">
      <c r="C12725" s="949"/>
      <c r="D12725" s="946"/>
      <c r="E12725" s="947"/>
      <c r="F12725" s="1068"/>
      <c r="G12725" s="946"/>
      <c r="H12725" s="1031"/>
      <c r="I12725" s="948"/>
    </row>
    <row r="12726" spans="3:9" ht="15.75">
      <c r="C12726" s="945" t="s">
        <v>919</v>
      </c>
      <c r="D12726" s="946"/>
      <c r="E12726" s="947"/>
      <c r="F12726" s="1068"/>
      <c r="G12726" s="946"/>
      <c r="H12726" s="1031"/>
      <c r="I12726" s="948"/>
    </row>
    <row r="12727" spans="3:9" ht="15.75">
      <c r="C12727" s="949" t="s">
        <v>924</v>
      </c>
      <c r="D12727" s="953"/>
      <c r="E12727" s="954" t="str">
        <f>+VLOOKUP(C12727,'Basic (equilibrio) (2)'!B:D,2,FALSE)</f>
        <v>n/a</v>
      </c>
      <c r="F12727" s="1068">
        <f>+VLOOKUP(C12727,'Basic (equilibrio) (2)'!B:D,3,FALSE)</f>
        <v>0</v>
      </c>
      <c r="G12727" s="946">
        <v>0</v>
      </c>
      <c r="H12727" s="1031"/>
      <c r="I12727" s="948">
        <f>(D12727*F12727)</f>
        <v>0</v>
      </c>
    </row>
    <row r="12728" spans="3:9" ht="15.75">
      <c r="C12728" s="951" t="s">
        <v>918</v>
      </c>
      <c r="D12728" s="946"/>
      <c r="E12728" s="947"/>
      <c r="F12728" s="1054"/>
      <c r="G12728" s="946"/>
      <c r="H12728" s="1031"/>
      <c r="I12728" s="952">
        <f>SUM(I12727:I12727)</f>
        <v>0</v>
      </c>
    </row>
    <row r="12729" spans="3:9" ht="15.75">
      <c r="C12729" s="949"/>
      <c r="D12729" s="946"/>
      <c r="E12729" s="947"/>
      <c r="F12729" s="1054"/>
      <c r="G12729" s="946"/>
      <c r="H12729" s="1031"/>
      <c r="I12729" s="948"/>
    </row>
    <row r="12730" spans="3:9" ht="15.75">
      <c r="C12730" s="945" t="s">
        <v>923</v>
      </c>
      <c r="D12730" s="946"/>
      <c r="E12730" s="947"/>
      <c r="F12730" s="1054"/>
      <c r="G12730" s="946"/>
      <c r="H12730" s="1031"/>
      <c r="I12730" s="948"/>
    </row>
    <row r="12731" spans="3:9" ht="15.75">
      <c r="C12731" s="949" t="s">
        <v>924</v>
      </c>
      <c r="D12731" s="946"/>
      <c r="E12731" s="947" t="str">
        <f>+VLOOKUP(C12731,'Basic (equilibrio) (2)'!B:D,2,FALSE)</f>
        <v>n/a</v>
      </c>
      <c r="F12731" s="1054">
        <f>+VLOOKUP(C12731,'Basic (equilibrio) (2)'!B:D,3,FALSE)</f>
        <v>0</v>
      </c>
      <c r="G12731" s="946">
        <f>F12731-(F12731/1.18)</f>
        <v>0</v>
      </c>
      <c r="H12731" s="1039"/>
      <c r="I12731" s="955">
        <f>D12731*F12731</f>
        <v>0</v>
      </c>
    </row>
    <row r="12732" spans="3:9" ht="15.75">
      <c r="C12732" s="951" t="s">
        <v>918</v>
      </c>
      <c r="D12732" s="946"/>
      <c r="E12732" s="947"/>
      <c r="F12732" s="1054"/>
      <c r="G12732" s="946"/>
      <c r="H12732" s="1031"/>
      <c r="I12732" s="952">
        <f>SUM(I12731:I12731)</f>
        <v>0</v>
      </c>
    </row>
    <row r="12733" spans="3:9" ht="15.75">
      <c r="C12733" s="949"/>
      <c r="D12733" s="946"/>
      <c r="E12733" s="947"/>
      <c r="F12733" s="1054"/>
      <c r="G12733" s="946"/>
      <c r="H12733" s="1031"/>
      <c r="I12733" s="948"/>
    </row>
    <row r="12734" spans="3:9" ht="15.75">
      <c r="C12734" s="945" t="s">
        <v>925</v>
      </c>
      <c r="D12734" s="946"/>
      <c r="E12734" s="947"/>
      <c r="F12734" s="1054"/>
      <c r="G12734" s="946"/>
      <c r="H12734" s="1031"/>
      <c r="I12734" s="948"/>
    </row>
    <row r="12735" spans="3:9" ht="15.75">
      <c r="C12735" s="949" t="s">
        <v>924</v>
      </c>
      <c r="D12735" s="946"/>
      <c r="E12735" s="947" t="str">
        <f>+VLOOKUP(C12735,'Basic (equilibrio) (2)'!B:D,2,FALSE)</f>
        <v>n/a</v>
      </c>
      <c r="F12735" s="1054">
        <f>+VLOOKUP(C12735,'Basic (equilibrio) (2)'!B:D,3,FALSE)</f>
        <v>0</v>
      </c>
      <c r="G12735" s="946"/>
      <c r="H12735" s="1031"/>
      <c r="I12735" s="948">
        <f>D12735*F12735</f>
        <v>0</v>
      </c>
    </row>
    <row r="12736" spans="3:9" ht="15.75">
      <c r="C12736" s="951" t="s">
        <v>918</v>
      </c>
      <c r="D12736" s="946"/>
      <c r="E12736" s="947"/>
      <c r="F12736" s="1054"/>
      <c r="G12736" s="946"/>
      <c r="H12736" s="1031"/>
      <c r="I12736" s="952">
        <f>SUM(I12735)</f>
        <v>0</v>
      </c>
    </row>
    <row r="12737" spans="2:9" ht="15.75">
      <c r="C12737" s="951"/>
      <c r="D12737" s="946"/>
      <c r="E12737" s="947"/>
      <c r="F12737" s="1054"/>
      <c r="G12737" s="946"/>
      <c r="H12737" s="1031"/>
      <c r="I12737" s="952"/>
    </row>
    <row r="12738" spans="2:9" ht="15.75">
      <c r="C12738" s="956" t="s">
        <v>926</v>
      </c>
      <c r="D12738" s="957"/>
      <c r="E12738" s="958"/>
      <c r="F12738" s="1069"/>
      <c r="G12738" s="957"/>
      <c r="H12738" s="1032"/>
      <c r="I12738" s="959">
        <f>+I12724</f>
        <v>8500</v>
      </c>
    </row>
    <row r="12739" spans="2:9" ht="15.75">
      <c r="C12739" s="956" t="s">
        <v>927</v>
      </c>
      <c r="D12739" s="957"/>
      <c r="E12739" s="958"/>
      <c r="F12739" s="1069"/>
      <c r="G12739" s="957"/>
      <c r="H12739" s="1032"/>
      <c r="I12739" s="959">
        <f>+I12728</f>
        <v>0</v>
      </c>
    </row>
    <row r="12740" spans="2:9" ht="15.75">
      <c r="C12740" s="956" t="s">
        <v>928</v>
      </c>
      <c r="D12740" s="957"/>
      <c r="E12740" s="958"/>
      <c r="F12740" s="1069"/>
      <c r="G12740" s="957"/>
      <c r="H12740" s="1032"/>
      <c r="I12740" s="959">
        <f>+I12732</f>
        <v>0</v>
      </c>
    </row>
    <row r="12741" spans="2:9" ht="15.75">
      <c r="C12741" s="956" t="s">
        <v>929</v>
      </c>
      <c r="D12741" s="957"/>
      <c r="E12741" s="958"/>
      <c r="F12741" s="1069"/>
      <c r="G12741" s="957"/>
      <c r="H12741" s="1032"/>
      <c r="I12741" s="959">
        <f>+I12736</f>
        <v>0</v>
      </c>
    </row>
    <row r="12742" spans="2:9" ht="15.75">
      <c r="C12742" s="949"/>
      <c r="D12742" s="946"/>
      <c r="E12742" s="947"/>
      <c r="F12742" s="1054"/>
      <c r="G12742" s="946"/>
      <c r="H12742" s="1031"/>
      <c r="I12742" s="948"/>
    </row>
    <row r="12743" spans="2:9" ht="15.75">
      <c r="C12743" s="951" t="s">
        <v>930</v>
      </c>
      <c r="D12743" s="960"/>
      <c r="E12743" s="975" t="str">
        <f>+E12720</f>
        <v>ud</v>
      </c>
      <c r="F12743" s="1070"/>
      <c r="G12743" s="960"/>
      <c r="H12743" s="1033"/>
      <c r="I12743" s="952">
        <f>SUM(I12738:I12741)</f>
        <v>8500</v>
      </c>
    </row>
    <row r="12744" spans="2:9" ht="15.75">
      <c r="C12744" s="951"/>
      <c r="D12744" s="960"/>
      <c r="E12744" s="943"/>
      <c r="F12744" s="1070"/>
      <c r="G12744" s="960"/>
      <c r="H12744" s="1033"/>
      <c r="I12744" s="952"/>
    </row>
    <row r="12745" spans="2:9" ht="15.75">
      <c r="C12745" s="951"/>
      <c r="D12745" s="960"/>
      <c r="E12745" s="943"/>
      <c r="F12745" s="1070"/>
      <c r="G12745" s="960"/>
      <c r="H12745" s="1033"/>
      <c r="I12745" s="952"/>
    </row>
    <row r="12746" spans="2:9" ht="15.75">
      <c r="B12746" s="1026">
        <v>7.2</v>
      </c>
      <c r="C12746" s="937" t="str">
        <f>+Presupuesto!B724</f>
        <v>Puerta pino tratado (0.55m x 1.50m) (Incluye llavín)</v>
      </c>
      <c r="D12746" s="938"/>
      <c r="E12746" s="962" t="s">
        <v>1106</v>
      </c>
      <c r="F12746" s="1066"/>
      <c r="G12746" s="938"/>
      <c r="H12746" s="1029"/>
      <c r="I12746" s="940">
        <f>+I12769</f>
        <v>9996</v>
      </c>
    </row>
    <row r="12747" spans="2:9" ht="15.75">
      <c r="C12747" s="941" t="s">
        <v>908</v>
      </c>
      <c r="D12747" s="942" t="s">
        <v>9</v>
      </c>
      <c r="E12747" s="943" t="s">
        <v>10</v>
      </c>
      <c r="F12747" s="1067" t="s">
        <v>909</v>
      </c>
      <c r="G12747" s="942" t="s">
        <v>910</v>
      </c>
      <c r="H12747" s="1030" t="s">
        <v>911</v>
      </c>
      <c r="I12747" s="944" t="s">
        <v>912</v>
      </c>
    </row>
    <row r="12748" spans="2:9" ht="15.75">
      <c r="C12748" s="945" t="s">
        <v>913</v>
      </c>
      <c r="D12748" s="946"/>
      <c r="E12748" s="947"/>
      <c r="F12748" s="1054"/>
      <c r="G12748" s="946"/>
      <c r="H12748" s="1031"/>
      <c r="I12748" s="948"/>
    </row>
    <row r="12749" spans="2:9" ht="15.75">
      <c r="C12749" s="949" t="s">
        <v>1697</v>
      </c>
      <c r="D12749" s="946">
        <v>1.02</v>
      </c>
      <c r="E12749" s="947" t="str">
        <f>+VLOOKUP(C12749,'Basic (equilibrio) (2)'!B:D,2,FALSE)</f>
        <v>ud</v>
      </c>
      <c r="F12749" s="1068">
        <f>'Basic (equilibrio) (2)'!$D$341</f>
        <v>9800</v>
      </c>
      <c r="G12749" s="946">
        <f>F12749-(F12749/1.18)</f>
        <v>1494.92</v>
      </c>
      <c r="H12749" s="1031"/>
      <c r="I12749" s="948">
        <f>D12749*F12749</f>
        <v>9996</v>
      </c>
    </row>
    <row r="12750" spans="2:9" ht="15.75">
      <c r="C12750" s="951" t="s">
        <v>918</v>
      </c>
      <c r="D12750" s="946"/>
      <c r="E12750" s="947"/>
      <c r="F12750" s="1068"/>
      <c r="G12750" s="946"/>
      <c r="H12750" s="1031"/>
      <c r="I12750" s="952">
        <f>SUM(I12749:I12749)</f>
        <v>9996</v>
      </c>
    </row>
    <row r="12751" spans="2:9" ht="15.75">
      <c r="C12751" s="949"/>
      <c r="D12751" s="946"/>
      <c r="E12751" s="947"/>
      <c r="F12751" s="1068"/>
      <c r="G12751" s="946"/>
      <c r="H12751" s="1031"/>
      <c r="I12751" s="948"/>
    </row>
    <row r="12752" spans="2:9" ht="15.75">
      <c r="C12752" s="945" t="s">
        <v>919</v>
      </c>
      <c r="D12752" s="946"/>
      <c r="E12752" s="947"/>
      <c r="F12752" s="1068"/>
      <c r="G12752" s="946"/>
      <c r="H12752" s="1031"/>
      <c r="I12752" s="948"/>
    </row>
    <row r="12753" spans="3:9" ht="15.75">
      <c r="C12753" s="949" t="s">
        <v>924</v>
      </c>
      <c r="D12753" s="953">
        <v>8.33</v>
      </c>
      <c r="E12753" s="954" t="str">
        <f>+VLOOKUP(C12753,'Basic (equilibrio) (2)'!B:D,2,FALSE)</f>
        <v>n/a</v>
      </c>
      <c r="F12753" s="1068">
        <f>+VLOOKUP(C12753,'Basic (equilibrio) (2)'!B:D,3,FALSE)</f>
        <v>0</v>
      </c>
      <c r="G12753" s="946">
        <v>0</v>
      </c>
      <c r="H12753" s="1031"/>
      <c r="I12753" s="948">
        <f>(D12753*F12753)</f>
        <v>0</v>
      </c>
    </row>
    <row r="12754" spans="3:9" ht="15.75">
      <c r="C12754" s="951" t="s">
        <v>918</v>
      </c>
      <c r="D12754" s="946"/>
      <c r="E12754" s="947"/>
      <c r="F12754" s="1054"/>
      <c r="G12754" s="946"/>
      <c r="H12754" s="1031"/>
      <c r="I12754" s="952">
        <f>SUM(I12753:I12753)</f>
        <v>0</v>
      </c>
    </row>
    <row r="12755" spans="3:9" ht="15.75">
      <c r="C12755" s="949"/>
      <c r="D12755" s="946"/>
      <c r="E12755" s="947"/>
      <c r="F12755" s="1054"/>
      <c r="G12755" s="946"/>
      <c r="H12755" s="1031"/>
      <c r="I12755" s="948"/>
    </row>
    <row r="12756" spans="3:9" ht="15.75">
      <c r="C12756" s="945" t="s">
        <v>923</v>
      </c>
      <c r="D12756" s="946"/>
      <c r="E12756" s="947"/>
      <c r="F12756" s="1054"/>
      <c r="G12756" s="946"/>
      <c r="H12756" s="1031"/>
      <c r="I12756" s="948"/>
    </row>
    <row r="12757" spans="3:9" ht="15.75">
      <c r="C12757" s="949" t="s">
        <v>924</v>
      </c>
      <c r="D12757" s="946"/>
      <c r="E12757" s="947" t="str">
        <f>+VLOOKUP(C12757,'Basic (equilibrio) (2)'!B:D,2,FALSE)</f>
        <v>n/a</v>
      </c>
      <c r="F12757" s="1054">
        <f>+VLOOKUP(C12757,'Basic (equilibrio) (2)'!B:D,3,FALSE)</f>
        <v>0</v>
      </c>
      <c r="G12757" s="946">
        <f>F12757-(F12757/1.18)</f>
        <v>0</v>
      </c>
      <c r="H12757" s="1039"/>
      <c r="I12757" s="955">
        <f>D12757*F12757</f>
        <v>0</v>
      </c>
    </row>
    <row r="12758" spans="3:9" ht="15.75">
      <c r="C12758" s="951" t="s">
        <v>918</v>
      </c>
      <c r="D12758" s="946"/>
      <c r="E12758" s="947"/>
      <c r="F12758" s="1054"/>
      <c r="G12758" s="946"/>
      <c r="H12758" s="1031"/>
      <c r="I12758" s="952">
        <f>SUM(I12757:I12757)</f>
        <v>0</v>
      </c>
    </row>
    <row r="12759" spans="3:9" ht="15.75">
      <c r="C12759" s="949"/>
      <c r="D12759" s="946"/>
      <c r="E12759" s="947"/>
      <c r="F12759" s="1054"/>
      <c r="G12759" s="946"/>
      <c r="H12759" s="1031"/>
      <c r="I12759" s="948"/>
    </row>
    <row r="12760" spans="3:9" ht="15.75">
      <c r="C12760" s="945" t="s">
        <v>925</v>
      </c>
      <c r="D12760" s="946"/>
      <c r="E12760" s="947"/>
      <c r="F12760" s="1054"/>
      <c r="G12760" s="946"/>
      <c r="H12760" s="1031"/>
      <c r="I12760" s="948"/>
    </row>
    <row r="12761" spans="3:9" ht="15.75">
      <c r="C12761" s="949" t="s">
        <v>924</v>
      </c>
      <c r="D12761" s="946"/>
      <c r="E12761" s="947" t="str">
        <f>+VLOOKUP(C12761,'Basic (equilibrio) (2)'!B:D,2,FALSE)</f>
        <v>n/a</v>
      </c>
      <c r="F12761" s="1054">
        <f>+VLOOKUP(C12761,'Basic (equilibrio) (2)'!B:D,3,FALSE)</f>
        <v>0</v>
      </c>
      <c r="G12761" s="946"/>
      <c r="H12761" s="1031"/>
      <c r="I12761" s="948">
        <f>D12761*F12761</f>
        <v>0</v>
      </c>
    </row>
    <row r="12762" spans="3:9" ht="15.75">
      <c r="C12762" s="951" t="s">
        <v>918</v>
      </c>
      <c r="D12762" s="946"/>
      <c r="E12762" s="947"/>
      <c r="F12762" s="1054"/>
      <c r="G12762" s="946"/>
      <c r="H12762" s="1031"/>
      <c r="I12762" s="952">
        <f>SUM(I12761)</f>
        <v>0</v>
      </c>
    </row>
    <row r="12763" spans="3:9" ht="15.75">
      <c r="C12763" s="951"/>
      <c r="D12763" s="946"/>
      <c r="E12763" s="947"/>
      <c r="F12763" s="1054"/>
      <c r="G12763" s="946"/>
      <c r="H12763" s="1031"/>
      <c r="I12763" s="952"/>
    </row>
    <row r="12764" spans="3:9" ht="15.75">
      <c r="C12764" s="956" t="s">
        <v>926</v>
      </c>
      <c r="D12764" s="957"/>
      <c r="E12764" s="958"/>
      <c r="F12764" s="1069"/>
      <c r="G12764" s="957"/>
      <c r="H12764" s="1032"/>
      <c r="I12764" s="959">
        <f>+I12750</f>
        <v>9996</v>
      </c>
    </row>
    <row r="12765" spans="3:9" ht="15.75">
      <c r="C12765" s="956" t="s">
        <v>927</v>
      </c>
      <c r="D12765" s="957"/>
      <c r="E12765" s="958"/>
      <c r="F12765" s="1069"/>
      <c r="G12765" s="957"/>
      <c r="H12765" s="1032"/>
      <c r="I12765" s="959">
        <f>+I12754</f>
        <v>0</v>
      </c>
    </row>
    <row r="12766" spans="3:9" ht="15.75">
      <c r="C12766" s="956" t="s">
        <v>928</v>
      </c>
      <c r="D12766" s="957"/>
      <c r="E12766" s="958"/>
      <c r="F12766" s="1069"/>
      <c r="G12766" s="957"/>
      <c r="H12766" s="1032"/>
      <c r="I12766" s="959">
        <f>+I12758</f>
        <v>0</v>
      </c>
    </row>
    <row r="12767" spans="3:9" ht="15.75">
      <c r="C12767" s="956" t="s">
        <v>929</v>
      </c>
      <c r="D12767" s="957"/>
      <c r="E12767" s="958"/>
      <c r="F12767" s="1069"/>
      <c r="G12767" s="957"/>
      <c r="H12767" s="1032"/>
      <c r="I12767" s="959">
        <f>+I12762</f>
        <v>0</v>
      </c>
    </row>
    <row r="12768" spans="3:9" ht="15.75">
      <c r="C12768" s="949"/>
      <c r="D12768" s="946"/>
      <c r="E12768" s="947"/>
      <c r="F12768" s="1054"/>
      <c r="G12768" s="946"/>
      <c r="H12768" s="1031"/>
      <c r="I12768" s="948"/>
    </row>
    <row r="12769" spans="2:9" ht="15.75">
      <c r="C12769" s="951" t="s">
        <v>930</v>
      </c>
      <c r="D12769" s="960"/>
      <c r="E12769" s="975" t="str">
        <f>+E12746</f>
        <v>und</v>
      </c>
      <c r="F12769" s="1070"/>
      <c r="G12769" s="960"/>
      <c r="H12769" s="1033"/>
      <c r="I12769" s="952">
        <f>SUM(I12764:I12767)</f>
        <v>9996</v>
      </c>
    </row>
    <row r="12770" spans="2:9" ht="15.75">
      <c r="C12770" s="951"/>
      <c r="D12770" s="960"/>
      <c r="E12770" s="943"/>
      <c r="F12770" s="1070"/>
      <c r="G12770" s="960"/>
      <c r="H12770" s="1033"/>
      <c r="I12770" s="952"/>
    </row>
    <row r="12771" spans="2:9" ht="15.75">
      <c r="B12771" s="1026">
        <v>7.3</v>
      </c>
      <c r="C12771" s="937" t="str">
        <f>+Presupuesto!B725</f>
        <v>Puerta pino tratado (0.85m x 1.50m) (Incluye llavín)</v>
      </c>
      <c r="D12771" s="938"/>
      <c r="E12771" s="962" t="s">
        <v>1106</v>
      </c>
      <c r="F12771" s="1066"/>
      <c r="G12771" s="938"/>
      <c r="H12771" s="1029"/>
      <c r="I12771" s="940">
        <f>+I12794</f>
        <v>10812</v>
      </c>
    </row>
    <row r="12772" spans="2:9" ht="15.75">
      <c r="C12772" s="941" t="s">
        <v>908</v>
      </c>
      <c r="D12772" s="942" t="s">
        <v>9</v>
      </c>
      <c r="E12772" s="943" t="s">
        <v>10</v>
      </c>
      <c r="F12772" s="1067" t="s">
        <v>909</v>
      </c>
      <c r="G12772" s="942" t="s">
        <v>910</v>
      </c>
      <c r="H12772" s="1030" t="s">
        <v>911</v>
      </c>
      <c r="I12772" s="944" t="s">
        <v>912</v>
      </c>
    </row>
    <row r="12773" spans="2:9" ht="15.75">
      <c r="C12773" s="945" t="s">
        <v>913</v>
      </c>
      <c r="D12773" s="946"/>
      <c r="E12773" s="947"/>
      <c r="F12773" s="1054"/>
      <c r="G12773" s="946"/>
      <c r="H12773" s="1031"/>
      <c r="I12773" s="948"/>
    </row>
    <row r="12774" spans="2:9" ht="15.75">
      <c r="C12774" s="949" t="s">
        <v>1698</v>
      </c>
      <c r="D12774" s="946">
        <v>1.02</v>
      </c>
      <c r="E12774" s="947" t="str">
        <f>+VLOOKUP(C12774,'Basic (equilibrio) (2)'!B:D,2,FALSE)</f>
        <v>ud</v>
      </c>
      <c r="F12774" s="1068">
        <f>'Basic (equilibrio) (2)'!$D$342</f>
        <v>10600</v>
      </c>
      <c r="G12774" s="946">
        <f>F12774-(F12774/1.18)</f>
        <v>1616.95</v>
      </c>
      <c r="H12774" s="1031"/>
      <c r="I12774" s="948">
        <f>D12774*F12774</f>
        <v>10812</v>
      </c>
    </row>
    <row r="12775" spans="2:9" ht="15.75">
      <c r="C12775" s="951" t="s">
        <v>918</v>
      </c>
      <c r="D12775" s="946"/>
      <c r="E12775" s="947"/>
      <c r="F12775" s="1068"/>
      <c r="G12775" s="946"/>
      <c r="H12775" s="1031"/>
      <c r="I12775" s="952">
        <f>SUM(I12774:I12774)</f>
        <v>10812</v>
      </c>
    </row>
    <row r="12776" spans="2:9" ht="15.75">
      <c r="C12776" s="949"/>
      <c r="D12776" s="946"/>
      <c r="E12776" s="947"/>
      <c r="F12776" s="1068"/>
      <c r="G12776" s="946"/>
      <c r="H12776" s="1031"/>
      <c r="I12776" s="948"/>
    </row>
    <row r="12777" spans="2:9" ht="15.75">
      <c r="C12777" s="945" t="s">
        <v>919</v>
      </c>
      <c r="D12777" s="946"/>
      <c r="E12777" s="947"/>
      <c r="F12777" s="1068"/>
      <c r="G12777" s="946"/>
      <c r="H12777" s="1031"/>
      <c r="I12777" s="948"/>
    </row>
    <row r="12778" spans="2:9" ht="15.75">
      <c r="C12778" s="949" t="s">
        <v>924</v>
      </c>
      <c r="D12778" s="953">
        <v>8.33</v>
      </c>
      <c r="E12778" s="954" t="str">
        <f>+VLOOKUP(C12778,'Basic (equilibrio) (2)'!B:D,2,FALSE)</f>
        <v>n/a</v>
      </c>
      <c r="F12778" s="1068">
        <f>+VLOOKUP(C12778,'Basic (equilibrio) (2)'!B:D,3,FALSE)</f>
        <v>0</v>
      </c>
      <c r="G12778" s="946">
        <v>0</v>
      </c>
      <c r="H12778" s="1031"/>
      <c r="I12778" s="948">
        <f>(D12778*F12778)</f>
        <v>0</v>
      </c>
    </row>
    <row r="12779" spans="2:9" ht="15.75">
      <c r="C12779" s="951" t="s">
        <v>918</v>
      </c>
      <c r="D12779" s="946"/>
      <c r="E12779" s="947"/>
      <c r="F12779" s="1054"/>
      <c r="G12779" s="946"/>
      <c r="H12779" s="1031"/>
      <c r="I12779" s="952">
        <f>SUM(I12778:I12778)</f>
        <v>0</v>
      </c>
    </row>
    <row r="12780" spans="2:9" ht="15.75">
      <c r="C12780" s="949"/>
      <c r="D12780" s="946"/>
      <c r="E12780" s="947"/>
      <c r="F12780" s="1054"/>
      <c r="G12780" s="946"/>
      <c r="H12780" s="1031"/>
      <c r="I12780" s="948"/>
    </row>
    <row r="12781" spans="2:9" ht="15.75">
      <c r="C12781" s="945" t="s">
        <v>923</v>
      </c>
      <c r="D12781" s="946"/>
      <c r="E12781" s="947"/>
      <c r="F12781" s="1054"/>
      <c r="G12781" s="946"/>
      <c r="H12781" s="1031"/>
      <c r="I12781" s="948"/>
    </row>
    <row r="12782" spans="2:9" ht="15.75">
      <c r="C12782" s="949" t="s">
        <v>924</v>
      </c>
      <c r="D12782" s="946"/>
      <c r="E12782" s="947" t="str">
        <f>+VLOOKUP(C12782,'Basic (equilibrio) (2)'!B:D,2,FALSE)</f>
        <v>n/a</v>
      </c>
      <c r="F12782" s="1054">
        <f>+VLOOKUP(C12782,'Basic (equilibrio) (2)'!B:D,3,FALSE)</f>
        <v>0</v>
      </c>
      <c r="G12782" s="946">
        <f>F12782-(F12782/1.18)</f>
        <v>0</v>
      </c>
      <c r="H12782" s="1039"/>
      <c r="I12782" s="955">
        <f>D12782*F12782</f>
        <v>0</v>
      </c>
    </row>
    <row r="12783" spans="2:9" ht="15.75">
      <c r="C12783" s="951" t="s">
        <v>918</v>
      </c>
      <c r="D12783" s="946"/>
      <c r="E12783" s="947"/>
      <c r="F12783" s="1054"/>
      <c r="G12783" s="946"/>
      <c r="H12783" s="1031"/>
      <c r="I12783" s="952">
        <f>SUM(I12782:I12782)</f>
        <v>0</v>
      </c>
    </row>
    <row r="12784" spans="2:9" ht="15.75">
      <c r="C12784" s="949"/>
      <c r="D12784" s="946"/>
      <c r="E12784" s="947"/>
      <c r="F12784" s="1054"/>
      <c r="G12784" s="946"/>
      <c r="H12784" s="1031"/>
      <c r="I12784" s="948"/>
    </row>
    <row r="12785" spans="2:9" ht="15.75">
      <c r="C12785" s="945" t="s">
        <v>925</v>
      </c>
      <c r="D12785" s="946"/>
      <c r="E12785" s="947"/>
      <c r="F12785" s="1054"/>
      <c r="G12785" s="946"/>
      <c r="H12785" s="1031"/>
      <c r="I12785" s="948"/>
    </row>
    <row r="12786" spans="2:9" ht="15.75">
      <c r="C12786" s="949" t="s">
        <v>924</v>
      </c>
      <c r="D12786" s="946"/>
      <c r="E12786" s="947" t="str">
        <f>+VLOOKUP(C12786,'Basic (equilibrio) (2)'!B:D,2,FALSE)</f>
        <v>n/a</v>
      </c>
      <c r="F12786" s="1054">
        <f>+VLOOKUP(C12786,'Basic (equilibrio) (2)'!B:D,3,FALSE)</f>
        <v>0</v>
      </c>
      <c r="G12786" s="946"/>
      <c r="H12786" s="1031"/>
      <c r="I12786" s="948">
        <f>D12786*F12786</f>
        <v>0</v>
      </c>
    </row>
    <row r="12787" spans="2:9" ht="15.75">
      <c r="C12787" s="951" t="s">
        <v>918</v>
      </c>
      <c r="D12787" s="946"/>
      <c r="E12787" s="947"/>
      <c r="F12787" s="1054"/>
      <c r="G12787" s="946"/>
      <c r="H12787" s="1031"/>
      <c r="I12787" s="952">
        <f>SUM(I12786)</f>
        <v>0</v>
      </c>
    </row>
    <row r="12788" spans="2:9" ht="15.75">
      <c r="C12788" s="951"/>
      <c r="D12788" s="946"/>
      <c r="E12788" s="947"/>
      <c r="F12788" s="1054"/>
      <c r="G12788" s="946"/>
      <c r="H12788" s="1031"/>
      <c r="I12788" s="952"/>
    </row>
    <row r="12789" spans="2:9" ht="15.75">
      <c r="C12789" s="956" t="s">
        <v>926</v>
      </c>
      <c r="D12789" s="957"/>
      <c r="E12789" s="958"/>
      <c r="F12789" s="1069"/>
      <c r="G12789" s="957"/>
      <c r="H12789" s="1032"/>
      <c r="I12789" s="959">
        <f>+I12775</f>
        <v>10812</v>
      </c>
    </row>
    <row r="12790" spans="2:9" ht="15.75">
      <c r="C12790" s="956" t="s">
        <v>927</v>
      </c>
      <c r="D12790" s="957"/>
      <c r="E12790" s="958"/>
      <c r="F12790" s="1069"/>
      <c r="G12790" s="957"/>
      <c r="H12790" s="1032"/>
      <c r="I12790" s="959">
        <f>+I12779</f>
        <v>0</v>
      </c>
    </row>
    <row r="12791" spans="2:9" ht="15.75">
      <c r="C12791" s="956" t="s">
        <v>928</v>
      </c>
      <c r="D12791" s="957"/>
      <c r="E12791" s="958"/>
      <c r="F12791" s="1069"/>
      <c r="G12791" s="957"/>
      <c r="H12791" s="1032"/>
      <c r="I12791" s="959">
        <f>+I12783</f>
        <v>0</v>
      </c>
    </row>
    <row r="12792" spans="2:9" ht="15.75">
      <c r="C12792" s="956" t="s">
        <v>929</v>
      </c>
      <c r="D12792" s="957"/>
      <c r="E12792" s="958"/>
      <c r="F12792" s="1069"/>
      <c r="G12792" s="957"/>
      <c r="H12792" s="1032"/>
      <c r="I12792" s="959">
        <f>+I12787</f>
        <v>0</v>
      </c>
    </row>
    <row r="12793" spans="2:9" ht="15.75">
      <c r="C12793" s="949"/>
      <c r="D12793" s="946"/>
      <c r="E12793" s="947"/>
      <c r="F12793" s="1054"/>
      <c r="G12793" s="946"/>
      <c r="H12793" s="1031"/>
      <c r="I12793" s="948"/>
    </row>
    <row r="12794" spans="2:9" ht="15.75">
      <c r="C12794" s="951" t="s">
        <v>930</v>
      </c>
      <c r="D12794" s="960"/>
      <c r="E12794" s="975" t="str">
        <f>+E12771</f>
        <v>und</v>
      </c>
      <c r="F12794" s="1070"/>
      <c r="G12794" s="960"/>
      <c r="H12794" s="1033"/>
      <c r="I12794" s="952">
        <f>SUM(I12789:I12792)</f>
        <v>10812</v>
      </c>
    </row>
    <row r="12795" spans="2:9" ht="15.75">
      <c r="C12795" s="951"/>
      <c r="D12795" s="960"/>
      <c r="E12795" s="943"/>
      <c r="F12795" s="1070"/>
      <c r="G12795" s="960"/>
      <c r="H12795" s="1033"/>
      <c r="I12795" s="952"/>
    </row>
    <row r="12796" spans="2:9" ht="15.75">
      <c r="B12796" s="1026">
        <v>8.1</v>
      </c>
      <c r="C12796" s="937" t="str">
        <f>+Presupuesto!B728</f>
        <v>Ventana de celosías con palanca</v>
      </c>
      <c r="D12796" s="938"/>
      <c r="E12796" s="962" t="s">
        <v>1106</v>
      </c>
      <c r="F12796" s="1066"/>
      <c r="G12796" s="938"/>
      <c r="H12796" s="1029"/>
      <c r="I12796" s="940">
        <f>+I12819</f>
        <v>285.60000000000002</v>
      </c>
    </row>
    <row r="12797" spans="2:9" ht="15.75">
      <c r="C12797" s="941" t="s">
        <v>908</v>
      </c>
      <c r="D12797" s="942" t="s">
        <v>9</v>
      </c>
      <c r="E12797" s="943" t="s">
        <v>10</v>
      </c>
      <c r="F12797" s="1067" t="s">
        <v>909</v>
      </c>
      <c r="G12797" s="942" t="s">
        <v>910</v>
      </c>
      <c r="H12797" s="1030" t="s">
        <v>911</v>
      </c>
      <c r="I12797" s="944" t="s">
        <v>912</v>
      </c>
    </row>
    <row r="12798" spans="2:9" ht="15.75">
      <c r="C12798" s="945" t="s">
        <v>913</v>
      </c>
      <c r="D12798" s="946"/>
      <c r="E12798" s="947"/>
      <c r="F12798" s="1054"/>
      <c r="G12798" s="946"/>
      <c r="H12798" s="1031"/>
      <c r="I12798" s="948"/>
    </row>
    <row r="12799" spans="2:9" ht="15.75">
      <c r="C12799" s="949" t="s">
        <v>1696</v>
      </c>
      <c r="D12799" s="946">
        <v>1.02</v>
      </c>
      <c r="E12799" s="947" t="str">
        <f>+VLOOKUP(C12799,'Basic (equilibrio) (2)'!B:D,2,FALSE)</f>
        <v>p2</v>
      </c>
      <c r="F12799" s="1068">
        <f>'Basic (equilibrio) (2)'!$D$293</f>
        <v>280</v>
      </c>
      <c r="G12799" s="946">
        <f>F12799-(F12799/1.18)</f>
        <v>42.71</v>
      </c>
      <c r="H12799" s="1031"/>
      <c r="I12799" s="948">
        <f>D12799*F12799</f>
        <v>285.60000000000002</v>
      </c>
    </row>
    <row r="12800" spans="2:9" ht="15.75">
      <c r="C12800" s="951" t="s">
        <v>918</v>
      </c>
      <c r="D12800" s="946"/>
      <c r="E12800" s="947"/>
      <c r="F12800" s="1068"/>
      <c r="G12800" s="946"/>
      <c r="H12800" s="1031"/>
      <c r="I12800" s="952">
        <f>SUM(I12799:I12799)</f>
        <v>285.60000000000002</v>
      </c>
    </row>
    <row r="12801" spans="3:9" ht="15.75">
      <c r="C12801" s="949"/>
      <c r="D12801" s="946"/>
      <c r="E12801" s="947"/>
      <c r="F12801" s="1068"/>
      <c r="G12801" s="946"/>
      <c r="H12801" s="1031"/>
      <c r="I12801" s="948"/>
    </row>
    <row r="12802" spans="3:9" ht="15.75">
      <c r="C12802" s="945" t="s">
        <v>919</v>
      </c>
      <c r="D12802" s="946"/>
      <c r="E12802" s="947"/>
      <c r="F12802" s="1068"/>
      <c r="G12802" s="946"/>
      <c r="H12802" s="1031"/>
      <c r="I12802" s="948"/>
    </row>
    <row r="12803" spans="3:9" ht="15.75">
      <c r="C12803" s="949" t="s">
        <v>924</v>
      </c>
      <c r="D12803" s="953">
        <v>8.33</v>
      </c>
      <c r="E12803" s="954" t="str">
        <f>+VLOOKUP(C12803,'Basic (equilibrio) (2)'!B:D,2,FALSE)</f>
        <v>n/a</v>
      </c>
      <c r="F12803" s="1068">
        <f>+VLOOKUP(C12803,'Basic (equilibrio) (2)'!B:D,3,FALSE)</f>
        <v>0</v>
      </c>
      <c r="G12803" s="946">
        <v>0</v>
      </c>
      <c r="H12803" s="1031"/>
      <c r="I12803" s="948">
        <f>(D12803*F12803)</f>
        <v>0</v>
      </c>
    </row>
    <row r="12804" spans="3:9" ht="15.75">
      <c r="C12804" s="951" t="s">
        <v>918</v>
      </c>
      <c r="D12804" s="946"/>
      <c r="E12804" s="947"/>
      <c r="F12804" s="1054"/>
      <c r="G12804" s="946"/>
      <c r="H12804" s="1031"/>
      <c r="I12804" s="952">
        <f>SUM(I12803:I12803)</f>
        <v>0</v>
      </c>
    </row>
    <row r="12805" spans="3:9" ht="15.75">
      <c r="C12805" s="949"/>
      <c r="D12805" s="946"/>
      <c r="E12805" s="947"/>
      <c r="F12805" s="1054"/>
      <c r="G12805" s="946"/>
      <c r="H12805" s="1031"/>
      <c r="I12805" s="948"/>
    </row>
    <row r="12806" spans="3:9" ht="15.75">
      <c r="C12806" s="945" t="s">
        <v>923</v>
      </c>
      <c r="D12806" s="946"/>
      <c r="E12806" s="947"/>
      <c r="F12806" s="1054"/>
      <c r="G12806" s="946"/>
      <c r="H12806" s="1031"/>
      <c r="I12806" s="948"/>
    </row>
    <row r="12807" spans="3:9" ht="15.75">
      <c r="C12807" s="949" t="s">
        <v>924</v>
      </c>
      <c r="D12807" s="946"/>
      <c r="E12807" s="947" t="str">
        <f>+VLOOKUP(C12807,'Basic (equilibrio) (2)'!B:D,2,FALSE)</f>
        <v>n/a</v>
      </c>
      <c r="F12807" s="1054">
        <f>+VLOOKUP(C12807,'Basic (equilibrio) (2)'!B:D,3,FALSE)</f>
        <v>0</v>
      </c>
      <c r="G12807" s="946">
        <f>F12807-(F12807/1.18)</f>
        <v>0</v>
      </c>
      <c r="H12807" s="1039"/>
      <c r="I12807" s="955">
        <f>D12807*F12807</f>
        <v>0</v>
      </c>
    </row>
    <row r="12808" spans="3:9" ht="15.75">
      <c r="C12808" s="951" t="s">
        <v>918</v>
      </c>
      <c r="D12808" s="946"/>
      <c r="E12808" s="947"/>
      <c r="F12808" s="1054"/>
      <c r="G12808" s="946"/>
      <c r="H12808" s="1031"/>
      <c r="I12808" s="952">
        <f>SUM(I12807:I12807)</f>
        <v>0</v>
      </c>
    </row>
    <row r="12809" spans="3:9" ht="15.75">
      <c r="C12809" s="949"/>
      <c r="D12809" s="946"/>
      <c r="E12809" s="947"/>
      <c r="F12809" s="1054"/>
      <c r="G12809" s="946"/>
      <c r="H12809" s="1031"/>
      <c r="I12809" s="948"/>
    </row>
    <row r="12810" spans="3:9" ht="15.75">
      <c r="C12810" s="945" t="s">
        <v>925</v>
      </c>
      <c r="D12810" s="946"/>
      <c r="E12810" s="947"/>
      <c r="F12810" s="1054"/>
      <c r="G12810" s="946"/>
      <c r="H12810" s="1031"/>
      <c r="I12810" s="948"/>
    </row>
    <row r="12811" spans="3:9" ht="15.75">
      <c r="C12811" s="949" t="s">
        <v>924</v>
      </c>
      <c r="D12811" s="946"/>
      <c r="E12811" s="947" t="str">
        <f>+VLOOKUP(C12811,'Basic (equilibrio) (2)'!B:D,2,FALSE)</f>
        <v>n/a</v>
      </c>
      <c r="F12811" s="1054">
        <f>+VLOOKUP(C12811,'Basic (equilibrio) (2)'!B:D,3,FALSE)</f>
        <v>0</v>
      </c>
      <c r="G12811" s="946"/>
      <c r="H12811" s="1031"/>
      <c r="I12811" s="948">
        <f>D12811*F12811</f>
        <v>0</v>
      </c>
    </row>
    <row r="12812" spans="3:9" ht="15.75">
      <c r="C12812" s="951" t="s">
        <v>918</v>
      </c>
      <c r="D12812" s="946"/>
      <c r="E12812" s="947"/>
      <c r="F12812" s="1054"/>
      <c r="G12812" s="946"/>
      <c r="H12812" s="1031"/>
      <c r="I12812" s="952">
        <f>SUM(I12811)</f>
        <v>0</v>
      </c>
    </row>
    <row r="12813" spans="3:9" ht="15.75">
      <c r="C12813" s="951"/>
      <c r="D12813" s="946"/>
      <c r="E12813" s="947"/>
      <c r="F12813" s="1054"/>
      <c r="G12813" s="946"/>
      <c r="H12813" s="1031"/>
      <c r="I12813" s="952"/>
    </row>
    <row r="12814" spans="3:9" ht="15.75">
      <c r="C12814" s="956" t="s">
        <v>926</v>
      </c>
      <c r="D12814" s="957"/>
      <c r="E12814" s="958"/>
      <c r="F12814" s="1069"/>
      <c r="G12814" s="957"/>
      <c r="H12814" s="1032"/>
      <c r="I12814" s="959">
        <f>+I12800</f>
        <v>285.60000000000002</v>
      </c>
    </row>
    <row r="12815" spans="3:9" ht="15.75">
      <c r="C12815" s="956" t="s">
        <v>927</v>
      </c>
      <c r="D12815" s="957"/>
      <c r="E12815" s="958"/>
      <c r="F12815" s="1069"/>
      <c r="G12815" s="957"/>
      <c r="H12815" s="1032"/>
      <c r="I12815" s="959">
        <f>+I12804</f>
        <v>0</v>
      </c>
    </row>
    <row r="12816" spans="3:9" ht="15.75">
      <c r="C12816" s="956" t="s">
        <v>928</v>
      </c>
      <c r="D12816" s="957"/>
      <c r="E12816" s="958"/>
      <c r="F12816" s="1069"/>
      <c r="G12816" s="957"/>
      <c r="H12816" s="1032"/>
      <c r="I12816" s="959">
        <f>+I12808</f>
        <v>0</v>
      </c>
    </row>
    <row r="12817" spans="2:9" ht="15.75">
      <c r="C12817" s="956" t="s">
        <v>929</v>
      </c>
      <c r="D12817" s="957"/>
      <c r="E12817" s="958"/>
      <c r="F12817" s="1069"/>
      <c r="G12817" s="957"/>
      <c r="H12817" s="1032"/>
      <c r="I12817" s="959">
        <f>+I12812</f>
        <v>0</v>
      </c>
    </row>
    <row r="12818" spans="2:9" ht="15.75">
      <c r="C12818" s="949"/>
      <c r="D12818" s="946"/>
      <c r="E12818" s="947"/>
      <c r="F12818" s="1054"/>
      <c r="G12818" s="946"/>
      <c r="H12818" s="1031"/>
      <c r="I12818" s="948"/>
    </row>
    <row r="12819" spans="2:9" ht="15.75">
      <c r="C12819" s="951" t="s">
        <v>930</v>
      </c>
      <c r="D12819" s="960"/>
      <c r="E12819" s="975" t="str">
        <f>+E12796</f>
        <v>und</v>
      </c>
      <c r="F12819" s="1070"/>
      <c r="G12819" s="960"/>
      <c r="H12819" s="1033"/>
      <c r="I12819" s="952">
        <f>SUM(I12814:I12817)</f>
        <v>285.60000000000002</v>
      </c>
    </row>
    <row r="12820" spans="2:9" ht="15.75">
      <c r="C12820" s="951"/>
      <c r="D12820" s="960"/>
      <c r="E12820" s="943"/>
      <c r="F12820" s="1070"/>
      <c r="G12820" s="960"/>
      <c r="H12820" s="1033"/>
      <c r="I12820" s="952"/>
    </row>
    <row r="12821" spans="2:9" ht="15.75">
      <c r="B12821" s="1063">
        <v>9</v>
      </c>
      <c r="C12821" s="937" t="str">
        <f>+Presupuesto!B730</f>
        <v xml:space="preserve">Limpieza final, incluye personal y bote </v>
      </c>
      <c r="D12821" s="938"/>
      <c r="E12821" s="962" t="s">
        <v>140</v>
      </c>
      <c r="F12821" s="1066"/>
      <c r="G12821" s="938"/>
      <c r="H12821" s="1029"/>
      <c r="I12821" s="940">
        <f>+I12844</f>
        <v>3000</v>
      </c>
    </row>
    <row r="12822" spans="2:9" ht="15.75">
      <c r="C12822" s="941" t="s">
        <v>908</v>
      </c>
      <c r="D12822" s="942" t="s">
        <v>9</v>
      </c>
      <c r="E12822" s="943" t="s">
        <v>10</v>
      </c>
      <c r="F12822" s="1067" t="s">
        <v>909</v>
      </c>
      <c r="G12822" s="942" t="s">
        <v>910</v>
      </c>
      <c r="H12822" s="1030" t="s">
        <v>911</v>
      </c>
      <c r="I12822" s="944" t="s">
        <v>912</v>
      </c>
    </row>
    <row r="12823" spans="2:9" ht="15.75">
      <c r="C12823" s="945" t="s">
        <v>913</v>
      </c>
      <c r="D12823" s="946"/>
      <c r="E12823" s="947"/>
      <c r="F12823" s="1054"/>
      <c r="G12823" s="946"/>
      <c r="H12823" s="1031"/>
      <c r="I12823" s="948"/>
    </row>
    <row r="12824" spans="2:9" ht="15.75">
      <c r="C12824" s="949" t="s">
        <v>1653</v>
      </c>
      <c r="D12824" s="946">
        <v>1</v>
      </c>
      <c r="E12824" s="947" t="str">
        <f>+VLOOKUP(C12824,'Basic (equilibrio) (2)'!B:D,2,FALSE)</f>
        <v>p.a</v>
      </c>
      <c r="F12824" s="1068">
        <f>'Basic (equilibrio) (2)'!$D$264</f>
        <v>3000</v>
      </c>
      <c r="G12824" s="946">
        <f>F12824-(F12824/1.18)</f>
        <v>457.63</v>
      </c>
      <c r="H12824" s="1031"/>
      <c r="I12824" s="948">
        <f>D12824*F12824</f>
        <v>3000</v>
      </c>
    </row>
    <row r="12825" spans="2:9" ht="15.75">
      <c r="C12825" s="951" t="s">
        <v>918</v>
      </c>
      <c r="D12825" s="946"/>
      <c r="E12825" s="947"/>
      <c r="F12825" s="1068"/>
      <c r="G12825" s="946"/>
      <c r="H12825" s="1031"/>
      <c r="I12825" s="952">
        <f>SUM(I12824:I12824)</f>
        <v>3000</v>
      </c>
    </row>
    <row r="12826" spans="2:9" ht="15.75">
      <c r="C12826" s="949"/>
      <c r="D12826" s="946"/>
      <c r="E12826" s="947"/>
      <c r="F12826" s="1068"/>
      <c r="G12826" s="946"/>
      <c r="H12826" s="1031"/>
      <c r="I12826" s="948"/>
    </row>
    <row r="12827" spans="2:9" ht="15.75">
      <c r="C12827" s="945" t="s">
        <v>919</v>
      </c>
      <c r="D12827" s="946"/>
      <c r="E12827" s="947"/>
      <c r="F12827" s="1068"/>
      <c r="G12827" s="946"/>
      <c r="H12827" s="1031"/>
      <c r="I12827" s="948"/>
    </row>
    <row r="12828" spans="2:9" ht="15.75">
      <c r="C12828" s="949" t="s">
        <v>924</v>
      </c>
      <c r="D12828" s="953"/>
      <c r="E12828" s="954" t="str">
        <f>+VLOOKUP(C12828,'Basic (equilibrio) (2)'!B:D,2,FALSE)</f>
        <v>n/a</v>
      </c>
      <c r="F12828" s="1068">
        <f>+VLOOKUP(C12828,'Basic (equilibrio) (2)'!B:D,3,FALSE)</f>
        <v>0</v>
      </c>
      <c r="G12828" s="946">
        <v>0</v>
      </c>
      <c r="H12828" s="1031"/>
      <c r="I12828" s="948">
        <f>(D12828*F12828)</f>
        <v>0</v>
      </c>
    </row>
    <row r="12829" spans="2:9" ht="15.75">
      <c r="C12829" s="951" t="s">
        <v>918</v>
      </c>
      <c r="D12829" s="946"/>
      <c r="E12829" s="947"/>
      <c r="F12829" s="1054"/>
      <c r="G12829" s="946"/>
      <c r="H12829" s="1031"/>
      <c r="I12829" s="952">
        <f>SUM(I12828:I12828)</f>
        <v>0</v>
      </c>
    </row>
    <row r="12830" spans="2:9" ht="15.75">
      <c r="C12830" s="949"/>
      <c r="D12830" s="946"/>
      <c r="E12830" s="947"/>
      <c r="F12830" s="1054"/>
      <c r="G12830" s="946"/>
      <c r="H12830" s="1031"/>
      <c r="I12830" s="948"/>
    </row>
    <row r="12831" spans="2:9" ht="15.75">
      <c r="C12831" s="945" t="s">
        <v>923</v>
      </c>
      <c r="D12831" s="946"/>
      <c r="E12831" s="947"/>
      <c r="F12831" s="1054"/>
      <c r="G12831" s="946"/>
      <c r="H12831" s="1031"/>
      <c r="I12831" s="948"/>
    </row>
    <row r="12832" spans="2:9" ht="15.75">
      <c r="C12832" s="949" t="s">
        <v>924</v>
      </c>
      <c r="D12832" s="946"/>
      <c r="E12832" s="947" t="str">
        <f>+VLOOKUP(C12832,'Basic (equilibrio) (2)'!B:D,2,FALSE)</f>
        <v>n/a</v>
      </c>
      <c r="F12832" s="1054">
        <f>+VLOOKUP(C12832,'Basic (equilibrio) (2)'!B:D,3,FALSE)</f>
        <v>0</v>
      </c>
      <c r="G12832" s="946">
        <f>F12832-(F12832/1.18)</f>
        <v>0</v>
      </c>
      <c r="H12832" s="1039"/>
      <c r="I12832" s="955">
        <f>D12832*F12832</f>
        <v>0</v>
      </c>
    </row>
    <row r="12833" spans="2:9" ht="15.75">
      <c r="C12833" s="951" t="s">
        <v>918</v>
      </c>
      <c r="D12833" s="946"/>
      <c r="E12833" s="947"/>
      <c r="F12833" s="1054"/>
      <c r="G12833" s="946"/>
      <c r="H12833" s="1031"/>
      <c r="I12833" s="952">
        <f>SUM(I12832:I12832)</f>
        <v>0</v>
      </c>
    </row>
    <row r="12834" spans="2:9" ht="15.75">
      <c r="C12834" s="949"/>
      <c r="D12834" s="946"/>
      <c r="E12834" s="947"/>
      <c r="F12834" s="1054"/>
      <c r="G12834" s="946"/>
      <c r="H12834" s="1031"/>
      <c r="I12834" s="948"/>
    </row>
    <row r="12835" spans="2:9" ht="15.75">
      <c r="C12835" s="945" t="s">
        <v>925</v>
      </c>
      <c r="D12835" s="946"/>
      <c r="E12835" s="947"/>
      <c r="F12835" s="1054"/>
      <c r="G12835" s="946"/>
      <c r="H12835" s="1031"/>
      <c r="I12835" s="948"/>
    </row>
    <row r="12836" spans="2:9" ht="15.75">
      <c r="C12836" s="949" t="s">
        <v>924</v>
      </c>
      <c r="D12836" s="946"/>
      <c r="E12836" s="947" t="str">
        <f>+VLOOKUP(C12836,'Basic (equilibrio) (2)'!B:D,2,FALSE)</f>
        <v>n/a</v>
      </c>
      <c r="F12836" s="1054">
        <f>+VLOOKUP(C12836,'Basic (equilibrio) (2)'!B:D,3,FALSE)</f>
        <v>0</v>
      </c>
      <c r="G12836" s="946"/>
      <c r="H12836" s="1031"/>
      <c r="I12836" s="948">
        <f>D12836*F12836</f>
        <v>0</v>
      </c>
    </row>
    <row r="12837" spans="2:9" ht="15.75">
      <c r="C12837" s="951" t="s">
        <v>918</v>
      </c>
      <c r="D12837" s="946"/>
      <c r="E12837" s="947"/>
      <c r="F12837" s="1054"/>
      <c r="G12837" s="946"/>
      <c r="H12837" s="1031"/>
      <c r="I12837" s="952">
        <f>SUM(I12836)</f>
        <v>0</v>
      </c>
    </row>
    <row r="12838" spans="2:9" ht="15.75">
      <c r="C12838" s="951"/>
      <c r="D12838" s="946"/>
      <c r="E12838" s="947"/>
      <c r="F12838" s="1054"/>
      <c r="G12838" s="946"/>
      <c r="H12838" s="1031"/>
      <c r="I12838" s="952"/>
    </row>
    <row r="12839" spans="2:9" ht="15.75">
      <c r="C12839" s="956" t="s">
        <v>926</v>
      </c>
      <c r="D12839" s="957"/>
      <c r="E12839" s="958"/>
      <c r="F12839" s="1069"/>
      <c r="G12839" s="957"/>
      <c r="H12839" s="1032"/>
      <c r="I12839" s="959">
        <f>+I12825</f>
        <v>3000</v>
      </c>
    </row>
    <row r="12840" spans="2:9" ht="15.75">
      <c r="C12840" s="956" t="s">
        <v>927</v>
      </c>
      <c r="D12840" s="957"/>
      <c r="E12840" s="958"/>
      <c r="F12840" s="1069"/>
      <c r="G12840" s="957"/>
      <c r="H12840" s="1032"/>
      <c r="I12840" s="959">
        <f>+I12829</f>
        <v>0</v>
      </c>
    </row>
    <row r="12841" spans="2:9" ht="15.75">
      <c r="C12841" s="956" t="s">
        <v>928</v>
      </c>
      <c r="D12841" s="957"/>
      <c r="E12841" s="958"/>
      <c r="F12841" s="1069"/>
      <c r="G12841" s="957"/>
      <c r="H12841" s="1032"/>
      <c r="I12841" s="959">
        <f>+I12833</f>
        <v>0</v>
      </c>
    </row>
    <row r="12842" spans="2:9" ht="15.75">
      <c r="C12842" s="956" t="s">
        <v>929</v>
      </c>
      <c r="D12842" s="957"/>
      <c r="E12842" s="958"/>
      <c r="F12842" s="1069"/>
      <c r="G12842" s="957"/>
      <c r="H12842" s="1032"/>
      <c r="I12842" s="959">
        <f>+I12837</f>
        <v>0</v>
      </c>
    </row>
    <row r="12843" spans="2:9" ht="15.75">
      <c r="C12843" s="949"/>
      <c r="D12843" s="946"/>
      <c r="E12843" s="947"/>
      <c r="F12843" s="1054"/>
      <c r="G12843" s="946"/>
      <c r="H12843" s="1031"/>
      <c r="I12843" s="948"/>
    </row>
    <row r="12844" spans="2:9" ht="15.75">
      <c r="C12844" s="951" t="s">
        <v>930</v>
      </c>
      <c r="D12844" s="960"/>
      <c r="E12844" s="975" t="str">
        <f>+E12821</f>
        <v>P.A</v>
      </c>
      <c r="F12844" s="1070"/>
      <c r="G12844" s="960"/>
      <c r="H12844" s="1033"/>
      <c r="I12844" s="952">
        <f>SUM(I12839:I12842)</f>
        <v>3000</v>
      </c>
    </row>
    <row r="12845" spans="2:9" ht="15.75">
      <c r="C12845" s="951"/>
      <c r="D12845" s="960"/>
      <c r="E12845" s="943"/>
      <c r="F12845" s="1070"/>
      <c r="G12845" s="960"/>
      <c r="H12845" s="1033"/>
      <c r="I12845" s="952"/>
    </row>
    <row r="12846" spans="2:9" ht="17.25" customHeight="1">
      <c r="B12846" s="1435" t="s">
        <v>1699</v>
      </c>
      <c r="C12846" s="1435"/>
      <c r="D12846" s="1435"/>
      <c r="E12846" s="1435"/>
      <c r="F12846" s="1435"/>
      <c r="G12846" s="1435"/>
      <c r="H12846" s="1435"/>
      <c r="I12846" s="1436"/>
    </row>
    <row r="12847" spans="2:9" ht="15.75">
      <c r="C12847" s="951"/>
      <c r="D12847" s="960"/>
      <c r="E12847" s="943"/>
      <c r="F12847" s="1070"/>
      <c r="G12847" s="960"/>
      <c r="H12847" s="1033"/>
      <c r="I12847" s="952"/>
    </row>
    <row r="12848" spans="2:9" ht="15.75">
      <c r="B12848" s="1024">
        <v>1.1000000000000001</v>
      </c>
      <c r="C12848" s="937" t="str">
        <f>+Presupuesto!B736</f>
        <v>Replanteo y charrancha</v>
      </c>
      <c r="D12848" s="938"/>
      <c r="E12848" s="939" t="s">
        <v>20</v>
      </c>
      <c r="F12848" s="1066"/>
      <c r="G12848" s="938"/>
      <c r="H12848" s="1029"/>
      <c r="I12848" s="940">
        <f>+I12878</f>
        <v>162.29</v>
      </c>
    </row>
    <row r="12849" spans="3:9" ht="15.75">
      <c r="C12849" s="941" t="s">
        <v>908</v>
      </c>
      <c r="D12849" s="942" t="s">
        <v>9</v>
      </c>
      <c r="E12849" s="943" t="s">
        <v>10</v>
      </c>
      <c r="F12849" s="1067" t="s">
        <v>909</v>
      </c>
      <c r="G12849" s="942" t="s">
        <v>910</v>
      </c>
      <c r="H12849" s="1030" t="s">
        <v>911</v>
      </c>
      <c r="I12849" s="944" t="s">
        <v>912</v>
      </c>
    </row>
    <row r="12850" spans="3:9" ht="15.75">
      <c r="C12850" s="945" t="s">
        <v>913</v>
      </c>
      <c r="D12850" s="946"/>
      <c r="E12850" s="947"/>
      <c r="F12850" s="1054"/>
      <c r="G12850" s="946"/>
      <c r="H12850" s="1031"/>
      <c r="I12850" s="948"/>
    </row>
    <row r="12851" spans="3:9" ht="15.75">
      <c r="C12851" s="949" t="s">
        <v>914</v>
      </c>
      <c r="D12851" s="946">
        <f>33.94/28.83</f>
        <v>1.18</v>
      </c>
      <c r="E12851" s="947" t="str">
        <f>+VLOOKUP(C12851,'Basic (equilibrio) (2)'!B:D,2,FALSE)</f>
        <v>lb</v>
      </c>
      <c r="F12851" s="1068">
        <f>'Basic (equilibrio) (2)'!$D$326</f>
        <v>78.2</v>
      </c>
      <c r="G12851" s="946">
        <f>F12851-(F12851/1.18)</f>
        <v>11.93</v>
      </c>
      <c r="H12851" s="1031"/>
      <c r="I12851" s="948">
        <f>D12851*F12851</f>
        <v>92.28</v>
      </c>
    </row>
    <row r="12852" spans="3:9" ht="15.75">
      <c r="C12852" s="949" t="s">
        <v>915</v>
      </c>
      <c r="D12852" s="946">
        <f>22/28.83</f>
        <v>0.76</v>
      </c>
      <c r="E12852" s="950" t="str">
        <f>+VLOOKUP(C12852,'Basic (equilibrio) (2)'!B:D,2,FALSE)</f>
        <v>fda</v>
      </c>
      <c r="F12852" s="1068">
        <f>'Basic (equilibrio) (2)'!$D$327</f>
        <v>153.6</v>
      </c>
      <c r="G12852" s="946">
        <f>F12852-(F12852/1.18)</f>
        <v>23.43</v>
      </c>
      <c r="H12852" s="1031"/>
      <c r="I12852" s="948">
        <f>D12852*F12852</f>
        <v>116.74</v>
      </c>
    </row>
    <row r="12853" spans="3:9" ht="15.75">
      <c r="C12853" s="949" t="s">
        <v>916</v>
      </c>
      <c r="D12853" s="946">
        <f>160.42/28.83</f>
        <v>5.56</v>
      </c>
      <c r="E12853" s="947" t="str">
        <f>+VLOOKUP(C12853,'Basic (equilibrio) (2)'!B:D,2,FALSE)</f>
        <v>pt</v>
      </c>
      <c r="F12853" s="1068">
        <f>'Basic (equilibrio) (2)'!$D$328</f>
        <v>107.7</v>
      </c>
      <c r="G12853" s="946">
        <f>F12853-(F12853/1.18)</f>
        <v>16.43</v>
      </c>
      <c r="H12853" s="1031"/>
      <c r="I12853" s="948">
        <f>D12853*F12853</f>
        <v>598.80999999999995</v>
      </c>
    </row>
    <row r="12854" spans="3:9" ht="15.75">
      <c r="C12854" s="949" t="s">
        <v>917</v>
      </c>
      <c r="D12854" s="946">
        <f>3/28.83</f>
        <v>0.1</v>
      </c>
      <c r="E12854" s="950" t="str">
        <f>+VLOOKUP(C12854,'Basic (equilibrio) (2)'!B:D,2,FALSE)</f>
        <v>u</v>
      </c>
      <c r="F12854" s="1068">
        <f>'Basic (equilibrio) (2)'!$D$329</f>
        <v>139.19999999999999</v>
      </c>
      <c r="G12854" s="946">
        <f>F12854-(F12854/1.18)</f>
        <v>21.23</v>
      </c>
      <c r="H12854" s="1031"/>
      <c r="I12854" s="948">
        <f>D12854*F12854</f>
        <v>13.92</v>
      </c>
    </row>
    <row r="12855" spans="3:9" ht="15.75">
      <c r="C12855" s="951" t="s">
        <v>918</v>
      </c>
      <c r="D12855" s="946"/>
      <c r="E12855" s="947"/>
      <c r="F12855" s="1068"/>
      <c r="G12855" s="946"/>
      <c r="H12855" s="1031"/>
      <c r="I12855" s="952">
        <f>SUM(I12851:I12854)</f>
        <v>821.75</v>
      </c>
    </row>
    <row r="12856" spans="3:9" ht="15.75">
      <c r="C12856" s="949"/>
      <c r="D12856" s="946"/>
      <c r="E12856" s="947"/>
      <c r="F12856" s="1068"/>
      <c r="G12856" s="946"/>
      <c r="H12856" s="1031"/>
      <c r="I12856" s="948"/>
    </row>
    <row r="12857" spans="3:9" ht="15.75">
      <c r="C12857" s="945" t="s">
        <v>919</v>
      </c>
      <c r="D12857" s="946"/>
      <c r="E12857" s="947"/>
      <c r="F12857" s="1068"/>
      <c r="G12857" s="946"/>
      <c r="H12857" s="1031"/>
      <c r="I12857" s="948"/>
    </row>
    <row r="12858" spans="3:9" ht="15.75">
      <c r="C12858" s="949" t="s">
        <v>920</v>
      </c>
      <c r="D12858" s="953">
        <v>1</v>
      </c>
      <c r="E12858" s="954" t="str">
        <f>+VLOOKUP(C12858,'Basic (equilibrio) (2)'!B:D,2,FALSE)</f>
        <v>dia</v>
      </c>
      <c r="F12858" s="1068">
        <f>+'Basic (equilibrio) (2)'!$D$18</f>
        <v>28535.5</v>
      </c>
      <c r="G12858" s="946">
        <v>0</v>
      </c>
      <c r="H12858" s="1031"/>
      <c r="I12858" s="948">
        <f>D12858*F12858</f>
        <v>28535.5</v>
      </c>
    </row>
    <row r="12859" spans="3:9" ht="15.75">
      <c r="C12859" s="949" t="s">
        <v>921</v>
      </c>
      <c r="D12859" s="946">
        <v>1</v>
      </c>
      <c r="E12859" s="954" t="str">
        <f>+VLOOKUP(C12859,'Basic (equilibrio) (2)'!B:D,2,FALSE)</f>
        <v>dia</v>
      </c>
      <c r="F12859" s="1054">
        <f>'Basic (equilibrio) (2)'!$D$12</f>
        <v>1900</v>
      </c>
      <c r="G12859" s="946">
        <v>0</v>
      </c>
      <c r="H12859" s="1031"/>
      <c r="I12859" s="948">
        <f>D12859*F12859</f>
        <v>1900</v>
      </c>
    </row>
    <row r="12860" spans="3:9" ht="15.75">
      <c r="C12860" s="949" t="s">
        <v>922</v>
      </c>
      <c r="D12860" s="946">
        <v>1</v>
      </c>
      <c r="E12860" s="954" t="str">
        <f>+VLOOKUP(C12860,'Basic (equilibrio) (2)'!B:D,2,FALSE)</f>
        <v>dia</v>
      </c>
      <c r="F12860" s="1054">
        <f>'Basic (equilibrio) (2)'!$D$13</f>
        <v>1200</v>
      </c>
      <c r="G12860" s="946">
        <v>0</v>
      </c>
      <c r="H12860" s="1031"/>
      <c r="I12860" s="948">
        <f>D12860*F12860</f>
        <v>1200</v>
      </c>
    </row>
    <row r="12861" spans="3:9" ht="15.75">
      <c r="C12861" s="951" t="s">
        <v>918</v>
      </c>
      <c r="D12861" s="946"/>
      <c r="E12861" s="947"/>
      <c r="F12861" s="1054"/>
      <c r="G12861" s="946"/>
      <c r="H12861" s="1031"/>
      <c r="I12861" s="952">
        <f>SUM(I12858:I12860)</f>
        <v>31635.5</v>
      </c>
    </row>
    <row r="12862" spans="3:9" ht="15.75">
      <c r="C12862" s="949"/>
      <c r="D12862" s="946"/>
      <c r="E12862" s="947"/>
      <c r="F12862" s="1054"/>
      <c r="G12862" s="946"/>
      <c r="H12862" s="1031"/>
      <c r="I12862" s="948"/>
    </row>
    <row r="12863" spans="3:9" ht="15.75">
      <c r="C12863" s="945" t="s">
        <v>923</v>
      </c>
      <c r="D12863" s="946"/>
      <c r="E12863" s="947"/>
      <c r="F12863" s="1054"/>
      <c r="G12863" s="946"/>
      <c r="H12863" s="1031"/>
      <c r="I12863" s="948"/>
    </row>
    <row r="12864" spans="3:9" ht="15.75">
      <c r="C12864" s="949" t="s">
        <v>924</v>
      </c>
      <c r="D12864" s="946"/>
      <c r="E12864" s="947" t="str">
        <f>+VLOOKUP(C12864,'Basic (equilibrio) (2)'!B:D,2,FALSE)</f>
        <v>n/a</v>
      </c>
      <c r="F12864" s="1054">
        <f>+VLOOKUP(C12864,'Basic (equilibrio) (2)'!B:D,3,FALSE)</f>
        <v>0</v>
      </c>
      <c r="G12864" s="946">
        <f>F12864-(F12864/1.18)</f>
        <v>0</v>
      </c>
      <c r="H12864" s="1039"/>
      <c r="I12864" s="955">
        <f>D12864*F12864</f>
        <v>0</v>
      </c>
    </row>
    <row r="12865" spans="2:9" ht="15.75">
      <c r="C12865" s="951" t="s">
        <v>918</v>
      </c>
      <c r="D12865" s="946"/>
      <c r="E12865" s="947"/>
      <c r="F12865" s="1054"/>
      <c r="G12865" s="946"/>
      <c r="H12865" s="1031"/>
      <c r="I12865" s="952">
        <f>SUM(I12864)</f>
        <v>0</v>
      </c>
    </row>
    <row r="12866" spans="2:9" ht="15.75">
      <c r="C12866" s="949"/>
      <c r="D12866" s="946"/>
      <c r="E12866" s="947"/>
      <c r="F12866" s="1054"/>
      <c r="G12866" s="946"/>
      <c r="H12866" s="1031"/>
      <c r="I12866" s="948"/>
    </row>
    <row r="12867" spans="2:9" ht="15.75">
      <c r="C12867" s="945" t="s">
        <v>925</v>
      </c>
      <c r="D12867" s="946"/>
      <c r="E12867" s="947"/>
      <c r="F12867" s="1054"/>
      <c r="G12867" s="946"/>
      <c r="H12867" s="1031"/>
      <c r="I12867" s="948"/>
    </row>
    <row r="12868" spans="2:9" ht="15.75">
      <c r="C12868" s="949" t="s">
        <v>925</v>
      </c>
      <c r="D12868" s="946">
        <f>+I12855</f>
        <v>821.75</v>
      </c>
      <c r="E12868" s="947" t="str">
        <f>+VLOOKUP(C12868,'Basic (equilibrio) (2)'!B:D,2,FALSE)</f>
        <v>Pa</v>
      </c>
      <c r="F12868" s="1054">
        <f>+VLOOKUP(C12868,'Basic (equilibrio) (2)'!B:D,3,FALSE)</f>
        <v>0</v>
      </c>
      <c r="G12868" s="946">
        <f>F12868-(F12868/1.18)</f>
        <v>0</v>
      </c>
      <c r="H12868" s="1031"/>
      <c r="I12868" s="948">
        <f>D12868*F12868</f>
        <v>0</v>
      </c>
    </row>
    <row r="12869" spans="2:9" ht="15.75">
      <c r="C12869" s="951" t="s">
        <v>918</v>
      </c>
      <c r="D12869" s="946"/>
      <c r="E12869" s="947"/>
      <c r="F12869" s="1054"/>
      <c r="G12869" s="946"/>
      <c r="H12869" s="1031"/>
      <c r="I12869" s="952">
        <f>SUM(I12868)</f>
        <v>0</v>
      </c>
    </row>
    <row r="12870" spans="2:9" ht="15.75">
      <c r="C12870" s="951"/>
      <c r="D12870" s="946"/>
      <c r="E12870" s="947"/>
      <c r="F12870" s="1054"/>
      <c r="G12870" s="946"/>
      <c r="H12870" s="1031"/>
      <c r="I12870" s="952"/>
    </row>
    <row r="12871" spans="2:9" ht="15.75">
      <c r="C12871" s="956" t="s">
        <v>926</v>
      </c>
      <c r="D12871" s="957"/>
      <c r="E12871" s="958"/>
      <c r="F12871" s="1069"/>
      <c r="G12871" s="957"/>
      <c r="H12871" s="1032"/>
      <c r="I12871" s="959">
        <f>+I12855</f>
        <v>821.75</v>
      </c>
    </row>
    <row r="12872" spans="2:9" ht="15.75">
      <c r="C12872" s="956" t="s">
        <v>927</v>
      </c>
      <c r="D12872" s="957"/>
      <c r="E12872" s="958"/>
      <c r="F12872" s="1069"/>
      <c r="G12872" s="957"/>
      <c r="H12872" s="1032"/>
      <c r="I12872" s="959">
        <f>+I12861</f>
        <v>31635.5</v>
      </c>
    </row>
    <row r="12873" spans="2:9" ht="15.75">
      <c r="C12873" s="956" t="s">
        <v>928</v>
      </c>
      <c r="D12873" s="957"/>
      <c r="E12873" s="958"/>
      <c r="F12873" s="1069"/>
      <c r="G12873" s="957"/>
      <c r="H12873" s="1032"/>
      <c r="I12873" s="959">
        <f>+I12865</f>
        <v>0</v>
      </c>
    </row>
    <row r="12874" spans="2:9" ht="15.75">
      <c r="C12874" s="956" t="s">
        <v>929</v>
      </c>
      <c r="D12874" s="957"/>
      <c r="E12874" s="958"/>
      <c r="F12874" s="1069"/>
      <c r="G12874" s="957"/>
      <c r="H12874" s="1032"/>
      <c r="I12874" s="959">
        <f>+I12869</f>
        <v>0</v>
      </c>
    </row>
    <row r="12875" spans="2:9" ht="15.75">
      <c r="C12875" s="949"/>
      <c r="D12875" s="946"/>
      <c r="E12875" s="947"/>
      <c r="F12875" s="1054"/>
      <c r="G12875" s="946"/>
      <c r="H12875" s="1031"/>
      <c r="I12875" s="948"/>
    </row>
    <row r="12876" spans="2:9" ht="15.75">
      <c r="C12876" s="949"/>
      <c r="D12876" s="946"/>
      <c r="E12876" s="947"/>
      <c r="F12876" s="1054"/>
      <c r="G12876" s="946"/>
      <c r="H12876" s="1031"/>
      <c r="I12876" s="948"/>
    </row>
    <row r="12877" spans="2:9" ht="15.75">
      <c r="C12877" s="951" t="s">
        <v>930</v>
      </c>
      <c r="D12877" s="960">
        <v>200</v>
      </c>
      <c r="E12877" s="943" t="str">
        <f>+E12848</f>
        <v>M2</v>
      </c>
      <c r="F12877" s="1070"/>
      <c r="G12877" s="960"/>
      <c r="H12877" s="1033"/>
      <c r="I12877" s="952">
        <f>SUM(I12871:I12874)</f>
        <v>32457.25</v>
      </c>
    </row>
    <row r="12878" spans="2:9" ht="15.75">
      <c r="C12878" s="951"/>
      <c r="D12878" s="960"/>
      <c r="E12878" s="943" t="s">
        <v>1088</v>
      </c>
      <c r="F12878" s="1070"/>
      <c r="G12878" s="960"/>
      <c r="H12878" s="1033"/>
      <c r="I12878" s="952">
        <f>+I12877/D12877</f>
        <v>162.29</v>
      </c>
    </row>
    <row r="12879" spans="2:9" ht="15.75">
      <c r="B12879" s="1026">
        <v>2.1</v>
      </c>
      <c r="C12879" s="937" t="str">
        <f>+Presupuesto!B739</f>
        <v>Excavación material no clasificado a mano</v>
      </c>
      <c r="D12879" s="938"/>
      <c r="E12879" s="962" t="s">
        <v>1554</v>
      </c>
      <c r="F12879" s="1066"/>
      <c r="G12879" s="938"/>
      <c r="H12879" s="1029"/>
      <c r="I12879" s="940">
        <f>I12904</f>
        <v>118.09</v>
      </c>
    </row>
    <row r="12880" spans="2:9" ht="15.75">
      <c r="C12880" s="941" t="s">
        <v>908</v>
      </c>
      <c r="D12880" s="942" t="s">
        <v>9</v>
      </c>
      <c r="E12880" s="943" t="s">
        <v>10</v>
      </c>
      <c r="F12880" s="1067" t="s">
        <v>909</v>
      </c>
      <c r="G12880" s="942" t="s">
        <v>910</v>
      </c>
      <c r="H12880" s="1030" t="s">
        <v>911</v>
      </c>
      <c r="I12880" s="944" t="s">
        <v>912</v>
      </c>
    </row>
    <row r="12881" spans="3:9" ht="15.75">
      <c r="C12881" s="945" t="s">
        <v>913</v>
      </c>
      <c r="D12881" s="946"/>
      <c r="E12881" s="947"/>
      <c r="F12881" s="1054"/>
      <c r="G12881" s="946"/>
      <c r="H12881" s="1031"/>
      <c r="I12881" s="948"/>
    </row>
    <row r="12882" spans="3:9" ht="15.75">
      <c r="C12882" s="949" t="s">
        <v>924</v>
      </c>
      <c r="D12882" s="946"/>
      <c r="E12882" s="947" t="str">
        <f>+VLOOKUP(C12882,'Basic (equilibrio) (2)'!B:D,2,FALSE)</f>
        <v>n/a</v>
      </c>
      <c r="F12882" s="1068">
        <f>+VLOOKUP(C12882,'Basic (equilibrio) (2)'!B:D,3,FALSE)</f>
        <v>0</v>
      </c>
      <c r="G12882" s="946">
        <f>F12882-(F12882/1.18)</f>
        <v>0</v>
      </c>
      <c r="H12882" s="1031"/>
      <c r="I12882" s="948">
        <f>D12882*F12882</f>
        <v>0</v>
      </c>
    </row>
    <row r="12883" spans="3:9" ht="15.75">
      <c r="C12883" s="951" t="s">
        <v>918</v>
      </c>
      <c r="D12883" s="946"/>
      <c r="E12883" s="947"/>
      <c r="F12883" s="1068"/>
      <c r="G12883" s="946"/>
      <c r="H12883" s="1031"/>
      <c r="I12883" s="952">
        <f>SUM(I12882:I12882)</f>
        <v>0</v>
      </c>
    </row>
    <row r="12884" spans="3:9" ht="15.75">
      <c r="C12884" s="949"/>
      <c r="D12884" s="946"/>
      <c r="E12884" s="947"/>
      <c r="F12884" s="1068"/>
      <c r="G12884" s="946"/>
      <c r="H12884" s="1031"/>
      <c r="I12884" s="948"/>
    </row>
    <row r="12885" spans="3:9" ht="15.75">
      <c r="C12885" s="945" t="s">
        <v>919</v>
      </c>
      <c r="D12885" s="946"/>
      <c r="E12885" s="947"/>
      <c r="F12885" s="1068"/>
      <c r="G12885" s="946"/>
      <c r="H12885" s="1031"/>
      <c r="I12885" s="948"/>
    </row>
    <row r="12886" spans="3:9" ht="15.75">
      <c r="C12886" s="949" t="s">
        <v>931</v>
      </c>
      <c r="D12886" s="953">
        <v>0.13</v>
      </c>
      <c r="E12886" s="954" t="str">
        <f>+VLOOKUP(C12886,'Basic (equilibrio) (2)'!B:D,2,FALSE)</f>
        <v>dia</v>
      </c>
      <c r="F12886" s="1068">
        <f>'Basic (equilibrio) (2)'!$D$14</f>
        <v>900</v>
      </c>
      <c r="G12886" s="946">
        <v>0</v>
      </c>
      <c r="H12886" s="1031">
        <v>70</v>
      </c>
      <c r="I12886" s="948">
        <f>(D12886*F12886)/H12886</f>
        <v>1.67</v>
      </c>
    </row>
    <row r="12887" spans="3:9" ht="15.75">
      <c r="C12887" s="951" t="s">
        <v>918</v>
      </c>
      <c r="D12887" s="946"/>
      <c r="E12887" s="947"/>
      <c r="F12887" s="1054"/>
      <c r="G12887" s="946"/>
      <c r="H12887" s="1031"/>
      <c r="I12887" s="952">
        <f>SUM(I12886:I12886)</f>
        <v>1.67</v>
      </c>
    </row>
    <row r="12888" spans="3:9" ht="15.75">
      <c r="C12888" s="949"/>
      <c r="D12888" s="946"/>
      <c r="E12888" s="947"/>
      <c r="F12888" s="1054"/>
      <c r="G12888" s="946"/>
      <c r="H12888" s="1031"/>
      <c r="I12888" s="948"/>
    </row>
    <row r="12889" spans="3:9" ht="15.75">
      <c r="C12889" s="945" t="s">
        <v>923</v>
      </c>
      <c r="D12889" s="946"/>
      <c r="E12889" s="947"/>
      <c r="F12889" s="1054"/>
      <c r="G12889" s="946"/>
      <c r="H12889" s="1031"/>
      <c r="I12889" s="948"/>
    </row>
    <row r="12890" spans="3:9" ht="31.5">
      <c r="C12890" s="949" t="s">
        <v>932</v>
      </c>
      <c r="D12890" s="946">
        <v>1</v>
      </c>
      <c r="E12890" s="947" t="str">
        <f>+VLOOKUP(C12890,'Basic (equilibrio) (2)'!B:D,2,FALSE)</f>
        <v>hr</v>
      </c>
      <c r="F12890" s="1054">
        <f>'Basic (equilibrio) (2)'!$D$690</f>
        <v>3900</v>
      </c>
      <c r="G12890" s="946">
        <f>F12890-(F12890/1.18)</f>
        <v>594.91999999999996</v>
      </c>
      <c r="H12890" s="1039">
        <v>70</v>
      </c>
      <c r="I12890" s="955">
        <f>D12890*F12890/H12890</f>
        <v>55.71</v>
      </c>
    </row>
    <row r="12891" spans="3:9" ht="15.75">
      <c r="C12891" s="949" t="s">
        <v>933</v>
      </c>
      <c r="D12891" s="946">
        <v>1</v>
      </c>
      <c r="E12891" s="947" t="str">
        <f>+VLOOKUP(C12891,'Basic (equilibrio) (2)'!B:D,2,FALSE)</f>
        <v>hr</v>
      </c>
      <c r="F12891" s="1054">
        <f>'Basic (equilibrio) (2)'!$D$682</f>
        <v>4250</v>
      </c>
      <c r="G12891" s="946">
        <f>F12891-(F12891/1.18)</f>
        <v>648.30999999999995</v>
      </c>
      <c r="H12891" s="1039">
        <v>70</v>
      </c>
      <c r="I12891" s="955">
        <f>D12891*F12891/H12891</f>
        <v>60.71</v>
      </c>
    </row>
    <row r="12892" spans="3:9" ht="15.75">
      <c r="C12892" s="951" t="s">
        <v>918</v>
      </c>
      <c r="D12892" s="946"/>
      <c r="E12892" s="947"/>
      <c r="F12892" s="1054"/>
      <c r="G12892" s="946"/>
      <c r="H12892" s="1031"/>
      <c r="I12892" s="952">
        <f>SUM(I12890:I12891)</f>
        <v>116.42</v>
      </c>
    </row>
    <row r="12893" spans="3:9" ht="15.75">
      <c r="C12893" s="949"/>
      <c r="D12893" s="946"/>
      <c r="E12893" s="947"/>
      <c r="F12893" s="1054"/>
      <c r="G12893" s="946"/>
      <c r="H12893" s="1031"/>
      <c r="I12893" s="948"/>
    </row>
    <row r="12894" spans="3:9" ht="15.75">
      <c r="C12894" s="945" t="s">
        <v>925</v>
      </c>
      <c r="D12894" s="946"/>
      <c r="E12894" s="947"/>
      <c r="F12894" s="1054"/>
      <c r="G12894" s="946"/>
      <c r="H12894" s="1031"/>
      <c r="I12894" s="948"/>
    </row>
    <row r="12895" spans="3:9" ht="15.75">
      <c r="C12895" s="949" t="s">
        <v>925</v>
      </c>
      <c r="D12895" s="946">
        <f>+I12892</f>
        <v>116.42</v>
      </c>
      <c r="E12895" s="947" t="str">
        <f>+VLOOKUP(C12895,'Basic (equilibrio) (2)'!B:D,2,FALSE)</f>
        <v>Pa</v>
      </c>
      <c r="F12895" s="1054">
        <f>+VLOOKUP(C12895,'Basic (equilibrio) (2)'!B:D,3,FALSE)</f>
        <v>0</v>
      </c>
      <c r="G12895" s="946"/>
      <c r="H12895" s="1031"/>
      <c r="I12895" s="948">
        <f>D12895*F12895</f>
        <v>0</v>
      </c>
    </row>
    <row r="12896" spans="3:9" ht="15.75">
      <c r="C12896" s="951" t="s">
        <v>918</v>
      </c>
      <c r="D12896" s="946"/>
      <c r="E12896" s="947"/>
      <c r="F12896" s="1054"/>
      <c r="G12896" s="946"/>
      <c r="H12896" s="1031"/>
      <c r="I12896" s="952">
        <f>SUM(I12895)</f>
        <v>0</v>
      </c>
    </row>
    <row r="12897" spans="2:9" ht="15.75">
      <c r="C12897" s="951"/>
      <c r="D12897" s="946"/>
      <c r="E12897" s="947"/>
      <c r="F12897" s="1054"/>
      <c r="G12897" s="946"/>
      <c r="H12897" s="1031"/>
      <c r="I12897" s="952"/>
    </row>
    <row r="12898" spans="2:9" ht="15.75">
      <c r="C12898" s="956" t="s">
        <v>926</v>
      </c>
      <c r="D12898" s="957"/>
      <c r="E12898" s="958"/>
      <c r="F12898" s="1069"/>
      <c r="G12898" s="957"/>
      <c r="H12898" s="1032"/>
      <c r="I12898" s="959">
        <f>+I12883</f>
        <v>0</v>
      </c>
    </row>
    <row r="12899" spans="2:9" ht="15.75">
      <c r="C12899" s="956" t="s">
        <v>927</v>
      </c>
      <c r="D12899" s="957"/>
      <c r="E12899" s="958"/>
      <c r="F12899" s="1069"/>
      <c r="G12899" s="957"/>
      <c r="H12899" s="1032"/>
      <c r="I12899" s="959">
        <f>+I12887</f>
        <v>1.67</v>
      </c>
    </row>
    <row r="12900" spans="2:9" ht="15.75">
      <c r="C12900" s="956" t="s">
        <v>928</v>
      </c>
      <c r="D12900" s="957"/>
      <c r="E12900" s="958"/>
      <c r="F12900" s="1069"/>
      <c r="G12900" s="957"/>
      <c r="H12900" s="1032"/>
      <c r="I12900" s="959">
        <f>+I12892</f>
        <v>116.42</v>
      </c>
    </row>
    <row r="12901" spans="2:9" ht="15.75">
      <c r="C12901" s="956" t="s">
        <v>929</v>
      </c>
      <c r="D12901" s="957"/>
      <c r="E12901" s="958"/>
      <c r="F12901" s="1069"/>
      <c r="G12901" s="957"/>
      <c r="H12901" s="1032"/>
      <c r="I12901" s="959">
        <f>+I12896</f>
        <v>0</v>
      </c>
    </row>
    <row r="12902" spans="2:9" ht="15.75">
      <c r="C12902" s="949"/>
      <c r="D12902" s="946"/>
      <c r="E12902" s="947"/>
      <c r="F12902" s="1054"/>
      <c r="G12902" s="946"/>
      <c r="H12902" s="1031"/>
      <c r="I12902" s="948"/>
    </row>
    <row r="12903" spans="2:9" ht="15.75">
      <c r="C12903" s="949"/>
      <c r="D12903" s="946"/>
      <c r="E12903" s="947"/>
      <c r="F12903" s="1054"/>
      <c r="G12903" s="946"/>
      <c r="H12903" s="1031"/>
      <c r="I12903" s="948"/>
    </row>
    <row r="12904" spans="2:9" ht="15.75">
      <c r="C12904" s="951" t="s">
        <v>930</v>
      </c>
      <c r="D12904" s="960"/>
      <c r="E12904" s="943" t="str">
        <f>+E12879</f>
        <v>M3N</v>
      </c>
      <c r="F12904" s="1070"/>
      <c r="G12904" s="960"/>
      <c r="H12904" s="1033"/>
      <c r="I12904" s="952">
        <f>SUM(I12898:I12901)</f>
        <v>118.09</v>
      </c>
    </row>
    <row r="12905" spans="2:9" ht="15.75">
      <c r="C12905" s="951"/>
      <c r="D12905" s="960"/>
      <c r="E12905" s="943"/>
      <c r="F12905" s="1070"/>
      <c r="G12905" s="960"/>
      <c r="H12905" s="1033"/>
      <c r="I12905" s="952"/>
    </row>
    <row r="12906" spans="2:9" ht="15.75">
      <c r="B12906" s="1026">
        <v>2.2000000000000002</v>
      </c>
      <c r="C12906" s="937" t="str">
        <f>+Presupuesto!B740</f>
        <v xml:space="preserve">Relleno de reposición compactado </v>
      </c>
      <c r="D12906" s="938"/>
      <c r="E12906" s="962" t="s">
        <v>219</v>
      </c>
      <c r="F12906" s="1066"/>
      <c r="G12906" s="938"/>
      <c r="H12906" s="1029"/>
      <c r="I12906" s="940">
        <f>I12932</f>
        <v>87.49</v>
      </c>
    </row>
    <row r="12907" spans="2:9" ht="15.75">
      <c r="C12907" s="941" t="s">
        <v>908</v>
      </c>
      <c r="D12907" s="942" t="s">
        <v>9</v>
      </c>
      <c r="E12907" s="943" t="s">
        <v>10</v>
      </c>
      <c r="F12907" s="1067" t="s">
        <v>909</v>
      </c>
      <c r="G12907" s="942" t="s">
        <v>910</v>
      </c>
      <c r="H12907" s="1030" t="s">
        <v>911</v>
      </c>
      <c r="I12907" s="944" t="s">
        <v>912</v>
      </c>
    </row>
    <row r="12908" spans="2:9" ht="15.75">
      <c r="C12908" s="945" t="s">
        <v>913</v>
      </c>
      <c r="D12908" s="946"/>
      <c r="E12908" s="947"/>
      <c r="F12908" s="1054"/>
      <c r="G12908" s="946"/>
      <c r="H12908" s="1031"/>
      <c r="I12908" s="948"/>
    </row>
    <row r="12909" spans="2:9" ht="15.75">
      <c r="C12909" s="949" t="s">
        <v>924</v>
      </c>
      <c r="D12909" s="946">
        <v>1.3</v>
      </c>
      <c r="E12909" s="947" t="str">
        <f>+VLOOKUP(C12909,'Basic (equilibrio) (2)'!B:D,2,FALSE)</f>
        <v>n/a</v>
      </c>
      <c r="F12909" s="1068">
        <f>+VLOOKUP(C12909,'Basic (equilibrio) (2)'!B:D,3,FALSE)</f>
        <v>0</v>
      </c>
      <c r="G12909" s="946">
        <f>F12909-(F12909/1.18)</f>
        <v>0</v>
      </c>
      <c r="H12909" s="1031"/>
      <c r="I12909" s="948">
        <f>D12909*F12909</f>
        <v>0</v>
      </c>
    </row>
    <row r="12910" spans="2:9" ht="15.75">
      <c r="C12910" s="951" t="s">
        <v>918</v>
      </c>
      <c r="D12910" s="946"/>
      <c r="E12910" s="947"/>
      <c r="F12910" s="1068"/>
      <c r="G12910" s="946"/>
      <c r="H12910" s="1031"/>
      <c r="I12910" s="952">
        <f>SUM(I12909:I12909)</f>
        <v>0</v>
      </c>
    </row>
    <row r="12911" spans="2:9" ht="15.75">
      <c r="C12911" s="949"/>
      <c r="D12911" s="946"/>
      <c r="E12911" s="947"/>
      <c r="F12911" s="1068"/>
      <c r="G12911" s="946"/>
      <c r="H12911" s="1031"/>
      <c r="I12911" s="948"/>
    </row>
    <row r="12912" spans="2:9" ht="15.75">
      <c r="C12912" s="945" t="s">
        <v>919</v>
      </c>
      <c r="D12912" s="946"/>
      <c r="E12912" s="947"/>
      <c r="F12912" s="1068"/>
      <c r="G12912" s="946"/>
      <c r="H12912" s="1031"/>
      <c r="I12912" s="948"/>
    </row>
    <row r="12913" spans="3:9" ht="15.75">
      <c r="C12913" s="949" t="s">
        <v>931</v>
      </c>
      <c r="D12913" s="953">
        <v>0.25</v>
      </c>
      <c r="E12913" s="954" t="str">
        <f>+VLOOKUP(C12913,'Basic (equilibrio) (2)'!B:D,2,FALSE)</f>
        <v>dia</v>
      </c>
      <c r="F12913" s="1068">
        <f>'Basic (equilibrio) (2)'!$D$14</f>
        <v>900</v>
      </c>
      <c r="G12913" s="946">
        <v>0</v>
      </c>
      <c r="H12913" s="1031">
        <v>70</v>
      </c>
      <c r="I12913" s="948">
        <f>(D12913*F12913)/H12913</f>
        <v>3.21</v>
      </c>
    </row>
    <row r="12914" spans="3:9" ht="15.75">
      <c r="C12914" s="951" t="s">
        <v>918</v>
      </c>
      <c r="D12914" s="946"/>
      <c r="E12914" s="947"/>
      <c r="F12914" s="1054"/>
      <c r="G12914" s="946"/>
      <c r="H12914" s="1031"/>
      <c r="I12914" s="952">
        <f>SUM(I12913:I12913)</f>
        <v>3.21</v>
      </c>
    </row>
    <row r="12915" spans="3:9" ht="15.75">
      <c r="C12915" s="949"/>
      <c r="D12915" s="946"/>
      <c r="E12915" s="947"/>
      <c r="F12915" s="1054"/>
      <c r="G12915" s="946"/>
      <c r="H12915" s="1031"/>
      <c r="I12915" s="948"/>
    </row>
    <row r="12916" spans="3:9" ht="15.75">
      <c r="C12916" s="945" t="s">
        <v>923</v>
      </c>
      <c r="D12916" s="946"/>
      <c r="E12916" s="947"/>
      <c r="F12916" s="1054"/>
      <c r="G12916" s="946"/>
      <c r="H12916" s="1031"/>
      <c r="I12916" s="948"/>
    </row>
    <row r="12917" spans="3:9" ht="15.75">
      <c r="C12917" s="949" t="s">
        <v>938</v>
      </c>
      <c r="D12917" s="946">
        <v>1</v>
      </c>
      <c r="E12917" s="947" t="str">
        <f>+VLOOKUP(C12917,'Basic (equilibrio) (2)'!B:D,2,FALSE)</f>
        <v>hr</v>
      </c>
      <c r="F12917" s="1054">
        <f>'Basic (equilibrio) (2)'!$D$683</f>
        <v>2500</v>
      </c>
      <c r="G12917" s="946">
        <f>F12917-(F12917/1.18)</f>
        <v>381.36</v>
      </c>
      <c r="H12917" s="1039">
        <v>70</v>
      </c>
      <c r="I12917" s="955">
        <f>D12917*F12917/H12917</f>
        <v>35.71</v>
      </c>
    </row>
    <row r="12918" spans="3:9" ht="15.75">
      <c r="C12918" s="949" t="s">
        <v>935</v>
      </c>
      <c r="D12918" s="946">
        <v>1</v>
      </c>
      <c r="E12918" s="947" t="str">
        <f>+VLOOKUP(C12918,'Basic (equilibrio) (2)'!B:D,2,FALSE)</f>
        <v>hr</v>
      </c>
      <c r="F12918" s="1054">
        <f>'Basic (equilibrio) (2)'!$D$684</f>
        <v>3000</v>
      </c>
      <c r="G12918" s="946">
        <f>F12918-(F12918/1.18)</f>
        <v>457.63</v>
      </c>
      <c r="H12918" s="1039">
        <v>70</v>
      </c>
      <c r="I12918" s="955">
        <f t="shared" ref="I12918:I12919" si="87">D12918*F12918/H12918</f>
        <v>42.86</v>
      </c>
    </row>
    <row r="12919" spans="3:9" ht="15.75">
      <c r="C12919" s="949" t="s">
        <v>939</v>
      </c>
      <c r="D12919" s="946">
        <v>1</v>
      </c>
      <c r="E12919" s="947" t="str">
        <f>+VLOOKUP(C12919,'Basic (equilibrio) (2)'!B:D,2,FALSE)</f>
        <v>hr</v>
      </c>
      <c r="F12919" s="1054">
        <f>'Basic (equilibrio) (2)'!$D$688</f>
        <v>400</v>
      </c>
      <c r="G12919" s="946">
        <f>F12919-(F12919/1.18)</f>
        <v>61.02</v>
      </c>
      <c r="H12919" s="1039">
        <v>70</v>
      </c>
      <c r="I12919" s="955">
        <f t="shared" si="87"/>
        <v>5.71</v>
      </c>
    </row>
    <row r="12920" spans="3:9" ht="15.75">
      <c r="C12920" s="951" t="s">
        <v>918</v>
      </c>
      <c r="D12920" s="946"/>
      <c r="E12920" s="947"/>
      <c r="F12920" s="1054"/>
      <c r="G12920" s="946"/>
      <c r="H12920" s="1031"/>
      <c r="I12920" s="952">
        <f>SUM(I12917:I12919)</f>
        <v>84.28</v>
      </c>
    </row>
    <row r="12921" spans="3:9" ht="15.75">
      <c r="C12921" s="949"/>
      <c r="D12921" s="946"/>
      <c r="E12921" s="947"/>
      <c r="F12921" s="1054"/>
      <c r="G12921" s="946"/>
      <c r="H12921" s="1031"/>
      <c r="I12921" s="948"/>
    </row>
    <row r="12922" spans="3:9" ht="15.75">
      <c r="C12922" s="945" t="s">
        <v>925</v>
      </c>
      <c r="D12922" s="946"/>
      <c r="E12922" s="947"/>
      <c r="F12922" s="1054"/>
      <c r="G12922" s="946"/>
      <c r="H12922" s="1031"/>
      <c r="I12922" s="948"/>
    </row>
    <row r="12923" spans="3:9" ht="15.75">
      <c r="C12923" s="949" t="s">
        <v>924</v>
      </c>
      <c r="D12923" s="946"/>
      <c r="E12923" s="947" t="str">
        <f>+VLOOKUP(C12923,'Basic (equilibrio) (2)'!B:D,2,FALSE)</f>
        <v>n/a</v>
      </c>
      <c r="F12923" s="1054">
        <f>+VLOOKUP(C12923,'Basic (equilibrio) (2)'!B:D,3,FALSE)</f>
        <v>0</v>
      </c>
      <c r="G12923" s="946"/>
      <c r="H12923" s="1031"/>
      <c r="I12923" s="948">
        <f>D12923*F12923</f>
        <v>0</v>
      </c>
    </row>
    <row r="12924" spans="3:9" ht="15.75">
      <c r="C12924" s="951" t="s">
        <v>918</v>
      </c>
      <c r="D12924" s="946"/>
      <c r="E12924" s="947"/>
      <c r="F12924" s="1054"/>
      <c r="G12924" s="946"/>
      <c r="H12924" s="1031"/>
      <c r="I12924" s="952">
        <f>SUM(I12923)</f>
        <v>0</v>
      </c>
    </row>
    <row r="12925" spans="3:9" ht="15.75">
      <c r="C12925" s="951"/>
      <c r="D12925" s="946"/>
      <c r="E12925" s="947"/>
      <c r="F12925" s="1054"/>
      <c r="G12925" s="946"/>
      <c r="H12925" s="1031"/>
      <c r="I12925" s="952"/>
    </row>
    <row r="12926" spans="3:9" ht="15.75">
      <c r="C12926" s="956" t="s">
        <v>926</v>
      </c>
      <c r="D12926" s="957"/>
      <c r="E12926" s="958"/>
      <c r="F12926" s="1069"/>
      <c r="G12926" s="957"/>
      <c r="H12926" s="1032"/>
      <c r="I12926" s="959">
        <f>+I12910</f>
        <v>0</v>
      </c>
    </row>
    <row r="12927" spans="3:9" ht="15.75">
      <c r="C12927" s="956" t="s">
        <v>927</v>
      </c>
      <c r="D12927" s="957"/>
      <c r="E12927" s="958"/>
      <c r="F12927" s="1069"/>
      <c r="G12927" s="957"/>
      <c r="H12927" s="1032"/>
      <c r="I12927" s="959">
        <f>+I12914</f>
        <v>3.21</v>
      </c>
    </row>
    <row r="12928" spans="3:9" ht="15.75">
      <c r="C12928" s="956" t="s">
        <v>928</v>
      </c>
      <c r="D12928" s="957"/>
      <c r="E12928" s="958"/>
      <c r="F12928" s="1069"/>
      <c r="G12928" s="957"/>
      <c r="H12928" s="1032"/>
      <c r="I12928" s="959">
        <f>+I12920</f>
        <v>84.28</v>
      </c>
    </row>
    <row r="12929" spans="2:9" ht="15.75">
      <c r="C12929" s="956" t="s">
        <v>929</v>
      </c>
      <c r="D12929" s="957"/>
      <c r="E12929" s="958"/>
      <c r="F12929" s="1069"/>
      <c r="G12929" s="957"/>
      <c r="H12929" s="1032"/>
      <c r="I12929" s="959">
        <f>+I12924</f>
        <v>0</v>
      </c>
    </row>
    <row r="12930" spans="2:9" ht="15.75">
      <c r="C12930" s="949"/>
      <c r="D12930" s="946"/>
      <c r="E12930" s="947"/>
      <c r="F12930" s="1054"/>
      <c r="G12930" s="946"/>
      <c r="H12930" s="1031"/>
      <c r="I12930" s="948"/>
    </row>
    <row r="12931" spans="2:9" ht="15.75">
      <c r="C12931" s="949"/>
      <c r="D12931" s="946"/>
      <c r="E12931" s="947"/>
      <c r="F12931" s="1054"/>
      <c r="G12931" s="946"/>
      <c r="H12931" s="1031"/>
      <c r="I12931" s="948"/>
    </row>
    <row r="12932" spans="2:9" ht="15.75">
      <c r="C12932" s="951" t="s">
        <v>930</v>
      </c>
      <c r="D12932" s="960"/>
      <c r="E12932" s="943" t="str">
        <f>+E12906</f>
        <v>M3C</v>
      </c>
      <c r="F12932" s="1070"/>
      <c r="G12932" s="960"/>
      <c r="H12932" s="1033"/>
      <c r="I12932" s="952">
        <f>SUM(I12926:I12929)</f>
        <v>87.49</v>
      </c>
    </row>
    <row r="12933" spans="2:9" ht="15.75">
      <c r="C12933" s="951"/>
      <c r="D12933" s="960"/>
      <c r="E12933" s="943"/>
      <c r="F12933" s="1070"/>
      <c r="G12933" s="960"/>
      <c r="H12933" s="1033"/>
      <c r="I12933" s="952"/>
    </row>
    <row r="12934" spans="2:9" ht="15.75">
      <c r="B12934" s="1026">
        <v>2.2999999999999998</v>
      </c>
      <c r="C12934" s="937" t="str">
        <f>+Presupuesto!B741</f>
        <v>Bote de material in situ</v>
      </c>
      <c r="D12934" s="938"/>
      <c r="E12934" s="962" t="s">
        <v>213</v>
      </c>
      <c r="F12934" s="1066"/>
      <c r="G12934" s="938"/>
      <c r="H12934" s="1029"/>
      <c r="I12934" s="940">
        <f>I12960</f>
        <v>455.24</v>
      </c>
    </row>
    <row r="12935" spans="2:9" ht="15.75">
      <c r="C12935" s="941" t="s">
        <v>908</v>
      </c>
      <c r="D12935" s="942" t="s">
        <v>9</v>
      </c>
      <c r="E12935" s="943" t="s">
        <v>10</v>
      </c>
      <c r="F12935" s="1067" t="s">
        <v>909</v>
      </c>
      <c r="G12935" s="942" t="s">
        <v>910</v>
      </c>
      <c r="H12935" s="1030" t="s">
        <v>911</v>
      </c>
      <c r="I12935" s="944" t="s">
        <v>912</v>
      </c>
    </row>
    <row r="12936" spans="2:9" ht="15.75">
      <c r="C12936" s="945" t="s">
        <v>913</v>
      </c>
      <c r="D12936" s="946"/>
      <c r="E12936" s="947"/>
      <c r="F12936" s="1054"/>
      <c r="G12936" s="946"/>
      <c r="H12936" s="1031"/>
      <c r="I12936" s="948"/>
    </row>
    <row r="12937" spans="2:9" ht="15.75">
      <c r="C12937" s="949" t="s">
        <v>924</v>
      </c>
      <c r="D12937" s="946"/>
      <c r="E12937" s="947" t="str">
        <f>+VLOOKUP(C12937,'Basic (equilibrio) (2)'!B:D,2,FALSE)</f>
        <v>n/a</v>
      </c>
      <c r="F12937" s="1068">
        <f>+VLOOKUP(C12937,'Basic (equilibrio) (2)'!B:D,3,FALSE)</f>
        <v>0</v>
      </c>
      <c r="G12937" s="946">
        <f>F12937-(F12937/1.18)</f>
        <v>0</v>
      </c>
      <c r="H12937" s="1031"/>
      <c r="I12937" s="948">
        <f>D12937*F12937</f>
        <v>0</v>
      </c>
    </row>
    <row r="12938" spans="2:9" ht="15.75">
      <c r="C12938" s="951" t="s">
        <v>918</v>
      </c>
      <c r="D12938" s="946"/>
      <c r="E12938" s="947"/>
      <c r="F12938" s="1068"/>
      <c r="G12938" s="946"/>
      <c r="H12938" s="1031"/>
      <c r="I12938" s="952">
        <f>SUM(I12937:I12937)</f>
        <v>0</v>
      </c>
    </row>
    <row r="12939" spans="2:9" ht="15.75">
      <c r="C12939" s="949"/>
      <c r="D12939" s="946"/>
      <c r="E12939" s="947"/>
      <c r="F12939" s="1068"/>
      <c r="G12939" s="946"/>
      <c r="H12939" s="1031"/>
      <c r="I12939" s="948"/>
    </row>
    <row r="12940" spans="2:9" ht="15.75">
      <c r="C12940" s="945" t="s">
        <v>919</v>
      </c>
      <c r="D12940" s="946"/>
      <c r="E12940" s="947"/>
      <c r="F12940" s="1068"/>
      <c r="G12940" s="946"/>
      <c r="H12940" s="1031"/>
      <c r="I12940" s="948"/>
    </row>
    <row r="12941" spans="2:9" ht="15.75">
      <c r="C12941" s="949" t="s">
        <v>931</v>
      </c>
      <c r="D12941" s="953">
        <v>0.13</v>
      </c>
      <c r="E12941" s="954" t="str">
        <f>+VLOOKUP(C12941,'Basic (equilibrio) (2)'!B:D,2,FALSE)</f>
        <v>dia</v>
      </c>
      <c r="F12941" s="1068">
        <f>'Basic (equilibrio) (2)'!$D$14</f>
        <v>900</v>
      </c>
      <c r="G12941" s="946">
        <v>0</v>
      </c>
      <c r="H12941" s="1031">
        <v>70</v>
      </c>
      <c r="I12941" s="948">
        <f>(D12941*F12941)/H12941</f>
        <v>1.67</v>
      </c>
    </row>
    <row r="12942" spans="2:9" ht="15.75">
      <c r="C12942" s="951" t="s">
        <v>918</v>
      </c>
      <c r="D12942" s="946"/>
      <c r="E12942" s="947"/>
      <c r="F12942" s="1054"/>
      <c r="G12942" s="946"/>
      <c r="H12942" s="1031"/>
      <c r="I12942" s="952">
        <f>SUM(I12941:I12941)</f>
        <v>1.67</v>
      </c>
    </row>
    <row r="12943" spans="2:9" ht="15.75">
      <c r="C12943" s="949"/>
      <c r="D12943" s="946"/>
      <c r="E12943" s="947"/>
      <c r="F12943" s="1054"/>
      <c r="G12943" s="946"/>
      <c r="H12943" s="1031"/>
      <c r="I12943" s="948"/>
    </row>
    <row r="12944" spans="2:9" ht="15.75">
      <c r="C12944" s="945" t="s">
        <v>923</v>
      </c>
      <c r="D12944" s="946"/>
      <c r="E12944" s="947"/>
      <c r="F12944" s="1054"/>
      <c r="G12944" s="946"/>
      <c r="H12944" s="1031"/>
      <c r="I12944" s="948"/>
    </row>
    <row r="12945" spans="3:9" ht="15.75">
      <c r="C12945" s="949" t="s">
        <v>934</v>
      </c>
      <c r="D12945" s="946">
        <v>1</v>
      </c>
      <c r="E12945" s="947" t="str">
        <f>+VLOOKUP(C12945,'Basic (equilibrio) (2)'!B:D,2,FALSE)</f>
        <v>m3e</v>
      </c>
      <c r="F12945" s="1054">
        <f>'Basic (equilibrio) (2)'!$D$685</f>
        <v>350</v>
      </c>
      <c r="G12945" s="946">
        <f>F12945-(F12945/1.18)</f>
        <v>53.39</v>
      </c>
      <c r="H12945" s="1039"/>
      <c r="I12945" s="955">
        <f>D12945*F12945</f>
        <v>350</v>
      </c>
    </row>
    <row r="12946" spans="3:9" ht="15.75">
      <c r="C12946" s="949" t="s">
        <v>933</v>
      </c>
      <c r="D12946" s="946">
        <v>1</v>
      </c>
      <c r="E12946" s="947" t="str">
        <f>+VLOOKUP(C12946,'Basic (equilibrio) (2)'!B:D,2,FALSE)</f>
        <v>hr</v>
      </c>
      <c r="F12946" s="1054">
        <f>'Basic (equilibrio) (2)'!$D$682</f>
        <v>4250</v>
      </c>
      <c r="G12946" s="946">
        <f>F12946-(F12946/1.18)</f>
        <v>648.30999999999995</v>
      </c>
      <c r="H12946" s="1039">
        <v>70</v>
      </c>
      <c r="I12946" s="955">
        <f t="shared" ref="I12946:I12947" si="88">D12946*F12946/H12946</f>
        <v>60.71</v>
      </c>
    </row>
    <row r="12947" spans="3:9" ht="15.75">
      <c r="C12947" s="949" t="s">
        <v>935</v>
      </c>
      <c r="D12947" s="946">
        <v>1</v>
      </c>
      <c r="E12947" s="947" t="str">
        <f>+VLOOKUP(C12947,'Basic (equilibrio) (2)'!B:D,2,FALSE)</f>
        <v>hr</v>
      </c>
      <c r="F12947" s="1054">
        <f>'Basic (equilibrio) (2)'!$D$684</f>
        <v>3000</v>
      </c>
      <c r="G12947" s="946">
        <f>F12947-(F12947/1.18)</f>
        <v>457.63</v>
      </c>
      <c r="H12947" s="1039">
        <v>70</v>
      </c>
      <c r="I12947" s="955">
        <f t="shared" si="88"/>
        <v>42.86</v>
      </c>
    </row>
    <row r="12948" spans="3:9" ht="15.75">
      <c r="C12948" s="951" t="s">
        <v>918</v>
      </c>
      <c r="D12948" s="946"/>
      <c r="E12948" s="947"/>
      <c r="F12948" s="1054"/>
      <c r="G12948" s="946"/>
      <c r="H12948" s="1031"/>
      <c r="I12948" s="952">
        <f>SUM(I12945:I12947)</f>
        <v>453.57</v>
      </c>
    </row>
    <row r="12949" spans="3:9" ht="15.75">
      <c r="C12949" s="949"/>
      <c r="D12949" s="946"/>
      <c r="E12949" s="947"/>
      <c r="F12949" s="1054"/>
      <c r="G12949" s="946"/>
      <c r="H12949" s="1031"/>
      <c r="I12949" s="948"/>
    </row>
    <row r="12950" spans="3:9" ht="15.75">
      <c r="C12950" s="945" t="s">
        <v>925</v>
      </c>
      <c r="D12950" s="946"/>
      <c r="E12950" s="947"/>
      <c r="F12950" s="1054"/>
      <c r="G12950" s="946"/>
      <c r="H12950" s="1031"/>
      <c r="I12950" s="948"/>
    </row>
    <row r="12951" spans="3:9" ht="15.75">
      <c r="C12951" s="949" t="s">
        <v>924</v>
      </c>
      <c r="D12951" s="946">
        <f>+I12948</f>
        <v>453.57</v>
      </c>
      <c r="E12951" s="947" t="str">
        <f>+VLOOKUP(C12951,'Basic (equilibrio) (2)'!B:D,2,FALSE)</f>
        <v>n/a</v>
      </c>
      <c r="F12951" s="1054">
        <f>+VLOOKUP(C12951,'Basic (equilibrio) (2)'!B:D,3,FALSE)</f>
        <v>0</v>
      </c>
      <c r="G12951" s="946"/>
      <c r="H12951" s="1031"/>
      <c r="I12951" s="948">
        <f>D12951*F12951</f>
        <v>0</v>
      </c>
    </row>
    <row r="12952" spans="3:9" ht="15.75">
      <c r="C12952" s="951" t="s">
        <v>918</v>
      </c>
      <c r="D12952" s="946"/>
      <c r="E12952" s="947"/>
      <c r="F12952" s="1054"/>
      <c r="G12952" s="946"/>
      <c r="H12952" s="1031"/>
      <c r="I12952" s="952">
        <f>SUM(I12951)</f>
        <v>0</v>
      </c>
    </row>
    <row r="12953" spans="3:9" ht="15.75">
      <c r="C12953" s="951"/>
      <c r="D12953" s="946"/>
      <c r="E12953" s="947"/>
      <c r="F12953" s="1054"/>
      <c r="G12953" s="946"/>
      <c r="H12953" s="1031"/>
      <c r="I12953" s="952"/>
    </row>
    <row r="12954" spans="3:9" ht="15.75">
      <c r="C12954" s="956" t="s">
        <v>926</v>
      </c>
      <c r="D12954" s="957"/>
      <c r="E12954" s="958"/>
      <c r="F12954" s="1069"/>
      <c r="G12954" s="957"/>
      <c r="H12954" s="1032"/>
      <c r="I12954" s="959">
        <f>+I12938</f>
        <v>0</v>
      </c>
    </row>
    <row r="12955" spans="3:9" ht="15.75">
      <c r="C12955" s="956" t="s">
        <v>927</v>
      </c>
      <c r="D12955" s="957"/>
      <c r="E12955" s="958"/>
      <c r="F12955" s="1069"/>
      <c r="G12955" s="957"/>
      <c r="H12955" s="1032"/>
      <c r="I12955" s="959">
        <f>+I12942</f>
        <v>1.67</v>
      </c>
    </row>
    <row r="12956" spans="3:9" ht="15.75">
      <c r="C12956" s="956" t="s">
        <v>928</v>
      </c>
      <c r="D12956" s="957"/>
      <c r="E12956" s="958"/>
      <c r="F12956" s="1069"/>
      <c r="G12956" s="957"/>
      <c r="H12956" s="1032"/>
      <c r="I12956" s="959">
        <f>+I12948</f>
        <v>453.57</v>
      </c>
    </row>
    <row r="12957" spans="3:9" ht="15.75">
      <c r="C12957" s="956" t="s">
        <v>929</v>
      </c>
      <c r="D12957" s="957"/>
      <c r="E12957" s="958"/>
      <c r="F12957" s="1069"/>
      <c r="G12957" s="957"/>
      <c r="H12957" s="1032"/>
      <c r="I12957" s="959">
        <f>+I12952</f>
        <v>0</v>
      </c>
    </row>
    <row r="12958" spans="3:9" ht="15.75">
      <c r="C12958" s="949"/>
      <c r="D12958" s="946"/>
      <c r="E12958" s="947"/>
      <c r="F12958" s="1054"/>
      <c r="G12958" s="946"/>
      <c r="H12958" s="1031"/>
      <c r="I12958" s="948"/>
    </row>
    <row r="12959" spans="3:9" ht="15.75">
      <c r="C12959" s="949"/>
      <c r="D12959" s="946"/>
      <c r="E12959" s="947"/>
      <c r="F12959" s="1054"/>
      <c r="G12959" s="946"/>
      <c r="H12959" s="1031"/>
      <c r="I12959" s="948"/>
    </row>
    <row r="12960" spans="3:9" ht="15.75">
      <c r="C12960" s="951" t="s">
        <v>930</v>
      </c>
      <c r="D12960" s="960"/>
      <c r="E12960" s="943" t="str">
        <f>+E12934</f>
        <v>M3E</v>
      </c>
      <c r="F12960" s="1070"/>
      <c r="G12960" s="960"/>
      <c r="H12960" s="1033"/>
      <c r="I12960" s="952">
        <f>SUM(I12954:I12957)</f>
        <v>455.24</v>
      </c>
    </row>
    <row r="12961" spans="2:9" ht="15.75">
      <c r="C12961" s="951"/>
      <c r="D12961" s="960"/>
      <c r="E12961" s="943"/>
      <c r="F12961" s="1070"/>
      <c r="G12961" s="960"/>
      <c r="H12961" s="1033"/>
      <c r="I12961" s="952"/>
    </row>
    <row r="12962" spans="2:9" ht="15.75">
      <c r="B12962" s="1026">
        <v>3.1</v>
      </c>
      <c r="C12962" s="937" t="str">
        <f>+Presupuesto!B744</f>
        <v>Zapata de muros (0.45m x 0.30m) - 0.67 qq/m³</v>
      </c>
      <c r="D12962" s="938"/>
      <c r="E12962" s="962" t="s">
        <v>22</v>
      </c>
      <c r="F12962" s="1066"/>
      <c r="G12962" s="938"/>
      <c r="H12962" s="1029"/>
      <c r="I12962" s="940">
        <f>I12988</f>
        <v>10257.18</v>
      </c>
    </row>
    <row r="12963" spans="2:9" ht="15.75">
      <c r="C12963" s="941" t="s">
        <v>908</v>
      </c>
      <c r="D12963" s="942" t="s">
        <v>9</v>
      </c>
      <c r="E12963" s="943" t="s">
        <v>10</v>
      </c>
      <c r="F12963" s="1067" t="s">
        <v>909</v>
      </c>
      <c r="G12963" s="942" t="s">
        <v>910</v>
      </c>
      <c r="H12963" s="1030" t="s">
        <v>911</v>
      </c>
      <c r="I12963" s="944" t="s">
        <v>912</v>
      </c>
    </row>
    <row r="12964" spans="2:9" ht="15.75">
      <c r="C12964" s="945" t="s">
        <v>913</v>
      </c>
      <c r="D12964" s="946"/>
      <c r="E12964" s="947"/>
      <c r="F12964" s="1054"/>
      <c r="G12964" s="946"/>
      <c r="H12964" s="1031"/>
      <c r="I12964" s="948"/>
    </row>
    <row r="12965" spans="2:9" ht="15.75">
      <c r="C12965" s="949" t="s">
        <v>994</v>
      </c>
      <c r="D12965" s="946">
        <v>1.02</v>
      </c>
      <c r="E12965" s="947" t="str">
        <f>+VLOOKUP(C12965,'Basic (equilibrio) (2)'!B:D,2,FALSE)</f>
        <v>m3</v>
      </c>
      <c r="F12965" s="1068">
        <f>'Basic (equilibrio) (2)'!$D$179</f>
        <v>7600</v>
      </c>
      <c r="G12965" s="946">
        <f>F12965-(F12965/1.18)</f>
        <v>1159.32</v>
      </c>
      <c r="H12965" s="1031"/>
      <c r="I12965" s="948">
        <f>D12965*F12965</f>
        <v>7752</v>
      </c>
    </row>
    <row r="12966" spans="2:9" ht="15.75">
      <c r="C12966" s="949" t="s">
        <v>1188</v>
      </c>
      <c r="D12966" s="946">
        <v>0.68</v>
      </c>
      <c r="E12966" s="947" t="str">
        <f>+VLOOKUP(C12966,'Basic (equilibrio) (2)'!B:D,2,FALSE)</f>
        <v>qq</v>
      </c>
      <c r="F12966" s="1068">
        <f>'Basic (equilibrio) (2)'!$D$183</f>
        <v>3600</v>
      </c>
      <c r="G12966" s="946">
        <f>F12966-(F12966/1.18)</f>
        <v>549.15</v>
      </c>
      <c r="H12966" s="1031"/>
      <c r="I12966" s="948">
        <f>D12966*F12966</f>
        <v>2448</v>
      </c>
    </row>
    <row r="12967" spans="2:9" ht="15.75">
      <c r="C12967" s="949" t="s">
        <v>1328</v>
      </c>
      <c r="D12967" s="946">
        <f>+D12966*2</f>
        <v>1.36</v>
      </c>
      <c r="E12967" s="947" t="str">
        <f>+VLOOKUP(C12967,'Basic (equilibrio) (2)'!B:D,2,FALSE)</f>
        <v>lb</v>
      </c>
      <c r="F12967" s="1068">
        <f>'Basic (equilibrio) (2)'!$D$334</f>
        <v>31.1</v>
      </c>
      <c r="G12967" s="946">
        <f>F12967-(F12967/1.18)</f>
        <v>4.74</v>
      </c>
      <c r="H12967" s="1031"/>
      <c r="I12967" s="948">
        <f>D12967*F12967</f>
        <v>42.3</v>
      </c>
    </row>
    <row r="12968" spans="2:9" ht="15.75">
      <c r="C12968" s="951" t="s">
        <v>918</v>
      </c>
      <c r="D12968" s="946"/>
      <c r="E12968" s="947"/>
      <c r="F12968" s="1068"/>
      <c r="G12968" s="946"/>
      <c r="H12968" s="1031"/>
      <c r="I12968" s="952">
        <f>SUM(I12965:I12967)</f>
        <v>10242.299999999999</v>
      </c>
    </row>
    <row r="12969" spans="2:9" ht="15.75">
      <c r="C12969" s="949"/>
      <c r="D12969" s="946"/>
      <c r="E12969" s="947"/>
      <c r="F12969" s="1068"/>
      <c r="G12969" s="946"/>
      <c r="H12969" s="1031"/>
      <c r="I12969" s="948"/>
    </row>
    <row r="12970" spans="2:9" ht="15.75">
      <c r="C12970" s="945" t="s">
        <v>919</v>
      </c>
      <c r="D12970" s="946"/>
      <c r="E12970" s="947"/>
      <c r="F12970" s="1068"/>
      <c r="G12970" s="946"/>
      <c r="H12970" s="1031"/>
      <c r="I12970" s="948"/>
    </row>
    <row r="12971" spans="2:9" ht="15.75">
      <c r="C12971" s="949" t="s">
        <v>1067</v>
      </c>
      <c r="D12971" s="953">
        <v>8.33</v>
      </c>
      <c r="E12971" s="954" t="str">
        <f>+VLOOKUP(C12971,'Basic (equilibrio) (2)'!B:D,2,FALSE)</f>
        <v>ml</v>
      </c>
      <c r="F12971" s="1068">
        <f>'Basic (equilibrio) (2)'!$D$21</f>
        <v>125</v>
      </c>
      <c r="G12971" s="946">
        <v>0</v>
      </c>
      <c r="H12971" s="1031">
        <v>70</v>
      </c>
      <c r="I12971" s="948">
        <f>(D12971*F12971)/H12971</f>
        <v>14.88</v>
      </c>
    </row>
    <row r="12972" spans="2:9" ht="15.75">
      <c r="C12972" s="951" t="s">
        <v>918</v>
      </c>
      <c r="D12972" s="946"/>
      <c r="E12972" s="947"/>
      <c r="F12972" s="1054"/>
      <c r="G12972" s="946"/>
      <c r="H12972" s="1031"/>
      <c r="I12972" s="952">
        <f>SUM(I12971:I12971)</f>
        <v>14.88</v>
      </c>
    </row>
    <row r="12973" spans="2:9" ht="15.75">
      <c r="C12973" s="949"/>
      <c r="D12973" s="946"/>
      <c r="E12973" s="947"/>
      <c r="F12973" s="1054"/>
      <c r="G12973" s="946"/>
      <c r="H12973" s="1031"/>
      <c r="I12973" s="948"/>
    </row>
    <row r="12974" spans="2:9" ht="15.75">
      <c r="C12974" s="945" t="s">
        <v>923</v>
      </c>
      <c r="D12974" s="946"/>
      <c r="E12974" s="947"/>
      <c r="F12974" s="1054"/>
      <c r="G12974" s="946"/>
      <c r="H12974" s="1031"/>
      <c r="I12974" s="948"/>
    </row>
    <row r="12975" spans="2:9" ht="15.75">
      <c r="C12975" s="949" t="s">
        <v>924</v>
      </c>
      <c r="D12975" s="946"/>
      <c r="E12975" s="947" t="str">
        <f>+VLOOKUP(C12975,'Basic (equilibrio) (2)'!B:D,2,FALSE)</f>
        <v>n/a</v>
      </c>
      <c r="F12975" s="1054">
        <f>+VLOOKUP(C12975,'Basic (equilibrio) (2)'!B:D,3,FALSE)</f>
        <v>0</v>
      </c>
      <c r="G12975" s="946">
        <f>F12975-(F12975/1.18)</f>
        <v>0</v>
      </c>
      <c r="H12975" s="1039"/>
      <c r="I12975" s="955">
        <f>D12975*F12975</f>
        <v>0</v>
      </c>
    </row>
    <row r="12976" spans="2:9" ht="15.75">
      <c r="C12976" s="951" t="s">
        <v>918</v>
      </c>
      <c r="D12976" s="946"/>
      <c r="E12976" s="947"/>
      <c r="F12976" s="1054"/>
      <c r="G12976" s="946"/>
      <c r="H12976" s="1031"/>
      <c r="I12976" s="952">
        <f>SUM(I12975:I12975)</f>
        <v>0</v>
      </c>
    </row>
    <row r="12977" spans="2:9" ht="15.75">
      <c r="C12977" s="949"/>
      <c r="D12977" s="946"/>
      <c r="E12977" s="947"/>
      <c r="F12977" s="1054"/>
      <c r="G12977" s="946"/>
      <c r="H12977" s="1031"/>
      <c r="I12977" s="948"/>
    </row>
    <row r="12978" spans="2:9" ht="15.75">
      <c r="C12978" s="945" t="s">
        <v>925</v>
      </c>
      <c r="D12978" s="946"/>
      <c r="E12978" s="947"/>
      <c r="F12978" s="1054"/>
      <c r="G12978" s="946"/>
      <c r="H12978" s="1031"/>
      <c r="I12978" s="948"/>
    </row>
    <row r="12979" spans="2:9" ht="15.75">
      <c r="C12979" s="949" t="s">
        <v>924</v>
      </c>
      <c r="D12979" s="946"/>
      <c r="E12979" s="947" t="str">
        <f>+VLOOKUP(C12979,'Basic (equilibrio) (2)'!B:D,2,FALSE)</f>
        <v>n/a</v>
      </c>
      <c r="F12979" s="1054">
        <f>+VLOOKUP(C12979,'Basic (equilibrio) (2)'!B:D,3,FALSE)</f>
        <v>0</v>
      </c>
      <c r="G12979" s="946"/>
      <c r="H12979" s="1031"/>
      <c r="I12979" s="948">
        <f>D12979*F12979</f>
        <v>0</v>
      </c>
    </row>
    <row r="12980" spans="2:9" ht="15.75">
      <c r="C12980" s="951" t="s">
        <v>918</v>
      </c>
      <c r="D12980" s="946"/>
      <c r="E12980" s="947"/>
      <c r="F12980" s="1054"/>
      <c r="G12980" s="946"/>
      <c r="H12980" s="1031"/>
      <c r="I12980" s="952">
        <f>SUM(I12979)</f>
        <v>0</v>
      </c>
    </row>
    <row r="12981" spans="2:9" ht="15.75">
      <c r="C12981" s="951"/>
      <c r="D12981" s="946"/>
      <c r="E12981" s="947"/>
      <c r="F12981" s="1054"/>
      <c r="G12981" s="946"/>
      <c r="H12981" s="1031"/>
      <c r="I12981" s="952"/>
    </row>
    <row r="12982" spans="2:9" ht="15.75">
      <c r="C12982" s="956" t="s">
        <v>926</v>
      </c>
      <c r="D12982" s="957"/>
      <c r="E12982" s="958"/>
      <c r="F12982" s="1069"/>
      <c r="G12982" s="957"/>
      <c r="H12982" s="1032"/>
      <c r="I12982" s="959">
        <f>+I12968</f>
        <v>10242.299999999999</v>
      </c>
    </row>
    <row r="12983" spans="2:9" ht="15.75">
      <c r="C12983" s="956" t="s">
        <v>927</v>
      </c>
      <c r="D12983" s="957"/>
      <c r="E12983" s="958"/>
      <c r="F12983" s="1069"/>
      <c r="G12983" s="957"/>
      <c r="H12983" s="1032"/>
      <c r="I12983" s="959">
        <f>+I12972</f>
        <v>14.88</v>
      </c>
    </row>
    <row r="12984" spans="2:9" ht="15.75">
      <c r="C12984" s="956" t="s">
        <v>928</v>
      </c>
      <c r="D12984" s="957"/>
      <c r="E12984" s="958"/>
      <c r="F12984" s="1069"/>
      <c r="G12984" s="957"/>
      <c r="H12984" s="1032"/>
      <c r="I12984" s="959">
        <f>+I12976</f>
        <v>0</v>
      </c>
    </row>
    <row r="12985" spans="2:9" ht="15.75">
      <c r="C12985" s="956" t="s">
        <v>929</v>
      </c>
      <c r="D12985" s="957"/>
      <c r="E12985" s="958"/>
      <c r="F12985" s="1069"/>
      <c r="G12985" s="957"/>
      <c r="H12985" s="1032"/>
      <c r="I12985" s="959">
        <f>+I12980</f>
        <v>0</v>
      </c>
    </row>
    <row r="12986" spans="2:9" ht="15.75">
      <c r="C12986" s="949"/>
      <c r="D12986" s="946"/>
      <c r="E12986" s="947"/>
      <c r="F12986" s="1054"/>
      <c r="G12986" s="946"/>
      <c r="H12986" s="1031"/>
      <c r="I12986" s="948"/>
    </row>
    <row r="12987" spans="2:9" ht="15.75">
      <c r="C12987" s="949"/>
      <c r="D12987" s="946"/>
      <c r="E12987" s="947"/>
      <c r="F12987" s="1054"/>
      <c r="G12987" s="946"/>
      <c r="H12987" s="1031"/>
      <c r="I12987" s="948"/>
    </row>
    <row r="12988" spans="2:9" ht="15.75">
      <c r="C12988" s="951" t="s">
        <v>930</v>
      </c>
      <c r="D12988" s="960"/>
      <c r="E12988" s="943" t="str">
        <f>+E12962</f>
        <v>M3</v>
      </c>
      <c r="F12988" s="1070"/>
      <c r="G12988" s="960"/>
      <c r="H12988" s="1033"/>
      <c r="I12988" s="952">
        <f>SUM(I12982:I12985)</f>
        <v>10257.18</v>
      </c>
    </row>
    <row r="12989" spans="2:9" ht="15.75">
      <c r="C12989" s="951"/>
      <c r="D12989" s="960"/>
      <c r="E12989" s="943"/>
      <c r="F12989" s="1070"/>
      <c r="G12989" s="960"/>
      <c r="H12989" s="1033"/>
      <c r="I12989" s="952"/>
    </row>
    <row r="12990" spans="2:9" ht="15.75">
      <c r="B12990" s="1026">
        <v>3.2</v>
      </c>
      <c r="C12990" s="937" t="str">
        <f>+Presupuesto!B745</f>
        <v>Viga de amarre B.N.P. (0.20m x 0.20m) - 6.60 qq/m³</v>
      </c>
      <c r="D12990" s="938"/>
      <c r="E12990" s="962" t="s">
        <v>22</v>
      </c>
      <c r="F12990" s="1066"/>
      <c r="G12990" s="938"/>
      <c r="H12990" s="1029"/>
      <c r="I12990" s="940">
        <f>I13017</f>
        <v>40970.160000000003</v>
      </c>
    </row>
    <row r="12991" spans="2:9" ht="15.75">
      <c r="C12991" s="941" t="s">
        <v>908</v>
      </c>
      <c r="D12991" s="942" t="s">
        <v>9</v>
      </c>
      <c r="E12991" s="943" t="s">
        <v>10</v>
      </c>
      <c r="F12991" s="1067" t="s">
        <v>909</v>
      </c>
      <c r="G12991" s="942" t="s">
        <v>910</v>
      </c>
      <c r="H12991" s="1030" t="s">
        <v>911</v>
      </c>
      <c r="I12991" s="944" t="s">
        <v>912</v>
      </c>
    </row>
    <row r="12992" spans="2:9" ht="15.75">
      <c r="C12992" s="945" t="s">
        <v>913</v>
      </c>
      <c r="D12992" s="946"/>
      <c r="E12992" s="947"/>
      <c r="F12992" s="1054"/>
      <c r="G12992" s="946"/>
      <c r="H12992" s="1031"/>
      <c r="I12992" s="948"/>
    </row>
    <row r="12993" spans="3:9" ht="15.75">
      <c r="C12993" s="949" t="s">
        <v>994</v>
      </c>
      <c r="D12993" s="946">
        <v>1.05</v>
      </c>
      <c r="E12993" s="947" t="str">
        <f>+VLOOKUP(C12993,'Basic (equilibrio) (2)'!B:D,2,FALSE)</f>
        <v>m3</v>
      </c>
      <c r="F12993" s="1068">
        <f>'Basic (equilibrio) (2)'!$D$179</f>
        <v>7600</v>
      </c>
      <c r="G12993" s="946">
        <f>F12993-(F12993/1.18)</f>
        <v>1159.32</v>
      </c>
      <c r="H12993" s="1031"/>
      <c r="I12993" s="948">
        <f>D12993*F12993</f>
        <v>7980</v>
      </c>
    </row>
    <row r="12994" spans="3:9" ht="15.75">
      <c r="C12994" s="949" t="s">
        <v>1188</v>
      </c>
      <c r="D12994" s="946">
        <v>6.6</v>
      </c>
      <c r="E12994" s="947" t="str">
        <f>+VLOOKUP(C12994,'Basic (equilibrio) (2)'!B:D,2,FALSE)</f>
        <v>qq</v>
      </c>
      <c r="F12994" s="1068">
        <f>'Basic (equilibrio) (2)'!$D$183</f>
        <v>3600</v>
      </c>
      <c r="G12994" s="946">
        <f>F12994-(F12994/1.18)</f>
        <v>549.15</v>
      </c>
      <c r="H12994" s="1031"/>
      <c r="I12994" s="948">
        <f>D12994*F12994</f>
        <v>23760</v>
      </c>
    </row>
    <row r="12995" spans="3:9" ht="15.75">
      <c r="C12995" s="949" t="s">
        <v>1328</v>
      </c>
      <c r="D12995" s="946">
        <f>+D12994*2</f>
        <v>13.2</v>
      </c>
      <c r="E12995" s="947" t="str">
        <f>+VLOOKUP(C12995,'Basic (equilibrio) (2)'!B:D,2,FALSE)</f>
        <v>lb</v>
      </c>
      <c r="F12995" s="1068">
        <f>'Basic (equilibrio) (2)'!$D$334</f>
        <v>31.1</v>
      </c>
      <c r="G12995" s="946">
        <f>F12995-(F12995/1.18)</f>
        <v>4.74</v>
      </c>
      <c r="H12995" s="1031"/>
      <c r="I12995" s="948">
        <f>D12995*F12995</f>
        <v>410.52</v>
      </c>
    </row>
    <row r="12996" spans="3:9" ht="15.75">
      <c r="C12996" s="949" t="s">
        <v>1072</v>
      </c>
      <c r="D12996" s="946">
        <v>25</v>
      </c>
      <c r="E12996" s="947" t="str">
        <f>+VLOOKUP(C12996,'Basic (equilibrio) (2)'!B:D,2,FALSE)</f>
        <v>ml</v>
      </c>
      <c r="F12996" s="1068">
        <f>'Basic (equilibrio) (2)'!$D$22</f>
        <v>351</v>
      </c>
      <c r="G12996" s="946">
        <f>F12996-(F12996/1.18)</f>
        <v>53.54</v>
      </c>
      <c r="H12996" s="1031"/>
      <c r="I12996" s="948">
        <f>D12996*F12996</f>
        <v>8775</v>
      </c>
    </row>
    <row r="12997" spans="3:9" ht="15.75">
      <c r="C12997" s="951" t="s">
        <v>918</v>
      </c>
      <c r="D12997" s="946"/>
      <c r="E12997" s="947"/>
      <c r="F12997" s="1068"/>
      <c r="G12997" s="946"/>
      <c r="H12997" s="1031"/>
      <c r="I12997" s="952">
        <f>SUM(I12993:I12996)</f>
        <v>40925.519999999997</v>
      </c>
    </row>
    <row r="12998" spans="3:9" ht="15.75">
      <c r="C12998" s="949"/>
      <c r="D12998" s="946"/>
      <c r="E12998" s="947"/>
      <c r="F12998" s="1068"/>
      <c r="G12998" s="946"/>
      <c r="H12998" s="1031"/>
      <c r="I12998" s="948"/>
    </row>
    <row r="12999" spans="3:9" ht="15.75">
      <c r="C12999" s="945" t="s">
        <v>919</v>
      </c>
      <c r="D12999" s="946"/>
      <c r="E12999" s="947"/>
      <c r="F12999" s="1068"/>
      <c r="G12999" s="946"/>
      <c r="H12999" s="1031"/>
      <c r="I12999" s="948"/>
    </row>
    <row r="13000" spans="3:9" ht="15.75">
      <c r="C13000" s="949" t="s">
        <v>1073</v>
      </c>
      <c r="D13000" s="953">
        <v>25</v>
      </c>
      <c r="E13000" s="954" t="str">
        <f>+VLOOKUP(C13000,'Basic (equilibrio) (2)'!B:D,2,FALSE)</f>
        <v>ml</v>
      </c>
      <c r="F13000" s="1068">
        <f>'Basic (equilibrio) (2)'!$D$25</f>
        <v>125</v>
      </c>
      <c r="G13000" s="946">
        <v>0</v>
      </c>
      <c r="H13000" s="1031">
        <v>70</v>
      </c>
      <c r="I13000" s="948">
        <f>(D13000*F13000)/H13000</f>
        <v>44.64</v>
      </c>
    </row>
    <row r="13001" spans="3:9" ht="15.75">
      <c r="C13001" s="951" t="s">
        <v>918</v>
      </c>
      <c r="D13001" s="946"/>
      <c r="E13001" s="947"/>
      <c r="F13001" s="1054"/>
      <c r="G13001" s="946"/>
      <c r="H13001" s="1031"/>
      <c r="I13001" s="952">
        <f>SUM(I13000:I13000)</f>
        <v>44.64</v>
      </c>
    </row>
    <row r="13002" spans="3:9" ht="15.75">
      <c r="C13002" s="949"/>
      <c r="D13002" s="946"/>
      <c r="E13002" s="947"/>
      <c r="F13002" s="1054"/>
      <c r="G13002" s="946"/>
      <c r="H13002" s="1031"/>
      <c r="I13002" s="948"/>
    </row>
    <row r="13003" spans="3:9" ht="15.75">
      <c r="C13003" s="945" t="s">
        <v>923</v>
      </c>
      <c r="D13003" s="946"/>
      <c r="E13003" s="947"/>
      <c r="F13003" s="1054"/>
      <c r="G13003" s="946"/>
      <c r="H13003" s="1031"/>
      <c r="I13003" s="948"/>
    </row>
    <row r="13004" spans="3:9" ht="15.75">
      <c r="C13004" s="949" t="s">
        <v>924</v>
      </c>
      <c r="D13004" s="946"/>
      <c r="E13004" s="947" t="str">
        <f>+VLOOKUP(C13004,'Basic (equilibrio) (2)'!B:D,2,FALSE)</f>
        <v>n/a</v>
      </c>
      <c r="F13004" s="1054">
        <f>+VLOOKUP(C13004,'Basic (equilibrio) (2)'!B:D,3,FALSE)</f>
        <v>0</v>
      </c>
      <c r="G13004" s="946">
        <f>F13004-(F13004/1.18)</f>
        <v>0</v>
      </c>
      <c r="H13004" s="1039"/>
      <c r="I13004" s="955">
        <f>D13004*F13004</f>
        <v>0</v>
      </c>
    </row>
    <row r="13005" spans="3:9" ht="15.75">
      <c r="C13005" s="951" t="s">
        <v>918</v>
      </c>
      <c r="D13005" s="946"/>
      <c r="E13005" s="947"/>
      <c r="F13005" s="1054"/>
      <c r="G13005" s="946"/>
      <c r="H13005" s="1031"/>
      <c r="I13005" s="952">
        <f>SUM(I13004:I13004)</f>
        <v>0</v>
      </c>
    </row>
    <row r="13006" spans="3:9" ht="15.75">
      <c r="C13006" s="949"/>
      <c r="D13006" s="946"/>
      <c r="E13006" s="947"/>
      <c r="F13006" s="1054"/>
      <c r="G13006" s="946"/>
      <c r="H13006" s="1031"/>
      <c r="I13006" s="948"/>
    </row>
    <row r="13007" spans="3:9" ht="15.75">
      <c r="C13007" s="945" t="s">
        <v>925</v>
      </c>
      <c r="D13007" s="946"/>
      <c r="E13007" s="947"/>
      <c r="F13007" s="1054"/>
      <c r="G13007" s="946"/>
      <c r="H13007" s="1031"/>
      <c r="I13007" s="948"/>
    </row>
    <row r="13008" spans="3:9" ht="15.75">
      <c r="C13008" s="949" t="s">
        <v>924</v>
      </c>
      <c r="D13008" s="946"/>
      <c r="E13008" s="947" t="str">
        <f>+VLOOKUP(C13008,'Basic (equilibrio) (2)'!B:D,2,FALSE)</f>
        <v>n/a</v>
      </c>
      <c r="F13008" s="1054">
        <f>+VLOOKUP(C13008,'Basic (equilibrio) (2)'!B:D,3,FALSE)</f>
        <v>0</v>
      </c>
      <c r="G13008" s="946"/>
      <c r="H13008" s="1031"/>
      <c r="I13008" s="948">
        <f>D13008*F13008</f>
        <v>0</v>
      </c>
    </row>
    <row r="13009" spans="2:9" ht="15.75">
      <c r="C13009" s="951" t="s">
        <v>918</v>
      </c>
      <c r="D13009" s="946"/>
      <c r="E13009" s="947"/>
      <c r="F13009" s="1054"/>
      <c r="G13009" s="946"/>
      <c r="H13009" s="1031"/>
      <c r="I13009" s="952">
        <f>SUM(I13008)</f>
        <v>0</v>
      </c>
    </row>
    <row r="13010" spans="2:9" ht="15.75">
      <c r="C13010" s="951"/>
      <c r="D13010" s="946"/>
      <c r="E13010" s="947"/>
      <c r="F13010" s="1054"/>
      <c r="G13010" s="946"/>
      <c r="H13010" s="1031"/>
      <c r="I13010" s="952"/>
    </row>
    <row r="13011" spans="2:9" ht="15.75">
      <c r="C13011" s="956" t="s">
        <v>926</v>
      </c>
      <c r="D13011" s="957"/>
      <c r="E13011" s="958"/>
      <c r="F13011" s="1069"/>
      <c r="G13011" s="957"/>
      <c r="H13011" s="1032"/>
      <c r="I13011" s="959">
        <f>+I12997</f>
        <v>40925.519999999997</v>
      </c>
    </row>
    <row r="13012" spans="2:9" ht="15.75">
      <c r="C13012" s="956" t="s">
        <v>927</v>
      </c>
      <c r="D13012" s="957"/>
      <c r="E13012" s="958"/>
      <c r="F13012" s="1069"/>
      <c r="G13012" s="957"/>
      <c r="H13012" s="1032"/>
      <c r="I13012" s="959">
        <f>+I13001</f>
        <v>44.64</v>
      </c>
    </row>
    <row r="13013" spans="2:9" ht="15.75">
      <c r="C13013" s="956" t="s">
        <v>928</v>
      </c>
      <c r="D13013" s="957"/>
      <c r="E13013" s="958"/>
      <c r="F13013" s="1069"/>
      <c r="G13013" s="957"/>
      <c r="H13013" s="1032"/>
      <c r="I13013" s="959">
        <f>+I13005</f>
        <v>0</v>
      </c>
    </row>
    <row r="13014" spans="2:9" ht="15.75">
      <c r="C13014" s="956" t="s">
        <v>929</v>
      </c>
      <c r="D13014" s="957"/>
      <c r="E13014" s="958"/>
      <c r="F13014" s="1069"/>
      <c r="G13014" s="957"/>
      <c r="H13014" s="1032"/>
      <c r="I13014" s="959">
        <f>+I13009</f>
        <v>0</v>
      </c>
    </row>
    <row r="13015" spans="2:9" ht="15.75">
      <c r="C13015" s="949"/>
      <c r="D13015" s="946"/>
      <c r="E13015" s="947"/>
      <c r="F13015" s="1054"/>
      <c r="G13015" s="946"/>
      <c r="H13015" s="1031"/>
      <c r="I13015" s="948"/>
    </row>
    <row r="13016" spans="2:9" ht="15.75">
      <c r="C13016" s="949"/>
      <c r="D13016" s="946"/>
      <c r="E13016" s="947"/>
      <c r="F13016" s="1054"/>
      <c r="G13016" s="946"/>
      <c r="H13016" s="1031"/>
      <c r="I13016" s="948"/>
    </row>
    <row r="13017" spans="2:9" ht="15.75">
      <c r="C13017" s="951" t="s">
        <v>930</v>
      </c>
      <c r="D13017" s="960"/>
      <c r="E13017" s="943" t="str">
        <f>+E12990</f>
        <v>M3</v>
      </c>
      <c r="F13017" s="1070"/>
      <c r="G13017" s="960"/>
      <c r="H13017" s="1033"/>
      <c r="I13017" s="952">
        <f>SUM(I13011:I13014)</f>
        <v>40970.160000000003</v>
      </c>
    </row>
    <row r="13018" spans="2:9" ht="15.75">
      <c r="C13018" s="951"/>
      <c r="D13018" s="960"/>
      <c r="E13018" s="943"/>
      <c r="F13018" s="1070"/>
      <c r="G13018" s="960"/>
      <c r="H13018" s="1033"/>
      <c r="I13018" s="952"/>
    </row>
    <row r="13019" spans="2:9" ht="15.75">
      <c r="B13019" s="1026">
        <v>3.3</v>
      </c>
      <c r="C13019" s="937" t="str">
        <f>+Presupuesto!B746</f>
        <v>Columna CA (0.15m x 0.30m) - 4.50 qq/m³</v>
      </c>
      <c r="D13019" s="938"/>
      <c r="E13019" s="962" t="s">
        <v>22</v>
      </c>
      <c r="F13019" s="1066"/>
      <c r="G13019" s="938"/>
      <c r="H13019" s="1029"/>
      <c r="I13019" s="940">
        <f>I13051</f>
        <v>44136.67</v>
      </c>
    </row>
    <row r="13020" spans="2:9" ht="15.75">
      <c r="C13020" s="941" t="s">
        <v>908</v>
      </c>
      <c r="D13020" s="942" t="s">
        <v>9</v>
      </c>
      <c r="E13020" s="943" t="s">
        <v>10</v>
      </c>
      <c r="F13020" s="1067" t="s">
        <v>909</v>
      </c>
      <c r="G13020" s="942" t="s">
        <v>910</v>
      </c>
      <c r="H13020" s="1030" t="s">
        <v>911</v>
      </c>
      <c r="I13020" s="944" t="s">
        <v>912</v>
      </c>
    </row>
    <row r="13021" spans="2:9" ht="15.75">
      <c r="C13021" s="945" t="s">
        <v>913</v>
      </c>
      <c r="D13021" s="946"/>
      <c r="E13021" s="947"/>
      <c r="F13021" s="1054"/>
      <c r="G13021" s="946"/>
      <c r="H13021" s="1031"/>
      <c r="I13021" s="948"/>
    </row>
    <row r="13022" spans="2:9" ht="15.75">
      <c r="C13022" s="949" t="s">
        <v>994</v>
      </c>
      <c r="D13022" s="946">
        <v>1.05</v>
      </c>
      <c r="E13022" s="947" t="str">
        <f>+VLOOKUP(C13022,'Basic (equilibrio) (2)'!B:D,2,FALSE)</f>
        <v>m3</v>
      </c>
      <c r="F13022" s="1068">
        <f>'Basic (equilibrio) (2)'!$D$179</f>
        <v>7600</v>
      </c>
      <c r="G13022" s="946">
        <f t="shared" ref="G13022:G13027" si="89">F13022-(F13022/1.18)</f>
        <v>1159.32</v>
      </c>
      <c r="H13022" s="1031"/>
      <c r="I13022" s="948">
        <f t="shared" ref="I13022:I13027" si="90">D13022*F13022</f>
        <v>7980</v>
      </c>
    </row>
    <row r="13023" spans="2:9" ht="15.75">
      <c r="C13023" s="949" t="s">
        <v>1188</v>
      </c>
      <c r="D13023" s="946">
        <v>4.5</v>
      </c>
      <c r="E13023" s="947" t="str">
        <f>+VLOOKUP(C13023,'Basic (equilibrio) (2)'!B:D,2,FALSE)</f>
        <v>qq</v>
      </c>
      <c r="F13023" s="1068">
        <f>'Basic (equilibrio) (2)'!$D$183</f>
        <v>3600</v>
      </c>
      <c r="G13023" s="946">
        <f t="shared" si="89"/>
        <v>549.15</v>
      </c>
      <c r="H13023" s="1031"/>
      <c r="I13023" s="948">
        <f t="shared" si="90"/>
        <v>16200</v>
      </c>
    </row>
    <row r="13024" spans="2:9" ht="15.75">
      <c r="C13024" s="949" t="s">
        <v>1212</v>
      </c>
      <c r="D13024" s="946">
        <f>+D13023*2</f>
        <v>9</v>
      </c>
      <c r="E13024" s="947" t="str">
        <f>+VLOOKUP(C13024,'Basic (equilibrio) (2)'!B:D,2,FALSE)</f>
        <v>lb</v>
      </c>
      <c r="F13024" s="1068">
        <f>'Basic (equilibrio) (2)'!$D$312</f>
        <v>26.5</v>
      </c>
      <c r="G13024" s="946">
        <f t="shared" si="89"/>
        <v>4.04</v>
      </c>
      <c r="H13024" s="1031"/>
      <c r="I13024" s="948">
        <f t="shared" si="90"/>
        <v>238.5</v>
      </c>
    </row>
    <row r="13025" spans="3:9" ht="15.75">
      <c r="C13025" s="949" t="s">
        <v>916</v>
      </c>
      <c r="D13025" s="946">
        <v>144</v>
      </c>
      <c r="E13025" s="947" t="str">
        <f>+VLOOKUP(C13025,'Basic (equilibrio) (2)'!B:D,2,FALSE)</f>
        <v>pt</v>
      </c>
      <c r="F13025" s="1068">
        <f>'Basic (equilibrio) (2)'!$D$194</f>
        <v>107.7</v>
      </c>
      <c r="G13025" s="946">
        <f t="shared" si="89"/>
        <v>16.43</v>
      </c>
      <c r="H13025" s="1031"/>
      <c r="I13025" s="948">
        <f t="shared" si="90"/>
        <v>15508.8</v>
      </c>
    </row>
    <row r="13026" spans="3:9" ht="15.75">
      <c r="C13026" s="949" t="s">
        <v>1194</v>
      </c>
      <c r="D13026" s="946">
        <v>23.09</v>
      </c>
      <c r="E13026" s="947" t="str">
        <f>+VLOOKUP(C13026,'Basic (equilibrio) (2)'!B:D,2,FALSE)</f>
        <v>lb</v>
      </c>
      <c r="F13026" s="1068">
        <f>'Basic (equilibrio) (2)'!$D$192</f>
        <v>78.2</v>
      </c>
      <c r="G13026" s="946">
        <f t="shared" si="89"/>
        <v>11.93</v>
      </c>
      <c r="H13026" s="1031"/>
      <c r="I13026" s="948">
        <f t="shared" si="90"/>
        <v>1805.64</v>
      </c>
    </row>
    <row r="13027" spans="3:9" ht="15.75">
      <c r="C13027" s="949" t="s">
        <v>1299</v>
      </c>
      <c r="D13027" s="946">
        <v>6.93</v>
      </c>
      <c r="E13027" s="947" t="str">
        <f>+VLOOKUP(C13027,'Basic (equilibrio) (2)'!B:D,2,FALSE)</f>
        <v>lb</v>
      </c>
      <c r="F13027" s="1068">
        <f>'Basic (equilibrio) (2)'!$D$335</f>
        <v>78.2</v>
      </c>
      <c r="G13027" s="946">
        <f t="shared" si="89"/>
        <v>11.93</v>
      </c>
      <c r="H13027" s="1031"/>
      <c r="I13027" s="948">
        <f t="shared" si="90"/>
        <v>541.92999999999995</v>
      </c>
    </row>
    <row r="13028" spans="3:9" ht="15.75">
      <c r="C13028" s="951" t="s">
        <v>918</v>
      </c>
      <c r="D13028" s="946"/>
      <c r="E13028" s="947"/>
      <c r="F13028" s="1068"/>
      <c r="G13028" s="946"/>
      <c r="H13028" s="1031"/>
      <c r="I13028" s="952">
        <f>SUM(I13022:I13027)</f>
        <v>42274.87</v>
      </c>
    </row>
    <row r="13029" spans="3:9" ht="15.75">
      <c r="C13029" s="949"/>
      <c r="D13029" s="946"/>
      <c r="E13029" s="947"/>
      <c r="F13029" s="1068"/>
      <c r="G13029" s="946"/>
      <c r="H13029" s="1031"/>
      <c r="I13029" s="948"/>
    </row>
    <row r="13030" spans="3:9" ht="15.75">
      <c r="C13030" s="945" t="s">
        <v>919</v>
      </c>
      <c r="D13030" s="946"/>
      <c r="E13030" s="947"/>
      <c r="F13030" s="1068"/>
      <c r="G13030" s="946"/>
      <c r="H13030" s="1031"/>
      <c r="I13030" s="948"/>
    </row>
    <row r="13031" spans="3:9" ht="15.75">
      <c r="C13031" s="949" t="s">
        <v>1131</v>
      </c>
      <c r="D13031" s="953">
        <v>2.2999999999999998</v>
      </c>
      <c r="E13031" s="954" t="str">
        <f>+VLOOKUP(C13031,'Basic (equilibrio) (2)'!B:D,2,FALSE)</f>
        <v>ml</v>
      </c>
      <c r="F13031" s="1068">
        <f>'Basic (equilibrio) (2)'!$D$48</f>
        <v>400</v>
      </c>
      <c r="G13031" s="946">
        <v>0</v>
      </c>
      <c r="H13031" s="1031"/>
      <c r="I13031" s="948">
        <f>(D13031*F13031)</f>
        <v>920</v>
      </c>
    </row>
    <row r="13032" spans="3:9" ht="31.5">
      <c r="C13032" s="949" t="s">
        <v>1132</v>
      </c>
      <c r="D13032" s="946">
        <v>2.2999999999999998</v>
      </c>
      <c r="E13032" s="947" t="str">
        <f>+VLOOKUP(C13032,'Basic (equilibrio) (2)'!B:D,2,FALSE)</f>
        <v>ml</v>
      </c>
      <c r="F13032" s="1068">
        <f>'Basic (equilibrio) (2)'!$D$49</f>
        <v>211</v>
      </c>
      <c r="G13032" s="946">
        <f>F13032-(F13032/1.18)</f>
        <v>32.19</v>
      </c>
      <c r="H13032" s="1031"/>
      <c r="I13032" s="948">
        <f>D13032*F13032</f>
        <v>485.3</v>
      </c>
    </row>
    <row r="13033" spans="3:9" ht="15.75">
      <c r="C13033" s="949" t="s">
        <v>1117</v>
      </c>
      <c r="D13033" s="946">
        <v>9.52</v>
      </c>
      <c r="E13033" s="947" t="str">
        <f>+VLOOKUP(C13033,'Basic (equilibrio) (2)'!B:D,2,FALSE)</f>
        <v>m2</v>
      </c>
      <c r="F13033" s="1068">
        <f>'Basic (equilibrio) (2)'!$D$41</f>
        <v>25</v>
      </c>
      <c r="G13033" s="946">
        <f>F13033-(F13033/1.18)</f>
        <v>3.81</v>
      </c>
      <c r="H13033" s="1031"/>
      <c r="I13033" s="948">
        <f>D13033*F13033</f>
        <v>238</v>
      </c>
    </row>
    <row r="13034" spans="3:9" ht="15.75">
      <c r="C13034" s="949" t="s">
        <v>1118</v>
      </c>
      <c r="D13034" s="946">
        <v>2.2999999999999998</v>
      </c>
      <c r="E13034" s="947" t="str">
        <f>+VLOOKUP(C13034,'Basic (equilibrio) (2)'!B:D,2,FALSE)</f>
        <v>m</v>
      </c>
      <c r="F13034" s="1068">
        <f>'Basic (equilibrio) (2)'!$D$42</f>
        <v>95</v>
      </c>
      <c r="G13034" s="946">
        <f>F13034-(F13034/1.18)</f>
        <v>14.49</v>
      </c>
      <c r="H13034" s="1031"/>
      <c r="I13034" s="948">
        <f>D13034*F13034</f>
        <v>218.5</v>
      </c>
    </row>
    <row r="13035" spans="3:9" ht="15.75">
      <c r="C13035" s="951" t="s">
        <v>918</v>
      </c>
      <c r="D13035" s="946"/>
      <c r="E13035" s="947"/>
      <c r="F13035" s="1054"/>
      <c r="G13035" s="946"/>
      <c r="H13035" s="1031"/>
      <c r="I13035" s="952">
        <f>SUM(I13031:I13034)</f>
        <v>1861.8</v>
      </c>
    </row>
    <row r="13036" spans="3:9" ht="15.75">
      <c r="C13036" s="949"/>
      <c r="D13036" s="946"/>
      <c r="E13036" s="947"/>
      <c r="F13036" s="1054"/>
      <c r="G13036" s="946"/>
      <c r="H13036" s="1031"/>
      <c r="I13036" s="948"/>
    </row>
    <row r="13037" spans="3:9" ht="15.75">
      <c r="C13037" s="945" t="s">
        <v>923</v>
      </c>
      <c r="D13037" s="946"/>
      <c r="E13037" s="947"/>
      <c r="F13037" s="1054"/>
      <c r="G13037" s="946"/>
      <c r="H13037" s="1031"/>
      <c r="I13037" s="948"/>
    </row>
    <row r="13038" spans="3:9" ht="15.75">
      <c r="C13038" s="949" t="s">
        <v>924</v>
      </c>
      <c r="D13038" s="946"/>
      <c r="E13038" s="947" t="str">
        <f>+VLOOKUP(C13038,'Basic (equilibrio) (2)'!B:D,2,FALSE)</f>
        <v>n/a</v>
      </c>
      <c r="F13038" s="1054">
        <f>+VLOOKUP(C13038,'Basic (equilibrio) (2)'!B:D,3,FALSE)</f>
        <v>0</v>
      </c>
      <c r="G13038" s="946">
        <f>F13038-(F13038/1.18)</f>
        <v>0</v>
      </c>
      <c r="H13038" s="1039"/>
      <c r="I13038" s="955">
        <f>D13038*F13038</f>
        <v>0</v>
      </c>
    </row>
    <row r="13039" spans="3:9" ht="15.75">
      <c r="C13039" s="951" t="s">
        <v>918</v>
      </c>
      <c r="D13039" s="946"/>
      <c r="E13039" s="947"/>
      <c r="F13039" s="1054"/>
      <c r="G13039" s="946"/>
      <c r="H13039" s="1031"/>
      <c r="I13039" s="952">
        <f>SUM(I13038:I13038)</f>
        <v>0</v>
      </c>
    </row>
    <row r="13040" spans="3:9" ht="15.75">
      <c r="C13040" s="949"/>
      <c r="D13040" s="946"/>
      <c r="E13040" s="947"/>
      <c r="F13040" s="1054"/>
      <c r="G13040" s="946"/>
      <c r="H13040" s="1031"/>
      <c r="I13040" s="948"/>
    </row>
    <row r="13041" spans="2:9" ht="15.75">
      <c r="C13041" s="945" t="s">
        <v>925</v>
      </c>
      <c r="D13041" s="946"/>
      <c r="E13041" s="947"/>
      <c r="F13041" s="1054"/>
      <c r="G13041" s="946"/>
      <c r="H13041" s="1031"/>
      <c r="I13041" s="948"/>
    </row>
    <row r="13042" spans="2:9" ht="15.75">
      <c r="C13042" s="949" t="s">
        <v>924</v>
      </c>
      <c r="D13042" s="946"/>
      <c r="E13042" s="947" t="str">
        <f>+VLOOKUP(C13042,'Basic (equilibrio) (2)'!B:D,2,FALSE)</f>
        <v>n/a</v>
      </c>
      <c r="F13042" s="1054">
        <f>+VLOOKUP(C13042,'Basic (equilibrio) (2)'!B:D,3,FALSE)</f>
        <v>0</v>
      </c>
      <c r="G13042" s="946"/>
      <c r="H13042" s="1031"/>
      <c r="I13042" s="948">
        <f>D13042*F13042</f>
        <v>0</v>
      </c>
    </row>
    <row r="13043" spans="2:9" ht="15.75">
      <c r="C13043" s="951" t="s">
        <v>918</v>
      </c>
      <c r="D13043" s="946"/>
      <c r="E13043" s="947"/>
      <c r="F13043" s="1054"/>
      <c r="G13043" s="946"/>
      <c r="H13043" s="1031"/>
      <c r="I13043" s="952">
        <f>SUM(I13042)</f>
        <v>0</v>
      </c>
    </row>
    <row r="13044" spans="2:9" ht="15.75">
      <c r="C13044" s="951"/>
      <c r="D13044" s="946"/>
      <c r="E13044" s="947"/>
      <c r="F13044" s="1054"/>
      <c r="G13044" s="946"/>
      <c r="H13044" s="1031"/>
      <c r="I13044" s="952"/>
    </row>
    <row r="13045" spans="2:9" ht="15.75">
      <c r="C13045" s="956" t="s">
        <v>926</v>
      </c>
      <c r="D13045" s="957"/>
      <c r="E13045" s="958"/>
      <c r="F13045" s="1069"/>
      <c r="G13045" s="957"/>
      <c r="H13045" s="1032"/>
      <c r="I13045" s="959">
        <f>+I13028</f>
        <v>42274.87</v>
      </c>
    </row>
    <row r="13046" spans="2:9" ht="15.75">
      <c r="C13046" s="956" t="s">
        <v>927</v>
      </c>
      <c r="D13046" s="957"/>
      <c r="E13046" s="958"/>
      <c r="F13046" s="1069"/>
      <c r="G13046" s="957"/>
      <c r="H13046" s="1032"/>
      <c r="I13046" s="959">
        <f>+I13035</f>
        <v>1861.8</v>
      </c>
    </row>
    <row r="13047" spans="2:9" ht="15.75">
      <c r="C13047" s="956" t="s">
        <v>928</v>
      </c>
      <c r="D13047" s="957"/>
      <c r="E13047" s="958"/>
      <c r="F13047" s="1069"/>
      <c r="G13047" s="957"/>
      <c r="H13047" s="1032"/>
      <c r="I13047" s="959">
        <f>+I13039</f>
        <v>0</v>
      </c>
    </row>
    <row r="13048" spans="2:9" ht="15.75">
      <c r="C13048" s="956" t="s">
        <v>929</v>
      </c>
      <c r="D13048" s="957"/>
      <c r="E13048" s="958"/>
      <c r="F13048" s="1069"/>
      <c r="G13048" s="957"/>
      <c r="H13048" s="1032"/>
      <c r="I13048" s="959">
        <f>+I13043</f>
        <v>0</v>
      </c>
    </row>
    <row r="13049" spans="2:9" ht="15.75">
      <c r="C13049" s="949"/>
      <c r="D13049" s="946"/>
      <c r="E13049" s="947"/>
      <c r="F13049" s="1054"/>
      <c r="G13049" s="946"/>
      <c r="H13049" s="1031"/>
      <c r="I13049" s="948"/>
    </row>
    <row r="13050" spans="2:9" ht="15.75">
      <c r="C13050" s="949"/>
      <c r="D13050" s="946"/>
      <c r="E13050" s="947"/>
      <c r="F13050" s="1054"/>
      <c r="G13050" s="946"/>
      <c r="H13050" s="1031"/>
      <c r="I13050" s="948"/>
    </row>
    <row r="13051" spans="2:9" ht="15.75">
      <c r="C13051" s="951" t="s">
        <v>930</v>
      </c>
      <c r="D13051" s="960"/>
      <c r="E13051" s="943" t="str">
        <f>+E13019</f>
        <v>M3</v>
      </c>
      <c r="F13051" s="1070"/>
      <c r="G13051" s="960"/>
      <c r="H13051" s="1033"/>
      <c r="I13051" s="952">
        <f>SUM(I13045:I13048)</f>
        <v>44136.67</v>
      </c>
    </row>
    <row r="13052" spans="2:9" ht="15.75">
      <c r="C13052" s="951"/>
      <c r="D13052" s="960"/>
      <c r="E13052" s="943"/>
      <c r="F13052" s="1070"/>
      <c r="G13052" s="960"/>
      <c r="H13052" s="1033"/>
      <c r="I13052" s="952"/>
    </row>
    <row r="13053" spans="2:9" ht="15.75">
      <c r="B13053" s="1026">
        <v>3.4</v>
      </c>
      <c r="C13053" s="937" t="str">
        <f>+Presupuesto!B747</f>
        <v>Dintel Di (0.15m x 0.30m) - 4.31 qq/m³</v>
      </c>
      <c r="D13053" s="938"/>
      <c r="E13053" s="962" t="s">
        <v>22</v>
      </c>
      <c r="F13053" s="1066"/>
      <c r="G13053" s="938"/>
      <c r="H13053" s="1029"/>
      <c r="I13053" s="940">
        <f>I13080</f>
        <v>32583.72</v>
      </c>
    </row>
    <row r="13054" spans="2:9" ht="15.75">
      <c r="C13054" s="941" t="s">
        <v>908</v>
      </c>
      <c r="D13054" s="942" t="s">
        <v>9</v>
      </c>
      <c r="E13054" s="943" t="s">
        <v>10</v>
      </c>
      <c r="F13054" s="1067" t="s">
        <v>909</v>
      </c>
      <c r="G13054" s="942" t="s">
        <v>910</v>
      </c>
      <c r="H13054" s="1030" t="s">
        <v>911</v>
      </c>
      <c r="I13054" s="944" t="s">
        <v>912</v>
      </c>
    </row>
    <row r="13055" spans="2:9" ht="15.75">
      <c r="C13055" s="945" t="s">
        <v>913</v>
      </c>
      <c r="D13055" s="946"/>
      <c r="E13055" s="947"/>
      <c r="F13055" s="1054"/>
      <c r="G13055" s="946"/>
      <c r="H13055" s="1031"/>
      <c r="I13055" s="948"/>
    </row>
    <row r="13056" spans="2:9" ht="15.75">
      <c r="C13056" s="949" t="s">
        <v>994</v>
      </c>
      <c r="D13056" s="946">
        <v>1.05</v>
      </c>
      <c r="E13056" s="947" t="str">
        <f>+VLOOKUP(C13056,'Basic (equilibrio) (2)'!B:D,2,FALSE)</f>
        <v>m3</v>
      </c>
      <c r="F13056" s="1068">
        <f>'Basic (equilibrio) (2)'!$D$179</f>
        <v>7600</v>
      </c>
      <c r="G13056" s="946">
        <f>F13056-(F13056/1.18)</f>
        <v>1159.32</v>
      </c>
      <c r="H13056" s="1031"/>
      <c r="I13056" s="948">
        <f>D13056*F13056</f>
        <v>7980</v>
      </c>
    </row>
    <row r="13057" spans="3:9" ht="15.75">
      <c r="C13057" s="949" t="s">
        <v>1188</v>
      </c>
      <c r="D13057" s="946">
        <v>4.3099999999999996</v>
      </c>
      <c r="E13057" s="947" t="str">
        <f>+VLOOKUP(C13057,'Basic (equilibrio) (2)'!B:D,2,FALSE)</f>
        <v>qq</v>
      </c>
      <c r="F13057" s="1068">
        <f>'Basic (equilibrio) (2)'!$D$183</f>
        <v>3600</v>
      </c>
      <c r="G13057" s="946">
        <f>F13057-(F13057/1.18)</f>
        <v>549.15</v>
      </c>
      <c r="H13057" s="1031"/>
      <c r="I13057" s="948">
        <f>D13057*F13057</f>
        <v>15516</v>
      </c>
    </row>
    <row r="13058" spans="3:9" ht="15.75">
      <c r="C13058" s="949" t="s">
        <v>1328</v>
      </c>
      <c r="D13058" s="946">
        <f>+D13057*2</f>
        <v>8.6199999999999992</v>
      </c>
      <c r="E13058" s="947" t="str">
        <f>+VLOOKUP(C13058,'Basic (equilibrio) (2)'!B:D,2,FALSE)</f>
        <v>lb</v>
      </c>
      <c r="F13058" s="1068">
        <f>'Basic (equilibrio) (2)'!$D$334</f>
        <v>31.1</v>
      </c>
      <c r="G13058" s="946">
        <f>F13058-(F13058/1.18)</f>
        <v>4.74</v>
      </c>
      <c r="H13058" s="1031"/>
      <c r="I13058" s="948">
        <f>D13058*F13058</f>
        <v>268.08</v>
      </c>
    </row>
    <row r="13059" spans="3:9" ht="15.75">
      <c r="C13059" s="949" t="s">
        <v>1072</v>
      </c>
      <c r="D13059" s="946">
        <v>25</v>
      </c>
      <c r="E13059" s="947" t="str">
        <f>+VLOOKUP(C13059,'Basic (equilibrio) (2)'!B:D,2,FALSE)</f>
        <v>ml</v>
      </c>
      <c r="F13059" s="1068">
        <f>'Basic (equilibrio) (2)'!$D$22</f>
        <v>351</v>
      </c>
      <c r="G13059" s="946">
        <f>F13059-(F13059/1.18)</f>
        <v>53.54</v>
      </c>
      <c r="H13059" s="1031"/>
      <c r="I13059" s="948">
        <f>D13059*F13059</f>
        <v>8775</v>
      </c>
    </row>
    <row r="13060" spans="3:9" ht="15.75">
      <c r="C13060" s="951" t="s">
        <v>918</v>
      </c>
      <c r="D13060" s="946"/>
      <c r="E13060" s="947"/>
      <c r="F13060" s="1068"/>
      <c r="G13060" s="946"/>
      <c r="H13060" s="1031"/>
      <c r="I13060" s="952">
        <f>SUM(I13056:I13059)</f>
        <v>32539.08</v>
      </c>
    </row>
    <row r="13061" spans="3:9" ht="15.75">
      <c r="C13061" s="949"/>
      <c r="D13061" s="946"/>
      <c r="E13061" s="947"/>
      <c r="F13061" s="1068"/>
      <c r="G13061" s="946"/>
      <c r="H13061" s="1031"/>
      <c r="I13061" s="948"/>
    </row>
    <row r="13062" spans="3:9" ht="15.75">
      <c r="C13062" s="945" t="s">
        <v>919</v>
      </c>
      <c r="D13062" s="946"/>
      <c r="E13062" s="947"/>
      <c r="F13062" s="1068"/>
      <c r="G13062" s="946"/>
      <c r="H13062" s="1031"/>
      <c r="I13062" s="948"/>
    </row>
    <row r="13063" spans="3:9" ht="15.75">
      <c r="C13063" s="949" t="s">
        <v>1073</v>
      </c>
      <c r="D13063" s="953">
        <v>25</v>
      </c>
      <c r="E13063" s="954" t="str">
        <f>+VLOOKUP(C13063,'Basic (equilibrio) (2)'!B:D,2,FALSE)</f>
        <v>ml</v>
      </c>
      <c r="F13063" s="1068">
        <f>'Basic (equilibrio) (2)'!$D$25</f>
        <v>125</v>
      </c>
      <c r="G13063" s="946">
        <v>0</v>
      </c>
      <c r="H13063" s="1031">
        <v>70</v>
      </c>
      <c r="I13063" s="948">
        <f>(D13063*F13063)/H13063</f>
        <v>44.64</v>
      </c>
    </row>
    <row r="13064" spans="3:9" ht="15.75">
      <c r="C13064" s="951" t="s">
        <v>918</v>
      </c>
      <c r="D13064" s="946"/>
      <c r="E13064" s="947"/>
      <c r="F13064" s="1054"/>
      <c r="G13064" s="946"/>
      <c r="H13064" s="1031"/>
      <c r="I13064" s="952">
        <f>SUM(I13063:I13063)</f>
        <v>44.64</v>
      </c>
    </row>
    <row r="13065" spans="3:9" ht="15.75">
      <c r="C13065" s="949"/>
      <c r="D13065" s="946"/>
      <c r="E13065" s="947"/>
      <c r="F13065" s="1054"/>
      <c r="G13065" s="946"/>
      <c r="H13065" s="1031"/>
      <c r="I13065" s="948"/>
    </row>
    <row r="13066" spans="3:9" ht="15.75">
      <c r="C13066" s="945" t="s">
        <v>923</v>
      </c>
      <c r="D13066" s="946"/>
      <c r="E13066" s="947"/>
      <c r="F13066" s="1054"/>
      <c r="G13066" s="946"/>
      <c r="H13066" s="1031"/>
      <c r="I13066" s="948"/>
    </row>
    <row r="13067" spans="3:9" ht="15.75">
      <c r="C13067" s="949" t="s">
        <v>924</v>
      </c>
      <c r="D13067" s="946"/>
      <c r="E13067" s="947" t="str">
        <f>+VLOOKUP(C13067,'Basic (equilibrio) (2)'!B:D,2,FALSE)</f>
        <v>n/a</v>
      </c>
      <c r="F13067" s="1054">
        <f>+VLOOKUP(C13067,'Basic (equilibrio) (2)'!B:D,3,FALSE)</f>
        <v>0</v>
      </c>
      <c r="G13067" s="946">
        <f>F13067-(F13067/1.18)</f>
        <v>0</v>
      </c>
      <c r="H13067" s="1039"/>
      <c r="I13067" s="955">
        <f>D13067*F13067</f>
        <v>0</v>
      </c>
    </row>
    <row r="13068" spans="3:9" ht="15.75">
      <c r="C13068" s="951" t="s">
        <v>918</v>
      </c>
      <c r="D13068" s="946"/>
      <c r="E13068" s="947"/>
      <c r="F13068" s="1054"/>
      <c r="G13068" s="946"/>
      <c r="H13068" s="1031"/>
      <c r="I13068" s="952">
        <f>SUM(I13067:I13067)</f>
        <v>0</v>
      </c>
    </row>
    <row r="13069" spans="3:9" ht="15.75">
      <c r="C13069" s="949"/>
      <c r="D13069" s="946"/>
      <c r="E13069" s="947"/>
      <c r="F13069" s="1054"/>
      <c r="G13069" s="946"/>
      <c r="H13069" s="1031"/>
      <c r="I13069" s="948"/>
    </row>
    <row r="13070" spans="3:9" ht="15.75">
      <c r="C13070" s="945" t="s">
        <v>925</v>
      </c>
      <c r="D13070" s="946"/>
      <c r="E13070" s="947"/>
      <c r="F13070" s="1054"/>
      <c r="G13070" s="946"/>
      <c r="H13070" s="1031"/>
      <c r="I13070" s="948"/>
    </row>
    <row r="13071" spans="3:9" ht="15.75">
      <c r="C13071" s="949" t="s">
        <v>924</v>
      </c>
      <c r="D13071" s="946"/>
      <c r="E13071" s="947" t="str">
        <f>+VLOOKUP(C13071,'Basic (equilibrio) (2)'!B:D,2,FALSE)</f>
        <v>n/a</v>
      </c>
      <c r="F13071" s="1054">
        <f>+VLOOKUP(C13071,'Basic (equilibrio) (2)'!B:D,3,FALSE)</f>
        <v>0</v>
      </c>
      <c r="G13071" s="946"/>
      <c r="H13071" s="1031"/>
      <c r="I13071" s="948">
        <f>D13071*F13071</f>
        <v>0</v>
      </c>
    </row>
    <row r="13072" spans="3:9" ht="15.75">
      <c r="C13072" s="951" t="s">
        <v>918</v>
      </c>
      <c r="D13072" s="946"/>
      <c r="E13072" s="947"/>
      <c r="F13072" s="1054"/>
      <c r="G13072" s="946"/>
      <c r="H13072" s="1031"/>
      <c r="I13072" s="952">
        <f>SUM(I13071)</f>
        <v>0</v>
      </c>
    </row>
    <row r="13073" spans="2:9" ht="15.75">
      <c r="C13073" s="951"/>
      <c r="D13073" s="946"/>
      <c r="E13073" s="947"/>
      <c r="F13073" s="1054"/>
      <c r="G13073" s="946"/>
      <c r="H13073" s="1031"/>
      <c r="I13073" s="952"/>
    </row>
    <row r="13074" spans="2:9" ht="15.75">
      <c r="C13074" s="956" t="s">
        <v>926</v>
      </c>
      <c r="D13074" s="957"/>
      <c r="E13074" s="958"/>
      <c r="F13074" s="1069"/>
      <c r="G13074" s="957"/>
      <c r="H13074" s="1032"/>
      <c r="I13074" s="959">
        <f>+I13060</f>
        <v>32539.08</v>
      </c>
    </row>
    <row r="13075" spans="2:9" ht="15.75">
      <c r="C13075" s="956" t="s">
        <v>927</v>
      </c>
      <c r="D13075" s="957"/>
      <c r="E13075" s="958"/>
      <c r="F13075" s="1069"/>
      <c r="G13075" s="957"/>
      <c r="H13075" s="1032"/>
      <c r="I13075" s="959">
        <f>+I13064</f>
        <v>44.64</v>
      </c>
    </row>
    <row r="13076" spans="2:9" ht="15.75">
      <c r="C13076" s="956" t="s">
        <v>928</v>
      </c>
      <c r="D13076" s="957"/>
      <c r="E13076" s="958"/>
      <c r="F13076" s="1069"/>
      <c r="G13076" s="957"/>
      <c r="H13076" s="1032"/>
      <c r="I13076" s="959">
        <f>+I13068</f>
        <v>0</v>
      </c>
    </row>
    <row r="13077" spans="2:9" ht="15.75">
      <c r="C13077" s="956" t="s">
        <v>929</v>
      </c>
      <c r="D13077" s="957"/>
      <c r="E13077" s="958"/>
      <c r="F13077" s="1069"/>
      <c r="G13077" s="957"/>
      <c r="H13077" s="1032"/>
      <c r="I13077" s="959">
        <f>+I13072</f>
        <v>0</v>
      </c>
    </row>
    <row r="13078" spans="2:9" ht="15.75">
      <c r="C13078" s="949"/>
      <c r="D13078" s="946"/>
      <c r="E13078" s="947"/>
      <c r="F13078" s="1054"/>
      <c r="G13078" s="946"/>
      <c r="H13078" s="1031"/>
      <c r="I13078" s="948"/>
    </row>
    <row r="13079" spans="2:9" ht="15.75">
      <c r="C13079" s="949"/>
      <c r="D13079" s="946"/>
      <c r="E13079" s="947"/>
      <c r="F13079" s="1054"/>
      <c r="G13079" s="946"/>
      <c r="H13079" s="1031"/>
      <c r="I13079" s="948"/>
    </row>
    <row r="13080" spans="2:9" ht="15.75">
      <c r="C13080" s="951" t="s">
        <v>930</v>
      </c>
      <c r="D13080" s="960"/>
      <c r="E13080" s="943" t="str">
        <f>+E13053</f>
        <v>M3</v>
      </c>
      <c r="F13080" s="1070"/>
      <c r="G13080" s="960"/>
      <c r="H13080" s="1033"/>
      <c r="I13080" s="952">
        <f>SUM(I13074:I13077)</f>
        <v>32583.72</v>
      </c>
    </row>
    <row r="13081" spans="2:9" ht="15.75">
      <c r="C13081" s="951"/>
      <c r="D13081" s="960"/>
      <c r="E13081" s="943"/>
      <c r="F13081" s="1070"/>
      <c r="G13081" s="960"/>
      <c r="H13081" s="1033"/>
      <c r="I13081" s="952"/>
    </row>
    <row r="13082" spans="2:9" ht="15.75">
      <c r="B13082" s="1063">
        <v>3.6</v>
      </c>
      <c r="C13082" s="937" t="str">
        <f>+Presupuesto!B749</f>
        <v>Losa de techo e=0.12m - 1.80 qq/m³</v>
      </c>
      <c r="D13082" s="938"/>
      <c r="E13082" s="962" t="s">
        <v>22</v>
      </c>
      <c r="F13082" s="1066"/>
      <c r="G13082" s="938"/>
      <c r="H13082" s="1029"/>
      <c r="I13082" s="940">
        <f>I13109</f>
        <v>18195.259999999998</v>
      </c>
    </row>
    <row r="13083" spans="2:9" ht="15.75">
      <c r="C13083" s="941" t="s">
        <v>908</v>
      </c>
      <c r="D13083" s="942" t="s">
        <v>9</v>
      </c>
      <c r="E13083" s="943" t="s">
        <v>10</v>
      </c>
      <c r="F13083" s="1067" t="s">
        <v>909</v>
      </c>
      <c r="G13083" s="942" t="s">
        <v>910</v>
      </c>
      <c r="H13083" s="1030" t="s">
        <v>911</v>
      </c>
      <c r="I13083" s="944" t="s">
        <v>912</v>
      </c>
    </row>
    <row r="13084" spans="2:9" ht="15.75">
      <c r="C13084" s="945" t="s">
        <v>913</v>
      </c>
      <c r="D13084" s="946"/>
      <c r="E13084" s="947"/>
      <c r="F13084" s="1054"/>
      <c r="G13084" s="946"/>
      <c r="H13084" s="1031"/>
      <c r="I13084" s="948"/>
    </row>
    <row r="13085" spans="2:9" ht="15.75">
      <c r="C13085" s="949" t="s">
        <v>994</v>
      </c>
      <c r="D13085" s="946">
        <v>1.02</v>
      </c>
      <c r="E13085" s="947" t="str">
        <f>+VLOOKUP(C13085,'Basic (equilibrio) (2)'!B:D,2,FALSE)</f>
        <v>m3</v>
      </c>
      <c r="F13085" s="1068">
        <f>'Basic (equilibrio) (2)'!$D$179</f>
        <v>7600</v>
      </c>
      <c r="G13085" s="946">
        <f>F13085-(F13085/1.18)</f>
        <v>1159.32</v>
      </c>
      <c r="H13085" s="1031"/>
      <c r="I13085" s="948">
        <f>D13085*F13085</f>
        <v>7752</v>
      </c>
    </row>
    <row r="13086" spans="2:9" ht="15.75">
      <c r="C13086" s="949" t="s">
        <v>1188</v>
      </c>
      <c r="D13086" s="946">
        <v>1.8</v>
      </c>
      <c r="E13086" s="947" t="str">
        <f>+VLOOKUP(C13086,'Basic (equilibrio) (2)'!B:D,2,FALSE)</f>
        <v>qq</v>
      </c>
      <c r="F13086" s="1068">
        <f>'Basic (equilibrio) (2)'!$D$183</f>
        <v>3600</v>
      </c>
      <c r="G13086" s="946">
        <f>F13086-(F13086/1.18)</f>
        <v>549.15</v>
      </c>
      <c r="H13086" s="1031"/>
      <c r="I13086" s="948">
        <f>D13086*F13086</f>
        <v>6480</v>
      </c>
    </row>
    <row r="13087" spans="2:9" ht="15.75">
      <c r="C13087" s="949" t="s">
        <v>1328</v>
      </c>
      <c r="D13087" s="946">
        <v>3.82</v>
      </c>
      <c r="E13087" s="947" t="str">
        <f>+VLOOKUP(C13087,'Basic (equilibrio) (2)'!B:D,2,FALSE)</f>
        <v>lb</v>
      </c>
      <c r="F13087" s="1068">
        <f>'Basic (equilibrio) (2)'!$D$334</f>
        <v>31.1</v>
      </c>
      <c r="G13087" s="946">
        <f>F13087-(F13087/1.18)</f>
        <v>4.74</v>
      </c>
      <c r="H13087" s="1031"/>
      <c r="I13087" s="948">
        <f>D13087*F13087</f>
        <v>118.8</v>
      </c>
    </row>
    <row r="13088" spans="2:9" ht="15.75">
      <c r="C13088" s="949" t="s">
        <v>1160</v>
      </c>
      <c r="D13088" s="946">
        <v>1</v>
      </c>
      <c r="E13088" s="947" t="str">
        <f>+VLOOKUP(C13088,'Basic (equilibrio) (2)'!B:D,2,FALSE)</f>
        <v>m3</v>
      </c>
      <c r="F13088" s="1068">
        <f>'Basic (equilibrio) (2)'!$D$51</f>
        <v>3833</v>
      </c>
      <c r="G13088" s="946">
        <f>F13088-(F13088/1.18)</f>
        <v>584.69000000000005</v>
      </c>
      <c r="H13088" s="1031"/>
      <c r="I13088" s="948">
        <f>D13088*F13088</f>
        <v>3833</v>
      </c>
    </row>
    <row r="13089" spans="3:9" ht="15.75">
      <c r="C13089" s="951" t="s">
        <v>918</v>
      </c>
      <c r="D13089" s="946"/>
      <c r="E13089" s="947"/>
      <c r="F13089" s="1068"/>
      <c r="G13089" s="946"/>
      <c r="H13089" s="1031"/>
      <c r="I13089" s="952">
        <f>SUM(I13085:I13088)</f>
        <v>18183.8</v>
      </c>
    </row>
    <row r="13090" spans="3:9" ht="15.75">
      <c r="C13090" s="949"/>
      <c r="D13090" s="946"/>
      <c r="E13090" s="947"/>
      <c r="F13090" s="1068"/>
      <c r="G13090" s="946"/>
      <c r="H13090" s="1031"/>
      <c r="I13090" s="948"/>
    </row>
    <row r="13091" spans="3:9" ht="15.75">
      <c r="C13091" s="945" t="s">
        <v>919</v>
      </c>
      <c r="D13091" s="946"/>
      <c r="E13091" s="947"/>
      <c r="F13091" s="1068"/>
      <c r="G13091" s="946"/>
      <c r="H13091" s="1031"/>
      <c r="I13091" s="948"/>
    </row>
    <row r="13092" spans="3:9" ht="15.75">
      <c r="C13092" s="949" t="s">
        <v>1121</v>
      </c>
      <c r="D13092" s="953">
        <v>1.91</v>
      </c>
      <c r="E13092" s="954" t="str">
        <f>+VLOOKUP(C13092,'Basic (equilibrio) (2)'!B:D,2,FALSE)</f>
        <v>qq</v>
      </c>
      <c r="F13092" s="1068">
        <f>'Basic (equilibrio) (2)'!$D$45</f>
        <v>420</v>
      </c>
      <c r="G13092" s="946">
        <v>0</v>
      </c>
      <c r="H13092" s="1031">
        <v>70</v>
      </c>
      <c r="I13092" s="948">
        <f>(D13092*F13092)/H13092</f>
        <v>11.46</v>
      </c>
    </row>
    <row r="13093" spans="3:9" ht="15.75">
      <c r="C13093" s="951" t="s">
        <v>918</v>
      </c>
      <c r="D13093" s="946"/>
      <c r="E13093" s="947"/>
      <c r="F13093" s="1054"/>
      <c r="G13093" s="946"/>
      <c r="H13093" s="1031"/>
      <c r="I13093" s="952">
        <f>SUM(I13092:I13092)</f>
        <v>11.46</v>
      </c>
    </row>
    <row r="13094" spans="3:9" ht="15.75">
      <c r="C13094" s="949"/>
      <c r="D13094" s="946"/>
      <c r="E13094" s="947"/>
      <c r="F13094" s="1054"/>
      <c r="G13094" s="946"/>
      <c r="H13094" s="1031"/>
      <c r="I13094" s="948"/>
    </row>
    <row r="13095" spans="3:9" ht="15.75">
      <c r="C13095" s="945" t="s">
        <v>923</v>
      </c>
      <c r="D13095" s="946"/>
      <c r="E13095" s="947"/>
      <c r="F13095" s="1054"/>
      <c r="G13095" s="946"/>
      <c r="H13095" s="1031"/>
      <c r="I13095" s="948"/>
    </row>
    <row r="13096" spans="3:9" ht="15.75">
      <c r="C13096" s="949" t="s">
        <v>924</v>
      </c>
      <c r="D13096" s="946"/>
      <c r="E13096" s="947" t="str">
        <f>+VLOOKUP(C13096,'Basic (equilibrio) (2)'!B:D,2,FALSE)</f>
        <v>n/a</v>
      </c>
      <c r="F13096" s="1054">
        <f>+VLOOKUP(C13096,'Basic (equilibrio) (2)'!B:D,3,FALSE)</f>
        <v>0</v>
      </c>
      <c r="G13096" s="946">
        <f>F13096-(F13096/1.18)</f>
        <v>0</v>
      </c>
      <c r="H13096" s="1039"/>
      <c r="I13096" s="955">
        <f>D13096*F13096</f>
        <v>0</v>
      </c>
    </row>
    <row r="13097" spans="3:9" ht="15.75">
      <c r="C13097" s="951" t="s">
        <v>918</v>
      </c>
      <c r="D13097" s="946"/>
      <c r="E13097" s="947"/>
      <c r="F13097" s="1054"/>
      <c r="G13097" s="946"/>
      <c r="H13097" s="1031"/>
      <c r="I13097" s="952">
        <f>SUM(I13096:I13096)</f>
        <v>0</v>
      </c>
    </row>
    <row r="13098" spans="3:9" ht="15.75">
      <c r="C13098" s="949"/>
      <c r="D13098" s="946"/>
      <c r="E13098" s="947"/>
      <c r="F13098" s="1054"/>
      <c r="G13098" s="946"/>
      <c r="H13098" s="1031"/>
      <c r="I13098" s="948"/>
    </row>
    <row r="13099" spans="3:9" ht="15.75">
      <c r="C13099" s="945" t="s">
        <v>925</v>
      </c>
      <c r="D13099" s="946"/>
      <c r="E13099" s="947"/>
      <c r="F13099" s="1054"/>
      <c r="G13099" s="946"/>
      <c r="H13099" s="1031"/>
      <c r="I13099" s="948"/>
    </row>
    <row r="13100" spans="3:9" ht="15.75">
      <c r="C13100" s="949" t="s">
        <v>924</v>
      </c>
      <c r="D13100" s="946"/>
      <c r="E13100" s="947" t="str">
        <f>+VLOOKUP(C13100,'Basic (equilibrio) (2)'!B:D,2,FALSE)</f>
        <v>n/a</v>
      </c>
      <c r="F13100" s="1054">
        <f>+VLOOKUP(C13100,'Basic (equilibrio) (2)'!B:D,3,FALSE)</f>
        <v>0</v>
      </c>
      <c r="G13100" s="946"/>
      <c r="H13100" s="1031"/>
      <c r="I13100" s="948">
        <f>D13100*F13100</f>
        <v>0</v>
      </c>
    </row>
    <row r="13101" spans="3:9" ht="15.75">
      <c r="C13101" s="951" t="s">
        <v>918</v>
      </c>
      <c r="D13101" s="946"/>
      <c r="E13101" s="947"/>
      <c r="F13101" s="1054"/>
      <c r="G13101" s="946"/>
      <c r="H13101" s="1031"/>
      <c r="I13101" s="952">
        <f>SUM(I13100)</f>
        <v>0</v>
      </c>
    </row>
    <row r="13102" spans="3:9" ht="15.75">
      <c r="C13102" s="951"/>
      <c r="D13102" s="946"/>
      <c r="E13102" s="947"/>
      <c r="F13102" s="1054"/>
      <c r="G13102" s="946"/>
      <c r="H13102" s="1031"/>
      <c r="I13102" s="952"/>
    </row>
    <row r="13103" spans="3:9" ht="15.75">
      <c r="C13103" s="956" t="s">
        <v>926</v>
      </c>
      <c r="D13103" s="957"/>
      <c r="E13103" s="958"/>
      <c r="F13103" s="1069"/>
      <c r="G13103" s="957"/>
      <c r="H13103" s="1032"/>
      <c r="I13103" s="959">
        <f>+I13089</f>
        <v>18183.8</v>
      </c>
    </row>
    <row r="13104" spans="3:9" ht="15.75">
      <c r="C13104" s="956" t="s">
        <v>927</v>
      </c>
      <c r="D13104" s="957"/>
      <c r="E13104" s="958"/>
      <c r="F13104" s="1069"/>
      <c r="G13104" s="957"/>
      <c r="H13104" s="1032"/>
      <c r="I13104" s="959">
        <f>+I13093</f>
        <v>11.46</v>
      </c>
    </row>
    <row r="13105" spans="2:9" ht="15.75">
      <c r="C13105" s="956" t="s">
        <v>928</v>
      </c>
      <c r="D13105" s="957"/>
      <c r="E13105" s="958"/>
      <c r="F13105" s="1069"/>
      <c r="G13105" s="957"/>
      <c r="H13105" s="1032"/>
      <c r="I13105" s="959">
        <f>+I13097</f>
        <v>0</v>
      </c>
    </row>
    <row r="13106" spans="2:9" ht="15.75">
      <c r="C13106" s="956" t="s">
        <v>929</v>
      </c>
      <c r="D13106" s="957"/>
      <c r="E13106" s="958"/>
      <c r="F13106" s="1069"/>
      <c r="G13106" s="957"/>
      <c r="H13106" s="1032"/>
      <c r="I13106" s="959">
        <f>+I13101</f>
        <v>0</v>
      </c>
    </row>
    <row r="13107" spans="2:9" ht="15.75">
      <c r="C13107" s="949"/>
      <c r="D13107" s="946"/>
      <c r="E13107" s="947"/>
      <c r="F13107" s="1054"/>
      <c r="G13107" s="946"/>
      <c r="H13107" s="1031"/>
      <c r="I13107" s="948"/>
    </row>
    <row r="13108" spans="2:9" ht="15.75">
      <c r="C13108" s="949"/>
      <c r="D13108" s="946"/>
      <c r="E13108" s="947"/>
      <c r="F13108" s="1054"/>
      <c r="G13108" s="946"/>
      <c r="H13108" s="1031"/>
      <c r="I13108" s="948"/>
    </row>
    <row r="13109" spans="2:9" ht="15.75">
      <c r="C13109" s="951" t="s">
        <v>930</v>
      </c>
      <c r="D13109" s="960"/>
      <c r="E13109" s="943" t="str">
        <f>+E13082</f>
        <v>M3</v>
      </c>
      <c r="F13109" s="1070"/>
      <c r="G13109" s="960"/>
      <c r="H13109" s="1033"/>
      <c r="I13109" s="952">
        <f>SUM(I13103:I13106)</f>
        <v>18195.259999999998</v>
      </c>
    </row>
    <row r="13110" spans="2:9" ht="15.75">
      <c r="C13110" s="951"/>
      <c r="D13110" s="960"/>
      <c r="E13110" s="943"/>
      <c r="F13110" s="1070"/>
      <c r="G13110" s="960"/>
      <c r="H13110" s="1033"/>
      <c r="I13110" s="952"/>
    </row>
    <row r="13111" spans="2:9" ht="31.5">
      <c r="B13111" s="1026">
        <v>3.5</v>
      </c>
      <c r="C13111" s="937" t="str">
        <f>+Presupuesto!B748</f>
        <v>Losa de piso e=0.10m con malla electrosoldada D2.3x2.3x20x20 (Incluye rampa)</v>
      </c>
      <c r="D13111" s="938"/>
      <c r="E13111" s="962" t="s">
        <v>1000</v>
      </c>
      <c r="F13111" s="1066"/>
      <c r="G13111" s="938"/>
      <c r="H13111" s="1029"/>
      <c r="I13111" s="940">
        <f>+I13139</f>
        <v>1442.13</v>
      </c>
    </row>
    <row r="13112" spans="2:9" ht="15.75">
      <c r="C13112" s="941" t="s">
        <v>908</v>
      </c>
      <c r="D13112" s="942" t="s">
        <v>9</v>
      </c>
      <c r="E13112" s="943" t="s">
        <v>10</v>
      </c>
      <c r="F13112" s="1067" t="s">
        <v>909</v>
      </c>
      <c r="G13112" s="942" t="s">
        <v>910</v>
      </c>
      <c r="H13112" s="1030" t="s">
        <v>911</v>
      </c>
      <c r="I13112" s="944" t="s">
        <v>912</v>
      </c>
    </row>
    <row r="13113" spans="2:9" ht="15.75">
      <c r="C13113" s="945" t="s">
        <v>913</v>
      </c>
      <c r="D13113" s="946"/>
      <c r="E13113" s="947"/>
      <c r="F13113" s="1054"/>
      <c r="G13113" s="946"/>
      <c r="H13113" s="1031"/>
      <c r="I13113" s="948"/>
    </row>
    <row r="13114" spans="2:9" ht="15.75">
      <c r="C13114" s="949" t="s">
        <v>994</v>
      </c>
      <c r="D13114" s="946">
        <v>1.02</v>
      </c>
      <c r="E13114" s="947" t="str">
        <f>+VLOOKUP(C13114,'Basic (equilibrio) (2)'!B:D,2,FALSE)</f>
        <v>m3</v>
      </c>
      <c r="F13114" s="1068">
        <f>'Basic (equilibrio) (2)'!$D$179</f>
        <v>7600</v>
      </c>
      <c r="G13114" s="946">
        <f>F13114-(F13114/1.18)</f>
        <v>1159.32</v>
      </c>
      <c r="H13114" s="1031"/>
      <c r="I13114" s="948">
        <f>D13114*F13114</f>
        <v>7752</v>
      </c>
    </row>
    <row r="13115" spans="2:9" ht="15.75">
      <c r="C13115" s="949" t="s">
        <v>956</v>
      </c>
      <c r="D13115" s="946">
        <v>0.01</v>
      </c>
      <c r="E13115" s="947" t="str">
        <f>+VLOOKUP(C13115,'Basic (equilibrio) (2)'!B:D,2,FALSE)</f>
        <v>rollo</v>
      </c>
      <c r="F13115" s="1068">
        <f>'Basic (equilibrio) (2)'!$D$330</f>
        <v>22294</v>
      </c>
      <c r="G13115" s="946">
        <f>F13115-(F13115/1.18)</f>
        <v>3400.78</v>
      </c>
      <c r="H13115" s="1031"/>
      <c r="I13115" s="948">
        <f>D13115*F13115</f>
        <v>222.94</v>
      </c>
    </row>
    <row r="13116" spans="2:9" ht="15.75">
      <c r="C13116" s="949" t="s">
        <v>1328</v>
      </c>
      <c r="D13116" s="946">
        <v>3.82</v>
      </c>
      <c r="E13116" s="947" t="str">
        <f>+VLOOKUP(C13116,'Basic (equilibrio) (2)'!B:D,2,FALSE)</f>
        <v>lb</v>
      </c>
      <c r="F13116" s="1068">
        <f>'Basic (equilibrio) (2)'!$D$334</f>
        <v>31.1</v>
      </c>
      <c r="G13116" s="946">
        <f>F13116-(F13116/1.18)</f>
        <v>4.74</v>
      </c>
      <c r="H13116" s="1031"/>
      <c r="I13116" s="948">
        <f>D13116*F13116</f>
        <v>118.8</v>
      </c>
    </row>
    <row r="13117" spans="2:9" ht="15.75">
      <c r="C13117" s="949" t="s">
        <v>1160</v>
      </c>
      <c r="D13117" s="946">
        <v>1</v>
      </c>
      <c r="E13117" s="947" t="str">
        <f>+VLOOKUP(C13117,'Basic (equilibrio) (2)'!B:D,2,FALSE)</f>
        <v>m3</v>
      </c>
      <c r="F13117" s="1068">
        <f>'Basic (equilibrio) (2)'!$D$51</f>
        <v>3833</v>
      </c>
      <c r="G13117" s="946">
        <f>F13117-(F13117/1.18)</f>
        <v>584.69000000000005</v>
      </c>
      <c r="H13117" s="1031"/>
      <c r="I13117" s="948">
        <f>D13117*F13117</f>
        <v>3833</v>
      </c>
    </row>
    <row r="13118" spans="2:9" ht="15.75">
      <c r="C13118" s="951" t="s">
        <v>918</v>
      </c>
      <c r="D13118" s="946"/>
      <c r="E13118" s="947"/>
      <c r="F13118" s="1068"/>
      <c r="G13118" s="946"/>
      <c r="H13118" s="1031"/>
      <c r="I13118" s="952">
        <f>SUM(I13114:I13117)</f>
        <v>11926.74</v>
      </c>
    </row>
    <row r="13119" spans="2:9" ht="15.75">
      <c r="C13119" s="949"/>
      <c r="D13119" s="946"/>
      <c r="E13119" s="947"/>
      <c r="F13119" s="1068"/>
      <c r="G13119" s="946"/>
      <c r="H13119" s="1031"/>
      <c r="I13119" s="948"/>
    </row>
    <row r="13120" spans="2:9" ht="15.75">
      <c r="C13120" s="945" t="s">
        <v>919</v>
      </c>
      <c r="D13120" s="946"/>
      <c r="E13120" s="947"/>
      <c r="F13120" s="1068"/>
      <c r="G13120" s="946"/>
      <c r="H13120" s="1031"/>
      <c r="I13120" s="948"/>
    </row>
    <row r="13121" spans="3:9" ht="15.75">
      <c r="C13121" s="949" t="s">
        <v>959</v>
      </c>
      <c r="D13121" s="953">
        <v>1</v>
      </c>
      <c r="E13121" s="954" t="str">
        <f>+VLOOKUP(C13121,'Basic (equilibrio) (2)'!B:D,2,FALSE)</f>
        <v>m2</v>
      </c>
      <c r="F13121" s="1068">
        <f>'Basic (equilibrio) (2)'!$D$17</f>
        <v>50</v>
      </c>
      <c r="G13121" s="946">
        <v>0</v>
      </c>
      <c r="H13121" s="1031"/>
      <c r="I13121" s="948">
        <f>(D13121*F13121)</f>
        <v>50</v>
      </c>
    </row>
    <row r="13122" spans="3:9" ht="15.75">
      <c r="C13122" s="949" t="s">
        <v>961</v>
      </c>
      <c r="D13122" s="953">
        <v>1</v>
      </c>
      <c r="E13122" s="954" t="str">
        <f>+VLOOKUP(C13122,'Basic (equilibrio) (2)'!B:D,2,FALSE)</f>
        <v>m2</v>
      </c>
      <c r="F13122" s="1068">
        <f>'Basic (equilibrio) (2)'!$D$47</f>
        <v>86.2</v>
      </c>
      <c r="G13122" s="946">
        <v>0</v>
      </c>
      <c r="H13122" s="1031"/>
      <c r="I13122" s="948">
        <f>(D13122*F13122)</f>
        <v>86.2</v>
      </c>
    </row>
    <row r="13123" spans="3:9" ht="15.75">
      <c r="C13123" s="951" t="s">
        <v>918</v>
      </c>
      <c r="D13123" s="946"/>
      <c r="E13123" s="947"/>
      <c r="F13123" s="1054"/>
      <c r="G13123" s="946"/>
      <c r="H13123" s="1031"/>
      <c r="I13123" s="952">
        <f>SUM(I13122:I13122)</f>
        <v>86.2</v>
      </c>
    </row>
    <row r="13124" spans="3:9" ht="15.75">
      <c r="C13124" s="949"/>
      <c r="D13124" s="946"/>
      <c r="E13124" s="947"/>
      <c r="F13124" s="1054"/>
      <c r="G13124" s="946"/>
      <c r="H13124" s="1031"/>
      <c r="I13124" s="948"/>
    </row>
    <row r="13125" spans="3:9" ht="15.75">
      <c r="C13125" s="945" t="s">
        <v>923</v>
      </c>
      <c r="D13125" s="946"/>
      <c r="E13125" s="947"/>
      <c r="F13125" s="1054"/>
      <c r="G13125" s="946"/>
      <c r="H13125" s="1031"/>
      <c r="I13125" s="948"/>
    </row>
    <row r="13126" spans="3:9" ht="15.75">
      <c r="C13126" s="949" t="s">
        <v>924</v>
      </c>
      <c r="D13126" s="946"/>
      <c r="E13126" s="947" t="str">
        <f>+VLOOKUP(C13126,'Basic (equilibrio) (2)'!B:D,2,FALSE)</f>
        <v>n/a</v>
      </c>
      <c r="F13126" s="1054">
        <f>+VLOOKUP(C13126,'Basic (equilibrio) (2)'!B:D,3,FALSE)</f>
        <v>0</v>
      </c>
      <c r="G13126" s="946">
        <f>F13126-(F13126/1.18)</f>
        <v>0</v>
      </c>
      <c r="H13126" s="1039"/>
      <c r="I13126" s="955">
        <f>D13126*F13126</f>
        <v>0</v>
      </c>
    </row>
    <row r="13127" spans="3:9" ht="15.75">
      <c r="C13127" s="951" t="s">
        <v>918</v>
      </c>
      <c r="D13127" s="946"/>
      <c r="E13127" s="947"/>
      <c r="F13127" s="1054"/>
      <c r="G13127" s="946"/>
      <c r="H13127" s="1031"/>
      <c r="I13127" s="952">
        <f>SUM(I13126:I13126)</f>
        <v>0</v>
      </c>
    </row>
    <row r="13128" spans="3:9" ht="15.75">
      <c r="C13128" s="949"/>
      <c r="D13128" s="946"/>
      <c r="E13128" s="947"/>
      <c r="F13128" s="1054"/>
      <c r="G13128" s="946"/>
      <c r="H13128" s="1031"/>
      <c r="I13128" s="948"/>
    </row>
    <row r="13129" spans="3:9" ht="15.75">
      <c r="C13129" s="945" t="s">
        <v>925</v>
      </c>
      <c r="D13129" s="946"/>
      <c r="E13129" s="947"/>
      <c r="F13129" s="1054"/>
      <c r="G13129" s="946"/>
      <c r="H13129" s="1031"/>
      <c r="I13129" s="948"/>
    </row>
    <row r="13130" spans="3:9" ht="15.75">
      <c r="C13130" s="949" t="s">
        <v>925</v>
      </c>
      <c r="D13130" s="946">
        <f>+I13123</f>
        <v>86.2</v>
      </c>
      <c r="E13130" s="947" t="str">
        <f>+VLOOKUP(C13130,'Basic (equilibrio) (2)'!B:D,2,FALSE)</f>
        <v>Pa</v>
      </c>
      <c r="F13130" s="1054">
        <f>+VLOOKUP(C13130,'Basic (equilibrio) (2)'!B:D,3,FALSE)</f>
        <v>0</v>
      </c>
      <c r="G13130" s="946"/>
      <c r="H13130" s="1031"/>
      <c r="I13130" s="948">
        <f>D13130*F13130</f>
        <v>0</v>
      </c>
    </row>
    <row r="13131" spans="3:9" ht="15.75">
      <c r="C13131" s="951" t="s">
        <v>918</v>
      </c>
      <c r="D13131" s="946"/>
      <c r="E13131" s="947"/>
      <c r="F13131" s="1054"/>
      <c r="G13131" s="946"/>
      <c r="H13131" s="1031"/>
      <c r="I13131" s="952">
        <f>SUM(I13130)</f>
        <v>0</v>
      </c>
    </row>
    <row r="13132" spans="3:9" ht="15.75">
      <c r="C13132" s="951"/>
      <c r="D13132" s="946"/>
      <c r="E13132" s="947"/>
      <c r="F13132" s="1054"/>
      <c r="G13132" s="946"/>
      <c r="H13132" s="1031"/>
      <c r="I13132" s="952"/>
    </row>
    <row r="13133" spans="3:9" ht="15.75">
      <c r="C13133" s="956" t="s">
        <v>926</v>
      </c>
      <c r="D13133" s="957"/>
      <c r="E13133" s="958"/>
      <c r="F13133" s="1069"/>
      <c r="G13133" s="957"/>
      <c r="H13133" s="1032"/>
      <c r="I13133" s="959">
        <f>+I13118</f>
        <v>11926.74</v>
      </c>
    </row>
    <row r="13134" spans="3:9" ht="15.75">
      <c r="C13134" s="956" t="s">
        <v>927</v>
      </c>
      <c r="D13134" s="957"/>
      <c r="E13134" s="958"/>
      <c r="F13134" s="1069"/>
      <c r="G13134" s="957"/>
      <c r="H13134" s="1032"/>
      <c r="I13134" s="959">
        <f>+I13123</f>
        <v>86.2</v>
      </c>
    </row>
    <row r="13135" spans="3:9" ht="15.75">
      <c r="C13135" s="956" t="s">
        <v>928</v>
      </c>
      <c r="D13135" s="957"/>
      <c r="E13135" s="958"/>
      <c r="F13135" s="1069"/>
      <c r="G13135" s="957"/>
      <c r="H13135" s="1032"/>
      <c r="I13135" s="959">
        <f>+I13127</f>
        <v>0</v>
      </c>
    </row>
    <row r="13136" spans="3:9" ht="15.75">
      <c r="C13136" s="956" t="s">
        <v>929</v>
      </c>
      <c r="D13136" s="957"/>
      <c r="E13136" s="958"/>
      <c r="F13136" s="1069"/>
      <c r="G13136" s="957"/>
      <c r="H13136" s="1032"/>
      <c r="I13136" s="959">
        <f>+I13131</f>
        <v>0</v>
      </c>
    </row>
    <row r="13137" spans="2:9" ht="15.75">
      <c r="C13137" s="949"/>
      <c r="D13137" s="946"/>
      <c r="E13137" s="947"/>
      <c r="F13137" s="1054"/>
      <c r="G13137" s="946"/>
      <c r="H13137" s="1031"/>
      <c r="I13137" s="948"/>
    </row>
    <row r="13138" spans="2:9" ht="15.75">
      <c r="C13138" s="951" t="s">
        <v>930</v>
      </c>
      <c r="D13138" s="960">
        <f>1/0.12</f>
        <v>8.33</v>
      </c>
      <c r="E13138" s="975" t="str">
        <f>+E13111</f>
        <v>m2</v>
      </c>
      <c r="F13138" s="1070"/>
      <c r="G13138" s="960"/>
      <c r="H13138" s="1033"/>
      <c r="I13138" s="952">
        <f>SUM(I13133:I13136)</f>
        <v>12012.94</v>
      </c>
    </row>
    <row r="13139" spans="2:9" ht="15.75">
      <c r="C13139" s="951"/>
      <c r="D13139" s="960"/>
      <c r="E13139" s="943" t="s">
        <v>1000</v>
      </c>
      <c r="F13139" s="1070"/>
      <c r="G13139" s="960"/>
      <c r="H13139" s="1033"/>
      <c r="I13139" s="952">
        <f>+I13138/D13138</f>
        <v>1442.13</v>
      </c>
    </row>
    <row r="13140" spans="2:9" ht="15.75">
      <c r="C13140" s="951"/>
      <c r="D13140" s="960"/>
      <c r="E13140" s="943"/>
      <c r="F13140" s="1070"/>
      <c r="G13140" s="960"/>
      <c r="H13140" s="1033"/>
      <c r="I13140" s="952"/>
    </row>
    <row r="13141" spans="2:9" ht="15.75">
      <c r="B13141" s="1026">
        <v>4.0999999999999996</v>
      </c>
      <c r="C13141" s="937" t="str">
        <f>+Presupuesto!B752</f>
        <v>De 6” B.N.P.</v>
      </c>
      <c r="D13141" s="938"/>
      <c r="E13141" s="962" t="s">
        <v>20</v>
      </c>
      <c r="F13141" s="1066"/>
      <c r="G13141" s="938"/>
      <c r="H13141" s="1029"/>
      <c r="I13141" s="940">
        <f>I13172</f>
        <v>1379.06</v>
      </c>
    </row>
    <row r="13142" spans="2:9" ht="15.75">
      <c r="C13142" s="941" t="s">
        <v>908</v>
      </c>
      <c r="D13142" s="942" t="s">
        <v>9</v>
      </c>
      <c r="E13142" s="943" t="s">
        <v>10</v>
      </c>
      <c r="F13142" s="1067" t="s">
        <v>909</v>
      </c>
      <c r="G13142" s="942" t="s">
        <v>910</v>
      </c>
      <c r="H13142" s="1030" t="s">
        <v>911</v>
      </c>
      <c r="I13142" s="944" t="s">
        <v>912</v>
      </c>
    </row>
    <row r="13143" spans="2:9" ht="15.75">
      <c r="C13143" s="945" t="s">
        <v>913</v>
      </c>
      <c r="D13143" s="946"/>
      <c r="E13143" s="947"/>
      <c r="F13143" s="1054"/>
      <c r="G13143" s="946"/>
      <c r="H13143" s="1031"/>
      <c r="I13143" s="948"/>
    </row>
    <row r="13144" spans="2:9" ht="15.75">
      <c r="C13144" s="949" t="s">
        <v>1201</v>
      </c>
      <c r="D13144" s="946">
        <v>11.61</v>
      </c>
      <c r="E13144" s="947" t="str">
        <f>+VLOOKUP(C13144,'Basic (equilibrio) (2)'!B:D,2,FALSE)</f>
        <v>ud</v>
      </c>
      <c r="F13144" s="1068">
        <f>'Basic (equilibrio) (2)'!$D$300</f>
        <v>35</v>
      </c>
      <c r="G13144" s="946">
        <f t="shared" ref="G13144:G13149" si="91">F13144-(F13144/1.18)</f>
        <v>5.34</v>
      </c>
      <c r="H13144" s="1031"/>
      <c r="I13144" s="948">
        <f t="shared" ref="I13144:I13149" si="92">D13144*F13144</f>
        <v>406.35</v>
      </c>
    </row>
    <row r="13145" spans="2:9" ht="15.75">
      <c r="C13145" s="949" t="s">
        <v>1203</v>
      </c>
      <c r="D13145" s="946">
        <v>11.61</v>
      </c>
      <c r="E13145" s="947" t="str">
        <f>+VLOOKUP(C13145,'Basic (equilibrio) (2)'!B:D,2,FALSE)</f>
        <v>ud</v>
      </c>
      <c r="F13145" s="1068">
        <f>'Basic (equilibrio) (2)'!$D$303</f>
        <v>3.3</v>
      </c>
      <c r="G13145" s="946">
        <f t="shared" si="91"/>
        <v>0.5</v>
      </c>
      <c r="H13145" s="1031"/>
      <c r="I13145" s="948">
        <f t="shared" si="92"/>
        <v>38.31</v>
      </c>
    </row>
    <row r="13146" spans="2:9" ht="15.75">
      <c r="C13146" s="949" t="s">
        <v>1204</v>
      </c>
      <c r="D13146" s="946">
        <v>0.04</v>
      </c>
      <c r="E13146" s="947" t="str">
        <f>+VLOOKUP(C13146,'Basic (equilibrio) (2)'!B:D,2,FALSE)</f>
        <v>m3</v>
      </c>
      <c r="F13146" s="1068">
        <f>'Basic (equilibrio) (2)'!$D$307</f>
        <v>6174</v>
      </c>
      <c r="G13146" s="946">
        <f t="shared" si="91"/>
        <v>941.8</v>
      </c>
      <c r="H13146" s="1031"/>
      <c r="I13146" s="948">
        <f t="shared" si="92"/>
        <v>246.96</v>
      </c>
    </row>
    <row r="13147" spans="2:9" ht="15.75">
      <c r="C13147" s="949" t="s">
        <v>1205</v>
      </c>
      <c r="D13147" s="946">
        <v>0.04</v>
      </c>
      <c r="E13147" s="947" t="str">
        <f>+VLOOKUP(C13147,'Basic (equilibrio) (2)'!B:D,2,FALSE)</f>
        <v>m3</v>
      </c>
      <c r="F13147" s="1068">
        <f>'Basic (equilibrio) (2)'!$D$308</f>
        <v>5985</v>
      </c>
      <c r="G13147" s="946">
        <f t="shared" si="91"/>
        <v>912.97</v>
      </c>
      <c r="H13147" s="1031"/>
      <c r="I13147" s="948">
        <f t="shared" si="92"/>
        <v>239.4</v>
      </c>
    </row>
    <row r="13148" spans="2:9" ht="15.75">
      <c r="C13148" s="949" t="s">
        <v>1188</v>
      </c>
      <c r="D13148" s="946">
        <v>0.04</v>
      </c>
      <c r="E13148" s="947" t="str">
        <f>+VLOOKUP(C13148,'Basic (equilibrio) (2)'!B:D,2,FALSE)</f>
        <v>qq</v>
      </c>
      <c r="F13148" s="1068">
        <f>'Basic (equilibrio) (2)'!$D$183</f>
        <v>3600</v>
      </c>
      <c r="G13148" s="946">
        <f t="shared" si="91"/>
        <v>549.15</v>
      </c>
      <c r="H13148" s="1031"/>
      <c r="I13148" s="948">
        <f t="shared" si="92"/>
        <v>144</v>
      </c>
    </row>
    <row r="13149" spans="2:9" ht="15.75">
      <c r="C13149" s="949" t="s">
        <v>1328</v>
      </c>
      <c r="D13149" s="946">
        <v>7.0000000000000007E-2</v>
      </c>
      <c r="E13149" s="947" t="str">
        <f>+VLOOKUP(C13149,'Basic (equilibrio) (2)'!B:D,2,FALSE)</f>
        <v>lb</v>
      </c>
      <c r="F13149" s="1068">
        <f>'Basic (equilibrio) (2)'!$D$334</f>
        <v>31.1</v>
      </c>
      <c r="G13149" s="946">
        <f t="shared" si="91"/>
        <v>4.74</v>
      </c>
      <c r="H13149" s="1031"/>
      <c r="I13149" s="948">
        <f t="shared" si="92"/>
        <v>2.1800000000000002</v>
      </c>
    </row>
    <row r="13150" spans="2:9" ht="15.75">
      <c r="C13150" s="951" t="s">
        <v>918</v>
      </c>
      <c r="D13150" s="946"/>
      <c r="E13150" s="947"/>
      <c r="F13150" s="1068"/>
      <c r="G13150" s="946"/>
      <c r="H13150" s="1031"/>
      <c r="I13150" s="952">
        <f>SUM(I13144:I13149)</f>
        <v>1077.2</v>
      </c>
    </row>
    <row r="13151" spans="2:9" ht="15.75">
      <c r="C13151" s="949"/>
      <c r="D13151" s="946"/>
      <c r="E13151" s="947"/>
      <c r="F13151" s="1068"/>
      <c r="G13151" s="946"/>
      <c r="H13151" s="1031"/>
      <c r="I13151" s="948"/>
    </row>
    <row r="13152" spans="2:9" ht="15.75">
      <c r="C13152" s="945" t="s">
        <v>919</v>
      </c>
      <c r="D13152" s="946"/>
      <c r="E13152" s="947"/>
      <c r="F13152" s="1068"/>
      <c r="G13152" s="946"/>
      <c r="H13152" s="1031"/>
      <c r="I13152" s="948"/>
    </row>
    <row r="13153" spans="3:9" ht="15.75">
      <c r="C13153" s="949" t="s">
        <v>1074</v>
      </c>
      <c r="D13153" s="953">
        <v>11.61</v>
      </c>
      <c r="E13153" s="954" t="str">
        <f>+VLOOKUP(C13153,'Basic (equilibrio) (2)'!B:D,2,FALSE)</f>
        <v>ud</v>
      </c>
      <c r="F13153" s="1068">
        <f>'Basic (equilibrio) (2)'!$D$26</f>
        <v>1</v>
      </c>
      <c r="G13153" s="946">
        <v>0</v>
      </c>
      <c r="H13153" s="1031"/>
      <c r="I13153" s="948">
        <f>(D13153*F13153)</f>
        <v>11.61</v>
      </c>
    </row>
    <row r="13154" spans="3:9" ht="15.75">
      <c r="C13154" s="949" t="s">
        <v>1075</v>
      </c>
      <c r="D13154" s="953">
        <v>11.61</v>
      </c>
      <c r="E13154" s="954" t="str">
        <f>+VLOOKUP(C13154,'Basic (equilibrio) (2)'!B:D,2,FALSE)</f>
        <v>ud</v>
      </c>
      <c r="F13154" s="1068">
        <f>'Basic (equilibrio) (2)'!$D$27</f>
        <v>3</v>
      </c>
      <c r="G13154" s="946">
        <v>0</v>
      </c>
      <c r="H13154" s="1031"/>
      <c r="I13154" s="948">
        <f>(D13154*F13154)</f>
        <v>34.83</v>
      </c>
    </row>
    <row r="13155" spans="3:9" ht="15.75">
      <c r="C13155" s="949" t="s">
        <v>1077</v>
      </c>
      <c r="D13155" s="953">
        <v>11.61</v>
      </c>
      <c r="E13155" s="954" t="str">
        <f>+VLOOKUP(C13155,'Basic (equilibrio) (2)'!B:D,2,FALSE)</f>
        <v>ud</v>
      </c>
      <c r="F13155" s="1068">
        <f>'Basic (equilibrio) (2)'!$D$29</f>
        <v>22</v>
      </c>
      <c r="G13155" s="946">
        <v>0</v>
      </c>
      <c r="H13155" s="1031"/>
      <c r="I13155" s="948">
        <f>(D13155*F13155)</f>
        <v>255.42</v>
      </c>
    </row>
    <row r="13156" spans="3:9" ht="15.75">
      <c r="C13156" s="951" t="s">
        <v>918</v>
      </c>
      <c r="D13156" s="946"/>
      <c r="E13156" s="947"/>
      <c r="F13156" s="1054"/>
      <c r="G13156" s="946"/>
      <c r="H13156" s="1031"/>
      <c r="I13156" s="952">
        <f>SUM(I13153:I13155)</f>
        <v>301.86</v>
      </c>
    </row>
    <row r="13157" spans="3:9" ht="15.75">
      <c r="C13157" s="949"/>
      <c r="D13157" s="946"/>
      <c r="E13157" s="947"/>
      <c r="F13157" s="1054"/>
      <c r="G13157" s="946"/>
      <c r="H13157" s="1031"/>
      <c r="I13157" s="948"/>
    </row>
    <row r="13158" spans="3:9" ht="15.75">
      <c r="C13158" s="945" t="s">
        <v>923</v>
      </c>
      <c r="D13158" s="946"/>
      <c r="E13158" s="947"/>
      <c r="F13158" s="1054"/>
      <c r="G13158" s="946"/>
      <c r="H13158" s="1031"/>
      <c r="I13158" s="948"/>
    </row>
    <row r="13159" spans="3:9" ht="15.75">
      <c r="C13159" s="949" t="s">
        <v>924</v>
      </c>
      <c r="D13159" s="946"/>
      <c r="E13159" s="947" t="str">
        <f>+VLOOKUP(C13159,'Basic (equilibrio) (2)'!B:D,2,FALSE)</f>
        <v>n/a</v>
      </c>
      <c r="F13159" s="1054">
        <f>+VLOOKUP(C13159,'Basic (equilibrio) (2)'!B:D,3,FALSE)</f>
        <v>0</v>
      </c>
      <c r="G13159" s="946">
        <f>F13159-(F13159/1.18)</f>
        <v>0</v>
      </c>
      <c r="H13159" s="1039"/>
      <c r="I13159" s="955">
        <f>D13159*F13159</f>
        <v>0</v>
      </c>
    </row>
    <row r="13160" spans="3:9" ht="15.75">
      <c r="C13160" s="951" t="s">
        <v>918</v>
      </c>
      <c r="D13160" s="946"/>
      <c r="E13160" s="947"/>
      <c r="F13160" s="1054"/>
      <c r="G13160" s="946"/>
      <c r="H13160" s="1031"/>
      <c r="I13160" s="952">
        <f>SUM(I13159:I13159)</f>
        <v>0</v>
      </c>
    </row>
    <row r="13161" spans="3:9" ht="15.75">
      <c r="C13161" s="949"/>
      <c r="D13161" s="946"/>
      <c r="E13161" s="947"/>
      <c r="F13161" s="1054"/>
      <c r="G13161" s="946"/>
      <c r="H13161" s="1031"/>
      <c r="I13161" s="948"/>
    </row>
    <row r="13162" spans="3:9" ht="15.75">
      <c r="C13162" s="945" t="s">
        <v>925</v>
      </c>
      <c r="D13162" s="946"/>
      <c r="E13162" s="947"/>
      <c r="F13162" s="1054"/>
      <c r="G13162" s="946"/>
      <c r="H13162" s="1031"/>
      <c r="I13162" s="948"/>
    </row>
    <row r="13163" spans="3:9" ht="15.75">
      <c r="C13163" s="949" t="s">
        <v>924</v>
      </c>
      <c r="D13163" s="946"/>
      <c r="E13163" s="947" t="str">
        <f>+VLOOKUP(C13163,'Basic (equilibrio) (2)'!B:D,2,FALSE)</f>
        <v>n/a</v>
      </c>
      <c r="F13163" s="1054">
        <f>+VLOOKUP(C13163,'Basic (equilibrio) (2)'!B:D,3,FALSE)</f>
        <v>0</v>
      </c>
      <c r="G13163" s="946"/>
      <c r="H13163" s="1031"/>
      <c r="I13163" s="948">
        <f>D13163*F13163</f>
        <v>0</v>
      </c>
    </row>
    <row r="13164" spans="3:9" ht="15.75">
      <c r="C13164" s="951" t="s">
        <v>918</v>
      </c>
      <c r="D13164" s="946"/>
      <c r="E13164" s="947"/>
      <c r="F13164" s="1054"/>
      <c r="G13164" s="946"/>
      <c r="H13164" s="1031"/>
      <c r="I13164" s="952">
        <f>SUM(I13163)</f>
        <v>0</v>
      </c>
    </row>
    <row r="13165" spans="3:9" ht="15.75">
      <c r="C13165" s="951"/>
      <c r="D13165" s="946"/>
      <c r="E13165" s="947"/>
      <c r="F13165" s="1054"/>
      <c r="G13165" s="946"/>
      <c r="H13165" s="1031"/>
      <c r="I13165" s="952"/>
    </row>
    <row r="13166" spans="3:9" ht="15.75">
      <c r="C13166" s="956" t="s">
        <v>926</v>
      </c>
      <c r="D13166" s="957"/>
      <c r="E13166" s="958"/>
      <c r="F13166" s="1069"/>
      <c r="G13166" s="957"/>
      <c r="H13166" s="1032"/>
      <c r="I13166" s="959">
        <f>+I13150</f>
        <v>1077.2</v>
      </c>
    </row>
    <row r="13167" spans="3:9" ht="15.75">
      <c r="C13167" s="956" t="s">
        <v>927</v>
      </c>
      <c r="D13167" s="957"/>
      <c r="E13167" s="958"/>
      <c r="F13167" s="1069"/>
      <c r="G13167" s="957"/>
      <c r="H13167" s="1032"/>
      <c r="I13167" s="959">
        <f>+I13156</f>
        <v>301.86</v>
      </c>
    </row>
    <row r="13168" spans="3:9" ht="15.75">
      <c r="C13168" s="956" t="s">
        <v>928</v>
      </c>
      <c r="D13168" s="957"/>
      <c r="E13168" s="958"/>
      <c r="F13168" s="1069"/>
      <c r="G13168" s="957"/>
      <c r="H13168" s="1032"/>
      <c r="I13168" s="959">
        <f>+I13160</f>
        <v>0</v>
      </c>
    </row>
    <row r="13169" spans="2:9" ht="15.75">
      <c r="C13169" s="956" t="s">
        <v>929</v>
      </c>
      <c r="D13169" s="957"/>
      <c r="E13169" s="958"/>
      <c r="F13169" s="1069"/>
      <c r="G13169" s="957"/>
      <c r="H13169" s="1032"/>
      <c r="I13169" s="959">
        <f>+I13164</f>
        <v>0</v>
      </c>
    </row>
    <row r="13170" spans="2:9" ht="15.75">
      <c r="C13170" s="949"/>
      <c r="D13170" s="946"/>
      <c r="E13170" s="947"/>
      <c r="F13170" s="1054"/>
      <c r="G13170" s="946"/>
      <c r="H13170" s="1031"/>
      <c r="I13170" s="948"/>
    </row>
    <row r="13171" spans="2:9" ht="15.75">
      <c r="C13171" s="949"/>
      <c r="D13171" s="946"/>
      <c r="E13171" s="947"/>
      <c r="F13171" s="1054"/>
      <c r="G13171" s="946"/>
      <c r="H13171" s="1031"/>
      <c r="I13171" s="948"/>
    </row>
    <row r="13172" spans="2:9" ht="15.75">
      <c r="C13172" s="951" t="s">
        <v>930</v>
      </c>
      <c r="D13172" s="960"/>
      <c r="E13172" s="943" t="str">
        <f>+E13141</f>
        <v>M2</v>
      </c>
      <c r="F13172" s="1070"/>
      <c r="G13172" s="960"/>
      <c r="H13172" s="1033"/>
      <c r="I13172" s="952">
        <f>SUM(I13166:I13169)</f>
        <v>1379.06</v>
      </c>
    </row>
    <row r="13173" spans="2:9" ht="15.75">
      <c r="C13173" s="951"/>
      <c r="D13173" s="960"/>
      <c r="E13173" s="943"/>
      <c r="F13173" s="1070"/>
      <c r="G13173" s="960"/>
      <c r="H13173" s="1033"/>
      <c r="I13173" s="952"/>
    </row>
    <row r="13174" spans="2:9" ht="15.75">
      <c r="B13174" s="1026">
        <v>4.2</v>
      </c>
      <c r="C13174" s="937" t="str">
        <f>+Presupuesto!B753</f>
        <v>De 6" S.N.P.</v>
      </c>
      <c r="D13174" s="938"/>
      <c r="E13174" s="962" t="s">
        <v>20</v>
      </c>
      <c r="F13174" s="1066"/>
      <c r="G13174" s="938"/>
      <c r="H13174" s="1029"/>
      <c r="I13174" s="940">
        <f>I13205</f>
        <v>1523.06</v>
      </c>
    </row>
    <row r="13175" spans="2:9" ht="15.75">
      <c r="C13175" s="941" t="s">
        <v>908</v>
      </c>
      <c r="D13175" s="942" t="s">
        <v>9</v>
      </c>
      <c r="E13175" s="943" t="s">
        <v>10</v>
      </c>
      <c r="F13175" s="1067" t="s">
        <v>909</v>
      </c>
      <c r="G13175" s="942" t="s">
        <v>910</v>
      </c>
      <c r="H13175" s="1030" t="s">
        <v>911</v>
      </c>
      <c r="I13175" s="944" t="s">
        <v>912</v>
      </c>
    </row>
    <row r="13176" spans="2:9" ht="15.75">
      <c r="C13176" s="945" t="s">
        <v>913</v>
      </c>
      <c r="D13176" s="946"/>
      <c r="E13176" s="947"/>
      <c r="F13176" s="1054"/>
      <c r="G13176" s="946"/>
      <c r="H13176" s="1031"/>
      <c r="I13176" s="948"/>
    </row>
    <row r="13177" spans="2:9" ht="15.75">
      <c r="C13177" s="949" t="s">
        <v>1201</v>
      </c>
      <c r="D13177" s="946">
        <v>11.61</v>
      </c>
      <c r="E13177" s="947" t="str">
        <f>+VLOOKUP(C13177,'Basic (equilibrio) (2)'!B:D,2,FALSE)</f>
        <v>ud</v>
      </c>
      <c r="F13177" s="1068">
        <f>'Basic (equilibrio) (2)'!$D$300</f>
        <v>35</v>
      </c>
      <c r="G13177" s="946">
        <f t="shared" ref="G13177:G13182" si="93">F13177-(F13177/1.18)</f>
        <v>5.34</v>
      </c>
      <c r="H13177" s="1031"/>
      <c r="I13177" s="948">
        <f t="shared" ref="I13177:I13182" si="94">D13177*F13177</f>
        <v>406.35</v>
      </c>
    </row>
    <row r="13178" spans="2:9" ht="15.75">
      <c r="C13178" s="949" t="s">
        <v>1203</v>
      </c>
      <c r="D13178" s="946">
        <v>11.61</v>
      </c>
      <c r="E13178" s="947" t="str">
        <f>+VLOOKUP(C13178,'Basic (equilibrio) (2)'!B:D,2,FALSE)</f>
        <v>ud</v>
      </c>
      <c r="F13178" s="1068">
        <f>'Basic (equilibrio) (2)'!$D$303</f>
        <v>3.3</v>
      </c>
      <c r="G13178" s="946">
        <f t="shared" si="93"/>
        <v>0.5</v>
      </c>
      <c r="H13178" s="1031"/>
      <c r="I13178" s="948">
        <f t="shared" si="94"/>
        <v>38.31</v>
      </c>
    </row>
    <row r="13179" spans="2:9" ht="15.75">
      <c r="C13179" s="949" t="s">
        <v>1204</v>
      </c>
      <c r="D13179" s="946">
        <v>0.04</v>
      </c>
      <c r="E13179" s="947" t="str">
        <f>+VLOOKUP(C13179,'Basic (equilibrio) (2)'!B:D,2,FALSE)</f>
        <v>m3</v>
      </c>
      <c r="F13179" s="1068">
        <f>'Basic (equilibrio) (2)'!$D$307</f>
        <v>6174</v>
      </c>
      <c r="G13179" s="946">
        <f t="shared" si="93"/>
        <v>941.8</v>
      </c>
      <c r="H13179" s="1031"/>
      <c r="I13179" s="948">
        <f t="shared" si="94"/>
        <v>246.96</v>
      </c>
    </row>
    <row r="13180" spans="2:9" ht="15.75">
      <c r="C13180" s="949" t="s">
        <v>1205</v>
      </c>
      <c r="D13180" s="946">
        <v>0.04</v>
      </c>
      <c r="E13180" s="947" t="str">
        <f>+VLOOKUP(C13180,'Basic (equilibrio) (2)'!B:D,2,FALSE)</f>
        <v>m3</v>
      </c>
      <c r="F13180" s="1068">
        <f>'Basic (equilibrio) (2)'!$D$308</f>
        <v>5985</v>
      </c>
      <c r="G13180" s="946">
        <f t="shared" si="93"/>
        <v>912.97</v>
      </c>
      <c r="H13180" s="1031"/>
      <c r="I13180" s="948">
        <f t="shared" si="94"/>
        <v>239.4</v>
      </c>
    </row>
    <row r="13181" spans="2:9" ht="15.75">
      <c r="C13181" s="949" t="s">
        <v>1188</v>
      </c>
      <c r="D13181" s="946">
        <v>0.08</v>
      </c>
      <c r="E13181" s="947" t="str">
        <f>+VLOOKUP(C13181,'Basic (equilibrio) (2)'!B:D,2,FALSE)</f>
        <v>qq</v>
      </c>
      <c r="F13181" s="1068">
        <f>'Basic (equilibrio) (2)'!$D$183</f>
        <v>3600</v>
      </c>
      <c r="G13181" s="946">
        <f t="shared" si="93"/>
        <v>549.15</v>
      </c>
      <c r="H13181" s="1031"/>
      <c r="I13181" s="948">
        <f t="shared" si="94"/>
        <v>288</v>
      </c>
    </row>
    <row r="13182" spans="2:9" ht="15.75">
      <c r="C13182" s="949" t="s">
        <v>1328</v>
      </c>
      <c r="D13182" s="946">
        <v>7.0000000000000007E-2</v>
      </c>
      <c r="E13182" s="947" t="str">
        <f>+VLOOKUP(C13182,'Basic (equilibrio) (2)'!B:D,2,FALSE)</f>
        <v>lb</v>
      </c>
      <c r="F13182" s="1068">
        <f>'Basic (equilibrio) (2)'!$D$334</f>
        <v>31.1</v>
      </c>
      <c r="G13182" s="946">
        <f t="shared" si="93"/>
        <v>4.74</v>
      </c>
      <c r="H13182" s="1031"/>
      <c r="I13182" s="948">
        <f t="shared" si="94"/>
        <v>2.1800000000000002</v>
      </c>
    </row>
    <row r="13183" spans="2:9" ht="15.75">
      <c r="C13183" s="951" t="s">
        <v>918</v>
      </c>
      <c r="D13183" s="946"/>
      <c r="E13183" s="947"/>
      <c r="F13183" s="1068"/>
      <c r="G13183" s="946"/>
      <c r="H13183" s="1031"/>
      <c r="I13183" s="952">
        <f>SUM(I13177:I13182)</f>
        <v>1221.2</v>
      </c>
    </row>
    <row r="13184" spans="2:9" ht="15.75">
      <c r="C13184" s="949"/>
      <c r="D13184" s="946"/>
      <c r="E13184" s="947"/>
      <c r="F13184" s="1068"/>
      <c r="G13184" s="946"/>
      <c r="H13184" s="1031"/>
      <c r="I13184" s="948"/>
    </row>
    <row r="13185" spans="3:9" ht="15.75">
      <c r="C13185" s="945" t="s">
        <v>919</v>
      </c>
      <c r="D13185" s="946"/>
      <c r="E13185" s="947"/>
      <c r="F13185" s="1068"/>
      <c r="G13185" s="946"/>
      <c r="H13185" s="1031"/>
      <c r="I13185" s="948"/>
    </row>
    <row r="13186" spans="3:9" ht="15.75">
      <c r="C13186" s="949" t="s">
        <v>1074</v>
      </c>
      <c r="D13186" s="953">
        <v>11.61</v>
      </c>
      <c r="E13186" s="954" t="str">
        <f>+VLOOKUP(C13186,'Basic (equilibrio) (2)'!B:D,2,FALSE)</f>
        <v>ud</v>
      </c>
      <c r="F13186" s="1068">
        <f>'Basic (equilibrio) (2)'!$D$26</f>
        <v>1</v>
      </c>
      <c r="G13186" s="946">
        <v>0</v>
      </c>
      <c r="H13186" s="1031"/>
      <c r="I13186" s="948">
        <f>(D13186*F13186)</f>
        <v>11.61</v>
      </c>
    </row>
    <row r="13187" spans="3:9" ht="15.75">
      <c r="C13187" s="949" t="s">
        <v>1075</v>
      </c>
      <c r="D13187" s="953">
        <v>11.61</v>
      </c>
      <c r="E13187" s="954" t="str">
        <f>+VLOOKUP(C13187,'Basic (equilibrio) (2)'!B:D,2,FALSE)</f>
        <v>ud</v>
      </c>
      <c r="F13187" s="1068">
        <f>'Basic (equilibrio) (2)'!$D$27</f>
        <v>3</v>
      </c>
      <c r="G13187" s="946">
        <v>0</v>
      </c>
      <c r="H13187" s="1031"/>
      <c r="I13187" s="948">
        <f>(D13187*F13187)</f>
        <v>34.83</v>
      </c>
    </row>
    <row r="13188" spans="3:9" ht="15.75">
      <c r="C13188" s="949" t="s">
        <v>1077</v>
      </c>
      <c r="D13188" s="953">
        <v>11.61</v>
      </c>
      <c r="E13188" s="954" t="str">
        <f>+VLOOKUP(C13188,'Basic (equilibrio) (2)'!B:D,2,FALSE)</f>
        <v>ud</v>
      </c>
      <c r="F13188" s="1068">
        <f>'Basic (equilibrio) (2)'!$D$29</f>
        <v>22</v>
      </c>
      <c r="G13188" s="946">
        <v>0</v>
      </c>
      <c r="H13188" s="1031"/>
      <c r="I13188" s="948">
        <f>(D13188*F13188)</f>
        <v>255.42</v>
      </c>
    </row>
    <row r="13189" spans="3:9" ht="15.75">
      <c r="C13189" s="951" t="s">
        <v>918</v>
      </c>
      <c r="D13189" s="946"/>
      <c r="E13189" s="947"/>
      <c r="F13189" s="1054"/>
      <c r="G13189" s="946"/>
      <c r="H13189" s="1031"/>
      <c r="I13189" s="952">
        <f>SUM(I13186:I13188)</f>
        <v>301.86</v>
      </c>
    </row>
    <row r="13190" spans="3:9" ht="15.75">
      <c r="C13190" s="949"/>
      <c r="D13190" s="946"/>
      <c r="E13190" s="947"/>
      <c r="F13190" s="1054"/>
      <c r="G13190" s="946"/>
      <c r="H13190" s="1031"/>
      <c r="I13190" s="948"/>
    </row>
    <row r="13191" spans="3:9" ht="15.75">
      <c r="C13191" s="945" t="s">
        <v>923</v>
      </c>
      <c r="D13191" s="946"/>
      <c r="E13191" s="947"/>
      <c r="F13191" s="1054"/>
      <c r="G13191" s="946"/>
      <c r="H13191" s="1031"/>
      <c r="I13191" s="948"/>
    </row>
    <row r="13192" spans="3:9" ht="15.75">
      <c r="C13192" s="949" t="s">
        <v>924</v>
      </c>
      <c r="D13192" s="946"/>
      <c r="E13192" s="947" t="str">
        <f>+VLOOKUP(C13192,'Basic (equilibrio) (2)'!B:D,2,FALSE)</f>
        <v>n/a</v>
      </c>
      <c r="F13192" s="1054">
        <f>+VLOOKUP(C13192,'Basic (equilibrio) (2)'!B:D,3,FALSE)</f>
        <v>0</v>
      </c>
      <c r="G13192" s="946">
        <f>F13192-(F13192/1.18)</f>
        <v>0</v>
      </c>
      <c r="H13192" s="1039"/>
      <c r="I13192" s="955">
        <f>D13192*F13192</f>
        <v>0</v>
      </c>
    </row>
    <row r="13193" spans="3:9" ht="15.75">
      <c r="C13193" s="951" t="s">
        <v>918</v>
      </c>
      <c r="D13193" s="946"/>
      <c r="E13193" s="947"/>
      <c r="F13193" s="1054"/>
      <c r="G13193" s="946"/>
      <c r="H13193" s="1031"/>
      <c r="I13193" s="952">
        <f>SUM(I13192:I13192)</f>
        <v>0</v>
      </c>
    </row>
    <row r="13194" spans="3:9" ht="15.75">
      <c r="C13194" s="949"/>
      <c r="D13194" s="946"/>
      <c r="E13194" s="947"/>
      <c r="F13194" s="1054"/>
      <c r="G13194" s="946"/>
      <c r="H13194" s="1031"/>
      <c r="I13194" s="948"/>
    </row>
    <row r="13195" spans="3:9" ht="15.75">
      <c r="C13195" s="945" t="s">
        <v>925</v>
      </c>
      <c r="D13195" s="946"/>
      <c r="E13195" s="947"/>
      <c r="F13195" s="1054"/>
      <c r="G13195" s="946"/>
      <c r="H13195" s="1031"/>
      <c r="I13195" s="948"/>
    </row>
    <row r="13196" spans="3:9" ht="15.75">
      <c r="C13196" s="949" t="s">
        <v>924</v>
      </c>
      <c r="D13196" s="946"/>
      <c r="E13196" s="947" t="str">
        <f>+VLOOKUP(C13196,'Basic (equilibrio) (2)'!B:D,2,FALSE)</f>
        <v>n/a</v>
      </c>
      <c r="F13196" s="1054">
        <f>+VLOOKUP(C13196,'Basic (equilibrio) (2)'!B:D,3,FALSE)</f>
        <v>0</v>
      </c>
      <c r="G13196" s="946"/>
      <c r="H13196" s="1031"/>
      <c r="I13196" s="948">
        <f>D13196*F13196</f>
        <v>0</v>
      </c>
    </row>
    <row r="13197" spans="3:9" ht="15.75">
      <c r="C13197" s="951" t="s">
        <v>918</v>
      </c>
      <c r="D13197" s="946"/>
      <c r="E13197" s="947"/>
      <c r="F13197" s="1054"/>
      <c r="G13197" s="946"/>
      <c r="H13197" s="1031"/>
      <c r="I13197" s="952">
        <f>SUM(I13196)</f>
        <v>0</v>
      </c>
    </row>
    <row r="13198" spans="3:9" ht="15.75">
      <c r="C13198" s="951"/>
      <c r="D13198" s="946"/>
      <c r="E13198" s="947"/>
      <c r="F13198" s="1054"/>
      <c r="G13198" s="946"/>
      <c r="H13198" s="1031"/>
      <c r="I13198" s="952"/>
    </row>
    <row r="13199" spans="3:9" ht="15.75">
      <c r="C13199" s="956" t="s">
        <v>926</v>
      </c>
      <c r="D13199" s="957"/>
      <c r="E13199" s="958"/>
      <c r="F13199" s="1069"/>
      <c r="G13199" s="957"/>
      <c r="H13199" s="1032"/>
      <c r="I13199" s="959">
        <f>+I13183</f>
        <v>1221.2</v>
      </c>
    </row>
    <row r="13200" spans="3:9" ht="15.75">
      <c r="C13200" s="956" t="s">
        <v>927</v>
      </c>
      <c r="D13200" s="957"/>
      <c r="E13200" s="958"/>
      <c r="F13200" s="1069"/>
      <c r="G13200" s="957"/>
      <c r="H13200" s="1032"/>
      <c r="I13200" s="959">
        <f>+I13189</f>
        <v>301.86</v>
      </c>
    </row>
    <row r="13201" spans="2:9" ht="15.75">
      <c r="C13201" s="956" t="s">
        <v>928</v>
      </c>
      <c r="D13201" s="957"/>
      <c r="E13201" s="958"/>
      <c r="F13201" s="1069"/>
      <c r="G13201" s="957"/>
      <c r="H13201" s="1032"/>
      <c r="I13201" s="959">
        <f>+I13193</f>
        <v>0</v>
      </c>
    </row>
    <row r="13202" spans="2:9" ht="15.75">
      <c r="C13202" s="956" t="s">
        <v>929</v>
      </c>
      <c r="D13202" s="957"/>
      <c r="E13202" s="958"/>
      <c r="F13202" s="1069"/>
      <c r="G13202" s="957"/>
      <c r="H13202" s="1032"/>
      <c r="I13202" s="959">
        <f>+I13197</f>
        <v>0</v>
      </c>
    </row>
    <row r="13203" spans="2:9" ht="15.75">
      <c r="C13203" s="949"/>
      <c r="D13203" s="946"/>
      <c r="E13203" s="947"/>
      <c r="F13203" s="1054"/>
      <c r="G13203" s="946"/>
      <c r="H13203" s="1031"/>
      <c r="I13203" s="948"/>
    </row>
    <row r="13204" spans="2:9" ht="15.75">
      <c r="C13204" s="949"/>
      <c r="D13204" s="946"/>
      <c r="E13204" s="947"/>
      <c r="F13204" s="1054"/>
      <c r="G13204" s="946"/>
      <c r="H13204" s="1031"/>
      <c r="I13204" s="948"/>
    </row>
    <row r="13205" spans="2:9" ht="15.75">
      <c r="C13205" s="951" t="s">
        <v>930</v>
      </c>
      <c r="D13205" s="960"/>
      <c r="E13205" s="943" t="str">
        <f>+E13174</f>
        <v>M2</v>
      </c>
      <c r="F13205" s="1070"/>
      <c r="G13205" s="960"/>
      <c r="H13205" s="1033"/>
      <c r="I13205" s="952">
        <f>SUM(I13199:I13202)</f>
        <v>1523.06</v>
      </c>
    </row>
    <row r="13206" spans="2:9" ht="15.75">
      <c r="C13206" s="951"/>
      <c r="D13206" s="960"/>
      <c r="E13206" s="943"/>
      <c r="F13206" s="1070"/>
      <c r="G13206" s="960"/>
      <c r="H13206" s="1033"/>
      <c r="I13206" s="952"/>
    </row>
    <row r="13207" spans="2:9" ht="15.75">
      <c r="B13207" s="1026">
        <v>5.0999999999999996</v>
      </c>
      <c r="C13207" s="937" t="str">
        <f>+Presupuesto!B756</f>
        <v>Fraguache</v>
      </c>
      <c r="D13207" s="938"/>
      <c r="E13207" s="962" t="s">
        <v>20</v>
      </c>
      <c r="F13207" s="1066"/>
      <c r="G13207" s="938"/>
      <c r="H13207" s="1029"/>
      <c r="I13207" s="940">
        <f>I13231</f>
        <v>101.1</v>
      </c>
    </row>
    <row r="13208" spans="2:9" ht="15.75">
      <c r="C13208" s="941" t="s">
        <v>908</v>
      </c>
      <c r="D13208" s="942" t="s">
        <v>9</v>
      </c>
      <c r="E13208" s="943" t="s">
        <v>10</v>
      </c>
      <c r="F13208" s="1067" t="s">
        <v>909</v>
      </c>
      <c r="G13208" s="942" t="s">
        <v>910</v>
      </c>
      <c r="H13208" s="1030" t="s">
        <v>911</v>
      </c>
      <c r="I13208" s="944" t="s">
        <v>912</v>
      </c>
    </row>
    <row r="13209" spans="2:9" ht="15.75">
      <c r="C13209" s="945" t="s">
        <v>913</v>
      </c>
      <c r="D13209" s="946"/>
      <c r="E13209" s="947"/>
      <c r="F13209" s="1054"/>
      <c r="G13209" s="946"/>
      <c r="H13209" s="1031"/>
      <c r="I13209" s="948"/>
    </row>
    <row r="13210" spans="2:9" ht="15.75">
      <c r="C13210" s="949" t="s">
        <v>958</v>
      </c>
      <c r="D13210" s="946">
        <v>0.01</v>
      </c>
      <c r="E13210" s="947" t="str">
        <f>+VLOOKUP(C13210,'Basic (equilibrio) (2)'!B:D,2,FALSE)</f>
        <v>m3</v>
      </c>
      <c r="F13210" s="1068">
        <f>'Basic (equilibrio) (2)'!$D$309</f>
        <v>6820</v>
      </c>
      <c r="G13210" s="946">
        <f>F13210-(F13210/1.18)</f>
        <v>1040.3399999999999</v>
      </c>
      <c r="H13210" s="1031"/>
      <c r="I13210" s="948">
        <f>D13210*F13210</f>
        <v>68.2</v>
      </c>
    </row>
    <row r="13211" spans="2:9" ht="15.75">
      <c r="C13211" s="949" t="s">
        <v>1206</v>
      </c>
      <c r="D13211" s="946">
        <v>0.03</v>
      </c>
      <c r="E13211" s="947" t="str">
        <f>+VLOOKUP(C13211,'Basic (equilibrio) (2)'!B:D,2,FALSE)</f>
        <v>pt</v>
      </c>
      <c r="F13211" s="1068">
        <f>'Basic (equilibrio) (2)'!$D$310</f>
        <v>230</v>
      </c>
      <c r="G13211" s="946">
        <f>F13211-(F13211/1.18)</f>
        <v>35.08</v>
      </c>
      <c r="H13211" s="1031"/>
      <c r="I13211" s="948">
        <f>D13211*F13211</f>
        <v>6.9</v>
      </c>
    </row>
    <row r="13212" spans="2:9" ht="15.75">
      <c r="C13212" s="951" t="s">
        <v>918</v>
      </c>
      <c r="D13212" s="946"/>
      <c r="E13212" s="947"/>
      <c r="F13212" s="1068"/>
      <c r="G13212" s="946"/>
      <c r="H13212" s="1031"/>
      <c r="I13212" s="952">
        <f>SUM(I13210:I13211)</f>
        <v>75.099999999999994</v>
      </c>
    </row>
    <row r="13213" spans="2:9" ht="15.75">
      <c r="C13213" s="949"/>
      <c r="D13213" s="946"/>
      <c r="E13213" s="947"/>
      <c r="F13213" s="1068"/>
      <c r="G13213" s="946"/>
      <c r="H13213" s="1031"/>
      <c r="I13213" s="948"/>
    </row>
    <row r="13214" spans="2:9" ht="15.75">
      <c r="C13214" s="945" t="s">
        <v>919</v>
      </c>
      <c r="D13214" s="946"/>
      <c r="E13214" s="947"/>
      <c r="F13214" s="1068"/>
      <c r="G13214" s="946"/>
      <c r="H13214" s="1031"/>
      <c r="I13214" s="948"/>
    </row>
    <row r="13215" spans="2:9" ht="15.75">
      <c r="C13215" s="949" t="s">
        <v>1080</v>
      </c>
      <c r="D13215" s="953">
        <v>1</v>
      </c>
      <c r="E13215" s="954" t="str">
        <f>+VLOOKUP(C13215,'Basic (equilibrio) (2)'!B:D,2,FALSE)</f>
        <v>m2</v>
      </c>
      <c r="F13215" s="1068">
        <f>+VLOOKUP(C13215,'Basic (equilibrio) (2)'!B:D,3,FALSE)</f>
        <v>26</v>
      </c>
      <c r="G13215" s="946">
        <v>0</v>
      </c>
      <c r="H13215" s="1031"/>
      <c r="I13215" s="948">
        <f>(D13215*F13215)</f>
        <v>26</v>
      </c>
    </row>
    <row r="13216" spans="2:9" ht="15.75">
      <c r="C13216" s="951" t="s">
        <v>918</v>
      </c>
      <c r="D13216" s="946"/>
      <c r="E13216" s="947"/>
      <c r="F13216" s="1054"/>
      <c r="G13216" s="946"/>
      <c r="H13216" s="1031"/>
      <c r="I13216" s="952">
        <f>SUM(I13215:I13215)</f>
        <v>26</v>
      </c>
    </row>
    <row r="13217" spans="3:9" ht="15.75">
      <c r="C13217" s="949"/>
      <c r="D13217" s="946"/>
      <c r="E13217" s="947"/>
      <c r="F13217" s="1054"/>
      <c r="G13217" s="946"/>
      <c r="H13217" s="1031"/>
      <c r="I13217" s="948"/>
    </row>
    <row r="13218" spans="3:9" ht="15.75">
      <c r="C13218" s="945" t="s">
        <v>923</v>
      </c>
      <c r="D13218" s="946"/>
      <c r="E13218" s="947"/>
      <c r="F13218" s="1054"/>
      <c r="G13218" s="946"/>
      <c r="H13218" s="1031"/>
      <c r="I13218" s="948"/>
    </row>
    <row r="13219" spans="3:9" ht="15.75">
      <c r="C13219" s="949" t="s">
        <v>924</v>
      </c>
      <c r="D13219" s="946"/>
      <c r="E13219" s="947" t="str">
        <f>+VLOOKUP(C13219,'Basic (equilibrio) (2)'!B:D,2,FALSE)</f>
        <v>n/a</v>
      </c>
      <c r="F13219" s="1054">
        <f>+VLOOKUP(C13219,'Basic (equilibrio) (2)'!B:D,3,FALSE)</f>
        <v>0</v>
      </c>
      <c r="G13219" s="946">
        <f>F13219-(F13219/1.18)</f>
        <v>0</v>
      </c>
      <c r="H13219" s="1039"/>
      <c r="I13219" s="955">
        <f>D13219*F13219</f>
        <v>0</v>
      </c>
    </row>
    <row r="13220" spans="3:9" ht="15.75">
      <c r="C13220" s="951" t="s">
        <v>918</v>
      </c>
      <c r="D13220" s="946"/>
      <c r="E13220" s="947"/>
      <c r="F13220" s="1054"/>
      <c r="G13220" s="946"/>
      <c r="H13220" s="1031"/>
      <c r="I13220" s="952">
        <f>SUM(I13219:I13219)</f>
        <v>0</v>
      </c>
    </row>
    <row r="13221" spans="3:9" ht="15.75">
      <c r="C13221" s="949"/>
      <c r="D13221" s="946"/>
      <c r="E13221" s="947"/>
      <c r="F13221" s="1054"/>
      <c r="G13221" s="946"/>
      <c r="H13221" s="1031"/>
      <c r="I13221" s="948"/>
    </row>
    <row r="13222" spans="3:9" ht="15.75">
      <c r="C13222" s="945" t="s">
        <v>925</v>
      </c>
      <c r="D13222" s="946"/>
      <c r="E13222" s="947"/>
      <c r="F13222" s="1054"/>
      <c r="G13222" s="946"/>
      <c r="H13222" s="1031"/>
      <c r="I13222" s="948"/>
    </row>
    <row r="13223" spans="3:9" ht="15.75">
      <c r="C13223" s="949" t="s">
        <v>924</v>
      </c>
      <c r="D13223" s="946"/>
      <c r="E13223" s="947" t="str">
        <f>+VLOOKUP(C13223,'Basic (equilibrio) (2)'!B:D,2,FALSE)</f>
        <v>n/a</v>
      </c>
      <c r="F13223" s="1054">
        <f>+VLOOKUP(C13223,'Basic (equilibrio) (2)'!B:D,3,FALSE)</f>
        <v>0</v>
      </c>
      <c r="G13223" s="946"/>
      <c r="H13223" s="1031"/>
      <c r="I13223" s="948">
        <f>D13223*F13223</f>
        <v>0</v>
      </c>
    </row>
    <row r="13224" spans="3:9" ht="15.75">
      <c r="C13224" s="951" t="s">
        <v>918</v>
      </c>
      <c r="D13224" s="946"/>
      <c r="E13224" s="947"/>
      <c r="F13224" s="1054"/>
      <c r="G13224" s="946"/>
      <c r="H13224" s="1031"/>
      <c r="I13224" s="952">
        <f>SUM(I13223)</f>
        <v>0</v>
      </c>
    </row>
    <row r="13225" spans="3:9" ht="15.75">
      <c r="C13225" s="951"/>
      <c r="D13225" s="946"/>
      <c r="E13225" s="947"/>
      <c r="F13225" s="1054"/>
      <c r="G13225" s="946"/>
      <c r="H13225" s="1031"/>
      <c r="I13225" s="952"/>
    </row>
    <row r="13226" spans="3:9" ht="15.75">
      <c r="C13226" s="956" t="s">
        <v>926</v>
      </c>
      <c r="D13226" s="957"/>
      <c r="E13226" s="958"/>
      <c r="F13226" s="1069"/>
      <c r="G13226" s="957"/>
      <c r="H13226" s="1032"/>
      <c r="I13226" s="959">
        <f>+I13212</f>
        <v>75.099999999999994</v>
      </c>
    </row>
    <row r="13227" spans="3:9" ht="15.75">
      <c r="C13227" s="956" t="s">
        <v>927</v>
      </c>
      <c r="D13227" s="957"/>
      <c r="E13227" s="958"/>
      <c r="F13227" s="1069"/>
      <c r="G13227" s="957"/>
      <c r="H13227" s="1032"/>
      <c r="I13227" s="959">
        <f>+I13216</f>
        <v>26</v>
      </c>
    </row>
    <row r="13228" spans="3:9" ht="15.75">
      <c r="C13228" s="956" t="s">
        <v>928</v>
      </c>
      <c r="D13228" s="957"/>
      <c r="E13228" s="958"/>
      <c r="F13228" s="1069"/>
      <c r="G13228" s="957"/>
      <c r="H13228" s="1032"/>
      <c r="I13228" s="959">
        <f>+I13220</f>
        <v>0</v>
      </c>
    </row>
    <row r="13229" spans="3:9" ht="15.75">
      <c r="C13229" s="956" t="s">
        <v>929</v>
      </c>
      <c r="D13229" s="957"/>
      <c r="E13229" s="958"/>
      <c r="F13229" s="1069"/>
      <c r="G13229" s="957"/>
      <c r="H13229" s="1032"/>
      <c r="I13229" s="959">
        <f>+I13224</f>
        <v>0</v>
      </c>
    </row>
    <row r="13230" spans="3:9" ht="15.75">
      <c r="C13230" s="949"/>
      <c r="D13230" s="946"/>
      <c r="E13230" s="947"/>
      <c r="F13230" s="1054"/>
      <c r="G13230" s="946"/>
      <c r="H13230" s="1031"/>
      <c r="I13230" s="948"/>
    </row>
    <row r="13231" spans="3:9" ht="15.75">
      <c r="C13231" s="951" t="s">
        <v>930</v>
      </c>
      <c r="D13231" s="960"/>
      <c r="E13231" s="943" t="str">
        <f>+E13207</f>
        <v>M2</v>
      </c>
      <c r="F13231" s="1070"/>
      <c r="G13231" s="960"/>
      <c r="H13231" s="1033"/>
      <c r="I13231" s="952">
        <f>SUM(I13226:I13229)</f>
        <v>101.1</v>
      </c>
    </row>
    <row r="13232" spans="3:9" ht="15.75">
      <c r="C13232" s="951"/>
      <c r="D13232" s="960"/>
      <c r="E13232" s="943"/>
      <c r="F13232" s="1070"/>
      <c r="G13232" s="960"/>
      <c r="H13232" s="1033"/>
      <c r="I13232" s="952"/>
    </row>
    <row r="13233" spans="2:9" ht="15.75">
      <c r="B13233" s="1026">
        <v>5.2</v>
      </c>
      <c r="C13233" s="937" t="str">
        <f>+Presupuesto!B757</f>
        <v>Pañete interior</v>
      </c>
      <c r="D13233" s="938"/>
      <c r="E13233" s="962" t="s">
        <v>20</v>
      </c>
      <c r="F13233" s="1066"/>
      <c r="G13233" s="938"/>
      <c r="H13233" s="1029"/>
      <c r="I13233" s="940">
        <f>I13258</f>
        <v>453.5</v>
      </c>
    </row>
    <row r="13234" spans="2:9" ht="15.75">
      <c r="C13234" s="941" t="s">
        <v>908</v>
      </c>
      <c r="D13234" s="942" t="s">
        <v>9</v>
      </c>
      <c r="E13234" s="943" t="s">
        <v>10</v>
      </c>
      <c r="F13234" s="1067" t="s">
        <v>909</v>
      </c>
      <c r="G13234" s="942" t="s">
        <v>910</v>
      </c>
      <c r="H13234" s="1030" t="s">
        <v>911</v>
      </c>
      <c r="I13234" s="944" t="s">
        <v>912</v>
      </c>
    </row>
    <row r="13235" spans="2:9" ht="15.75">
      <c r="C13235" s="945" t="s">
        <v>913</v>
      </c>
      <c r="D13235" s="946"/>
      <c r="E13235" s="947"/>
      <c r="F13235" s="1054"/>
      <c r="G13235" s="946"/>
      <c r="H13235" s="1031"/>
      <c r="I13235" s="948"/>
    </row>
    <row r="13236" spans="2:9" ht="15.75">
      <c r="C13236" s="949" t="s">
        <v>958</v>
      </c>
      <c r="D13236" s="946">
        <v>0.03</v>
      </c>
      <c r="E13236" s="947" t="str">
        <f>+VLOOKUP(C13236,'Basic (equilibrio) (2)'!B:D,2,FALSE)</f>
        <v>m3</v>
      </c>
      <c r="F13236" s="1068">
        <f>'Basic (equilibrio) (2)'!$D$309</f>
        <v>6820</v>
      </c>
      <c r="G13236" s="946">
        <f>F13236-(F13236/1.18)</f>
        <v>1040.3399999999999</v>
      </c>
      <c r="H13236" s="1031"/>
      <c r="I13236" s="948">
        <f>D13236*F13236</f>
        <v>204.6</v>
      </c>
    </row>
    <row r="13237" spans="2:9" ht="15.75">
      <c r="C13237" s="949" t="s">
        <v>1206</v>
      </c>
      <c r="D13237" s="946">
        <v>0.03</v>
      </c>
      <c r="E13237" s="947" t="str">
        <f>+VLOOKUP(C13237,'Basic (equilibrio) (2)'!B:D,2,FALSE)</f>
        <v>pt</v>
      </c>
      <c r="F13237" s="1068">
        <f>'Basic (equilibrio) (2)'!$D$310</f>
        <v>230</v>
      </c>
      <c r="G13237" s="946">
        <f>F13237-(F13237/1.18)</f>
        <v>35.08</v>
      </c>
      <c r="H13237" s="1031"/>
      <c r="I13237" s="948">
        <f>D13237*F13237</f>
        <v>6.9</v>
      </c>
    </row>
    <row r="13238" spans="2:9" ht="15.75">
      <c r="C13238" s="949" t="s">
        <v>1079</v>
      </c>
      <c r="D13238" s="946">
        <v>1</v>
      </c>
      <c r="E13238" s="947" t="str">
        <f>+VLOOKUP(C13238,'Basic (equilibrio) (2)'!B:D,2,FALSE)</f>
        <v>m2</v>
      </c>
      <c r="F13238" s="1068">
        <f>'Basic (equilibrio) (2)'!$D$31</f>
        <v>52</v>
      </c>
      <c r="G13238" s="946">
        <f>F13238-(F13238/1.18)</f>
        <v>7.93</v>
      </c>
      <c r="H13238" s="1031"/>
      <c r="I13238" s="948">
        <f>D13238*F13238</f>
        <v>52</v>
      </c>
    </row>
    <row r="13239" spans="2:9" ht="15.75">
      <c r="C13239" s="951" t="s">
        <v>918</v>
      </c>
      <c r="D13239" s="946"/>
      <c r="E13239" s="947"/>
      <c r="F13239" s="1068"/>
      <c r="G13239" s="946"/>
      <c r="H13239" s="1031"/>
      <c r="I13239" s="952">
        <f>SUM(I13236:I13238)</f>
        <v>263.5</v>
      </c>
    </row>
    <row r="13240" spans="2:9" ht="15.75">
      <c r="C13240" s="949"/>
      <c r="D13240" s="946"/>
      <c r="E13240" s="947"/>
      <c r="F13240" s="1068"/>
      <c r="G13240" s="946"/>
      <c r="H13240" s="1031"/>
      <c r="I13240" s="948"/>
    </row>
    <row r="13241" spans="2:9" ht="15.75">
      <c r="C13241" s="945" t="s">
        <v>919</v>
      </c>
      <c r="D13241" s="946"/>
      <c r="E13241" s="947"/>
      <c r="F13241" s="1068"/>
      <c r="G13241" s="946"/>
      <c r="H13241" s="1031"/>
      <c r="I13241" s="948"/>
    </row>
    <row r="13242" spans="2:9" ht="15.75">
      <c r="C13242" s="949" t="s">
        <v>1078</v>
      </c>
      <c r="D13242" s="953">
        <v>1</v>
      </c>
      <c r="E13242" s="954" t="str">
        <f>+VLOOKUP(C13242,'Basic (equilibrio) (2)'!B:D,2,FALSE)</f>
        <v>m2</v>
      </c>
      <c r="F13242" s="1068">
        <f>+VLOOKUP(C13242,'Basic (equilibrio) (2)'!B:D,3,FALSE)</f>
        <v>190</v>
      </c>
      <c r="G13242" s="946">
        <v>0</v>
      </c>
      <c r="H13242" s="1031"/>
      <c r="I13242" s="948">
        <f>(D13242*F13242)</f>
        <v>190</v>
      </c>
    </row>
    <row r="13243" spans="2:9" ht="15.75">
      <c r="C13243" s="951" t="s">
        <v>918</v>
      </c>
      <c r="D13243" s="946"/>
      <c r="E13243" s="947"/>
      <c r="F13243" s="1054"/>
      <c r="G13243" s="946"/>
      <c r="H13243" s="1031"/>
      <c r="I13243" s="952">
        <f>SUM(I13242:I13242)</f>
        <v>190</v>
      </c>
    </row>
    <row r="13244" spans="2:9" ht="15.75">
      <c r="C13244" s="949"/>
      <c r="D13244" s="946"/>
      <c r="E13244" s="947"/>
      <c r="F13244" s="1054"/>
      <c r="G13244" s="946"/>
      <c r="H13244" s="1031"/>
      <c r="I13244" s="948"/>
    </row>
    <row r="13245" spans="2:9" ht="15.75">
      <c r="C13245" s="945" t="s">
        <v>923</v>
      </c>
      <c r="D13245" s="946"/>
      <c r="E13245" s="947"/>
      <c r="F13245" s="1054"/>
      <c r="G13245" s="946"/>
      <c r="H13245" s="1031"/>
      <c r="I13245" s="948"/>
    </row>
    <row r="13246" spans="2:9" ht="15.75">
      <c r="C13246" s="949" t="s">
        <v>924</v>
      </c>
      <c r="D13246" s="946"/>
      <c r="E13246" s="947" t="str">
        <f>+VLOOKUP(C13246,'Basic (equilibrio) (2)'!B:D,2,FALSE)</f>
        <v>n/a</v>
      </c>
      <c r="F13246" s="1054">
        <f>+VLOOKUP(C13246,'Basic (equilibrio) (2)'!B:D,3,FALSE)</f>
        <v>0</v>
      </c>
      <c r="G13246" s="946">
        <f>F13246-(F13246/1.18)</f>
        <v>0</v>
      </c>
      <c r="H13246" s="1039"/>
      <c r="I13246" s="955">
        <f>D13246*F13246</f>
        <v>0</v>
      </c>
    </row>
    <row r="13247" spans="2:9" ht="15.75">
      <c r="C13247" s="951" t="s">
        <v>918</v>
      </c>
      <c r="D13247" s="946"/>
      <c r="E13247" s="947"/>
      <c r="F13247" s="1054"/>
      <c r="G13247" s="946"/>
      <c r="H13247" s="1031"/>
      <c r="I13247" s="952">
        <f>SUM(I13246:I13246)</f>
        <v>0</v>
      </c>
    </row>
    <row r="13248" spans="2:9" ht="15.75">
      <c r="C13248" s="949"/>
      <c r="D13248" s="946"/>
      <c r="E13248" s="947"/>
      <c r="F13248" s="1054"/>
      <c r="G13248" s="946"/>
      <c r="H13248" s="1031"/>
      <c r="I13248" s="948"/>
    </row>
    <row r="13249" spans="2:9" ht="15.75">
      <c r="C13249" s="945" t="s">
        <v>925</v>
      </c>
      <c r="D13249" s="946"/>
      <c r="E13249" s="947"/>
      <c r="F13249" s="1054"/>
      <c r="G13249" s="946"/>
      <c r="H13249" s="1031"/>
      <c r="I13249" s="948"/>
    </row>
    <row r="13250" spans="2:9" ht="15.75">
      <c r="C13250" s="949" t="s">
        <v>924</v>
      </c>
      <c r="D13250" s="946"/>
      <c r="E13250" s="947" t="str">
        <f>+VLOOKUP(C13250,'Basic (equilibrio) (2)'!B:D,2,FALSE)</f>
        <v>n/a</v>
      </c>
      <c r="F13250" s="1054">
        <f>+VLOOKUP(C13250,'Basic (equilibrio) (2)'!B:D,3,FALSE)</f>
        <v>0</v>
      </c>
      <c r="G13250" s="946"/>
      <c r="H13250" s="1031"/>
      <c r="I13250" s="948">
        <f>D13250*F13250</f>
        <v>0</v>
      </c>
    </row>
    <row r="13251" spans="2:9" ht="15.75">
      <c r="C13251" s="951" t="s">
        <v>918</v>
      </c>
      <c r="D13251" s="946"/>
      <c r="E13251" s="947"/>
      <c r="F13251" s="1054"/>
      <c r="G13251" s="946"/>
      <c r="H13251" s="1031"/>
      <c r="I13251" s="952">
        <f>SUM(I13250)</f>
        <v>0</v>
      </c>
    </row>
    <row r="13252" spans="2:9" ht="15.75">
      <c r="C13252" s="951"/>
      <c r="D13252" s="946"/>
      <c r="E13252" s="947"/>
      <c r="F13252" s="1054"/>
      <c r="G13252" s="946"/>
      <c r="H13252" s="1031"/>
      <c r="I13252" s="952"/>
    </row>
    <row r="13253" spans="2:9" ht="15.75">
      <c r="C13253" s="956" t="s">
        <v>926</v>
      </c>
      <c r="D13253" s="957"/>
      <c r="E13253" s="958"/>
      <c r="F13253" s="1069"/>
      <c r="G13253" s="957"/>
      <c r="H13253" s="1032"/>
      <c r="I13253" s="959">
        <f>+I13239</f>
        <v>263.5</v>
      </c>
    </row>
    <row r="13254" spans="2:9" ht="15.75">
      <c r="C13254" s="956" t="s">
        <v>927</v>
      </c>
      <c r="D13254" s="957"/>
      <c r="E13254" s="958"/>
      <c r="F13254" s="1069"/>
      <c r="G13254" s="957"/>
      <c r="H13254" s="1032"/>
      <c r="I13254" s="959">
        <f>+I13243</f>
        <v>190</v>
      </c>
    </row>
    <row r="13255" spans="2:9" ht="15.75">
      <c r="C13255" s="956" t="s">
        <v>928</v>
      </c>
      <c r="D13255" s="957"/>
      <c r="E13255" s="958"/>
      <c r="F13255" s="1069"/>
      <c r="G13255" s="957"/>
      <c r="H13255" s="1032"/>
      <c r="I13255" s="959">
        <f>+I13247</f>
        <v>0</v>
      </c>
    </row>
    <row r="13256" spans="2:9" ht="15.75">
      <c r="C13256" s="956" t="s">
        <v>929</v>
      </c>
      <c r="D13256" s="957"/>
      <c r="E13256" s="958"/>
      <c r="F13256" s="1069"/>
      <c r="G13256" s="957"/>
      <c r="H13256" s="1032"/>
      <c r="I13256" s="959">
        <f>+I13251</f>
        <v>0</v>
      </c>
    </row>
    <row r="13257" spans="2:9" ht="15.75">
      <c r="C13257" s="949"/>
      <c r="D13257" s="946"/>
      <c r="E13257" s="947"/>
      <c r="F13257" s="1054"/>
      <c r="G13257" s="946"/>
      <c r="H13257" s="1031"/>
      <c r="I13257" s="948"/>
    </row>
    <row r="13258" spans="2:9" ht="15.75">
      <c r="C13258" s="951" t="s">
        <v>930</v>
      </c>
      <c r="D13258" s="960"/>
      <c r="E13258" s="943" t="str">
        <f>+E13233</f>
        <v>M2</v>
      </c>
      <c r="F13258" s="1070"/>
      <c r="G13258" s="960"/>
      <c r="H13258" s="1033"/>
      <c r="I13258" s="952">
        <f>SUM(I13253:I13256)</f>
        <v>453.5</v>
      </c>
    </row>
    <row r="13259" spans="2:9" ht="15.75">
      <c r="C13259" s="951"/>
      <c r="D13259" s="960"/>
      <c r="E13259" s="943"/>
      <c r="F13259" s="1070"/>
      <c r="G13259" s="960"/>
      <c r="H13259" s="1033"/>
      <c r="I13259" s="952"/>
    </row>
    <row r="13260" spans="2:9" ht="15.75">
      <c r="B13260" s="1026">
        <v>5.3</v>
      </c>
      <c r="C13260" s="937" t="str">
        <f>+Presupuesto!B758</f>
        <v xml:space="preserve">Pañete exterior </v>
      </c>
      <c r="D13260" s="938"/>
      <c r="E13260" s="962" t="s">
        <v>20</v>
      </c>
      <c r="F13260" s="1066"/>
      <c r="G13260" s="938"/>
      <c r="H13260" s="1029"/>
      <c r="I13260" s="940">
        <f>I13285</f>
        <v>453.5</v>
      </c>
    </row>
    <row r="13261" spans="2:9" ht="15.75">
      <c r="C13261" s="941" t="s">
        <v>908</v>
      </c>
      <c r="D13261" s="942" t="s">
        <v>9</v>
      </c>
      <c r="E13261" s="943" t="s">
        <v>10</v>
      </c>
      <c r="F13261" s="1067" t="s">
        <v>909</v>
      </c>
      <c r="G13261" s="942" t="s">
        <v>910</v>
      </c>
      <c r="H13261" s="1030" t="s">
        <v>911</v>
      </c>
      <c r="I13261" s="944" t="s">
        <v>912</v>
      </c>
    </row>
    <row r="13262" spans="2:9" ht="15.75">
      <c r="C13262" s="945" t="s">
        <v>913</v>
      </c>
      <c r="D13262" s="946"/>
      <c r="E13262" s="947"/>
      <c r="F13262" s="1054"/>
      <c r="G13262" s="946"/>
      <c r="H13262" s="1031"/>
      <c r="I13262" s="948"/>
    </row>
    <row r="13263" spans="2:9" ht="15.75">
      <c r="C13263" s="949" t="s">
        <v>958</v>
      </c>
      <c r="D13263" s="946">
        <v>0.03</v>
      </c>
      <c r="E13263" s="947" t="str">
        <f>+VLOOKUP(C13263,'Basic (equilibrio) (2)'!B:D,2,FALSE)</f>
        <v>m3</v>
      </c>
      <c r="F13263" s="1068">
        <f>'Basic (equilibrio) (2)'!$D$309</f>
        <v>6820</v>
      </c>
      <c r="G13263" s="946">
        <f>F13263-(F13263/1.18)</f>
        <v>1040.3399999999999</v>
      </c>
      <c r="H13263" s="1031"/>
      <c r="I13263" s="948">
        <f>D13263*F13263</f>
        <v>204.6</v>
      </c>
    </row>
    <row r="13264" spans="2:9" ht="15.75">
      <c r="C13264" s="949" t="s">
        <v>1206</v>
      </c>
      <c r="D13264" s="946">
        <v>0.03</v>
      </c>
      <c r="E13264" s="947" t="str">
        <f>+VLOOKUP(C13264,'Basic (equilibrio) (2)'!B:D,2,FALSE)</f>
        <v>pt</v>
      </c>
      <c r="F13264" s="1068">
        <f>'Basic (equilibrio) (2)'!$D$310</f>
        <v>230</v>
      </c>
      <c r="G13264" s="946">
        <f>F13264-(F13264/1.18)</f>
        <v>35.08</v>
      </c>
      <c r="H13264" s="1031"/>
      <c r="I13264" s="948">
        <f>D13264*F13264</f>
        <v>6.9</v>
      </c>
    </row>
    <row r="13265" spans="3:9" ht="15.75">
      <c r="C13265" s="949" t="s">
        <v>1079</v>
      </c>
      <c r="D13265" s="946">
        <v>1</v>
      </c>
      <c r="E13265" s="947" t="str">
        <f>+VLOOKUP(C13265,'Basic (equilibrio) (2)'!B:D,2,FALSE)</f>
        <v>m2</v>
      </c>
      <c r="F13265" s="1068">
        <f>'Basic (equilibrio) (2)'!$D$31</f>
        <v>52</v>
      </c>
      <c r="G13265" s="946">
        <f>F13265-(F13265/1.18)</f>
        <v>7.93</v>
      </c>
      <c r="H13265" s="1031"/>
      <c r="I13265" s="948">
        <f>D13265*F13265</f>
        <v>52</v>
      </c>
    </row>
    <row r="13266" spans="3:9" ht="15.75">
      <c r="C13266" s="951" t="s">
        <v>918</v>
      </c>
      <c r="D13266" s="946"/>
      <c r="E13266" s="947"/>
      <c r="F13266" s="1068"/>
      <c r="G13266" s="946"/>
      <c r="H13266" s="1031"/>
      <c r="I13266" s="952">
        <f>SUM(I13263:I13265)</f>
        <v>263.5</v>
      </c>
    </row>
    <row r="13267" spans="3:9" ht="15.75">
      <c r="C13267" s="949"/>
      <c r="D13267" s="946"/>
      <c r="E13267" s="947"/>
      <c r="F13267" s="1068"/>
      <c r="G13267" s="946"/>
      <c r="H13267" s="1031"/>
      <c r="I13267" s="948"/>
    </row>
    <row r="13268" spans="3:9" ht="15.75">
      <c r="C13268" s="945" t="s">
        <v>919</v>
      </c>
      <c r="D13268" s="946"/>
      <c r="E13268" s="947"/>
      <c r="F13268" s="1068"/>
      <c r="G13268" s="946"/>
      <c r="H13268" s="1031"/>
      <c r="I13268" s="948"/>
    </row>
    <row r="13269" spans="3:9" ht="15.75">
      <c r="C13269" s="949" t="s">
        <v>1078</v>
      </c>
      <c r="D13269" s="953">
        <v>1</v>
      </c>
      <c r="E13269" s="954" t="str">
        <f>+VLOOKUP(C13269,'Basic (equilibrio) (2)'!B:D,2,FALSE)</f>
        <v>m2</v>
      </c>
      <c r="F13269" s="1068">
        <f>+VLOOKUP(C13269,'Basic (equilibrio) (2)'!B:D,3,FALSE)</f>
        <v>190</v>
      </c>
      <c r="G13269" s="946">
        <v>0</v>
      </c>
      <c r="H13269" s="1031"/>
      <c r="I13269" s="948">
        <f>(D13269*F13269)</f>
        <v>190</v>
      </c>
    </row>
    <row r="13270" spans="3:9" ht="15.75">
      <c r="C13270" s="951" t="s">
        <v>918</v>
      </c>
      <c r="D13270" s="946"/>
      <c r="E13270" s="947"/>
      <c r="F13270" s="1054"/>
      <c r="G13270" s="946"/>
      <c r="H13270" s="1031"/>
      <c r="I13270" s="952">
        <f>SUM(I13269:I13269)</f>
        <v>190</v>
      </c>
    </row>
    <row r="13271" spans="3:9" ht="15.75">
      <c r="C13271" s="949"/>
      <c r="D13271" s="946"/>
      <c r="E13271" s="947"/>
      <c r="F13271" s="1054"/>
      <c r="G13271" s="946"/>
      <c r="H13271" s="1031"/>
      <c r="I13271" s="948"/>
    </row>
    <row r="13272" spans="3:9" ht="15.75">
      <c r="C13272" s="945" t="s">
        <v>923</v>
      </c>
      <c r="D13272" s="946"/>
      <c r="E13272" s="947"/>
      <c r="F13272" s="1054"/>
      <c r="G13272" s="946"/>
      <c r="H13272" s="1031"/>
      <c r="I13272" s="948"/>
    </row>
    <row r="13273" spans="3:9" ht="15.75">
      <c r="C13273" s="949" t="s">
        <v>924</v>
      </c>
      <c r="D13273" s="946"/>
      <c r="E13273" s="947" t="str">
        <f>+VLOOKUP(C13273,'Basic (equilibrio) (2)'!B:D,2,FALSE)</f>
        <v>n/a</v>
      </c>
      <c r="F13273" s="1054">
        <f>+VLOOKUP(C13273,'Basic (equilibrio) (2)'!B:D,3,FALSE)</f>
        <v>0</v>
      </c>
      <c r="G13273" s="946">
        <f>F13273-(F13273/1.18)</f>
        <v>0</v>
      </c>
      <c r="H13273" s="1039"/>
      <c r="I13273" s="955">
        <f>D13273*F13273</f>
        <v>0</v>
      </c>
    </row>
    <row r="13274" spans="3:9" ht="15.75">
      <c r="C13274" s="951" t="s">
        <v>918</v>
      </c>
      <c r="D13274" s="946"/>
      <c r="E13274" s="947"/>
      <c r="F13274" s="1054"/>
      <c r="G13274" s="946"/>
      <c r="H13274" s="1031"/>
      <c r="I13274" s="952">
        <f>SUM(I13273:I13273)</f>
        <v>0</v>
      </c>
    </row>
    <row r="13275" spans="3:9" ht="15.75">
      <c r="C13275" s="949"/>
      <c r="D13275" s="946"/>
      <c r="E13275" s="947"/>
      <c r="F13275" s="1054"/>
      <c r="G13275" s="946"/>
      <c r="H13275" s="1031"/>
      <c r="I13275" s="948"/>
    </row>
    <row r="13276" spans="3:9" ht="15.75">
      <c r="C13276" s="945" t="s">
        <v>925</v>
      </c>
      <c r="D13276" s="946"/>
      <c r="E13276" s="947"/>
      <c r="F13276" s="1054"/>
      <c r="G13276" s="946"/>
      <c r="H13276" s="1031"/>
      <c r="I13276" s="948"/>
    </row>
    <row r="13277" spans="3:9" ht="15.75">
      <c r="C13277" s="949" t="s">
        <v>924</v>
      </c>
      <c r="D13277" s="946"/>
      <c r="E13277" s="947" t="str">
        <f>+VLOOKUP(C13277,'Basic (equilibrio) (2)'!B:D,2,FALSE)</f>
        <v>n/a</v>
      </c>
      <c r="F13277" s="1054">
        <f>+VLOOKUP(C13277,'Basic (equilibrio) (2)'!B:D,3,FALSE)</f>
        <v>0</v>
      </c>
      <c r="G13277" s="946"/>
      <c r="H13277" s="1031"/>
      <c r="I13277" s="948">
        <f>D13277*F13277</f>
        <v>0</v>
      </c>
    </row>
    <row r="13278" spans="3:9" ht="15.75">
      <c r="C13278" s="951" t="s">
        <v>918</v>
      </c>
      <c r="D13278" s="946"/>
      <c r="E13278" s="947"/>
      <c r="F13278" s="1054"/>
      <c r="G13278" s="946"/>
      <c r="H13278" s="1031"/>
      <c r="I13278" s="952">
        <f>SUM(I13277)</f>
        <v>0</v>
      </c>
    </row>
    <row r="13279" spans="3:9" ht="15.75">
      <c r="C13279" s="951"/>
      <c r="D13279" s="946"/>
      <c r="E13279" s="947"/>
      <c r="F13279" s="1054"/>
      <c r="G13279" s="946"/>
      <c r="H13279" s="1031"/>
      <c r="I13279" s="952"/>
    </row>
    <row r="13280" spans="3:9" ht="15.75">
      <c r="C13280" s="956" t="s">
        <v>926</v>
      </c>
      <c r="D13280" s="957"/>
      <c r="E13280" s="958"/>
      <c r="F13280" s="1069"/>
      <c r="G13280" s="957"/>
      <c r="H13280" s="1032"/>
      <c r="I13280" s="959">
        <f>+I13266</f>
        <v>263.5</v>
      </c>
    </row>
    <row r="13281" spans="2:9" ht="15.75">
      <c r="C13281" s="956" t="s">
        <v>927</v>
      </c>
      <c r="D13281" s="957"/>
      <c r="E13281" s="958"/>
      <c r="F13281" s="1069"/>
      <c r="G13281" s="957"/>
      <c r="H13281" s="1032"/>
      <c r="I13281" s="959">
        <f>+I13270</f>
        <v>190</v>
      </c>
    </row>
    <row r="13282" spans="2:9" ht="15.75">
      <c r="C13282" s="956" t="s">
        <v>928</v>
      </c>
      <c r="D13282" s="957"/>
      <c r="E13282" s="958"/>
      <c r="F13282" s="1069"/>
      <c r="G13282" s="957"/>
      <c r="H13282" s="1032"/>
      <c r="I13282" s="959">
        <f>+I13274</f>
        <v>0</v>
      </c>
    </row>
    <row r="13283" spans="2:9" ht="15.75">
      <c r="C13283" s="956" t="s">
        <v>929</v>
      </c>
      <c r="D13283" s="957"/>
      <c r="E13283" s="958"/>
      <c r="F13283" s="1069"/>
      <c r="G13283" s="957"/>
      <c r="H13283" s="1032"/>
      <c r="I13283" s="959">
        <f>+I13278</f>
        <v>0</v>
      </c>
    </row>
    <row r="13284" spans="2:9" ht="15.75">
      <c r="C13284" s="949"/>
      <c r="D13284" s="946"/>
      <c r="E13284" s="947"/>
      <c r="F13284" s="1054"/>
      <c r="G13284" s="946"/>
      <c r="H13284" s="1031"/>
      <c r="I13284" s="948"/>
    </row>
    <row r="13285" spans="2:9" ht="15.75">
      <c r="C13285" s="951" t="s">
        <v>930</v>
      </c>
      <c r="D13285" s="960"/>
      <c r="E13285" s="943" t="str">
        <f>+E13260</f>
        <v>M2</v>
      </c>
      <c r="F13285" s="1070"/>
      <c r="G13285" s="960"/>
      <c r="H13285" s="1033"/>
      <c r="I13285" s="952">
        <f>SUM(I13280:I13283)</f>
        <v>453.5</v>
      </c>
    </row>
    <row r="13286" spans="2:9" ht="15.75">
      <c r="C13286" s="951"/>
      <c r="D13286" s="960"/>
      <c r="E13286" s="943"/>
      <c r="F13286" s="1070"/>
      <c r="G13286" s="960"/>
      <c r="H13286" s="1033"/>
      <c r="I13286" s="952"/>
    </row>
    <row r="13287" spans="2:9" ht="15.75">
      <c r="B13287" s="1026">
        <v>5.4</v>
      </c>
      <c r="C13287" s="937" t="str">
        <f>+Presupuesto!B759</f>
        <v>Cantos</v>
      </c>
      <c r="D13287" s="938"/>
      <c r="E13287" s="962" t="s">
        <v>15</v>
      </c>
      <c r="F13287" s="1066"/>
      <c r="G13287" s="938"/>
      <c r="H13287" s="1029"/>
      <c r="I13287" s="940">
        <f>I13311</f>
        <v>158.5</v>
      </c>
    </row>
    <row r="13288" spans="2:9" ht="15.75">
      <c r="C13288" s="941" t="s">
        <v>908</v>
      </c>
      <c r="D13288" s="942" t="s">
        <v>9</v>
      </c>
      <c r="E13288" s="943" t="s">
        <v>10</v>
      </c>
      <c r="F13288" s="1067" t="s">
        <v>909</v>
      </c>
      <c r="G13288" s="942" t="s">
        <v>910</v>
      </c>
      <c r="H13288" s="1030" t="s">
        <v>911</v>
      </c>
      <c r="I13288" s="944" t="s">
        <v>912</v>
      </c>
    </row>
    <row r="13289" spans="2:9" ht="15.75">
      <c r="C13289" s="945" t="s">
        <v>913</v>
      </c>
      <c r="D13289" s="946"/>
      <c r="E13289" s="947"/>
      <c r="F13289" s="1054"/>
      <c r="G13289" s="946"/>
      <c r="H13289" s="1031"/>
      <c r="I13289" s="948"/>
    </row>
    <row r="13290" spans="2:9" ht="15.75">
      <c r="C13290" s="949" t="s">
        <v>958</v>
      </c>
      <c r="D13290" s="946">
        <v>0.01</v>
      </c>
      <c r="E13290" s="947" t="str">
        <f>+VLOOKUP(C13290,'Basic (equilibrio) (2)'!B:D,2,FALSE)</f>
        <v>m3</v>
      </c>
      <c r="F13290" s="1068">
        <f>'Basic (equilibrio) (2)'!$D$309</f>
        <v>6820</v>
      </c>
      <c r="G13290" s="946">
        <f>F13290-(F13290/1.18)</f>
        <v>1040.3399999999999</v>
      </c>
      <c r="H13290" s="1031"/>
      <c r="I13290" s="948">
        <f>D13290*F13290</f>
        <v>68.2</v>
      </c>
    </row>
    <row r="13291" spans="2:9" ht="15.75">
      <c r="C13291" s="949" t="s">
        <v>1206</v>
      </c>
      <c r="D13291" s="946">
        <v>0.11</v>
      </c>
      <c r="E13291" s="947" t="str">
        <f>+VLOOKUP(C13291,'Basic (equilibrio) (2)'!B:D,2,FALSE)</f>
        <v>pt</v>
      </c>
      <c r="F13291" s="1068">
        <f>'Basic (equilibrio) (2)'!$D$310</f>
        <v>230</v>
      </c>
      <c r="G13291" s="946">
        <f>F13291-(F13291/1.18)</f>
        <v>35.08</v>
      </c>
      <c r="H13291" s="1031"/>
      <c r="I13291" s="948">
        <f>D13291*F13291</f>
        <v>25.3</v>
      </c>
    </row>
    <row r="13292" spans="2:9" ht="15.75">
      <c r="C13292" s="951" t="s">
        <v>918</v>
      </c>
      <c r="D13292" s="946"/>
      <c r="E13292" s="947"/>
      <c r="F13292" s="1068"/>
      <c r="G13292" s="946"/>
      <c r="H13292" s="1031"/>
      <c r="I13292" s="952">
        <f>SUM(I13290:I13291)</f>
        <v>93.5</v>
      </c>
    </row>
    <row r="13293" spans="2:9" ht="15.75">
      <c r="C13293" s="949"/>
      <c r="D13293" s="946"/>
      <c r="E13293" s="947"/>
      <c r="F13293" s="1068"/>
      <c r="G13293" s="946"/>
      <c r="H13293" s="1031"/>
      <c r="I13293" s="948"/>
    </row>
    <row r="13294" spans="2:9" ht="15.75">
      <c r="C13294" s="945" t="s">
        <v>919</v>
      </c>
      <c r="D13294" s="946"/>
      <c r="E13294" s="947"/>
      <c r="F13294" s="1068"/>
      <c r="G13294" s="946"/>
      <c r="H13294" s="1031"/>
      <c r="I13294" s="948"/>
    </row>
    <row r="13295" spans="2:9" ht="15.75">
      <c r="C13295" s="949" t="s">
        <v>1081</v>
      </c>
      <c r="D13295" s="953">
        <v>1</v>
      </c>
      <c r="E13295" s="954" t="str">
        <f>+VLOOKUP(C13295,'Basic (equilibrio) (2)'!B:D,2,FALSE)</f>
        <v>ml</v>
      </c>
      <c r="F13295" s="1068">
        <f>'Basic (equilibrio) (2)'!$D$33</f>
        <v>65</v>
      </c>
      <c r="G13295" s="946">
        <v>0</v>
      </c>
      <c r="H13295" s="1031"/>
      <c r="I13295" s="948">
        <f>(D13295*F13295)</f>
        <v>65</v>
      </c>
    </row>
    <row r="13296" spans="2:9" ht="15.75">
      <c r="C13296" s="951" t="s">
        <v>918</v>
      </c>
      <c r="D13296" s="946"/>
      <c r="E13296" s="947"/>
      <c r="F13296" s="1054"/>
      <c r="G13296" s="946"/>
      <c r="H13296" s="1031"/>
      <c r="I13296" s="952">
        <f>SUM(I13295:I13295)</f>
        <v>65</v>
      </c>
    </row>
    <row r="13297" spans="3:9" ht="15.75">
      <c r="C13297" s="949"/>
      <c r="D13297" s="946"/>
      <c r="E13297" s="947"/>
      <c r="F13297" s="1054"/>
      <c r="G13297" s="946"/>
      <c r="H13297" s="1031"/>
      <c r="I13297" s="948"/>
    </row>
    <row r="13298" spans="3:9" ht="15.75">
      <c r="C13298" s="945" t="s">
        <v>923</v>
      </c>
      <c r="D13298" s="946"/>
      <c r="E13298" s="947"/>
      <c r="F13298" s="1054"/>
      <c r="G13298" s="946"/>
      <c r="H13298" s="1031"/>
      <c r="I13298" s="948"/>
    </row>
    <row r="13299" spans="3:9" ht="15.75">
      <c r="C13299" s="949" t="s">
        <v>924</v>
      </c>
      <c r="D13299" s="946"/>
      <c r="E13299" s="947" t="str">
        <f>+VLOOKUP(C13299,'Basic (equilibrio) (2)'!B:D,2,FALSE)</f>
        <v>n/a</v>
      </c>
      <c r="F13299" s="1054">
        <f>+VLOOKUP(C13299,'Basic (equilibrio) (2)'!B:D,3,FALSE)</f>
        <v>0</v>
      </c>
      <c r="G13299" s="946">
        <f>F13299-(F13299/1.18)</f>
        <v>0</v>
      </c>
      <c r="H13299" s="1039"/>
      <c r="I13299" s="955">
        <f>D13299*F13299</f>
        <v>0</v>
      </c>
    </row>
    <row r="13300" spans="3:9" ht="15.75">
      <c r="C13300" s="951" t="s">
        <v>918</v>
      </c>
      <c r="D13300" s="946"/>
      <c r="E13300" s="947"/>
      <c r="F13300" s="1054"/>
      <c r="G13300" s="946"/>
      <c r="H13300" s="1031"/>
      <c r="I13300" s="952">
        <f>SUM(I13299:I13299)</f>
        <v>0</v>
      </c>
    </row>
    <row r="13301" spans="3:9" ht="15.75">
      <c r="C13301" s="949"/>
      <c r="D13301" s="946"/>
      <c r="E13301" s="947"/>
      <c r="F13301" s="1054"/>
      <c r="G13301" s="946"/>
      <c r="H13301" s="1031"/>
      <c r="I13301" s="948"/>
    </row>
    <row r="13302" spans="3:9" ht="15.75">
      <c r="C13302" s="945" t="s">
        <v>925</v>
      </c>
      <c r="D13302" s="946"/>
      <c r="E13302" s="947"/>
      <c r="F13302" s="1054"/>
      <c r="G13302" s="946"/>
      <c r="H13302" s="1031"/>
      <c r="I13302" s="948"/>
    </row>
    <row r="13303" spans="3:9" ht="15.75">
      <c r="C13303" s="949" t="s">
        <v>924</v>
      </c>
      <c r="D13303" s="946"/>
      <c r="E13303" s="947" t="str">
        <f>+VLOOKUP(C13303,'Basic (equilibrio) (2)'!B:D,2,FALSE)</f>
        <v>n/a</v>
      </c>
      <c r="F13303" s="1054">
        <f>+VLOOKUP(C13303,'Basic (equilibrio) (2)'!B:D,3,FALSE)</f>
        <v>0</v>
      </c>
      <c r="G13303" s="946"/>
      <c r="H13303" s="1031"/>
      <c r="I13303" s="948">
        <f>D13303*F13303</f>
        <v>0</v>
      </c>
    </row>
    <row r="13304" spans="3:9" ht="15.75">
      <c r="C13304" s="951" t="s">
        <v>918</v>
      </c>
      <c r="D13304" s="946"/>
      <c r="E13304" s="947"/>
      <c r="F13304" s="1054"/>
      <c r="G13304" s="946"/>
      <c r="H13304" s="1031"/>
      <c r="I13304" s="952">
        <f>SUM(I13303)</f>
        <v>0</v>
      </c>
    </row>
    <row r="13305" spans="3:9" ht="15.75">
      <c r="C13305" s="951"/>
      <c r="D13305" s="946"/>
      <c r="E13305" s="947"/>
      <c r="F13305" s="1054"/>
      <c r="G13305" s="946"/>
      <c r="H13305" s="1031"/>
      <c r="I13305" s="952"/>
    </row>
    <row r="13306" spans="3:9" ht="15.75">
      <c r="C13306" s="956" t="s">
        <v>926</v>
      </c>
      <c r="D13306" s="957"/>
      <c r="E13306" s="958"/>
      <c r="F13306" s="1069"/>
      <c r="G13306" s="957"/>
      <c r="H13306" s="1032"/>
      <c r="I13306" s="959">
        <f>+I13292</f>
        <v>93.5</v>
      </c>
    </row>
    <row r="13307" spans="3:9" ht="15.75">
      <c r="C13307" s="956" t="s">
        <v>927</v>
      </c>
      <c r="D13307" s="957"/>
      <c r="E13307" s="958"/>
      <c r="F13307" s="1069"/>
      <c r="G13307" s="957"/>
      <c r="H13307" s="1032"/>
      <c r="I13307" s="959">
        <f>+I13296</f>
        <v>65</v>
      </c>
    </row>
    <row r="13308" spans="3:9" ht="15.75">
      <c r="C13308" s="956" t="s">
        <v>928</v>
      </c>
      <c r="D13308" s="957"/>
      <c r="E13308" s="958"/>
      <c r="F13308" s="1069"/>
      <c r="G13308" s="957"/>
      <c r="H13308" s="1032"/>
      <c r="I13308" s="959">
        <f>+I13300</f>
        <v>0</v>
      </c>
    </row>
    <row r="13309" spans="3:9" ht="15.75">
      <c r="C13309" s="956" t="s">
        <v>929</v>
      </c>
      <c r="D13309" s="957"/>
      <c r="E13309" s="958"/>
      <c r="F13309" s="1069"/>
      <c r="G13309" s="957"/>
      <c r="H13309" s="1032"/>
      <c r="I13309" s="959">
        <f>+I13304</f>
        <v>0</v>
      </c>
    </row>
    <row r="13310" spans="3:9" ht="15.75">
      <c r="C13310" s="949"/>
      <c r="D13310" s="946"/>
      <c r="E13310" s="947"/>
      <c r="F13310" s="1054"/>
      <c r="G13310" s="946"/>
      <c r="H13310" s="1031"/>
      <c r="I13310" s="948"/>
    </row>
    <row r="13311" spans="3:9" ht="15.75">
      <c r="C13311" s="951" t="s">
        <v>930</v>
      </c>
      <c r="D13311" s="960"/>
      <c r="E13311" s="943" t="str">
        <f>+E13287</f>
        <v>M</v>
      </c>
      <c r="F13311" s="1070"/>
      <c r="G13311" s="960"/>
      <c r="H13311" s="1033"/>
      <c r="I13311" s="952">
        <f>SUM(I13306:I13309)</f>
        <v>158.5</v>
      </c>
    </row>
    <row r="13312" spans="3:9" ht="15.75">
      <c r="C13312" s="951"/>
      <c r="D13312" s="960"/>
      <c r="E13312" s="943"/>
      <c r="F13312" s="1070"/>
      <c r="G13312" s="960"/>
      <c r="H13312" s="1033"/>
      <c r="I13312" s="952"/>
    </row>
    <row r="13313" spans="2:9" ht="15.75">
      <c r="B13313" s="1026">
        <v>5.5</v>
      </c>
      <c r="C13313" s="937" t="str">
        <f>+Presupuesto!B760</f>
        <v>Pintura base</v>
      </c>
      <c r="D13313" s="938"/>
      <c r="E13313" s="962" t="s">
        <v>20</v>
      </c>
      <c r="F13313" s="1066"/>
      <c r="G13313" s="938"/>
      <c r="H13313" s="1029"/>
      <c r="I13313" s="940">
        <f>+I13338</f>
        <v>168.47</v>
      </c>
    </row>
    <row r="13314" spans="2:9" ht="15.75">
      <c r="C13314" s="941" t="s">
        <v>908</v>
      </c>
      <c r="D13314" s="942" t="s">
        <v>9</v>
      </c>
      <c r="E13314" s="943" t="s">
        <v>10</v>
      </c>
      <c r="F13314" s="1067" t="s">
        <v>909</v>
      </c>
      <c r="G13314" s="942" t="s">
        <v>910</v>
      </c>
      <c r="H13314" s="1030" t="s">
        <v>911</v>
      </c>
      <c r="I13314" s="944" t="s">
        <v>912</v>
      </c>
    </row>
    <row r="13315" spans="2:9" ht="15.75">
      <c r="C13315" s="945" t="s">
        <v>913</v>
      </c>
      <c r="D13315" s="946"/>
      <c r="E13315" s="947"/>
      <c r="F13315" s="1054"/>
      <c r="G13315" s="946"/>
      <c r="H13315" s="1031"/>
      <c r="I13315" s="948"/>
    </row>
    <row r="13316" spans="2:9" ht="15.75">
      <c r="C13316" s="949" t="s">
        <v>1678</v>
      </c>
      <c r="D13316" s="946">
        <v>0.08</v>
      </c>
      <c r="E13316" s="947" t="s">
        <v>1183</v>
      </c>
      <c r="F13316" s="1068">
        <f>'Basic (equilibrio) (2)'!$D$282</f>
        <v>963.4</v>
      </c>
      <c r="G13316" s="946">
        <f>F13316-(F13316/1.18)</f>
        <v>146.96</v>
      </c>
      <c r="H13316" s="1031"/>
      <c r="I13316" s="948">
        <f>D13316*F13316</f>
        <v>77.069999999999993</v>
      </c>
    </row>
    <row r="13317" spans="2:9" ht="15.75">
      <c r="C13317" s="949" t="s">
        <v>1209</v>
      </c>
      <c r="D13317" s="946">
        <v>82</v>
      </c>
      <c r="E13317" s="947" t="s">
        <v>1025</v>
      </c>
      <c r="F13317" s="1068">
        <v>0.2</v>
      </c>
      <c r="G13317" s="946">
        <f>F13317-(F13317/1.18)</f>
        <v>0.03</v>
      </c>
      <c r="H13317" s="1031"/>
      <c r="I13317" s="948">
        <f>D13317*F13317</f>
        <v>16.399999999999999</v>
      </c>
    </row>
    <row r="13318" spans="2:9" ht="15.75">
      <c r="C13318" s="951" t="s">
        <v>918</v>
      </c>
      <c r="D13318" s="946"/>
      <c r="E13318" s="947"/>
      <c r="F13318" s="1068"/>
      <c r="G13318" s="946"/>
      <c r="H13318" s="1031"/>
      <c r="I13318" s="952">
        <f>SUM(I13316:I13317)</f>
        <v>93.47</v>
      </c>
    </row>
    <row r="13319" spans="2:9" ht="15.75">
      <c r="C13319" s="949"/>
      <c r="D13319" s="946"/>
      <c r="E13319" s="947"/>
      <c r="F13319" s="1068"/>
      <c r="G13319" s="946"/>
      <c r="H13319" s="1031"/>
      <c r="I13319" s="948"/>
    </row>
    <row r="13320" spans="2:9" ht="15.75">
      <c r="C13320" s="945" t="s">
        <v>919</v>
      </c>
      <c r="D13320" s="946"/>
      <c r="E13320" s="947"/>
      <c r="F13320" s="1068"/>
      <c r="G13320" s="946"/>
      <c r="H13320" s="1031"/>
      <c r="I13320" s="948"/>
    </row>
    <row r="13321" spans="2:9" ht="15.75">
      <c r="C13321" s="949" t="s">
        <v>1083</v>
      </c>
      <c r="D13321" s="953">
        <v>1</v>
      </c>
      <c r="E13321" s="954" t="str">
        <f>+VLOOKUP(C13321,'Basic (equilibrio) (2)'!B:D,2,FALSE)</f>
        <v>m2</v>
      </c>
      <c r="F13321" s="1068">
        <f>'Basic (equilibrio) (2)'!$D$34</f>
        <v>10</v>
      </c>
      <c r="G13321" s="946">
        <v>0</v>
      </c>
      <c r="H13321" s="1031"/>
      <c r="I13321" s="948">
        <f>(D13321*F13321)</f>
        <v>10</v>
      </c>
    </row>
    <row r="13322" spans="2:9" ht="15.75">
      <c r="C13322" s="949" t="s">
        <v>1084</v>
      </c>
      <c r="D13322" s="953">
        <v>1</v>
      </c>
      <c r="E13322" s="954" t="str">
        <f>+VLOOKUP(C13322,'Basic (equilibrio) (2)'!B:D,2,FALSE)</f>
        <v>m2</v>
      </c>
      <c r="F13322" s="1068">
        <f>'Basic (equilibrio) (2)'!$D$35</f>
        <v>65</v>
      </c>
      <c r="G13322" s="946">
        <v>0</v>
      </c>
      <c r="H13322" s="1031"/>
      <c r="I13322" s="948">
        <f>(D13322*F13322)</f>
        <v>65</v>
      </c>
    </row>
    <row r="13323" spans="2:9" ht="15.75">
      <c r="C13323" s="951" t="s">
        <v>918</v>
      </c>
      <c r="D13323" s="946"/>
      <c r="E13323" s="947"/>
      <c r="F13323" s="1054"/>
      <c r="G13323" s="946"/>
      <c r="H13323" s="1031"/>
      <c r="I13323" s="952">
        <f>SUM(I13321:I13322)</f>
        <v>75</v>
      </c>
    </row>
    <row r="13324" spans="2:9" ht="15.75">
      <c r="C13324" s="949"/>
      <c r="D13324" s="946"/>
      <c r="E13324" s="947"/>
      <c r="F13324" s="1054"/>
      <c r="G13324" s="946"/>
      <c r="H13324" s="1031"/>
      <c r="I13324" s="948"/>
    </row>
    <row r="13325" spans="2:9" ht="15.75">
      <c r="C13325" s="945" t="s">
        <v>923</v>
      </c>
      <c r="D13325" s="946"/>
      <c r="E13325" s="947"/>
      <c r="F13325" s="1054"/>
      <c r="G13325" s="946"/>
      <c r="H13325" s="1031"/>
      <c r="I13325" s="948"/>
    </row>
    <row r="13326" spans="2:9" ht="15.75">
      <c r="C13326" s="949" t="s">
        <v>924</v>
      </c>
      <c r="D13326" s="946"/>
      <c r="E13326" s="947" t="str">
        <f>+VLOOKUP(C13326,'Basic (equilibrio) (2)'!B:D,2,FALSE)</f>
        <v>n/a</v>
      </c>
      <c r="F13326" s="1054">
        <f>+VLOOKUP(C13326,'Basic (equilibrio) (2)'!B:D,3,FALSE)</f>
        <v>0</v>
      </c>
      <c r="G13326" s="946">
        <f>F13326-(F13326/1.18)</f>
        <v>0</v>
      </c>
      <c r="H13326" s="1039"/>
      <c r="I13326" s="955">
        <f>D13326*F13326</f>
        <v>0</v>
      </c>
    </row>
    <row r="13327" spans="2:9" ht="15.75">
      <c r="C13327" s="951" t="s">
        <v>918</v>
      </c>
      <c r="D13327" s="946"/>
      <c r="E13327" s="947"/>
      <c r="F13327" s="1054"/>
      <c r="G13327" s="946"/>
      <c r="H13327" s="1031"/>
      <c r="I13327" s="952">
        <f>SUM(I13326:I13326)</f>
        <v>0</v>
      </c>
    </row>
    <row r="13328" spans="2:9" ht="15.75">
      <c r="C13328" s="949"/>
      <c r="D13328" s="946"/>
      <c r="E13328" s="947"/>
      <c r="F13328" s="1054"/>
      <c r="G13328" s="946"/>
      <c r="H13328" s="1031"/>
      <c r="I13328" s="948"/>
    </row>
    <row r="13329" spans="2:9" ht="15.75">
      <c r="C13329" s="945" t="s">
        <v>925</v>
      </c>
      <c r="D13329" s="946"/>
      <c r="E13329" s="947"/>
      <c r="F13329" s="1054"/>
      <c r="G13329" s="946"/>
      <c r="H13329" s="1031"/>
      <c r="I13329" s="948"/>
    </row>
    <row r="13330" spans="2:9" ht="15.75">
      <c r="C13330" s="949" t="s">
        <v>924</v>
      </c>
      <c r="D13330" s="946"/>
      <c r="E13330" s="947" t="str">
        <f>+VLOOKUP(C13330,'Basic (equilibrio) (2)'!B:D,2,FALSE)</f>
        <v>n/a</v>
      </c>
      <c r="F13330" s="1054">
        <f>+VLOOKUP(C13330,'Basic (equilibrio) (2)'!B:D,3,FALSE)</f>
        <v>0</v>
      </c>
      <c r="G13330" s="946"/>
      <c r="H13330" s="1031"/>
      <c r="I13330" s="948">
        <f>D13330*F13330</f>
        <v>0</v>
      </c>
    </row>
    <row r="13331" spans="2:9" ht="15.75">
      <c r="C13331" s="951" t="s">
        <v>918</v>
      </c>
      <c r="D13331" s="946"/>
      <c r="E13331" s="947"/>
      <c r="F13331" s="1054"/>
      <c r="G13331" s="946"/>
      <c r="H13331" s="1031"/>
      <c r="I13331" s="952">
        <f>SUM(I13330)</f>
        <v>0</v>
      </c>
    </row>
    <row r="13332" spans="2:9" ht="15.75">
      <c r="C13332" s="951"/>
      <c r="D13332" s="946"/>
      <c r="E13332" s="947"/>
      <c r="F13332" s="1054"/>
      <c r="G13332" s="946"/>
      <c r="H13332" s="1031"/>
      <c r="I13332" s="952"/>
    </row>
    <row r="13333" spans="2:9" ht="15.75">
      <c r="C13333" s="956" t="s">
        <v>926</v>
      </c>
      <c r="D13333" s="957"/>
      <c r="E13333" s="958"/>
      <c r="F13333" s="1069"/>
      <c r="G13333" s="957"/>
      <c r="H13333" s="1032"/>
      <c r="I13333" s="959">
        <f>+I13318</f>
        <v>93.47</v>
      </c>
    </row>
    <row r="13334" spans="2:9" ht="15.75">
      <c r="C13334" s="956" t="s">
        <v>927</v>
      </c>
      <c r="D13334" s="957"/>
      <c r="E13334" s="958"/>
      <c r="F13334" s="1069"/>
      <c r="G13334" s="957"/>
      <c r="H13334" s="1032"/>
      <c r="I13334" s="959">
        <f>+I13323</f>
        <v>75</v>
      </c>
    </row>
    <row r="13335" spans="2:9" ht="15.75">
      <c r="C13335" s="956" t="s">
        <v>928</v>
      </c>
      <c r="D13335" s="957"/>
      <c r="E13335" s="958"/>
      <c r="F13335" s="1069"/>
      <c r="G13335" s="957"/>
      <c r="H13335" s="1032"/>
      <c r="I13335" s="959">
        <f>+I13327</f>
        <v>0</v>
      </c>
    </row>
    <row r="13336" spans="2:9" ht="15.75">
      <c r="C13336" s="956" t="s">
        <v>929</v>
      </c>
      <c r="D13336" s="957"/>
      <c r="E13336" s="958"/>
      <c r="F13336" s="1069"/>
      <c r="G13336" s="957"/>
      <c r="H13336" s="1032"/>
      <c r="I13336" s="959">
        <f>+I13331</f>
        <v>0</v>
      </c>
    </row>
    <row r="13337" spans="2:9" ht="15.75">
      <c r="C13337" s="949"/>
      <c r="D13337" s="946"/>
      <c r="E13337" s="947"/>
      <c r="F13337" s="1054"/>
      <c r="G13337" s="946"/>
      <c r="H13337" s="1031"/>
      <c r="I13337" s="948"/>
    </row>
    <row r="13338" spans="2:9" ht="15.75">
      <c r="C13338" s="951" t="s">
        <v>930</v>
      </c>
      <c r="D13338" s="960"/>
      <c r="E13338" s="975" t="str">
        <f>+E13313</f>
        <v>M2</v>
      </c>
      <c r="F13338" s="1070"/>
      <c r="G13338" s="960"/>
      <c r="H13338" s="1033"/>
      <c r="I13338" s="952">
        <f>SUM(I13333:I13336)</f>
        <v>168.47</v>
      </c>
    </row>
    <row r="13339" spans="2:9" ht="15.75">
      <c r="C13339" s="951"/>
      <c r="D13339" s="960"/>
      <c r="E13339" s="943"/>
      <c r="F13339" s="1070"/>
      <c r="G13339" s="960"/>
      <c r="H13339" s="1033"/>
      <c r="I13339" s="952"/>
    </row>
    <row r="13340" spans="2:9" ht="15.75">
      <c r="B13340" s="1026">
        <v>5.6</v>
      </c>
      <c r="C13340" s="937" t="str">
        <f>+Presupuesto!B761</f>
        <v>Pintura acrílica</v>
      </c>
      <c r="D13340" s="938"/>
      <c r="E13340" s="962" t="s">
        <v>20</v>
      </c>
      <c r="F13340" s="1066"/>
      <c r="G13340" s="938"/>
      <c r="H13340" s="1029"/>
      <c r="I13340" s="940">
        <f>+I13365</f>
        <v>168.48</v>
      </c>
    </row>
    <row r="13341" spans="2:9" ht="15.75">
      <c r="C13341" s="941" t="s">
        <v>908</v>
      </c>
      <c r="D13341" s="942" t="s">
        <v>9</v>
      </c>
      <c r="E13341" s="943" t="s">
        <v>10</v>
      </c>
      <c r="F13341" s="1067" t="s">
        <v>909</v>
      </c>
      <c r="G13341" s="942" t="s">
        <v>910</v>
      </c>
      <c r="H13341" s="1030" t="s">
        <v>911</v>
      </c>
      <c r="I13341" s="944" t="s">
        <v>912</v>
      </c>
    </row>
    <row r="13342" spans="2:9" ht="15.75">
      <c r="C13342" s="945" t="s">
        <v>913</v>
      </c>
      <c r="D13342" s="946"/>
      <c r="E13342" s="947"/>
      <c r="F13342" s="1054"/>
      <c r="G13342" s="946"/>
      <c r="H13342" s="1031"/>
      <c r="I13342" s="948"/>
    </row>
    <row r="13343" spans="2:9" ht="15.75">
      <c r="C13343" s="949" t="s">
        <v>1208</v>
      </c>
      <c r="D13343" s="946">
        <v>0.08</v>
      </c>
      <c r="E13343" s="947" t="s">
        <v>1183</v>
      </c>
      <c r="F13343" s="1068">
        <f>'Basic (equilibrio) (2)'!$D$311</f>
        <v>963.5</v>
      </c>
      <c r="G13343" s="946">
        <f>F13343-(F13343/1.18)</f>
        <v>146.97</v>
      </c>
      <c r="H13343" s="1031"/>
      <c r="I13343" s="948">
        <f>D13343*F13343</f>
        <v>77.08</v>
      </c>
    </row>
    <row r="13344" spans="2:9" ht="15.75">
      <c r="C13344" s="949" t="s">
        <v>1209</v>
      </c>
      <c r="D13344" s="946">
        <v>82</v>
      </c>
      <c r="E13344" s="947" t="s">
        <v>1025</v>
      </c>
      <c r="F13344" s="1068">
        <v>0.2</v>
      </c>
      <c r="G13344" s="946">
        <f>F13344-(F13344/1.18)</f>
        <v>0.03</v>
      </c>
      <c r="H13344" s="1031"/>
      <c r="I13344" s="948">
        <f>D13344*F13344</f>
        <v>16.399999999999999</v>
      </c>
    </row>
    <row r="13345" spans="3:9" ht="15.75">
      <c r="C13345" s="951" t="s">
        <v>918</v>
      </c>
      <c r="D13345" s="946"/>
      <c r="E13345" s="947"/>
      <c r="F13345" s="1068"/>
      <c r="G13345" s="946"/>
      <c r="H13345" s="1031"/>
      <c r="I13345" s="952">
        <f>SUM(I13343:I13344)</f>
        <v>93.48</v>
      </c>
    </row>
    <row r="13346" spans="3:9" ht="15.75">
      <c r="C13346" s="949"/>
      <c r="D13346" s="946"/>
      <c r="E13346" s="947"/>
      <c r="F13346" s="1068"/>
      <c r="G13346" s="946"/>
      <c r="H13346" s="1031"/>
      <c r="I13346" s="948"/>
    </row>
    <row r="13347" spans="3:9" ht="15.75">
      <c r="C13347" s="945" t="s">
        <v>919</v>
      </c>
      <c r="D13347" s="946"/>
      <c r="E13347" s="947"/>
      <c r="F13347" s="1068"/>
      <c r="G13347" s="946"/>
      <c r="H13347" s="1031"/>
      <c r="I13347" s="948"/>
    </row>
    <row r="13348" spans="3:9" ht="15.75">
      <c r="C13348" s="949" t="s">
        <v>1083</v>
      </c>
      <c r="D13348" s="953">
        <v>1</v>
      </c>
      <c r="E13348" s="954" t="str">
        <f>+VLOOKUP(C13348,'Basic (equilibrio) (2)'!B:D,2,FALSE)</f>
        <v>m2</v>
      </c>
      <c r="F13348" s="1068">
        <f>'Basic (equilibrio) (2)'!$D$34</f>
        <v>10</v>
      </c>
      <c r="G13348" s="946">
        <v>0</v>
      </c>
      <c r="H13348" s="1031"/>
      <c r="I13348" s="948">
        <f>(D13348*F13348)</f>
        <v>10</v>
      </c>
    </row>
    <row r="13349" spans="3:9" ht="15.75">
      <c r="C13349" s="949" t="s">
        <v>1084</v>
      </c>
      <c r="D13349" s="953">
        <v>1</v>
      </c>
      <c r="E13349" s="954" t="str">
        <f>+VLOOKUP(C13349,'Basic (equilibrio) (2)'!B:D,2,FALSE)</f>
        <v>m2</v>
      </c>
      <c r="F13349" s="1068">
        <f>'Basic (equilibrio) (2)'!$D$35</f>
        <v>65</v>
      </c>
      <c r="G13349" s="946">
        <v>0</v>
      </c>
      <c r="H13349" s="1031"/>
      <c r="I13349" s="948">
        <f>(D13349*F13349)</f>
        <v>65</v>
      </c>
    </row>
    <row r="13350" spans="3:9" ht="15.75">
      <c r="C13350" s="951" t="s">
        <v>918</v>
      </c>
      <c r="D13350" s="946"/>
      <c r="E13350" s="947"/>
      <c r="F13350" s="1054"/>
      <c r="G13350" s="946"/>
      <c r="H13350" s="1031"/>
      <c r="I13350" s="952">
        <f>SUM(I13348:I13349)</f>
        <v>75</v>
      </c>
    </row>
    <row r="13351" spans="3:9" ht="15.75">
      <c r="C13351" s="949"/>
      <c r="D13351" s="946"/>
      <c r="E13351" s="947"/>
      <c r="F13351" s="1054"/>
      <c r="G13351" s="946"/>
      <c r="H13351" s="1031"/>
      <c r="I13351" s="948"/>
    </row>
    <row r="13352" spans="3:9" ht="15.75">
      <c r="C13352" s="945" t="s">
        <v>923</v>
      </c>
      <c r="D13352" s="946"/>
      <c r="E13352" s="947"/>
      <c r="F13352" s="1054"/>
      <c r="G13352" s="946"/>
      <c r="H13352" s="1031"/>
      <c r="I13352" s="948"/>
    </row>
    <row r="13353" spans="3:9" ht="15.75">
      <c r="C13353" s="949" t="s">
        <v>924</v>
      </c>
      <c r="D13353" s="946"/>
      <c r="E13353" s="947" t="str">
        <f>+VLOOKUP(C13353,'Basic (equilibrio) (2)'!B:D,2,FALSE)</f>
        <v>n/a</v>
      </c>
      <c r="F13353" s="1054">
        <f>+VLOOKUP(C13353,'Basic (equilibrio) (2)'!B:D,3,FALSE)</f>
        <v>0</v>
      </c>
      <c r="G13353" s="946">
        <f>F13353-(F13353/1.18)</f>
        <v>0</v>
      </c>
      <c r="H13353" s="1039"/>
      <c r="I13353" s="955">
        <f>D13353*F13353</f>
        <v>0</v>
      </c>
    </row>
    <row r="13354" spans="3:9" ht="15.75">
      <c r="C13354" s="951" t="s">
        <v>918</v>
      </c>
      <c r="D13354" s="946"/>
      <c r="E13354" s="947"/>
      <c r="F13354" s="1054"/>
      <c r="G13354" s="946"/>
      <c r="H13354" s="1031"/>
      <c r="I13354" s="952">
        <f>SUM(I13353:I13353)</f>
        <v>0</v>
      </c>
    </row>
    <row r="13355" spans="3:9" ht="15.75">
      <c r="C13355" s="949"/>
      <c r="D13355" s="946"/>
      <c r="E13355" s="947"/>
      <c r="F13355" s="1054"/>
      <c r="G13355" s="946"/>
      <c r="H13355" s="1031"/>
      <c r="I13355" s="948"/>
    </row>
    <row r="13356" spans="3:9" ht="15.75">
      <c r="C13356" s="945" t="s">
        <v>925</v>
      </c>
      <c r="D13356" s="946"/>
      <c r="E13356" s="947"/>
      <c r="F13356" s="1054"/>
      <c r="G13356" s="946"/>
      <c r="H13356" s="1031"/>
      <c r="I13356" s="948"/>
    </row>
    <row r="13357" spans="3:9" ht="15.75">
      <c r="C13357" s="949" t="s">
        <v>924</v>
      </c>
      <c r="D13357" s="946"/>
      <c r="E13357" s="947" t="str">
        <f>+VLOOKUP(C13357,'Basic (equilibrio) (2)'!B:D,2,FALSE)</f>
        <v>n/a</v>
      </c>
      <c r="F13357" s="1054">
        <f>+VLOOKUP(C13357,'Basic (equilibrio) (2)'!B:D,3,FALSE)</f>
        <v>0</v>
      </c>
      <c r="G13357" s="946"/>
      <c r="H13357" s="1031"/>
      <c r="I13357" s="948">
        <f>D13357*F13357</f>
        <v>0</v>
      </c>
    </row>
    <row r="13358" spans="3:9" ht="15.75">
      <c r="C13358" s="951" t="s">
        <v>918</v>
      </c>
      <c r="D13358" s="946"/>
      <c r="E13358" s="947"/>
      <c r="F13358" s="1054"/>
      <c r="G13358" s="946"/>
      <c r="H13358" s="1031"/>
      <c r="I13358" s="952">
        <f>SUM(I13357)</f>
        <v>0</v>
      </c>
    </row>
    <row r="13359" spans="3:9" ht="15.75">
      <c r="C13359" s="951"/>
      <c r="D13359" s="946"/>
      <c r="E13359" s="947"/>
      <c r="F13359" s="1054"/>
      <c r="G13359" s="946"/>
      <c r="H13359" s="1031"/>
      <c r="I13359" s="952"/>
    </row>
    <row r="13360" spans="3:9" ht="15.75">
      <c r="C13360" s="956" t="s">
        <v>926</v>
      </c>
      <c r="D13360" s="957"/>
      <c r="E13360" s="958"/>
      <c r="F13360" s="1069"/>
      <c r="G13360" s="957"/>
      <c r="H13360" s="1032"/>
      <c r="I13360" s="959">
        <f>+I13345</f>
        <v>93.48</v>
      </c>
    </row>
    <row r="13361" spans="2:9" ht="15.75">
      <c r="C13361" s="956" t="s">
        <v>927</v>
      </c>
      <c r="D13361" s="957"/>
      <c r="E13361" s="958"/>
      <c r="F13361" s="1069"/>
      <c r="G13361" s="957"/>
      <c r="H13361" s="1032"/>
      <c r="I13361" s="959">
        <f>+I13350</f>
        <v>75</v>
      </c>
    </row>
    <row r="13362" spans="2:9" ht="15.75">
      <c r="C13362" s="956" t="s">
        <v>928</v>
      </c>
      <c r="D13362" s="957"/>
      <c r="E13362" s="958"/>
      <c r="F13362" s="1069"/>
      <c r="G13362" s="957"/>
      <c r="H13362" s="1032"/>
      <c r="I13362" s="959">
        <f>+I13354</f>
        <v>0</v>
      </c>
    </row>
    <row r="13363" spans="2:9" ht="15.75">
      <c r="C13363" s="956" t="s">
        <v>929</v>
      </c>
      <c r="D13363" s="957"/>
      <c r="E13363" s="958"/>
      <c r="F13363" s="1069"/>
      <c r="G13363" s="957"/>
      <c r="H13363" s="1032"/>
      <c r="I13363" s="959">
        <f>+I13358</f>
        <v>0</v>
      </c>
    </row>
    <row r="13364" spans="2:9" ht="15.75">
      <c r="C13364" s="949"/>
      <c r="D13364" s="946"/>
      <c r="E13364" s="947"/>
      <c r="F13364" s="1054"/>
      <c r="G13364" s="946"/>
      <c r="H13364" s="1031"/>
      <c r="I13364" s="948"/>
    </row>
    <row r="13365" spans="2:9" ht="15.75">
      <c r="C13365" s="951" t="s">
        <v>930</v>
      </c>
      <c r="D13365" s="960"/>
      <c r="E13365" s="975" t="str">
        <f>+E13340</f>
        <v>M2</v>
      </c>
      <c r="F13365" s="1070"/>
      <c r="G13365" s="960"/>
      <c r="H13365" s="1033"/>
      <c r="I13365" s="952">
        <f>SUM(I13360:I13363)</f>
        <v>168.48</v>
      </c>
    </row>
    <row r="13366" spans="2:9" ht="15.75">
      <c r="C13366" s="951"/>
      <c r="D13366" s="960"/>
      <c r="E13366" s="943"/>
      <c r="F13366" s="1070"/>
      <c r="G13366" s="960"/>
      <c r="H13366" s="1033"/>
      <c r="I13366" s="952"/>
    </row>
    <row r="13367" spans="2:9" ht="15.75">
      <c r="B13367" s="1026">
        <v>5.7</v>
      </c>
      <c r="C13367" s="937" t="str">
        <f>+Presupuesto!B762</f>
        <v>Antepecho</v>
      </c>
      <c r="D13367" s="938"/>
      <c r="E13367" s="962" t="s">
        <v>1045</v>
      </c>
      <c r="F13367" s="1066"/>
      <c r="G13367" s="938"/>
      <c r="H13367" s="1029"/>
      <c r="I13367" s="940">
        <f>+I13399</f>
        <v>336.93</v>
      </c>
    </row>
    <row r="13368" spans="2:9" ht="15.75">
      <c r="C13368" s="941" t="s">
        <v>908</v>
      </c>
      <c r="D13368" s="942" t="s">
        <v>9</v>
      </c>
      <c r="E13368" s="943" t="s">
        <v>10</v>
      </c>
      <c r="F13368" s="1067" t="s">
        <v>909</v>
      </c>
      <c r="G13368" s="942" t="s">
        <v>910</v>
      </c>
      <c r="H13368" s="1030" t="s">
        <v>911</v>
      </c>
      <c r="I13368" s="944" t="s">
        <v>912</v>
      </c>
    </row>
    <row r="13369" spans="2:9" ht="15.75">
      <c r="C13369" s="945" t="s">
        <v>913</v>
      </c>
      <c r="D13369" s="946"/>
      <c r="E13369" s="947"/>
      <c r="F13369" s="1054"/>
      <c r="G13369" s="946"/>
      <c r="H13369" s="1031"/>
      <c r="I13369" s="948"/>
    </row>
    <row r="13370" spans="2:9" ht="15.75">
      <c r="C13370" s="949" t="s">
        <v>1578</v>
      </c>
      <c r="D13370" s="946">
        <v>11.61</v>
      </c>
      <c r="E13370" s="947" t="str">
        <f>+VLOOKUP(C13370,'Basic (equilibrio) (2)'!B:D,2,FALSE)</f>
        <v>ud</v>
      </c>
      <c r="F13370" s="1068">
        <f>'Basic (equilibrio) (2)'!$D$301</f>
        <v>33.299999999999997</v>
      </c>
      <c r="G13370" s="946">
        <f t="shared" ref="G13370:G13375" si="95">F13370-(F13370/1.18)</f>
        <v>5.08</v>
      </c>
      <c r="H13370" s="1031"/>
      <c r="I13370" s="948">
        <f t="shared" ref="I13370:I13375" si="96">D13370*F13370</f>
        <v>386.61</v>
      </c>
    </row>
    <row r="13371" spans="2:9" ht="15.75">
      <c r="C13371" s="949" t="s">
        <v>1579</v>
      </c>
      <c r="D13371" s="946">
        <v>11.61</v>
      </c>
      <c r="E13371" s="947" t="str">
        <f>+VLOOKUP(C13371,'Basic (equilibrio) (2)'!B:D,2,FALSE)</f>
        <v>ud</v>
      </c>
      <c r="F13371" s="1068">
        <f>'Basic (equilibrio) (2)'!$D$304</f>
        <v>2.2999999999999998</v>
      </c>
      <c r="G13371" s="946">
        <f t="shared" si="95"/>
        <v>0.35</v>
      </c>
      <c r="H13371" s="1031"/>
      <c r="I13371" s="948">
        <f t="shared" si="96"/>
        <v>26.7</v>
      </c>
    </row>
    <row r="13372" spans="2:9" ht="15.75">
      <c r="C13372" s="949" t="s">
        <v>1204</v>
      </c>
      <c r="D13372" s="946">
        <v>0.04</v>
      </c>
      <c r="E13372" s="947" t="str">
        <f>+VLOOKUP(C13372,'Basic (equilibrio) (2)'!B:D,2,FALSE)</f>
        <v>m3</v>
      </c>
      <c r="F13372" s="1068">
        <f>'Basic (equilibrio) (2)'!$D$307</f>
        <v>6174</v>
      </c>
      <c r="G13372" s="946">
        <f t="shared" si="95"/>
        <v>941.8</v>
      </c>
      <c r="H13372" s="1031"/>
      <c r="I13372" s="948">
        <f t="shared" si="96"/>
        <v>246.96</v>
      </c>
    </row>
    <row r="13373" spans="2:9" ht="15.75">
      <c r="C13373" s="949" t="s">
        <v>1205</v>
      </c>
      <c r="D13373" s="946">
        <v>0.04</v>
      </c>
      <c r="E13373" s="947" t="str">
        <f>+VLOOKUP(C13373,'Basic (equilibrio) (2)'!B:D,2,FALSE)</f>
        <v>m3</v>
      </c>
      <c r="F13373" s="1068">
        <f>'Basic (equilibrio) (2)'!$D$308</f>
        <v>5985</v>
      </c>
      <c r="G13373" s="946">
        <f t="shared" si="95"/>
        <v>912.97</v>
      </c>
      <c r="H13373" s="1031"/>
      <c r="I13373" s="948">
        <f t="shared" si="96"/>
        <v>239.4</v>
      </c>
    </row>
    <row r="13374" spans="2:9" ht="15.75">
      <c r="C13374" s="949" t="s">
        <v>1188</v>
      </c>
      <c r="D13374" s="946">
        <v>0.04</v>
      </c>
      <c r="E13374" s="947" t="str">
        <f>+VLOOKUP(C13374,'Basic (equilibrio) (2)'!B:D,2,FALSE)</f>
        <v>qq</v>
      </c>
      <c r="F13374" s="1068">
        <f>'Basic (equilibrio) (2)'!$D$183</f>
        <v>3600</v>
      </c>
      <c r="G13374" s="946">
        <f t="shared" si="95"/>
        <v>549.15</v>
      </c>
      <c r="H13374" s="1031"/>
      <c r="I13374" s="948">
        <f t="shared" si="96"/>
        <v>144</v>
      </c>
    </row>
    <row r="13375" spans="2:9" ht="15.75">
      <c r="C13375" s="949" t="s">
        <v>1328</v>
      </c>
      <c r="D13375" s="946">
        <v>7.0000000000000007E-2</v>
      </c>
      <c r="E13375" s="947" t="str">
        <f>+VLOOKUP(C13375,'Basic (equilibrio) (2)'!B:D,2,FALSE)</f>
        <v>lb</v>
      </c>
      <c r="F13375" s="1068">
        <f>'Basic (equilibrio) (2)'!$D$334</f>
        <v>31.1</v>
      </c>
      <c r="G13375" s="946">
        <f t="shared" si="95"/>
        <v>4.74</v>
      </c>
      <c r="H13375" s="1031"/>
      <c r="I13375" s="948">
        <f t="shared" si="96"/>
        <v>2.1800000000000002</v>
      </c>
    </row>
    <row r="13376" spans="2:9" ht="15.75">
      <c r="C13376" s="951" t="s">
        <v>918</v>
      </c>
      <c r="D13376" s="946"/>
      <c r="E13376" s="947"/>
      <c r="F13376" s="1068"/>
      <c r="G13376" s="946"/>
      <c r="H13376" s="1031"/>
      <c r="I13376" s="952">
        <f>SUM(I13370:I13375)</f>
        <v>1045.8499999999999</v>
      </c>
    </row>
    <row r="13377" spans="3:9" ht="15.75">
      <c r="C13377" s="949"/>
      <c r="D13377" s="946"/>
      <c r="E13377" s="947"/>
      <c r="F13377" s="1068"/>
      <c r="G13377" s="946"/>
      <c r="H13377" s="1031"/>
      <c r="I13377" s="948"/>
    </row>
    <row r="13378" spans="3:9" ht="15.75">
      <c r="C13378" s="945" t="s">
        <v>919</v>
      </c>
      <c r="D13378" s="946"/>
      <c r="E13378" s="947"/>
      <c r="F13378" s="1068"/>
      <c r="G13378" s="946"/>
      <c r="H13378" s="1031"/>
      <c r="I13378" s="948"/>
    </row>
    <row r="13379" spans="3:9" ht="15.75">
      <c r="C13379" s="949" t="s">
        <v>1074</v>
      </c>
      <c r="D13379" s="953">
        <v>11.61</v>
      </c>
      <c r="E13379" s="954" t="str">
        <f>+VLOOKUP(C13379,'Basic (equilibrio) (2)'!B:D,2,FALSE)</f>
        <v>ud</v>
      </c>
      <c r="F13379" s="1068">
        <f>'Basic (equilibrio) (2)'!$D$26</f>
        <v>1</v>
      </c>
      <c r="G13379" s="946">
        <v>0</v>
      </c>
      <c r="H13379" s="1031"/>
      <c r="I13379" s="948">
        <f>(D13379*F13379)</f>
        <v>11.61</v>
      </c>
    </row>
    <row r="13380" spans="3:9" ht="15.75">
      <c r="C13380" s="949" t="s">
        <v>1075</v>
      </c>
      <c r="D13380" s="953">
        <v>11.61</v>
      </c>
      <c r="E13380" s="954" t="str">
        <f>+VLOOKUP(C13380,'Basic (equilibrio) (2)'!B:D,2,FALSE)</f>
        <v>ud</v>
      </c>
      <c r="F13380" s="1068">
        <f>'Basic (equilibrio) (2)'!$D$27</f>
        <v>3</v>
      </c>
      <c r="G13380" s="946">
        <v>0</v>
      </c>
      <c r="H13380" s="1031"/>
      <c r="I13380" s="948">
        <f>(D13380*F13380)</f>
        <v>34.83</v>
      </c>
    </row>
    <row r="13381" spans="3:9" ht="15.75">
      <c r="C13381" s="949" t="s">
        <v>1077</v>
      </c>
      <c r="D13381" s="953">
        <v>11.61</v>
      </c>
      <c r="E13381" s="954" t="str">
        <f>+VLOOKUP(C13381,'Basic (equilibrio) (2)'!B:D,2,FALSE)</f>
        <v>ud</v>
      </c>
      <c r="F13381" s="1068">
        <f>'Basic (equilibrio) (2)'!$D$29</f>
        <v>22</v>
      </c>
      <c r="G13381" s="946">
        <v>0</v>
      </c>
      <c r="H13381" s="1031"/>
      <c r="I13381" s="948">
        <f>(D13381*F13381)</f>
        <v>255.42</v>
      </c>
    </row>
    <row r="13382" spans="3:9" ht="15.75">
      <c r="C13382" s="951" t="s">
        <v>918</v>
      </c>
      <c r="D13382" s="946"/>
      <c r="E13382" s="947"/>
      <c r="F13382" s="1054"/>
      <c r="G13382" s="946"/>
      <c r="H13382" s="1031"/>
      <c r="I13382" s="952">
        <f>SUM(I13379:I13381)</f>
        <v>301.86</v>
      </c>
    </row>
    <row r="13383" spans="3:9" ht="15.75">
      <c r="C13383" s="949"/>
      <c r="D13383" s="946"/>
      <c r="E13383" s="947"/>
      <c r="F13383" s="1054"/>
      <c r="G13383" s="946"/>
      <c r="H13383" s="1031"/>
      <c r="I13383" s="948"/>
    </row>
    <row r="13384" spans="3:9" ht="15.75">
      <c r="C13384" s="945" t="s">
        <v>923</v>
      </c>
      <c r="D13384" s="946"/>
      <c r="E13384" s="947"/>
      <c r="F13384" s="1054"/>
      <c r="G13384" s="946"/>
      <c r="H13384" s="1031"/>
      <c r="I13384" s="948"/>
    </row>
    <row r="13385" spans="3:9" ht="15.75">
      <c r="C13385" s="949" t="s">
        <v>924</v>
      </c>
      <c r="D13385" s="946"/>
      <c r="E13385" s="947" t="str">
        <f>+VLOOKUP(C13385,'Basic (equilibrio) (2)'!B:D,2,FALSE)</f>
        <v>n/a</v>
      </c>
      <c r="F13385" s="1054">
        <f>+VLOOKUP(C13385,'Basic (equilibrio) (2)'!B:D,3,FALSE)</f>
        <v>0</v>
      </c>
      <c r="G13385" s="946">
        <f>F13385-(F13385/1.18)</f>
        <v>0</v>
      </c>
      <c r="H13385" s="1039"/>
      <c r="I13385" s="955">
        <f>D13385*F13385</f>
        <v>0</v>
      </c>
    </row>
    <row r="13386" spans="3:9" ht="15.75">
      <c r="C13386" s="951" t="s">
        <v>918</v>
      </c>
      <c r="D13386" s="946"/>
      <c r="E13386" s="947"/>
      <c r="F13386" s="1054"/>
      <c r="G13386" s="946"/>
      <c r="H13386" s="1031"/>
      <c r="I13386" s="952">
        <f>SUM(I13385:I13385)</f>
        <v>0</v>
      </c>
    </row>
    <row r="13387" spans="3:9" ht="15.75">
      <c r="C13387" s="949"/>
      <c r="D13387" s="946"/>
      <c r="E13387" s="947"/>
      <c r="F13387" s="1054"/>
      <c r="G13387" s="946"/>
      <c r="H13387" s="1031"/>
      <c r="I13387" s="948"/>
    </row>
    <row r="13388" spans="3:9" ht="15.75">
      <c r="C13388" s="945" t="s">
        <v>925</v>
      </c>
      <c r="D13388" s="946"/>
      <c r="E13388" s="947"/>
      <c r="F13388" s="1054"/>
      <c r="G13388" s="946"/>
      <c r="H13388" s="1031"/>
      <c r="I13388" s="948"/>
    </row>
    <row r="13389" spans="3:9" ht="15.75">
      <c r="C13389" s="949" t="s">
        <v>924</v>
      </c>
      <c r="D13389" s="946"/>
      <c r="E13389" s="947" t="str">
        <f>+VLOOKUP(C13389,'Basic (equilibrio) (2)'!B:D,2,FALSE)</f>
        <v>n/a</v>
      </c>
      <c r="F13389" s="1054">
        <f>+VLOOKUP(C13389,'Basic (equilibrio) (2)'!B:D,3,FALSE)</f>
        <v>0</v>
      </c>
      <c r="G13389" s="946"/>
      <c r="H13389" s="1031"/>
      <c r="I13389" s="948">
        <f>D13389*F13389</f>
        <v>0</v>
      </c>
    </row>
    <row r="13390" spans="3:9" ht="15.75">
      <c r="C13390" s="951" t="s">
        <v>918</v>
      </c>
      <c r="D13390" s="946"/>
      <c r="E13390" s="947"/>
      <c r="F13390" s="1054"/>
      <c r="G13390" s="946"/>
      <c r="H13390" s="1031"/>
      <c r="I13390" s="952">
        <f>SUM(I13389)</f>
        <v>0</v>
      </c>
    </row>
    <row r="13391" spans="3:9" ht="15.75">
      <c r="C13391" s="951"/>
      <c r="D13391" s="946"/>
      <c r="E13391" s="947"/>
      <c r="F13391" s="1054"/>
      <c r="G13391" s="946"/>
      <c r="H13391" s="1031"/>
      <c r="I13391" s="952"/>
    </row>
    <row r="13392" spans="3:9" ht="15.75">
      <c r="C13392" s="956" t="s">
        <v>926</v>
      </c>
      <c r="D13392" s="957"/>
      <c r="E13392" s="958"/>
      <c r="F13392" s="1069"/>
      <c r="G13392" s="957"/>
      <c r="H13392" s="1032"/>
      <c r="I13392" s="959">
        <f>+I13376</f>
        <v>1045.8499999999999</v>
      </c>
    </row>
    <row r="13393" spans="2:9" ht="15.75">
      <c r="C13393" s="956" t="s">
        <v>927</v>
      </c>
      <c r="D13393" s="957"/>
      <c r="E13393" s="958"/>
      <c r="F13393" s="1069"/>
      <c r="G13393" s="957"/>
      <c r="H13393" s="1032"/>
      <c r="I13393" s="959">
        <f>+I13382</f>
        <v>301.86</v>
      </c>
    </row>
    <row r="13394" spans="2:9" ht="15.75">
      <c r="C13394" s="956" t="s">
        <v>928</v>
      </c>
      <c r="D13394" s="957"/>
      <c r="E13394" s="958"/>
      <c r="F13394" s="1069"/>
      <c r="G13394" s="957"/>
      <c r="H13394" s="1032"/>
      <c r="I13394" s="959">
        <f>+I13386</f>
        <v>0</v>
      </c>
    </row>
    <row r="13395" spans="2:9" ht="15.75">
      <c r="C13395" s="956" t="s">
        <v>929</v>
      </c>
      <c r="D13395" s="957"/>
      <c r="E13395" s="958"/>
      <c r="F13395" s="1069"/>
      <c r="G13395" s="957"/>
      <c r="H13395" s="1032"/>
      <c r="I13395" s="959">
        <f>+I13390</f>
        <v>0</v>
      </c>
    </row>
    <row r="13396" spans="2:9" ht="15.75">
      <c r="C13396" s="949"/>
      <c r="D13396" s="946"/>
      <c r="E13396" s="947"/>
      <c r="F13396" s="1054"/>
      <c r="G13396" s="946"/>
      <c r="H13396" s="1031"/>
      <c r="I13396" s="948"/>
    </row>
    <row r="13397" spans="2:9" ht="15.75">
      <c r="C13397" s="949"/>
      <c r="D13397" s="946"/>
      <c r="E13397" s="947"/>
      <c r="F13397" s="1054"/>
      <c r="G13397" s="946"/>
      <c r="H13397" s="1031"/>
      <c r="I13397" s="948"/>
    </row>
    <row r="13398" spans="2:9" ht="15.75">
      <c r="C13398" s="951" t="s">
        <v>930</v>
      </c>
      <c r="D13398" s="960">
        <v>4</v>
      </c>
      <c r="E13398" s="943" t="s">
        <v>1656</v>
      </c>
      <c r="F13398" s="1070"/>
      <c r="G13398" s="960"/>
      <c r="H13398" s="1033"/>
      <c r="I13398" s="952">
        <f>SUM(I13392:I13395)</f>
        <v>1347.71</v>
      </c>
    </row>
    <row r="13399" spans="2:9" ht="15.75">
      <c r="C13399" s="951"/>
      <c r="D13399" s="960"/>
      <c r="E13399" s="943" t="s">
        <v>1045</v>
      </c>
      <c r="F13399" s="1070"/>
      <c r="G13399" s="960"/>
      <c r="H13399" s="1033"/>
      <c r="I13399" s="952">
        <f>+I13398/D13398</f>
        <v>336.93</v>
      </c>
    </row>
    <row r="13400" spans="2:9" ht="15.75">
      <c r="C13400" s="951"/>
      <c r="D13400" s="960"/>
      <c r="E13400" s="943"/>
      <c r="F13400" s="1070"/>
      <c r="G13400" s="960"/>
      <c r="H13400" s="1033"/>
      <c r="I13400" s="952"/>
    </row>
    <row r="13401" spans="2:9" ht="15.75">
      <c r="B13401" s="1026">
        <v>5.8</v>
      </c>
      <c r="C13401" s="937" t="str">
        <f>+Presupuesto!B763</f>
        <v>Fino de techo</v>
      </c>
      <c r="D13401" s="938"/>
      <c r="E13401" s="962" t="s">
        <v>20</v>
      </c>
      <c r="F13401" s="1066"/>
      <c r="G13401" s="938"/>
      <c r="H13401" s="1029"/>
      <c r="I13401" s="940">
        <f>+I13430</f>
        <v>578.22</v>
      </c>
    </row>
    <row r="13402" spans="2:9" ht="15.75">
      <c r="C13402" s="941" t="s">
        <v>908</v>
      </c>
      <c r="D13402" s="942" t="s">
        <v>9</v>
      </c>
      <c r="E13402" s="943" t="s">
        <v>10</v>
      </c>
      <c r="F13402" s="1067" t="s">
        <v>909</v>
      </c>
      <c r="G13402" s="942" t="s">
        <v>910</v>
      </c>
      <c r="H13402" s="1030" t="s">
        <v>911</v>
      </c>
      <c r="I13402" s="944" t="s">
        <v>912</v>
      </c>
    </row>
    <row r="13403" spans="2:9" ht="15.75">
      <c r="C13403" s="945" t="s">
        <v>913</v>
      </c>
      <c r="D13403" s="946"/>
      <c r="E13403" s="947"/>
      <c r="F13403" s="1054"/>
      <c r="G13403" s="946"/>
      <c r="H13403" s="1031"/>
      <c r="I13403" s="948"/>
    </row>
    <row r="13404" spans="2:9" ht="15.75">
      <c r="C13404" s="949" t="s">
        <v>1003</v>
      </c>
      <c r="D13404" s="946">
        <v>0.57999999999999996</v>
      </c>
      <c r="E13404" s="947" t="str">
        <f>+VLOOKUP(C13404,'Basic (equilibrio) (2)'!B:D,2,FALSE)</f>
        <v>fda</v>
      </c>
      <c r="F13404" s="1068">
        <f>'Basic (equilibrio) (2)'!$D$298</f>
        <v>480</v>
      </c>
      <c r="G13404" s="946">
        <f>F13404-(F13404/1.18)</f>
        <v>73.22</v>
      </c>
      <c r="H13404" s="1031"/>
      <c r="I13404" s="948">
        <f>D13404*F13404</f>
        <v>278.39999999999998</v>
      </c>
    </row>
    <row r="13405" spans="2:9" ht="15.75">
      <c r="C13405" s="949" t="s">
        <v>1002</v>
      </c>
      <c r="D13405" s="946">
        <v>0.05</v>
      </c>
      <c r="E13405" s="947" t="str">
        <f>+VLOOKUP(C13405,'Basic (equilibrio) (2)'!B:D,2,FALSE)</f>
        <v>m3e</v>
      </c>
      <c r="F13405" s="1068">
        <f>'Basic (equilibrio) (2)'!$D$181</f>
        <v>1800</v>
      </c>
      <c r="G13405" s="946">
        <f>F13405-(F13405/1.18)</f>
        <v>274.58</v>
      </c>
      <c r="H13405" s="1031"/>
      <c r="I13405" s="948">
        <f>D13405*F13405</f>
        <v>90</v>
      </c>
    </row>
    <row r="13406" spans="2:9" ht="15.75">
      <c r="C13406" s="949" t="s">
        <v>1004</v>
      </c>
      <c r="D13406" s="946">
        <v>3.05</v>
      </c>
      <c r="E13406" s="947" t="str">
        <f>+VLOOKUP(C13406,'Basic (equilibrio) (2)'!B:D,2,FALSE)</f>
        <v>gl</v>
      </c>
      <c r="F13406" s="1068">
        <f>'Basic (equilibrio) (2)'!$D$191</f>
        <v>1</v>
      </c>
      <c r="G13406" s="946">
        <f>F13406-(F13406/1.18)</f>
        <v>0.15</v>
      </c>
      <c r="H13406" s="1031"/>
      <c r="I13406" s="948">
        <f>D13406*F13406</f>
        <v>3.05</v>
      </c>
    </row>
    <row r="13407" spans="2:9" ht="15.75">
      <c r="C13407" s="949" t="s">
        <v>916</v>
      </c>
      <c r="D13407" s="946">
        <v>0.1</v>
      </c>
      <c r="E13407" s="947" t="str">
        <f>+VLOOKUP(C13407,'Basic (equilibrio) (2)'!B:D,2,FALSE)</f>
        <v>pt</v>
      </c>
      <c r="F13407" s="1068">
        <f>'Basic (equilibrio) (2)'!$D$194</f>
        <v>107.7</v>
      </c>
      <c r="G13407" s="946">
        <f>F13407-(F13407/1.18)</f>
        <v>16.43</v>
      </c>
      <c r="H13407" s="1031"/>
      <c r="I13407" s="948">
        <f>D13407*F13407</f>
        <v>10.77</v>
      </c>
    </row>
    <row r="13408" spans="2:9" ht="15.75">
      <c r="C13408" s="951" t="s">
        <v>918</v>
      </c>
      <c r="D13408" s="946"/>
      <c r="E13408" s="947"/>
      <c r="F13408" s="1068"/>
      <c r="G13408" s="946"/>
      <c r="H13408" s="1031"/>
      <c r="I13408" s="952">
        <f>SUM(I13404:I13407)</f>
        <v>382.22</v>
      </c>
    </row>
    <row r="13409" spans="3:9" ht="15.75">
      <c r="C13409" s="949"/>
      <c r="D13409" s="946"/>
      <c r="E13409" s="947"/>
      <c r="F13409" s="1068"/>
      <c r="G13409" s="946"/>
      <c r="H13409" s="1031"/>
      <c r="I13409" s="948"/>
    </row>
    <row r="13410" spans="3:9" ht="15.75">
      <c r="C13410" s="945" t="s">
        <v>919</v>
      </c>
      <c r="D13410" s="946"/>
      <c r="E13410" s="947"/>
      <c r="F13410" s="1068"/>
      <c r="G13410" s="946"/>
      <c r="H13410" s="1031"/>
      <c r="I13410" s="948"/>
    </row>
    <row r="13411" spans="3:9" ht="15.75">
      <c r="C13411" s="949" t="s">
        <v>1029</v>
      </c>
      <c r="D13411" s="953">
        <v>0.05</v>
      </c>
      <c r="E13411" s="954" t="str">
        <f>+VLOOKUP(C13411,'Basic (equilibrio) (2)'!B:D,2,FALSE)</f>
        <v>dia</v>
      </c>
      <c r="F13411" s="1068">
        <f>'Basic (equilibrio) (2)'!$D$14</f>
        <v>900</v>
      </c>
      <c r="G13411" s="946">
        <v>0</v>
      </c>
      <c r="H13411" s="1031"/>
      <c r="I13411" s="948">
        <f>(D13411*F13411)</f>
        <v>45</v>
      </c>
    </row>
    <row r="13412" spans="3:9" ht="15.75">
      <c r="C13412" s="949" t="s">
        <v>1108</v>
      </c>
      <c r="D13412" s="953">
        <v>1</v>
      </c>
      <c r="E13412" s="954" t="str">
        <f>+VLOOKUP(C13412,'Basic (equilibrio) (2)'!B:D,2,FALSE)</f>
        <v>P.a</v>
      </c>
      <c r="F13412" s="1068">
        <f>'Basic (equilibrio) (2)'!$D$39</f>
        <v>12</v>
      </c>
      <c r="G13412" s="946">
        <v>0</v>
      </c>
      <c r="H13412" s="1031"/>
      <c r="I13412" s="948">
        <f>(D13412*F13412)</f>
        <v>12</v>
      </c>
    </row>
    <row r="13413" spans="3:9" ht="15.75">
      <c r="C13413" s="949" t="s">
        <v>1107</v>
      </c>
      <c r="D13413" s="953">
        <v>1</v>
      </c>
      <c r="E13413" s="954" t="str">
        <f>+VLOOKUP(C13413,'Basic (equilibrio) (2)'!B:D,2,FALSE)</f>
        <v>m2</v>
      </c>
      <c r="F13413" s="1068">
        <f>'Basic (equilibrio) (2)'!$D$38</f>
        <v>103</v>
      </c>
      <c r="G13413" s="946">
        <v>0</v>
      </c>
      <c r="H13413" s="1031"/>
      <c r="I13413" s="948">
        <f>(D13413*F13413)</f>
        <v>103</v>
      </c>
    </row>
    <row r="13414" spans="3:9" ht="15.75">
      <c r="C13414" s="951" t="s">
        <v>918</v>
      </c>
      <c r="D13414" s="946"/>
      <c r="E13414" s="947"/>
      <c r="F13414" s="1054"/>
      <c r="G13414" s="946"/>
      <c r="H13414" s="1031"/>
      <c r="I13414" s="952">
        <f>SUM(I13411:I13413)</f>
        <v>160</v>
      </c>
    </row>
    <row r="13415" spans="3:9" ht="15.75">
      <c r="C13415" s="949"/>
      <c r="D13415" s="946"/>
      <c r="E13415" s="947"/>
      <c r="F13415" s="1054"/>
      <c r="G13415" s="946"/>
      <c r="H13415" s="1031"/>
      <c r="I13415" s="948"/>
    </row>
    <row r="13416" spans="3:9" ht="15.75">
      <c r="C13416" s="945" t="s">
        <v>923</v>
      </c>
      <c r="D13416" s="946"/>
      <c r="E13416" s="947"/>
      <c r="F13416" s="1054"/>
      <c r="G13416" s="946"/>
      <c r="H13416" s="1031"/>
      <c r="I13416" s="948"/>
    </row>
    <row r="13417" spans="3:9" ht="15.75">
      <c r="C13417" s="949" t="s">
        <v>1184</v>
      </c>
      <c r="D13417" s="946">
        <v>0.05</v>
      </c>
      <c r="E13417" s="947" t="str">
        <f>+VLOOKUP(C13417,'Basic (equilibrio) (2)'!B:D,2,FALSE)</f>
        <v>m3e</v>
      </c>
      <c r="F13417" s="1054">
        <f>'Basic (equilibrio) (2)'!$D$182</f>
        <v>720</v>
      </c>
      <c r="G13417" s="946">
        <f>F13417-(F13417/1.18)</f>
        <v>109.83</v>
      </c>
      <c r="H13417" s="1039"/>
      <c r="I13417" s="955">
        <f>D13417*F13417</f>
        <v>36</v>
      </c>
    </row>
    <row r="13418" spans="3:9" ht="15.75">
      <c r="C13418" s="951" t="s">
        <v>918</v>
      </c>
      <c r="D13418" s="946"/>
      <c r="E13418" s="947"/>
      <c r="F13418" s="1054"/>
      <c r="G13418" s="946"/>
      <c r="H13418" s="1031"/>
      <c r="I13418" s="952">
        <f>SUM(I13417:I13417)</f>
        <v>36</v>
      </c>
    </row>
    <row r="13419" spans="3:9" ht="15.75">
      <c r="C13419" s="949"/>
      <c r="D13419" s="946"/>
      <c r="E13419" s="947"/>
      <c r="F13419" s="1054"/>
      <c r="G13419" s="946"/>
      <c r="H13419" s="1031"/>
      <c r="I13419" s="948"/>
    </row>
    <row r="13420" spans="3:9" ht="15.75">
      <c r="C13420" s="945" t="s">
        <v>925</v>
      </c>
      <c r="D13420" s="946"/>
      <c r="E13420" s="947"/>
      <c r="F13420" s="1054"/>
      <c r="G13420" s="946"/>
      <c r="H13420" s="1031"/>
      <c r="I13420" s="948"/>
    </row>
    <row r="13421" spans="3:9" ht="15.75">
      <c r="C13421" s="949" t="s">
        <v>924</v>
      </c>
      <c r="D13421" s="946"/>
      <c r="E13421" s="947" t="str">
        <f>+VLOOKUP(C13421,'Basic (equilibrio) (2)'!B:D,2,FALSE)</f>
        <v>n/a</v>
      </c>
      <c r="F13421" s="1054">
        <f>+VLOOKUP(C13421,'Basic (equilibrio) (2)'!B:D,3,FALSE)</f>
        <v>0</v>
      </c>
      <c r="G13421" s="946"/>
      <c r="H13421" s="1031"/>
      <c r="I13421" s="948">
        <f>D13421*F13421</f>
        <v>0</v>
      </c>
    </row>
    <row r="13422" spans="3:9" ht="15.75">
      <c r="C13422" s="951" t="s">
        <v>918</v>
      </c>
      <c r="D13422" s="946"/>
      <c r="E13422" s="947"/>
      <c r="F13422" s="1054"/>
      <c r="G13422" s="946"/>
      <c r="H13422" s="1031"/>
      <c r="I13422" s="952">
        <f>SUM(I13421)</f>
        <v>0</v>
      </c>
    </row>
    <row r="13423" spans="3:9" ht="15.75">
      <c r="C13423" s="951"/>
      <c r="D13423" s="946"/>
      <c r="E13423" s="947"/>
      <c r="F13423" s="1054"/>
      <c r="G13423" s="946"/>
      <c r="H13423" s="1031"/>
      <c r="I13423" s="952"/>
    </row>
    <row r="13424" spans="3:9" ht="15.75">
      <c r="C13424" s="956" t="s">
        <v>926</v>
      </c>
      <c r="D13424" s="957"/>
      <c r="E13424" s="958"/>
      <c r="F13424" s="1069"/>
      <c r="G13424" s="957"/>
      <c r="H13424" s="1032"/>
      <c r="I13424" s="959">
        <f>+I13408</f>
        <v>382.22</v>
      </c>
    </row>
    <row r="13425" spans="2:9" ht="15.75">
      <c r="C13425" s="956" t="s">
        <v>927</v>
      </c>
      <c r="D13425" s="957"/>
      <c r="E13425" s="958"/>
      <c r="F13425" s="1069"/>
      <c r="G13425" s="957"/>
      <c r="H13425" s="1032"/>
      <c r="I13425" s="959">
        <f>+I13414</f>
        <v>160</v>
      </c>
    </row>
    <row r="13426" spans="2:9" ht="15.75">
      <c r="C13426" s="956" t="s">
        <v>928</v>
      </c>
      <c r="D13426" s="957"/>
      <c r="E13426" s="958"/>
      <c r="F13426" s="1069"/>
      <c r="G13426" s="957"/>
      <c r="H13426" s="1032"/>
      <c r="I13426" s="959">
        <f>+I13418</f>
        <v>36</v>
      </c>
    </row>
    <row r="13427" spans="2:9" ht="15.75">
      <c r="C13427" s="956" t="s">
        <v>929</v>
      </c>
      <c r="D13427" s="957"/>
      <c r="E13427" s="958"/>
      <c r="F13427" s="1069"/>
      <c r="G13427" s="957"/>
      <c r="H13427" s="1032"/>
      <c r="I13427" s="959">
        <f>+I13422</f>
        <v>0</v>
      </c>
    </row>
    <row r="13428" spans="2:9" ht="15.75">
      <c r="C13428" s="949"/>
      <c r="D13428" s="946"/>
      <c r="E13428" s="947"/>
      <c r="F13428" s="1054"/>
      <c r="G13428" s="946"/>
      <c r="H13428" s="1031"/>
      <c r="I13428" s="948"/>
    </row>
    <row r="13429" spans="2:9" ht="15.75">
      <c r="C13429" s="949"/>
      <c r="D13429" s="946"/>
      <c r="E13429" s="947"/>
      <c r="F13429" s="1054"/>
      <c r="G13429" s="946"/>
      <c r="H13429" s="1031"/>
      <c r="I13429" s="948"/>
    </row>
    <row r="13430" spans="2:9" ht="15.75">
      <c r="C13430" s="951" t="s">
        <v>930</v>
      </c>
      <c r="D13430" s="960"/>
      <c r="E13430" s="943" t="s">
        <v>20</v>
      </c>
      <c r="F13430" s="1070"/>
      <c r="G13430" s="960"/>
      <c r="H13430" s="1033"/>
      <c r="I13430" s="952">
        <f>SUM(I13424:I13427)</f>
        <v>578.22</v>
      </c>
    </row>
    <row r="13431" spans="2:9" ht="15.75">
      <c r="C13431" s="951"/>
      <c r="D13431" s="960"/>
      <c r="E13431" s="943"/>
      <c r="F13431" s="1070"/>
      <c r="G13431" s="960"/>
      <c r="H13431" s="1033"/>
      <c r="I13431" s="952"/>
    </row>
    <row r="13432" spans="2:9" ht="15.75">
      <c r="B13432" s="1026">
        <v>6.1</v>
      </c>
      <c r="C13432" s="937" t="str">
        <f>+Presupuesto!B766</f>
        <v>Inodoro</v>
      </c>
      <c r="D13432" s="938"/>
      <c r="E13432" s="962" t="s">
        <v>10</v>
      </c>
      <c r="F13432" s="1066"/>
      <c r="G13432" s="938"/>
      <c r="H13432" s="1029"/>
      <c r="I13432" s="940">
        <f>+I13455</f>
        <v>13056</v>
      </c>
    </row>
    <row r="13433" spans="2:9" ht="15.75">
      <c r="C13433" s="941" t="s">
        <v>908</v>
      </c>
      <c r="D13433" s="942" t="s">
        <v>9</v>
      </c>
      <c r="E13433" s="943" t="s">
        <v>10</v>
      </c>
      <c r="F13433" s="1067" t="s">
        <v>909</v>
      </c>
      <c r="G13433" s="942" t="s">
        <v>910</v>
      </c>
      <c r="H13433" s="1030" t="s">
        <v>911</v>
      </c>
      <c r="I13433" s="944" t="s">
        <v>912</v>
      </c>
    </row>
    <row r="13434" spans="2:9" ht="15.75">
      <c r="C13434" s="945" t="s">
        <v>913</v>
      </c>
      <c r="D13434" s="946"/>
      <c r="E13434" s="947"/>
      <c r="F13434" s="1054"/>
      <c r="G13434" s="946"/>
      <c r="H13434" s="1031"/>
      <c r="I13434" s="948"/>
    </row>
    <row r="13435" spans="2:9" ht="15.75">
      <c r="C13435" s="949" t="s">
        <v>1596</v>
      </c>
      <c r="D13435" s="946">
        <v>1.02</v>
      </c>
      <c r="E13435" s="947" t="str">
        <f>+VLOOKUP(C13435,'Basic (equilibrio) (2)'!B:D,2,FALSE)</f>
        <v>ud</v>
      </c>
      <c r="F13435" s="1068">
        <f>'Basic (equilibrio) (2)'!$D$208</f>
        <v>12800</v>
      </c>
      <c r="G13435" s="946">
        <f>F13435-(F13435/1.18)</f>
        <v>1952.54</v>
      </c>
      <c r="H13435" s="1031"/>
      <c r="I13435" s="948">
        <f>D13435*F13435</f>
        <v>13056</v>
      </c>
    </row>
    <row r="13436" spans="2:9" ht="15.75">
      <c r="C13436" s="951" t="s">
        <v>918</v>
      </c>
      <c r="D13436" s="946"/>
      <c r="E13436" s="947"/>
      <c r="F13436" s="1068"/>
      <c r="G13436" s="946"/>
      <c r="H13436" s="1031"/>
      <c r="I13436" s="952">
        <f>SUM(I13435:I13435)</f>
        <v>13056</v>
      </c>
    </row>
    <row r="13437" spans="2:9" ht="15.75">
      <c r="C13437" s="949"/>
      <c r="D13437" s="946"/>
      <c r="E13437" s="947"/>
      <c r="F13437" s="1068"/>
      <c r="G13437" s="946"/>
      <c r="H13437" s="1031"/>
      <c r="I13437" s="948"/>
    </row>
    <row r="13438" spans="2:9" ht="15.75">
      <c r="C13438" s="945" t="s">
        <v>919</v>
      </c>
      <c r="D13438" s="946"/>
      <c r="E13438" s="947"/>
      <c r="F13438" s="1068"/>
      <c r="G13438" s="946"/>
      <c r="H13438" s="1031"/>
      <c r="I13438" s="948"/>
    </row>
    <row r="13439" spans="2:9" ht="15.75">
      <c r="C13439" s="949" t="s">
        <v>924</v>
      </c>
      <c r="D13439" s="953"/>
      <c r="E13439" s="954" t="str">
        <f>+VLOOKUP(C13439,'Basic (equilibrio) (2)'!B:D,2,FALSE)</f>
        <v>n/a</v>
      </c>
      <c r="F13439" s="1068">
        <f>+VLOOKUP(C13439,'Basic (equilibrio) (2)'!B:D,3,FALSE)</f>
        <v>0</v>
      </c>
      <c r="G13439" s="946">
        <v>0</v>
      </c>
      <c r="H13439" s="1031"/>
      <c r="I13439" s="948">
        <f>(D13439*F13439)</f>
        <v>0</v>
      </c>
    </row>
    <row r="13440" spans="2:9" ht="15.75">
      <c r="C13440" s="951" t="s">
        <v>918</v>
      </c>
      <c r="D13440" s="946"/>
      <c r="E13440" s="947"/>
      <c r="F13440" s="1054"/>
      <c r="G13440" s="946"/>
      <c r="H13440" s="1031"/>
      <c r="I13440" s="952">
        <f>SUM(I13439:I13439)</f>
        <v>0</v>
      </c>
    </row>
    <row r="13441" spans="3:9" ht="15.75">
      <c r="C13441" s="949"/>
      <c r="D13441" s="946"/>
      <c r="E13441" s="947"/>
      <c r="F13441" s="1054"/>
      <c r="G13441" s="946"/>
      <c r="H13441" s="1031"/>
      <c r="I13441" s="948"/>
    </row>
    <row r="13442" spans="3:9" ht="15.75">
      <c r="C13442" s="945" t="s">
        <v>923</v>
      </c>
      <c r="D13442" s="946"/>
      <c r="E13442" s="947"/>
      <c r="F13442" s="1054"/>
      <c r="G13442" s="946"/>
      <c r="H13442" s="1031"/>
      <c r="I13442" s="948"/>
    </row>
    <row r="13443" spans="3:9" ht="15.75">
      <c r="C13443" s="949" t="s">
        <v>924</v>
      </c>
      <c r="D13443" s="946"/>
      <c r="E13443" s="947" t="str">
        <f>+VLOOKUP(C13443,'Basic (equilibrio) (2)'!B:D,2,FALSE)</f>
        <v>n/a</v>
      </c>
      <c r="F13443" s="1054">
        <f>+VLOOKUP(C13443,'Basic (equilibrio) (2)'!B:D,3,FALSE)</f>
        <v>0</v>
      </c>
      <c r="G13443" s="946">
        <f>F13443-(F13443/1.18)</f>
        <v>0</v>
      </c>
      <c r="H13443" s="1039"/>
      <c r="I13443" s="955">
        <f>D13443*F13443</f>
        <v>0</v>
      </c>
    </row>
    <row r="13444" spans="3:9" ht="15.75">
      <c r="C13444" s="951" t="s">
        <v>918</v>
      </c>
      <c r="D13444" s="946"/>
      <c r="E13444" s="947"/>
      <c r="F13444" s="1054"/>
      <c r="G13444" s="946"/>
      <c r="H13444" s="1031"/>
      <c r="I13444" s="952">
        <f>SUM(I13443:I13443)</f>
        <v>0</v>
      </c>
    </row>
    <row r="13445" spans="3:9" ht="15.75">
      <c r="C13445" s="949"/>
      <c r="D13445" s="946"/>
      <c r="E13445" s="947"/>
      <c r="F13445" s="1054"/>
      <c r="G13445" s="946"/>
      <c r="H13445" s="1031"/>
      <c r="I13445" s="948"/>
    </row>
    <row r="13446" spans="3:9" ht="15.75">
      <c r="C13446" s="945" t="s">
        <v>925</v>
      </c>
      <c r="D13446" s="946"/>
      <c r="E13446" s="947"/>
      <c r="F13446" s="1054"/>
      <c r="G13446" s="946"/>
      <c r="H13446" s="1031"/>
      <c r="I13446" s="948"/>
    </row>
    <row r="13447" spans="3:9" ht="15.75">
      <c r="C13447" s="949" t="s">
        <v>924</v>
      </c>
      <c r="D13447" s="946"/>
      <c r="E13447" s="947" t="str">
        <f>+VLOOKUP(C13447,'Basic (equilibrio) (2)'!B:D,2,FALSE)</f>
        <v>n/a</v>
      </c>
      <c r="F13447" s="1054">
        <f>+VLOOKUP(C13447,'Basic (equilibrio) (2)'!B:D,3,FALSE)</f>
        <v>0</v>
      </c>
      <c r="G13447" s="946"/>
      <c r="H13447" s="1031"/>
      <c r="I13447" s="948">
        <f>D13447*F13447</f>
        <v>0</v>
      </c>
    </row>
    <row r="13448" spans="3:9" ht="15.75">
      <c r="C13448" s="951" t="s">
        <v>918</v>
      </c>
      <c r="D13448" s="946"/>
      <c r="E13448" s="947"/>
      <c r="F13448" s="1054"/>
      <c r="G13448" s="946"/>
      <c r="H13448" s="1031"/>
      <c r="I13448" s="952">
        <f>SUM(I13447)</f>
        <v>0</v>
      </c>
    </row>
    <row r="13449" spans="3:9" ht="15.75">
      <c r="C13449" s="951"/>
      <c r="D13449" s="946"/>
      <c r="E13449" s="947"/>
      <c r="F13449" s="1054"/>
      <c r="G13449" s="946"/>
      <c r="H13449" s="1031"/>
      <c r="I13449" s="952"/>
    </row>
    <row r="13450" spans="3:9" ht="15.75">
      <c r="C13450" s="956" t="s">
        <v>926</v>
      </c>
      <c r="D13450" s="957"/>
      <c r="E13450" s="958"/>
      <c r="F13450" s="1069"/>
      <c r="G13450" s="957"/>
      <c r="H13450" s="1032"/>
      <c r="I13450" s="959">
        <f>+I13436</f>
        <v>13056</v>
      </c>
    </row>
    <row r="13451" spans="3:9" ht="15.75">
      <c r="C13451" s="956" t="s">
        <v>927</v>
      </c>
      <c r="D13451" s="957"/>
      <c r="E13451" s="958"/>
      <c r="F13451" s="1069"/>
      <c r="G13451" s="957"/>
      <c r="H13451" s="1032"/>
      <c r="I13451" s="959">
        <f>+I13440</f>
        <v>0</v>
      </c>
    </row>
    <row r="13452" spans="3:9" ht="15.75">
      <c r="C13452" s="956" t="s">
        <v>928</v>
      </c>
      <c r="D13452" s="957"/>
      <c r="E13452" s="958"/>
      <c r="F13452" s="1069"/>
      <c r="G13452" s="957"/>
      <c r="H13452" s="1032"/>
      <c r="I13452" s="959">
        <f>+I13444</f>
        <v>0</v>
      </c>
    </row>
    <row r="13453" spans="3:9" ht="15.75">
      <c r="C13453" s="956" t="s">
        <v>929</v>
      </c>
      <c r="D13453" s="957"/>
      <c r="E13453" s="958"/>
      <c r="F13453" s="1069"/>
      <c r="G13453" s="957"/>
      <c r="H13453" s="1032"/>
      <c r="I13453" s="959">
        <f>+I13448</f>
        <v>0</v>
      </c>
    </row>
    <row r="13454" spans="3:9" ht="15.75">
      <c r="C13454" s="949"/>
      <c r="D13454" s="946"/>
      <c r="E13454" s="947"/>
      <c r="F13454" s="1054"/>
      <c r="G13454" s="946"/>
      <c r="H13454" s="1031"/>
      <c r="I13454" s="948"/>
    </row>
    <row r="13455" spans="3:9" ht="15.75">
      <c r="C13455" s="951" t="s">
        <v>930</v>
      </c>
      <c r="D13455" s="960"/>
      <c r="E13455" s="975" t="str">
        <f>+E13432</f>
        <v>Ud</v>
      </c>
      <c r="F13455" s="1070"/>
      <c r="G13455" s="960"/>
      <c r="H13455" s="1033"/>
      <c r="I13455" s="952">
        <f>SUM(I13450:I13453)</f>
        <v>13056</v>
      </c>
    </row>
    <row r="13456" spans="3:9" ht="15.75">
      <c r="C13456" s="951"/>
      <c r="D13456" s="960"/>
      <c r="E13456" s="943"/>
      <c r="F13456" s="1070"/>
      <c r="G13456" s="960"/>
      <c r="H13456" s="1033"/>
      <c r="I13456" s="952"/>
    </row>
    <row r="13457" spans="2:9" ht="15.75">
      <c r="B13457" s="1026">
        <v>6.2</v>
      </c>
      <c r="C13457" s="937" t="str">
        <f>+Presupuesto!B767</f>
        <v>Lavamanos</v>
      </c>
      <c r="D13457" s="938"/>
      <c r="E13457" s="962" t="s">
        <v>10</v>
      </c>
      <c r="F13457" s="1066"/>
      <c r="G13457" s="938"/>
      <c r="H13457" s="1029"/>
      <c r="I13457" s="940">
        <f>+I13480</f>
        <v>11034.77</v>
      </c>
    </row>
    <row r="13458" spans="2:9" ht="15.75">
      <c r="C13458" s="941" t="s">
        <v>908</v>
      </c>
      <c r="D13458" s="942" t="s">
        <v>9</v>
      </c>
      <c r="E13458" s="943" t="s">
        <v>10</v>
      </c>
      <c r="F13458" s="1067" t="s">
        <v>909</v>
      </c>
      <c r="G13458" s="942" t="s">
        <v>910</v>
      </c>
      <c r="H13458" s="1030" t="s">
        <v>911</v>
      </c>
      <c r="I13458" s="944" t="s">
        <v>912</v>
      </c>
    </row>
    <row r="13459" spans="2:9" ht="15.75">
      <c r="C13459" s="945" t="s">
        <v>913</v>
      </c>
      <c r="D13459" s="946"/>
      <c r="E13459" s="947"/>
      <c r="F13459" s="1054"/>
      <c r="G13459" s="946"/>
      <c r="H13459" s="1031"/>
      <c r="I13459" s="948"/>
    </row>
    <row r="13460" spans="2:9" ht="15.75">
      <c r="C13460" s="949" t="s">
        <v>1597</v>
      </c>
      <c r="D13460" s="946">
        <v>1.02</v>
      </c>
      <c r="E13460" s="947" t="str">
        <f>+VLOOKUP(C13460,'Basic (equilibrio) (2)'!B:D,2,FALSE)</f>
        <v>ud</v>
      </c>
      <c r="F13460" s="1068">
        <f>'Basic (equilibrio) (2)'!$D$209</f>
        <v>10818.4</v>
      </c>
      <c r="G13460" s="946">
        <f>F13460-(F13460/1.18)</f>
        <v>1650.26</v>
      </c>
      <c r="H13460" s="1031"/>
      <c r="I13460" s="948">
        <f>D13460*F13460</f>
        <v>11034.77</v>
      </c>
    </row>
    <row r="13461" spans="2:9" ht="15.75">
      <c r="C13461" s="951" t="s">
        <v>918</v>
      </c>
      <c r="D13461" s="946"/>
      <c r="E13461" s="947"/>
      <c r="F13461" s="1068"/>
      <c r="G13461" s="946"/>
      <c r="H13461" s="1031"/>
      <c r="I13461" s="952">
        <f>SUM(I13460:I13460)</f>
        <v>11034.77</v>
      </c>
    </row>
    <row r="13462" spans="2:9" ht="15.75">
      <c r="C13462" s="949"/>
      <c r="D13462" s="946"/>
      <c r="E13462" s="947"/>
      <c r="F13462" s="1068"/>
      <c r="G13462" s="946"/>
      <c r="H13462" s="1031"/>
      <c r="I13462" s="948"/>
    </row>
    <row r="13463" spans="2:9" ht="15.75">
      <c r="C13463" s="945" t="s">
        <v>919</v>
      </c>
      <c r="D13463" s="946"/>
      <c r="E13463" s="947"/>
      <c r="F13463" s="1068"/>
      <c r="G13463" s="946"/>
      <c r="H13463" s="1031"/>
      <c r="I13463" s="948"/>
    </row>
    <row r="13464" spans="2:9" ht="15.75">
      <c r="C13464" s="949" t="s">
        <v>924</v>
      </c>
      <c r="D13464" s="953"/>
      <c r="E13464" s="954" t="str">
        <f>+VLOOKUP(C13464,'Basic (equilibrio) (2)'!B:D,2,FALSE)</f>
        <v>n/a</v>
      </c>
      <c r="F13464" s="1068">
        <f>+VLOOKUP(C13464,'Basic (equilibrio) (2)'!B:D,3,FALSE)</f>
        <v>0</v>
      </c>
      <c r="G13464" s="946">
        <v>0</v>
      </c>
      <c r="H13464" s="1031"/>
      <c r="I13464" s="948">
        <f>(D13464*F13464)</f>
        <v>0</v>
      </c>
    </row>
    <row r="13465" spans="2:9" ht="15.75">
      <c r="C13465" s="951" t="s">
        <v>918</v>
      </c>
      <c r="D13465" s="946"/>
      <c r="E13465" s="947"/>
      <c r="F13465" s="1054"/>
      <c r="G13465" s="946"/>
      <c r="H13465" s="1031"/>
      <c r="I13465" s="952">
        <f>SUM(I13464:I13464)</f>
        <v>0</v>
      </c>
    </row>
    <row r="13466" spans="2:9" ht="15.75">
      <c r="C13466" s="949"/>
      <c r="D13466" s="946"/>
      <c r="E13466" s="947"/>
      <c r="F13466" s="1054"/>
      <c r="G13466" s="946"/>
      <c r="H13466" s="1031"/>
      <c r="I13466" s="948"/>
    </row>
    <row r="13467" spans="2:9" ht="15.75">
      <c r="C13467" s="945" t="s">
        <v>923</v>
      </c>
      <c r="D13467" s="946"/>
      <c r="E13467" s="947"/>
      <c r="F13467" s="1054"/>
      <c r="G13467" s="946"/>
      <c r="H13467" s="1031"/>
      <c r="I13467" s="948"/>
    </row>
    <row r="13468" spans="2:9" ht="15.75">
      <c r="C13468" s="949" t="s">
        <v>924</v>
      </c>
      <c r="D13468" s="946"/>
      <c r="E13468" s="947" t="str">
        <f>+VLOOKUP(C13468,'Basic (equilibrio) (2)'!B:D,2,FALSE)</f>
        <v>n/a</v>
      </c>
      <c r="F13468" s="1054">
        <f>+VLOOKUP(C13468,'Basic (equilibrio) (2)'!B:D,3,FALSE)</f>
        <v>0</v>
      </c>
      <c r="G13468" s="946">
        <f>F13468-(F13468/1.18)</f>
        <v>0</v>
      </c>
      <c r="H13468" s="1039"/>
      <c r="I13468" s="955">
        <f>D13468*F13468</f>
        <v>0</v>
      </c>
    </row>
    <row r="13469" spans="2:9" ht="15.75">
      <c r="C13469" s="951" t="s">
        <v>918</v>
      </c>
      <c r="D13469" s="946"/>
      <c r="E13469" s="947"/>
      <c r="F13469" s="1054"/>
      <c r="G13469" s="946"/>
      <c r="H13469" s="1031"/>
      <c r="I13469" s="952">
        <f>SUM(I13468:I13468)</f>
        <v>0</v>
      </c>
    </row>
    <row r="13470" spans="2:9" ht="15.75">
      <c r="C13470" s="949"/>
      <c r="D13470" s="946"/>
      <c r="E13470" s="947"/>
      <c r="F13470" s="1054"/>
      <c r="G13470" s="946"/>
      <c r="H13470" s="1031"/>
      <c r="I13470" s="948"/>
    </row>
    <row r="13471" spans="2:9" ht="15.75">
      <c r="C13471" s="945" t="s">
        <v>925</v>
      </c>
      <c r="D13471" s="946"/>
      <c r="E13471" s="947"/>
      <c r="F13471" s="1054"/>
      <c r="G13471" s="946"/>
      <c r="H13471" s="1031"/>
      <c r="I13471" s="948"/>
    </row>
    <row r="13472" spans="2:9" ht="15.75">
      <c r="C13472" s="949" t="s">
        <v>924</v>
      </c>
      <c r="D13472" s="946"/>
      <c r="E13472" s="947" t="str">
        <f>+VLOOKUP(C13472,'Basic (equilibrio) (2)'!B:D,2,FALSE)</f>
        <v>n/a</v>
      </c>
      <c r="F13472" s="1054">
        <f>+VLOOKUP(C13472,'Basic (equilibrio) (2)'!B:D,3,FALSE)</f>
        <v>0</v>
      </c>
      <c r="G13472" s="946"/>
      <c r="H13472" s="1031"/>
      <c r="I13472" s="948">
        <f>D13472*F13472</f>
        <v>0</v>
      </c>
    </row>
    <row r="13473" spans="2:9" ht="15.75">
      <c r="C13473" s="951" t="s">
        <v>918</v>
      </c>
      <c r="D13473" s="946"/>
      <c r="E13473" s="947"/>
      <c r="F13473" s="1054"/>
      <c r="G13473" s="946"/>
      <c r="H13473" s="1031"/>
      <c r="I13473" s="952">
        <f>SUM(I13472)</f>
        <v>0</v>
      </c>
    </row>
    <row r="13474" spans="2:9" ht="15.75">
      <c r="C13474" s="951"/>
      <c r="D13474" s="946"/>
      <c r="E13474" s="947"/>
      <c r="F13474" s="1054"/>
      <c r="G13474" s="946"/>
      <c r="H13474" s="1031"/>
      <c r="I13474" s="952"/>
    </row>
    <row r="13475" spans="2:9" ht="15.75">
      <c r="C13475" s="956" t="s">
        <v>926</v>
      </c>
      <c r="D13475" s="957"/>
      <c r="E13475" s="958"/>
      <c r="F13475" s="1069"/>
      <c r="G13475" s="957"/>
      <c r="H13475" s="1032"/>
      <c r="I13475" s="959">
        <f>+I13461</f>
        <v>11034.77</v>
      </c>
    </row>
    <row r="13476" spans="2:9" ht="15.75">
      <c r="C13476" s="956" t="s">
        <v>927</v>
      </c>
      <c r="D13476" s="957"/>
      <c r="E13476" s="958"/>
      <c r="F13476" s="1069"/>
      <c r="G13476" s="957"/>
      <c r="H13476" s="1032"/>
      <c r="I13476" s="959">
        <f>+I13465</f>
        <v>0</v>
      </c>
    </row>
    <row r="13477" spans="2:9" ht="15.75">
      <c r="C13477" s="956" t="s">
        <v>928</v>
      </c>
      <c r="D13477" s="957"/>
      <c r="E13477" s="958"/>
      <c r="F13477" s="1069"/>
      <c r="G13477" s="957"/>
      <c r="H13477" s="1032"/>
      <c r="I13477" s="959">
        <f>+I13469</f>
        <v>0</v>
      </c>
    </row>
    <row r="13478" spans="2:9" ht="15.75">
      <c r="C13478" s="956" t="s">
        <v>929</v>
      </c>
      <c r="D13478" s="957"/>
      <c r="E13478" s="958"/>
      <c r="F13478" s="1069"/>
      <c r="G13478" s="957"/>
      <c r="H13478" s="1032"/>
      <c r="I13478" s="959">
        <f>+I13473</f>
        <v>0</v>
      </c>
    </row>
    <row r="13479" spans="2:9" ht="15.75">
      <c r="C13479" s="949"/>
      <c r="D13479" s="946"/>
      <c r="E13479" s="947"/>
      <c r="F13479" s="1054"/>
      <c r="G13479" s="946"/>
      <c r="H13479" s="1031"/>
      <c r="I13479" s="948"/>
    </row>
    <row r="13480" spans="2:9" ht="15.75">
      <c r="C13480" s="951" t="s">
        <v>930</v>
      </c>
      <c r="D13480" s="960"/>
      <c r="E13480" s="975" t="str">
        <f>+E13457</f>
        <v>Ud</v>
      </c>
      <c r="F13480" s="1070"/>
      <c r="G13480" s="960"/>
      <c r="H13480" s="1033"/>
      <c r="I13480" s="952">
        <f>SUM(I13475:I13478)</f>
        <v>11034.77</v>
      </c>
    </row>
    <row r="13481" spans="2:9" ht="15.75">
      <c r="C13481" s="951"/>
      <c r="D13481" s="960"/>
      <c r="E13481" s="943"/>
      <c r="F13481" s="1070"/>
      <c r="G13481" s="960"/>
      <c r="H13481" s="1033"/>
      <c r="I13481" s="952"/>
    </row>
    <row r="13482" spans="2:9" ht="15.75">
      <c r="B13482" s="1026">
        <v>6.3</v>
      </c>
      <c r="C13482" s="937" t="str">
        <f>+Presupuesto!B768</f>
        <v>Desagüe de piso 2" parrilla acero inoxidable</v>
      </c>
      <c r="D13482" s="938"/>
      <c r="E13482" s="962" t="s">
        <v>10</v>
      </c>
      <c r="F13482" s="1066"/>
      <c r="G13482" s="938"/>
      <c r="H13482" s="1029"/>
      <c r="I13482" s="940">
        <f>+I13505</f>
        <v>1382.51</v>
      </c>
    </row>
    <row r="13483" spans="2:9" ht="15.75">
      <c r="C13483" s="941" t="s">
        <v>908</v>
      </c>
      <c r="D13483" s="942" t="s">
        <v>9</v>
      </c>
      <c r="E13483" s="943" t="s">
        <v>10</v>
      </c>
      <c r="F13483" s="1067" t="s">
        <v>909</v>
      </c>
      <c r="G13483" s="942" t="s">
        <v>910</v>
      </c>
      <c r="H13483" s="1030" t="s">
        <v>911</v>
      </c>
      <c r="I13483" s="944" t="s">
        <v>912</v>
      </c>
    </row>
    <row r="13484" spans="2:9" ht="15.75">
      <c r="C13484" s="945" t="s">
        <v>913</v>
      </c>
      <c r="D13484" s="946"/>
      <c r="E13484" s="947"/>
      <c r="F13484" s="1054"/>
      <c r="G13484" s="946"/>
      <c r="H13484" s="1031"/>
      <c r="I13484" s="948"/>
    </row>
    <row r="13485" spans="2:9" ht="15.75">
      <c r="C13485" s="949" t="s">
        <v>1601</v>
      </c>
      <c r="D13485" s="946">
        <v>1.02</v>
      </c>
      <c r="E13485" s="947" t="str">
        <f>+VLOOKUP(C13485,'Basic (equilibrio) (2)'!B:D,2,FALSE)</f>
        <v>ud</v>
      </c>
      <c r="F13485" s="1068">
        <f>'Basic (equilibrio) (2)'!$D$215</f>
        <v>1355.4</v>
      </c>
      <c r="G13485" s="946">
        <f>F13485-(F13485/1.18)</f>
        <v>206.76</v>
      </c>
      <c r="H13485" s="1031"/>
      <c r="I13485" s="948">
        <f>D13485*F13485</f>
        <v>1382.51</v>
      </c>
    </row>
    <row r="13486" spans="2:9" ht="15.75">
      <c r="C13486" s="951" t="s">
        <v>918</v>
      </c>
      <c r="D13486" s="946"/>
      <c r="E13486" s="947"/>
      <c r="F13486" s="1068"/>
      <c r="G13486" s="946"/>
      <c r="H13486" s="1031"/>
      <c r="I13486" s="952">
        <f>SUM(I13485:I13485)</f>
        <v>1382.51</v>
      </c>
    </row>
    <row r="13487" spans="2:9" ht="15.75">
      <c r="C13487" s="949"/>
      <c r="D13487" s="946"/>
      <c r="E13487" s="947"/>
      <c r="F13487" s="1068"/>
      <c r="G13487" s="946"/>
      <c r="H13487" s="1031"/>
      <c r="I13487" s="948"/>
    </row>
    <row r="13488" spans="2:9" ht="15.75">
      <c r="C13488" s="945" t="s">
        <v>919</v>
      </c>
      <c r="D13488" s="946"/>
      <c r="E13488" s="947"/>
      <c r="F13488" s="1068"/>
      <c r="G13488" s="946"/>
      <c r="H13488" s="1031"/>
      <c r="I13488" s="948"/>
    </row>
    <row r="13489" spans="3:9" ht="15.75">
      <c r="C13489" s="949" t="s">
        <v>924</v>
      </c>
      <c r="D13489" s="953"/>
      <c r="E13489" s="954" t="str">
        <f>+VLOOKUP(C13489,'Basic (equilibrio) (2)'!B:D,2,FALSE)</f>
        <v>n/a</v>
      </c>
      <c r="F13489" s="1068">
        <f>+VLOOKUP(C13489,'Basic (equilibrio) (2)'!B:D,3,FALSE)</f>
        <v>0</v>
      </c>
      <c r="G13489" s="946">
        <v>0</v>
      </c>
      <c r="H13489" s="1031"/>
      <c r="I13489" s="948">
        <f>(D13489*F13489)</f>
        <v>0</v>
      </c>
    </row>
    <row r="13490" spans="3:9" ht="15.75">
      <c r="C13490" s="951" t="s">
        <v>918</v>
      </c>
      <c r="D13490" s="946"/>
      <c r="E13490" s="947"/>
      <c r="F13490" s="1054"/>
      <c r="G13490" s="946"/>
      <c r="H13490" s="1031"/>
      <c r="I13490" s="952">
        <f>SUM(I13489:I13489)</f>
        <v>0</v>
      </c>
    </row>
    <row r="13491" spans="3:9" ht="15.75">
      <c r="C13491" s="949"/>
      <c r="D13491" s="946"/>
      <c r="E13491" s="947"/>
      <c r="F13491" s="1054"/>
      <c r="G13491" s="946"/>
      <c r="H13491" s="1031"/>
      <c r="I13491" s="948"/>
    </row>
    <row r="13492" spans="3:9" ht="15.75">
      <c r="C13492" s="945" t="s">
        <v>923</v>
      </c>
      <c r="D13492" s="946"/>
      <c r="E13492" s="947"/>
      <c r="F13492" s="1054"/>
      <c r="G13492" s="946"/>
      <c r="H13492" s="1031"/>
      <c r="I13492" s="948"/>
    </row>
    <row r="13493" spans="3:9" ht="15.75">
      <c r="C13493" s="949" t="s">
        <v>924</v>
      </c>
      <c r="D13493" s="946"/>
      <c r="E13493" s="947" t="str">
        <f>+VLOOKUP(C13493,'Basic (equilibrio) (2)'!B:D,2,FALSE)</f>
        <v>n/a</v>
      </c>
      <c r="F13493" s="1054">
        <f>+VLOOKUP(C13493,'Basic (equilibrio) (2)'!B:D,3,FALSE)</f>
        <v>0</v>
      </c>
      <c r="G13493" s="946">
        <f>F13493-(F13493/1.18)</f>
        <v>0</v>
      </c>
      <c r="H13493" s="1039"/>
      <c r="I13493" s="955">
        <f>D13493*F13493</f>
        <v>0</v>
      </c>
    </row>
    <row r="13494" spans="3:9" ht="15.75">
      <c r="C13494" s="951" t="s">
        <v>918</v>
      </c>
      <c r="D13494" s="946"/>
      <c r="E13494" s="947"/>
      <c r="F13494" s="1054"/>
      <c r="G13494" s="946"/>
      <c r="H13494" s="1031"/>
      <c r="I13494" s="952">
        <f>SUM(I13493:I13493)</f>
        <v>0</v>
      </c>
    </row>
    <row r="13495" spans="3:9" ht="15.75">
      <c r="C13495" s="949"/>
      <c r="D13495" s="946"/>
      <c r="E13495" s="947"/>
      <c r="F13495" s="1054"/>
      <c r="G13495" s="946"/>
      <c r="H13495" s="1031"/>
      <c r="I13495" s="948"/>
    </row>
    <row r="13496" spans="3:9" ht="15.75">
      <c r="C13496" s="945" t="s">
        <v>925</v>
      </c>
      <c r="D13496" s="946"/>
      <c r="E13496" s="947"/>
      <c r="F13496" s="1054"/>
      <c r="G13496" s="946"/>
      <c r="H13496" s="1031"/>
      <c r="I13496" s="948"/>
    </row>
    <row r="13497" spans="3:9" ht="15.75">
      <c r="C13497" s="949" t="s">
        <v>924</v>
      </c>
      <c r="D13497" s="946"/>
      <c r="E13497" s="947" t="str">
        <f>+VLOOKUP(C13497,'Basic (equilibrio) (2)'!B:D,2,FALSE)</f>
        <v>n/a</v>
      </c>
      <c r="F13497" s="1054">
        <f>+VLOOKUP(C13497,'Basic (equilibrio) (2)'!B:D,3,FALSE)</f>
        <v>0</v>
      </c>
      <c r="G13497" s="946"/>
      <c r="H13497" s="1031"/>
      <c r="I13497" s="948">
        <f>D13497*F13497</f>
        <v>0</v>
      </c>
    </row>
    <row r="13498" spans="3:9" ht="15.75">
      <c r="C13498" s="951" t="s">
        <v>918</v>
      </c>
      <c r="D13498" s="946"/>
      <c r="E13498" s="947"/>
      <c r="F13498" s="1054"/>
      <c r="G13498" s="946"/>
      <c r="H13498" s="1031"/>
      <c r="I13498" s="952">
        <f>SUM(I13497)</f>
        <v>0</v>
      </c>
    </row>
    <row r="13499" spans="3:9" ht="15.75">
      <c r="C13499" s="951"/>
      <c r="D13499" s="946"/>
      <c r="E13499" s="947"/>
      <c r="F13499" s="1054"/>
      <c r="G13499" s="946"/>
      <c r="H13499" s="1031"/>
      <c r="I13499" s="952"/>
    </row>
    <row r="13500" spans="3:9" ht="15.75">
      <c r="C13500" s="956" t="s">
        <v>926</v>
      </c>
      <c r="D13500" s="957"/>
      <c r="E13500" s="958"/>
      <c r="F13500" s="1069"/>
      <c r="G13500" s="957"/>
      <c r="H13500" s="1032"/>
      <c r="I13500" s="959">
        <f>+I13486</f>
        <v>1382.51</v>
      </c>
    </row>
    <row r="13501" spans="3:9" ht="15.75">
      <c r="C13501" s="956" t="s">
        <v>927</v>
      </c>
      <c r="D13501" s="957"/>
      <c r="E13501" s="958"/>
      <c r="F13501" s="1069"/>
      <c r="G13501" s="957"/>
      <c r="H13501" s="1032"/>
      <c r="I13501" s="959">
        <f>+I13490</f>
        <v>0</v>
      </c>
    </row>
    <row r="13502" spans="3:9" ht="15.75">
      <c r="C13502" s="956" t="s">
        <v>928</v>
      </c>
      <c r="D13502" s="957"/>
      <c r="E13502" s="958"/>
      <c r="F13502" s="1069"/>
      <c r="G13502" s="957"/>
      <c r="H13502" s="1032"/>
      <c r="I13502" s="959">
        <f>+I13494</f>
        <v>0</v>
      </c>
    </row>
    <row r="13503" spans="3:9" ht="15.75">
      <c r="C13503" s="956" t="s">
        <v>929</v>
      </c>
      <c r="D13503" s="957"/>
      <c r="E13503" s="958"/>
      <c r="F13503" s="1069"/>
      <c r="G13503" s="957"/>
      <c r="H13503" s="1032"/>
      <c r="I13503" s="959">
        <f>+I13498</f>
        <v>0</v>
      </c>
    </row>
    <row r="13504" spans="3:9" ht="15.75">
      <c r="C13504" s="949"/>
      <c r="D13504" s="946"/>
      <c r="E13504" s="947"/>
      <c r="F13504" s="1054"/>
      <c r="G13504" s="946"/>
      <c r="H13504" s="1031"/>
      <c r="I13504" s="948"/>
    </row>
    <row r="13505" spans="2:9" ht="15.75">
      <c r="C13505" s="951" t="s">
        <v>930</v>
      </c>
      <c r="D13505" s="960"/>
      <c r="E13505" s="975" t="str">
        <f>+E13482</f>
        <v>Ud</v>
      </c>
      <c r="F13505" s="1070"/>
      <c r="G13505" s="960"/>
      <c r="H13505" s="1033"/>
      <c r="I13505" s="952">
        <f>SUM(I13500:I13503)</f>
        <v>1382.51</v>
      </c>
    </row>
    <row r="13506" spans="2:9" ht="15.75">
      <c r="C13506" s="951"/>
      <c r="D13506" s="960"/>
      <c r="E13506" s="943"/>
      <c r="F13506" s="1070"/>
      <c r="G13506" s="960"/>
      <c r="H13506" s="1033"/>
      <c r="I13506" s="952"/>
    </row>
    <row r="13507" spans="2:9" ht="15.75">
      <c r="B13507" s="1026">
        <v>6.4</v>
      </c>
      <c r="C13507" s="937" t="str">
        <f>+Presupuesto!B769</f>
        <v xml:space="preserve">Fregadero acero inoxidable doble </v>
      </c>
      <c r="D13507" s="938"/>
      <c r="E13507" s="962" t="s">
        <v>10</v>
      </c>
      <c r="F13507" s="1066"/>
      <c r="G13507" s="938"/>
      <c r="H13507" s="1029"/>
      <c r="I13507" s="940">
        <f>+I13530</f>
        <v>12750.41</v>
      </c>
    </row>
    <row r="13508" spans="2:9" ht="15.75">
      <c r="C13508" s="941" t="s">
        <v>908</v>
      </c>
      <c r="D13508" s="942" t="s">
        <v>9</v>
      </c>
      <c r="E13508" s="943" t="s">
        <v>10</v>
      </c>
      <c r="F13508" s="1067" t="s">
        <v>909</v>
      </c>
      <c r="G13508" s="942" t="s">
        <v>910</v>
      </c>
      <c r="H13508" s="1030" t="s">
        <v>911</v>
      </c>
      <c r="I13508" s="944" t="s">
        <v>912</v>
      </c>
    </row>
    <row r="13509" spans="2:9" ht="15.75">
      <c r="C13509" s="945" t="s">
        <v>913</v>
      </c>
      <c r="D13509" s="946"/>
      <c r="E13509" s="947"/>
      <c r="F13509" s="1054"/>
      <c r="G13509" s="946"/>
      <c r="H13509" s="1031"/>
      <c r="I13509" s="948"/>
    </row>
    <row r="13510" spans="2:9" ht="15.75">
      <c r="C13510" s="949" t="s">
        <v>1598</v>
      </c>
      <c r="D13510" s="946">
        <v>1.02</v>
      </c>
      <c r="E13510" s="947" t="str">
        <f>+VLOOKUP(C13510,'Basic (equilibrio) (2)'!B:D,2,FALSE)</f>
        <v>ud</v>
      </c>
      <c r="F13510" s="1068">
        <f>'Basic (equilibrio) (2)'!$D$212</f>
        <v>12500.4</v>
      </c>
      <c r="G13510" s="946">
        <f>F13510-(F13510/1.18)</f>
        <v>1906.84</v>
      </c>
      <c r="H13510" s="1031"/>
      <c r="I13510" s="948">
        <f>D13510*F13510</f>
        <v>12750.41</v>
      </c>
    </row>
    <row r="13511" spans="2:9" ht="15.75">
      <c r="C13511" s="951" t="s">
        <v>918</v>
      </c>
      <c r="D13511" s="946"/>
      <c r="E13511" s="947"/>
      <c r="F13511" s="1068"/>
      <c r="G13511" s="946"/>
      <c r="H13511" s="1031"/>
      <c r="I13511" s="952">
        <f>SUM(I13510:I13510)</f>
        <v>12750.41</v>
      </c>
    </row>
    <row r="13512" spans="2:9" ht="15.75">
      <c r="C13512" s="949"/>
      <c r="D13512" s="946"/>
      <c r="E13512" s="947"/>
      <c r="F13512" s="1068"/>
      <c r="G13512" s="946"/>
      <c r="H13512" s="1031"/>
      <c r="I13512" s="948"/>
    </row>
    <row r="13513" spans="2:9" ht="15.75">
      <c r="C13513" s="945" t="s">
        <v>919</v>
      </c>
      <c r="D13513" s="946"/>
      <c r="E13513" s="947"/>
      <c r="F13513" s="1068"/>
      <c r="G13513" s="946"/>
      <c r="H13513" s="1031"/>
      <c r="I13513" s="948"/>
    </row>
    <row r="13514" spans="2:9" ht="15.75">
      <c r="C13514" s="949" t="s">
        <v>924</v>
      </c>
      <c r="D13514" s="953"/>
      <c r="E13514" s="954" t="str">
        <f>+VLOOKUP(C13514,'Basic (equilibrio) (2)'!B:D,2,FALSE)</f>
        <v>n/a</v>
      </c>
      <c r="F13514" s="1068">
        <f>+VLOOKUP(C13514,'Basic (equilibrio) (2)'!B:D,3,FALSE)</f>
        <v>0</v>
      </c>
      <c r="G13514" s="946">
        <v>0</v>
      </c>
      <c r="H13514" s="1031"/>
      <c r="I13514" s="948">
        <f>(D13514*F13514)</f>
        <v>0</v>
      </c>
    </row>
    <row r="13515" spans="2:9" ht="15.75">
      <c r="C13515" s="951" t="s">
        <v>918</v>
      </c>
      <c r="D13515" s="946"/>
      <c r="E13515" s="947"/>
      <c r="F13515" s="1054"/>
      <c r="G13515" s="946"/>
      <c r="H13515" s="1031"/>
      <c r="I13515" s="952">
        <f>SUM(I13514:I13514)</f>
        <v>0</v>
      </c>
    </row>
    <row r="13516" spans="2:9" ht="15.75">
      <c r="C13516" s="949"/>
      <c r="D13516" s="946"/>
      <c r="E13516" s="947"/>
      <c r="F13516" s="1054"/>
      <c r="G13516" s="946"/>
      <c r="H13516" s="1031"/>
      <c r="I13516" s="948"/>
    </row>
    <row r="13517" spans="2:9" ht="15.75">
      <c r="C13517" s="945" t="s">
        <v>923</v>
      </c>
      <c r="D13517" s="946"/>
      <c r="E13517" s="947"/>
      <c r="F13517" s="1054"/>
      <c r="G13517" s="946"/>
      <c r="H13517" s="1031"/>
      <c r="I13517" s="948"/>
    </row>
    <row r="13518" spans="2:9" ht="15.75">
      <c r="C13518" s="949" t="s">
        <v>924</v>
      </c>
      <c r="D13518" s="946"/>
      <c r="E13518" s="947" t="str">
        <f>+VLOOKUP(C13518,'Basic (equilibrio) (2)'!B:D,2,FALSE)</f>
        <v>n/a</v>
      </c>
      <c r="F13518" s="1054">
        <f>+VLOOKUP(C13518,'Basic (equilibrio) (2)'!B:D,3,FALSE)</f>
        <v>0</v>
      </c>
      <c r="G13518" s="946">
        <f>F13518-(F13518/1.18)</f>
        <v>0</v>
      </c>
      <c r="H13518" s="1039"/>
      <c r="I13518" s="955">
        <f>D13518*F13518</f>
        <v>0</v>
      </c>
    </row>
    <row r="13519" spans="2:9" ht="15.75">
      <c r="C13519" s="951" t="s">
        <v>918</v>
      </c>
      <c r="D13519" s="946"/>
      <c r="E13519" s="947"/>
      <c r="F13519" s="1054"/>
      <c r="G13519" s="946"/>
      <c r="H13519" s="1031"/>
      <c r="I13519" s="952">
        <f>SUM(I13518:I13518)</f>
        <v>0</v>
      </c>
    </row>
    <row r="13520" spans="2:9" ht="15.75">
      <c r="C13520" s="949"/>
      <c r="D13520" s="946"/>
      <c r="E13520" s="947"/>
      <c r="F13520" s="1054"/>
      <c r="G13520" s="946"/>
      <c r="H13520" s="1031"/>
      <c r="I13520" s="948"/>
    </row>
    <row r="13521" spans="2:9" ht="15.75">
      <c r="C13521" s="945" t="s">
        <v>925</v>
      </c>
      <c r="D13521" s="946"/>
      <c r="E13521" s="947"/>
      <c r="F13521" s="1054"/>
      <c r="G13521" s="946"/>
      <c r="H13521" s="1031"/>
      <c r="I13521" s="948"/>
    </row>
    <row r="13522" spans="2:9" ht="15.75">
      <c r="C13522" s="949" t="s">
        <v>924</v>
      </c>
      <c r="D13522" s="946"/>
      <c r="E13522" s="947" t="str">
        <f>+VLOOKUP(C13522,'Basic (equilibrio) (2)'!B:D,2,FALSE)</f>
        <v>n/a</v>
      </c>
      <c r="F13522" s="1054">
        <f>+VLOOKUP(C13522,'Basic (equilibrio) (2)'!B:D,3,FALSE)</f>
        <v>0</v>
      </c>
      <c r="G13522" s="946"/>
      <c r="H13522" s="1031"/>
      <c r="I13522" s="948">
        <f>D13522*F13522</f>
        <v>0</v>
      </c>
    </row>
    <row r="13523" spans="2:9" ht="15.75">
      <c r="C13523" s="951" t="s">
        <v>918</v>
      </c>
      <c r="D13523" s="946"/>
      <c r="E13523" s="947"/>
      <c r="F13523" s="1054"/>
      <c r="G13523" s="946"/>
      <c r="H13523" s="1031"/>
      <c r="I13523" s="952">
        <f>SUM(I13522)</f>
        <v>0</v>
      </c>
    </row>
    <row r="13524" spans="2:9" ht="15.75">
      <c r="C13524" s="951"/>
      <c r="D13524" s="946"/>
      <c r="E13524" s="947"/>
      <c r="F13524" s="1054"/>
      <c r="G13524" s="946"/>
      <c r="H13524" s="1031"/>
      <c r="I13524" s="952"/>
    </row>
    <row r="13525" spans="2:9" ht="15.75">
      <c r="C13525" s="956" t="s">
        <v>926</v>
      </c>
      <c r="D13525" s="957"/>
      <c r="E13525" s="958"/>
      <c r="F13525" s="1069"/>
      <c r="G13525" s="957"/>
      <c r="H13525" s="1032"/>
      <c r="I13525" s="959">
        <f>+I13511</f>
        <v>12750.41</v>
      </c>
    </row>
    <row r="13526" spans="2:9" ht="15.75">
      <c r="C13526" s="956" t="s">
        <v>927</v>
      </c>
      <c r="D13526" s="957"/>
      <c r="E13526" s="958"/>
      <c r="F13526" s="1069"/>
      <c r="G13526" s="957"/>
      <c r="H13526" s="1032"/>
      <c r="I13526" s="959">
        <f>+I13515</f>
        <v>0</v>
      </c>
    </row>
    <row r="13527" spans="2:9" ht="15.75">
      <c r="C13527" s="956" t="s">
        <v>928</v>
      </c>
      <c r="D13527" s="957"/>
      <c r="E13527" s="958"/>
      <c r="F13527" s="1069"/>
      <c r="G13527" s="957"/>
      <c r="H13527" s="1032"/>
      <c r="I13527" s="959">
        <f>+I13519</f>
        <v>0</v>
      </c>
    </row>
    <row r="13528" spans="2:9" ht="15.75">
      <c r="C13528" s="956" t="s">
        <v>929</v>
      </c>
      <c r="D13528" s="957"/>
      <c r="E13528" s="958"/>
      <c r="F13528" s="1069"/>
      <c r="G13528" s="957"/>
      <c r="H13528" s="1032"/>
      <c r="I13528" s="959">
        <f>+I13523</f>
        <v>0</v>
      </c>
    </row>
    <row r="13529" spans="2:9" ht="15.75">
      <c r="C13529" s="949"/>
      <c r="D13529" s="946"/>
      <c r="E13529" s="947"/>
      <c r="F13529" s="1054"/>
      <c r="G13529" s="946"/>
      <c r="H13529" s="1031"/>
      <c r="I13529" s="948"/>
    </row>
    <row r="13530" spans="2:9" ht="15.75">
      <c r="C13530" s="951" t="s">
        <v>930</v>
      </c>
      <c r="D13530" s="960"/>
      <c r="E13530" s="975" t="str">
        <f>+E13507</f>
        <v>Ud</v>
      </c>
      <c r="F13530" s="1070"/>
      <c r="G13530" s="960"/>
      <c r="H13530" s="1033"/>
      <c r="I13530" s="952">
        <f>SUM(I13525:I13528)</f>
        <v>12750.41</v>
      </c>
    </row>
    <row r="13531" spans="2:9" ht="15.75">
      <c r="C13531" s="951"/>
      <c r="D13531" s="960"/>
      <c r="E13531" s="975"/>
      <c r="F13531" s="1070"/>
      <c r="G13531" s="960"/>
      <c r="H13531" s="1033"/>
      <c r="I13531" s="952"/>
    </row>
    <row r="13532" spans="2:9" ht="15.75">
      <c r="B13532" s="1063">
        <v>6.5</v>
      </c>
      <c r="C13532" s="937" t="str">
        <f>+Presupuesto!B770</f>
        <v>Trampa de grasa (1.00m x 1.00m x 1.00m)</v>
      </c>
      <c r="D13532" s="938"/>
      <c r="E13532" s="962" t="s">
        <v>10</v>
      </c>
      <c r="F13532" s="1066"/>
      <c r="G13532" s="938"/>
      <c r="H13532" s="1029"/>
      <c r="I13532" s="940">
        <f>+I13555</f>
        <v>9874.82</v>
      </c>
    </row>
    <row r="13533" spans="2:9" ht="15.75">
      <c r="C13533" s="941" t="s">
        <v>908</v>
      </c>
      <c r="D13533" s="942" t="s">
        <v>9</v>
      </c>
      <c r="E13533" s="943" t="s">
        <v>10</v>
      </c>
      <c r="F13533" s="1067" t="s">
        <v>909</v>
      </c>
      <c r="G13533" s="942" t="s">
        <v>910</v>
      </c>
      <c r="H13533" s="1030" t="s">
        <v>911</v>
      </c>
      <c r="I13533" s="944" t="s">
        <v>912</v>
      </c>
    </row>
    <row r="13534" spans="2:9" ht="15.75">
      <c r="C13534" s="945" t="s">
        <v>913</v>
      </c>
      <c r="D13534" s="946"/>
      <c r="E13534" s="947"/>
      <c r="F13534" s="1054"/>
      <c r="G13534" s="946"/>
      <c r="H13534" s="1031"/>
      <c r="I13534" s="948"/>
    </row>
    <row r="13535" spans="2:9" ht="15.75">
      <c r="C13535" s="949" t="s">
        <v>1605</v>
      </c>
      <c r="D13535" s="946">
        <v>1.02</v>
      </c>
      <c r="E13535" s="947" t="str">
        <f>+VLOOKUP(C13535,'Basic (equilibrio) (2)'!B:D,2,FALSE)</f>
        <v>ud</v>
      </c>
      <c r="F13535" s="1068">
        <f>'Basic (equilibrio) (2)'!$D$220</f>
        <v>9681.2000000000007</v>
      </c>
      <c r="G13535" s="946">
        <f>F13535-(F13535/1.18)</f>
        <v>1476.79</v>
      </c>
      <c r="H13535" s="1031"/>
      <c r="I13535" s="948">
        <f>D13535*F13535</f>
        <v>9874.82</v>
      </c>
    </row>
    <row r="13536" spans="2:9" ht="15.75">
      <c r="C13536" s="951" t="s">
        <v>918</v>
      </c>
      <c r="D13536" s="946"/>
      <c r="E13536" s="947"/>
      <c r="F13536" s="1068"/>
      <c r="G13536" s="946"/>
      <c r="H13536" s="1031"/>
      <c r="I13536" s="952">
        <f>SUM(I13535:I13535)</f>
        <v>9874.82</v>
      </c>
    </row>
    <row r="13537" spans="3:9" ht="15.75">
      <c r="C13537" s="949"/>
      <c r="D13537" s="946"/>
      <c r="E13537" s="947"/>
      <c r="F13537" s="1068"/>
      <c r="G13537" s="946"/>
      <c r="H13537" s="1031"/>
      <c r="I13537" s="948"/>
    </row>
    <row r="13538" spans="3:9" ht="15.75">
      <c r="C13538" s="945" t="s">
        <v>919</v>
      </c>
      <c r="D13538" s="946"/>
      <c r="E13538" s="947"/>
      <c r="F13538" s="1068"/>
      <c r="G13538" s="946"/>
      <c r="H13538" s="1031"/>
      <c r="I13538" s="948"/>
    </row>
    <row r="13539" spans="3:9" ht="15.75">
      <c r="C13539" s="949" t="s">
        <v>924</v>
      </c>
      <c r="D13539" s="953"/>
      <c r="E13539" s="954" t="str">
        <f>+VLOOKUP(C13539,'Basic (equilibrio) (2)'!B:D,2,FALSE)</f>
        <v>n/a</v>
      </c>
      <c r="F13539" s="1068">
        <f>+VLOOKUP(C13539,'Basic (equilibrio) (2)'!B:D,3,FALSE)</f>
        <v>0</v>
      </c>
      <c r="G13539" s="946">
        <v>0</v>
      </c>
      <c r="H13539" s="1031"/>
      <c r="I13539" s="948">
        <f>(D13539*F13539)</f>
        <v>0</v>
      </c>
    </row>
    <row r="13540" spans="3:9" ht="15.75">
      <c r="C13540" s="951" t="s">
        <v>918</v>
      </c>
      <c r="D13540" s="946"/>
      <c r="E13540" s="947"/>
      <c r="F13540" s="1054"/>
      <c r="G13540" s="946"/>
      <c r="H13540" s="1031"/>
      <c r="I13540" s="952">
        <f>SUM(I13539:I13539)</f>
        <v>0</v>
      </c>
    </row>
    <row r="13541" spans="3:9" ht="15.75">
      <c r="C13541" s="949"/>
      <c r="D13541" s="946"/>
      <c r="E13541" s="947"/>
      <c r="F13541" s="1054"/>
      <c r="G13541" s="946"/>
      <c r="H13541" s="1031"/>
      <c r="I13541" s="948"/>
    </row>
    <row r="13542" spans="3:9" ht="15.75">
      <c r="C13542" s="945" t="s">
        <v>923</v>
      </c>
      <c r="D13542" s="946"/>
      <c r="E13542" s="947"/>
      <c r="F13542" s="1054"/>
      <c r="G13542" s="946"/>
      <c r="H13542" s="1031"/>
      <c r="I13542" s="948"/>
    </row>
    <row r="13543" spans="3:9" ht="15.75">
      <c r="C13543" s="949" t="s">
        <v>924</v>
      </c>
      <c r="D13543" s="946"/>
      <c r="E13543" s="947" t="str">
        <f>+VLOOKUP(C13543,'Basic (equilibrio) (2)'!B:D,2,FALSE)</f>
        <v>n/a</v>
      </c>
      <c r="F13543" s="1054">
        <f>+VLOOKUP(C13543,'Basic (equilibrio) (2)'!B:D,3,FALSE)</f>
        <v>0</v>
      </c>
      <c r="G13543" s="946">
        <f>F13543-(F13543/1.18)</f>
        <v>0</v>
      </c>
      <c r="H13543" s="1039"/>
      <c r="I13543" s="955">
        <f>D13543*F13543</f>
        <v>0</v>
      </c>
    </row>
    <row r="13544" spans="3:9" ht="15.75">
      <c r="C13544" s="951" t="s">
        <v>918</v>
      </c>
      <c r="D13544" s="946"/>
      <c r="E13544" s="947"/>
      <c r="F13544" s="1054"/>
      <c r="G13544" s="946"/>
      <c r="H13544" s="1031"/>
      <c r="I13544" s="952">
        <f>SUM(I13543:I13543)</f>
        <v>0</v>
      </c>
    </row>
    <row r="13545" spans="3:9" ht="15.75">
      <c r="C13545" s="949"/>
      <c r="D13545" s="946"/>
      <c r="E13545" s="947"/>
      <c r="F13545" s="1054"/>
      <c r="G13545" s="946"/>
      <c r="H13545" s="1031"/>
      <c r="I13545" s="948"/>
    </row>
    <row r="13546" spans="3:9" ht="15.75">
      <c r="C13546" s="945" t="s">
        <v>925</v>
      </c>
      <c r="D13546" s="946"/>
      <c r="E13546" s="947"/>
      <c r="F13546" s="1054"/>
      <c r="G13546" s="946"/>
      <c r="H13546" s="1031"/>
      <c r="I13546" s="948"/>
    </row>
    <row r="13547" spans="3:9" ht="15.75">
      <c r="C13547" s="949" t="s">
        <v>924</v>
      </c>
      <c r="D13547" s="946"/>
      <c r="E13547" s="947" t="str">
        <f>+VLOOKUP(C13547,'Basic (equilibrio) (2)'!B:D,2,FALSE)</f>
        <v>n/a</v>
      </c>
      <c r="F13547" s="1054">
        <f>+VLOOKUP(C13547,'Basic (equilibrio) (2)'!B:D,3,FALSE)</f>
        <v>0</v>
      </c>
      <c r="G13547" s="946"/>
      <c r="H13547" s="1031"/>
      <c r="I13547" s="948">
        <f>D13547*F13547</f>
        <v>0</v>
      </c>
    </row>
    <row r="13548" spans="3:9" ht="15.75">
      <c r="C13548" s="951" t="s">
        <v>918</v>
      </c>
      <c r="D13548" s="946"/>
      <c r="E13548" s="947"/>
      <c r="F13548" s="1054"/>
      <c r="G13548" s="946"/>
      <c r="H13548" s="1031"/>
      <c r="I13548" s="952">
        <f>SUM(I13547)</f>
        <v>0</v>
      </c>
    </row>
    <row r="13549" spans="3:9" ht="15.75">
      <c r="C13549" s="951"/>
      <c r="D13549" s="946"/>
      <c r="E13549" s="947"/>
      <c r="F13549" s="1054"/>
      <c r="G13549" s="946"/>
      <c r="H13549" s="1031"/>
      <c r="I13549" s="952"/>
    </row>
    <row r="13550" spans="3:9" ht="15.75">
      <c r="C13550" s="956" t="s">
        <v>926</v>
      </c>
      <c r="D13550" s="957"/>
      <c r="E13550" s="958"/>
      <c r="F13550" s="1069"/>
      <c r="G13550" s="957"/>
      <c r="H13550" s="1032"/>
      <c r="I13550" s="959">
        <f>+I13536</f>
        <v>9874.82</v>
      </c>
    </row>
    <row r="13551" spans="3:9" ht="15.75">
      <c r="C13551" s="956" t="s">
        <v>927</v>
      </c>
      <c r="D13551" s="957"/>
      <c r="E13551" s="958"/>
      <c r="F13551" s="1069"/>
      <c r="G13551" s="957"/>
      <c r="H13551" s="1032"/>
      <c r="I13551" s="959">
        <f>+I13540</f>
        <v>0</v>
      </c>
    </row>
    <row r="13552" spans="3:9" ht="15.75">
      <c r="C13552" s="956" t="s">
        <v>928</v>
      </c>
      <c r="D13552" s="957"/>
      <c r="E13552" s="958"/>
      <c r="F13552" s="1069"/>
      <c r="G13552" s="957"/>
      <c r="H13552" s="1032"/>
      <c r="I13552" s="959">
        <f>+I13544</f>
        <v>0</v>
      </c>
    </row>
    <row r="13553" spans="2:9" ht="15.75">
      <c r="C13553" s="956" t="s">
        <v>929</v>
      </c>
      <c r="D13553" s="957"/>
      <c r="E13553" s="958"/>
      <c r="F13553" s="1069"/>
      <c r="G13553" s="957"/>
      <c r="H13553" s="1032"/>
      <c r="I13553" s="959">
        <f>+I13548</f>
        <v>0</v>
      </c>
    </row>
    <row r="13554" spans="2:9" ht="15.75">
      <c r="C13554" s="949"/>
      <c r="D13554" s="946"/>
      <c r="E13554" s="947"/>
      <c r="F13554" s="1054"/>
      <c r="G13554" s="946"/>
      <c r="H13554" s="1031"/>
      <c r="I13554" s="948"/>
    </row>
    <row r="13555" spans="2:9" ht="15.75">
      <c r="C13555" s="951" t="s">
        <v>930</v>
      </c>
      <c r="D13555" s="960"/>
      <c r="E13555" s="975" t="str">
        <f>+E13532</f>
        <v>Ud</v>
      </c>
      <c r="F13555" s="1070"/>
      <c r="G13555" s="960"/>
      <c r="H13555" s="1033"/>
      <c r="I13555" s="952">
        <f>SUM(I13550:I13553)</f>
        <v>9874.82</v>
      </c>
    </row>
    <row r="13556" spans="2:9" ht="15.75">
      <c r="C13556" s="951"/>
      <c r="D13556" s="960"/>
      <c r="E13556" s="943"/>
      <c r="F13556" s="1070"/>
      <c r="G13556" s="960"/>
      <c r="H13556" s="1033"/>
      <c r="I13556" s="952"/>
    </row>
    <row r="13557" spans="2:9" ht="15.75">
      <c r="B13557" s="1062">
        <v>6.6</v>
      </c>
      <c r="C13557" s="937" t="str">
        <f>+Presupuesto!B771</f>
        <v>Cámara séptica (1.00m x 2.40m x 1.00m)</v>
      </c>
      <c r="D13557" s="938"/>
      <c r="E13557" s="962" t="s">
        <v>10</v>
      </c>
      <c r="F13557" s="1066"/>
      <c r="G13557" s="938"/>
      <c r="H13557" s="1029"/>
      <c r="I13557" s="940">
        <f>+I13580</f>
        <v>66139.960000000006</v>
      </c>
    </row>
    <row r="13558" spans="2:9" ht="15.75">
      <c r="C13558" s="941" t="s">
        <v>908</v>
      </c>
      <c r="D13558" s="942" t="s">
        <v>9</v>
      </c>
      <c r="E13558" s="943" t="s">
        <v>10</v>
      </c>
      <c r="F13558" s="1067" t="s">
        <v>909</v>
      </c>
      <c r="G13558" s="942" t="s">
        <v>910</v>
      </c>
      <c r="H13558" s="1030" t="s">
        <v>911</v>
      </c>
      <c r="I13558" s="944" t="s">
        <v>912</v>
      </c>
    </row>
    <row r="13559" spans="2:9" ht="15.75">
      <c r="C13559" s="945" t="s">
        <v>913</v>
      </c>
      <c r="D13559" s="946"/>
      <c r="E13559" s="947"/>
      <c r="F13559" s="1054"/>
      <c r="G13559" s="946"/>
      <c r="H13559" s="1031"/>
      <c r="I13559" s="948"/>
    </row>
    <row r="13560" spans="2:9" ht="15.75">
      <c r="C13560" s="949" t="s">
        <v>1608</v>
      </c>
      <c r="D13560" s="946">
        <v>1.02</v>
      </c>
      <c r="E13560" s="947" t="str">
        <f>+VLOOKUP(C13560,'Basic (equilibrio) (2)'!B:D,2,FALSE)</f>
        <v>ud</v>
      </c>
      <c r="F13560" s="1068">
        <f>'Basic (equilibrio) (2)'!$D$223</f>
        <v>64843.1</v>
      </c>
      <c r="G13560" s="946">
        <f>F13560-(F13560/1.18)</f>
        <v>9891.32</v>
      </c>
      <c r="H13560" s="1031"/>
      <c r="I13560" s="948">
        <f>D13560*F13560</f>
        <v>66139.960000000006</v>
      </c>
    </row>
    <row r="13561" spans="2:9" ht="15.75">
      <c r="C13561" s="951" t="s">
        <v>918</v>
      </c>
      <c r="D13561" s="946"/>
      <c r="E13561" s="947"/>
      <c r="F13561" s="1068"/>
      <c r="G13561" s="946"/>
      <c r="H13561" s="1031"/>
      <c r="I13561" s="952">
        <f>SUM(I13560:I13560)</f>
        <v>66139.960000000006</v>
      </c>
    </row>
    <row r="13562" spans="2:9" ht="15.75">
      <c r="C13562" s="949"/>
      <c r="D13562" s="946"/>
      <c r="E13562" s="947"/>
      <c r="F13562" s="1068"/>
      <c r="G13562" s="946"/>
      <c r="H13562" s="1031"/>
      <c r="I13562" s="948"/>
    </row>
    <row r="13563" spans="2:9" ht="15.75">
      <c r="C13563" s="945" t="s">
        <v>919</v>
      </c>
      <c r="D13563" s="946"/>
      <c r="E13563" s="947"/>
      <c r="F13563" s="1068"/>
      <c r="G13563" s="946"/>
      <c r="H13563" s="1031"/>
      <c r="I13563" s="948"/>
    </row>
    <row r="13564" spans="2:9" ht="15.75">
      <c r="C13564" s="949" t="s">
        <v>924</v>
      </c>
      <c r="D13564" s="953"/>
      <c r="E13564" s="954" t="str">
        <f>+VLOOKUP(C13564,'Basic (equilibrio) (2)'!B:D,2,FALSE)</f>
        <v>n/a</v>
      </c>
      <c r="F13564" s="1068">
        <f>+VLOOKUP(C13564,'Basic (equilibrio) (2)'!B:D,3,FALSE)</f>
        <v>0</v>
      </c>
      <c r="G13564" s="946">
        <v>0</v>
      </c>
      <c r="H13564" s="1031"/>
      <c r="I13564" s="948">
        <f>(D13564*F13564)</f>
        <v>0</v>
      </c>
    </row>
    <row r="13565" spans="2:9" ht="15.75">
      <c r="C13565" s="951" t="s">
        <v>918</v>
      </c>
      <c r="D13565" s="946"/>
      <c r="E13565" s="947"/>
      <c r="F13565" s="1054"/>
      <c r="G13565" s="946"/>
      <c r="H13565" s="1031"/>
      <c r="I13565" s="952">
        <f>SUM(I13564:I13564)</f>
        <v>0</v>
      </c>
    </row>
    <row r="13566" spans="2:9" ht="15.75">
      <c r="C13566" s="949"/>
      <c r="D13566" s="946"/>
      <c r="E13566" s="947"/>
      <c r="F13566" s="1054"/>
      <c r="G13566" s="946"/>
      <c r="H13566" s="1031"/>
      <c r="I13566" s="948"/>
    </row>
    <row r="13567" spans="2:9" ht="15.75">
      <c r="C13567" s="945" t="s">
        <v>923</v>
      </c>
      <c r="D13567" s="946"/>
      <c r="E13567" s="947"/>
      <c r="F13567" s="1054"/>
      <c r="G13567" s="946"/>
      <c r="H13567" s="1031"/>
      <c r="I13567" s="948"/>
    </row>
    <row r="13568" spans="2:9" ht="15.75">
      <c r="C13568" s="949" t="s">
        <v>924</v>
      </c>
      <c r="D13568" s="946"/>
      <c r="E13568" s="947" t="str">
        <f>+VLOOKUP(C13568,'Basic (equilibrio) (2)'!B:D,2,FALSE)</f>
        <v>n/a</v>
      </c>
      <c r="F13568" s="1054">
        <f>+VLOOKUP(C13568,'Basic (equilibrio) (2)'!B:D,3,FALSE)</f>
        <v>0</v>
      </c>
      <c r="G13568" s="946">
        <f>F13568-(F13568/1.18)</f>
        <v>0</v>
      </c>
      <c r="H13568" s="1039"/>
      <c r="I13568" s="955">
        <f>D13568*F13568</f>
        <v>0</v>
      </c>
    </row>
    <row r="13569" spans="2:9" ht="15.75">
      <c r="C13569" s="951" t="s">
        <v>918</v>
      </c>
      <c r="D13569" s="946"/>
      <c r="E13569" s="947"/>
      <c r="F13569" s="1054"/>
      <c r="G13569" s="946"/>
      <c r="H13569" s="1031"/>
      <c r="I13569" s="952">
        <f>SUM(I13568:I13568)</f>
        <v>0</v>
      </c>
    </row>
    <row r="13570" spans="2:9" ht="15.75">
      <c r="C13570" s="949"/>
      <c r="D13570" s="946"/>
      <c r="E13570" s="947"/>
      <c r="F13570" s="1054"/>
      <c r="G13570" s="946"/>
      <c r="H13570" s="1031"/>
      <c r="I13570" s="948"/>
    </row>
    <row r="13571" spans="2:9" ht="15.75">
      <c r="C13571" s="945" t="s">
        <v>925</v>
      </c>
      <c r="D13571" s="946"/>
      <c r="E13571" s="947"/>
      <c r="F13571" s="1054"/>
      <c r="G13571" s="946"/>
      <c r="H13571" s="1031"/>
      <c r="I13571" s="948"/>
    </row>
    <row r="13572" spans="2:9" ht="15.75">
      <c r="C13572" s="949" t="s">
        <v>924</v>
      </c>
      <c r="D13572" s="946"/>
      <c r="E13572" s="947" t="str">
        <f>+VLOOKUP(C13572,'Basic (equilibrio) (2)'!B:D,2,FALSE)</f>
        <v>n/a</v>
      </c>
      <c r="F13572" s="1054">
        <f>+VLOOKUP(C13572,'Basic (equilibrio) (2)'!B:D,3,FALSE)</f>
        <v>0</v>
      </c>
      <c r="G13572" s="946"/>
      <c r="H13572" s="1031"/>
      <c r="I13572" s="948">
        <f>D13572*F13572</f>
        <v>0</v>
      </c>
    </row>
    <row r="13573" spans="2:9" ht="15.75">
      <c r="C13573" s="951" t="s">
        <v>918</v>
      </c>
      <c r="D13573" s="946"/>
      <c r="E13573" s="947"/>
      <c r="F13573" s="1054"/>
      <c r="G13573" s="946"/>
      <c r="H13573" s="1031"/>
      <c r="I13573" s="952">
        <f>SUM(I13572)</f>
        <v>0</v>
      </c>
    </row>
    <row r="13574" spans="2:9" ht="15.75">
      <c r="C13574" s="951"/>
      <c r="D13574" s="946"/>
      <c r="E13574" s="947"/>
      <c r="F13574" s="1054"/>
      <c r="G13574" s="946"/>
      <c r="H13574" s="1031"/>
      <c r="I13574" s="952"/>
    </row>
    <row r="13575" spans="2:9" ht="15.75">
      <c r="C13575" s="956" t="s">
        <v>926</v>
      </c>
      <c r="D13575" s="957"/>
      <c r="E13575" s="958"/>
      <c r="F13575" s="1069"/>
      <c r="G13575" s="957"/>
      <c r="H13575" s="1032"/>
      <c r="I13575" s="959">
        <f>+I13561</f>
        <v>66139.960000000006</v>
      </c>
    </row>
    <row r="13576" spans="2:9" ht="15.75">
      <c r="C13576" s="956" t="s">
        <v>927</v>
      </c>
      <c r="D13576" s="957"/>
      <c r="E13576" s="958"/>
      <c r="F13576" s="1069"/>
      <c r="G13576" s="957"/>
      <c r="H13576" s="1032"/>
      <c r="I13576" s="959">
        <f>+I13565</f>
        <v>0</v>
      </c>
    </row>
    <row r="13577" spans="2:9" ht="15.75">
      <c r="C13577" s="956" t="s">
        <v>928</v>
      </c>
      <c r="D13577" s="957"/>
      <c r="E13577" s="958"/>
      <c r="F13577" s="1069"/>
      <c r="G13577" s="957"/>
      <c r="H13577" s="1032"/>
      <c r="I13577" s="959">
        <f>+I13569</f>
        <v>0</v>
      </c>
    </row>
    <row r="13578" spans="2:9" ht="15.75">
      <c r="C13578" s="956" t="s">
        <v>929</v>
      </c>
      <c r="D13578" s="957"/>
      <c r="E13578" s="958"/>
      <c r="F13578" s="1069"/>
      <c r="G13578" s="957"/>
      <c r="H13578" s="1032"/>
      <c r="I13578" s="959">
        <f>+I13573</f>
        <v>0</v>
      </c>
    </row>
    <row r="13579" spans="2:9" ht="15.75">
      <c r="C13579" s="949"/>
      <c r="D13579" s="946"/>
      <c r="E13579" s="947"/>
      <c r="F13579" s="1054"/>
      <c r="G13579" s="946"/>
      <c r="H13579" s="1031"/>
      <c r="I13579" s="948"/>
    </row>
    <row r="13580" spans="2:9" ht="15.75">
      <c r="C13580" s="951" t="s">
        <v>930</v>
      </c>
      <c r="D13580" s="960"/>
      <c r="E13580" s="975" t="str">
        <f>+E13557</f>
        <v>Ud</v>
      </c>
      <c r="F13580" s="1070"/>
      <c r="G13580" s="960"/>
      <c r="H13580" s="1033"/>
      <c r="I13580" s="952">
        <f>SUM(I13575:I13578)</f>
        <v>66139.960000000006</v>
      </c>
    </row>
    <row r="13581" spans="2:9" ht="15.75">
      <c r="B13581" s="1063">
        <v>6.7</v>
      </c>
      <c r="C13581" s="937" t="str">
        <f>+Presupuesto!B772</f>
        <v>Registro de inspección (0.60m x 0.60m x 0.75m)</v>
      </c>
      <c r="D13581" s="938"/>
      <c r="E13581" s="962" t="s">
        <v>10</v>
      </c>
      <c r="F13581" s="1066"/>
      <c r="G13581" s="938"/>
      <c r="H13581" s="1029"/>
      <c r="I13581" s="940">
        <f>+I13604</f>
        <v>5158.1400000000003</v>
      </c>
    </row>
    <row r="13582" spans="2:9" ht="15.75">
      <c r="C13582" s="941" t="s">
        <v>908</v>
      </c>
      <c r="D13582" s="942" t="s">
        <v>9</v>
      </c>
      <c r="E13582" s="943" t="s">
        <v>10</v>
      </c>
      <c r="F13582" s="1067" t="s">
        <v>909</v>
      </c>
      <c r="G13582" s="942" t="s">
        <v>910</v>
      </c>
      <c r="H13582" s="1030" t="s">
        <v>911</v>
      </c>
      <c r="I13582" s="944" t="s">
        <v>912</v>
      </c>
    </row>
    <row r="13583" spans="2:9" ht="15.75">
      <c r="C13583" s="945" t="s">
        <v>913</v>
      </c>
      <c r="D13583" s="946"/>
      <c r="E13583" s="947"/>
      <c r="F13583" s="1054"/>
      <c r="G13583" s="946"/>
      <c r="H13583" s="1031"/>
      <c r="I13583" s="948"/>
    </row>
    <row r="13584" spans="2:9" ht="15.75">
      <c r="C13584" s="949" t="s">
        <v>1606</v>
      </c>
      <c r="D13584" s="946">
        <v>1.02</v>
      </c>
      <c r="E13584" s="947" t="str">
        <f>+VLOOKUP(C13584,'Basic (equilibrio) (2)'!B:D,2,FALSE)</f>
        <v>ud</v>
      </c>
      <c r="F13584" s="1068">
        <f>'Basic (equilibrio) (2)'!$D$221</f>
        <v>5057</v>
      </c>
      <c r="G13584" s="946">
        <f>F13584-(F13584/1.18)</f>
        <v>771.41</v>
      </c>
      <c r="H13584" s="1031"/>
      <c r="I13584" s="948">
        <f>D13584*F13584</f>
        <v>5158.1400000000003</v>
      </c>
    </row>
    <row r="13585" spans="3:9" ht="15.75">
      <c r="C13585" s="951" t="s">
        <v>918</v>
      </c>
      <c r="D13585" s="946"/>
      <c r="E13585" s="947"/>
      <c r="F13585" s="1068"/>
      <c r="G13585" s="946"/>
      <c r="H13585" s="1031"/>
      <c r="I13585" s="952">
        <f>SUM(I13584:I13584)</f>
        <v>5158.1400000000003</v>
      </c>
    </row>
    <row r="13586" spans="3:9" ht="15.75">
      <c r="C13586" s="949"/>
      <c r="D13586" s="946"/>
      <c r="E13586" s="947"/>
      <c r="F13586" s="1068"/>
      <c r="G13586" s="946"/>
      <c r="H13586" s="1031"/>
      <c r="I13586" s="948"/>
    </row>
    <row r="13587" spans="3:9" ht="15.75">
      <c r="C13587" s="945" t="s">
        <v>919</v>
      </c>
      <c r="D13587" s="946"/>
      <c r="E13587" s="947"/>
      <c r="F13587" s="1068"/>
      <c r="G13587" s="946"/>
      <c r="H13587" s="1031"/>
      <c r="I13587" s="948"/>
    </row>
    <row r="13588" spans="3:9" ht="15.75">
      <c r="C13588" s="949" t="s">
        <v>924</v>
      </c>
      <c r="D13588" s="953"/>
      <c r="E13588" s="954" t="str">
        <f>+VLOOKUP(C13588,'Basic (equilibrio) (2)'!B:D,2,FALSE)</f>
        <v>n/a</v>
      </c>
      <c r="F13588" s="1068">
        <f>+VLOOKUP(C13588,'Basic (equilibrio) (2)'!B:D,3,FALSE)</f>
        <v>0</v>
      </c>
      <c r="G13588" s="946">
        <v>0</v>
      </c>
      <c r="H13588" s="1031"/>
      <c r="I13588" s="948">
        <f>(D13588*F13588)</f>
        <v>0</v>
      </c>
    </row>
    <row r="13589" spans="3:9" ht="15.75">
      <c r="C13589" s="951" t="s">
        <v>918</v>
      </c>
      <c r="D13589" s="946"/>
      <c r="E13589" s="947"/>
      <c r="F13589" s="1054"/>
      <c r="G13589" s="946"/>
      <c r="H13589" s="1031"/>
      <c r="I13589" s="952">
        <f>SUM(I13588:I13588)</f>
        <v>0</v>
      </c>
    </row>
    <row r="13590" spans="3:9" ht="15.75">
      <c r="C13590" s="949"/>
      <c r="D13590" s="946"/>
      <c r="E13590" s="947"/>
      <c r="F13590" s="1054"/>
      <c r="G13590" s="946"/>
      <c r="H13590" s="1031"/>
      <c r="I13590" s="948"/>
    </row>
    <row r="13591" spans="3:9" ht="15.75">
      <c r="C13591" s="945" t="s">
        <v>923</v>
      </c>
      <c r="D13591" s="946"/>
      <c r="E13591" s="947"/>
      <c r="F13591" s="1054"/>
      <c r="G13591" s="946"/>
      <c r="H13591" s="1031"/>
      <c r="I13591" s="948"/>
    </row>
    <row r="13592" spans="3:9" ht="15.75">
      <c r="C13592" s="949" t="s">
        <v>924</v>
      </c>
      <c r="D13592" s="946"/>
      <c r="E13592" s="947" t="str">
        <f>+VLOOKUP(C13592,'Basic (equilibrio) (2)'!B:D,2,FALSE)</f>
        <v>n/a</v>
      </c>
      <c r="F13592" s="1054">
        <f>+VLOOKUP(C13592,'Basic (equilibrio) (2)'!B:D,3,FALSE)</f>
        <v>0</v>
      </c>
      <c r="G13592" s="946">
        <f>F13592-(F13592/1.18)</f>
        <v>0</v>
      </c>
      <c r="H13592" s="1039"/>
      <c r="I13592" s="955">
        <f>D13592*F13592</f>
        <v>0</v>
      </c>
    </row>
    <row r="13593" spans="3:9" ht="15.75">
      <c r="C13593" s="951" t="s">
        <v>918</v>
      </c>
      <c r="D13593" s="946"/>
      <c r="E13593" s="947"/>
      <c r="F13593" s="1054"/>
      <c r="G13593" s="946"/>
      <c r="H13593" s="1031"/>
      <c r="I13593" s="952">
        <f>SUM(I13592:I13592)</f>
        <v>0</v>
      </c>
    </row>
    <row r="13594" spans="3:9" ht="15.75">
      <c r="C13594" s="949"/>
      <c r="D13594" s="946"/>
      <c r="E13594" s="947"/>
      <c r="F13594" s="1054"/>
      <c r="G13594" s="946"/>
      <c r="H13594" s="1031"/>
      <c r="I13594" s="948"/>
    </row>
    <row r="13595" spans="3:9" ht="15.75">
      <c r="C13595" s="945" t="s">
        <v>925</v>
      </c>
      <c r="D13595" s="946"/>
      <c r="E13595" s="947"/>
      <c r="F13595" s="1054"/>
      <c r="G13595" s="946"/>
      <c r="H13595" s="1031"/>
      <c r="I13595" s="948"/>
    </row>
    <row r="13596" spans="3:9" ht="15.75">
      <c r="C13596" s="949" t="s">
        <v>924</v>
      </c>
      <c r="D13596" s="946"/>
      <c r="E13596" s="947" t="str">
        <f>+VLOOKUP(C13596,'Basic (equilibrio) (2)'!B:D,2,FALSE)</f>
        <v>n/a</v>
      </c>
      <c r="F13596" s="1054">
        <f>+VLOOKUP(C13596,'Basic (equilibrio) (2)'!B:D,3,FALSE)</f>
        <v>0</v>
      </c>
      <c r="G13596" s="946"/>
      <c r="H13596" s="1031"/>
      <c r="I13596" s="948">
        <f>D13596*F13596</f>
        <v>0</v>
      </c>
    </row>
    <row r="13597" spans="3:9" ht="15.75">
      <c r="C13597" s="951" t="s">
        <v>918</v>
      </c>
      <c r="D13597" s="946"/>
      <c r="E13597" s="947"/>
      <c r="F13597" s="1054"/>
      <c r="G13597" s="946"/>
      <c r="H13597" s="1031"/>
      <c r="I13597" s="952">
        <f>SUM(I13596)</f>
        <v>0</v>
      </c>
    </row>
    <row r="13598" spans="3:9" ht="15.75">
      <c r="C13598" s="951"/>
      <c r="D13598" s="946"/>
      <c r="E13598" s="947"/>
      <c r="F13598" s="1054"/>
      <c r="G13598" s="946"/>
      <c r="H13598" s="1031"/>
      <c r="I13598" s="952"/>
    </row>
    <row r="13599" spans="3:9" ht="15.75">
      <c r="C13599" s="956" t="s">
        <v>926</v>
      </c>
      <c r="D13599" s="957"/>
      <c r="E13599" s="958"/>
      <c r="F13599" s="1069"/>
      <c r="G13599" s="957"/>
      <c r="H13599" s="1032"/>
      <c r="I13599" s="959">
        <f>+I13585</f>
        <v>5158.1400000000003</v>
      </c>
    </row>
    <row r="13600" spans="3:9" ht="15.75">
      <c r="C13600" s="956" t="s">
        <v>927</v>
      </c>
      <c r="D13600" s="957"/>
      <c r="E13600" s="958"/>
      <c r="F13600" s="1069"/>
      <c r="G13600" s="957"/>
      <c r="H13600" s="1032"/>
      <c r="I13600" s="959">
        <f>+I13589</f>
        <v>0</v>
      </c>
    </row>
    <row r="13601" spans="2:9" ht="15.75">
      <c r="C13601" s="956" t="s">
        <v>928</v>
      </c>
      <c r="D13601" s="957"/>
      <c r="E13601" s="958"/>
      <c r="F13601" s="1069"/>
      <c r="G13601" s="957"/>
      <c r="H13601" s="1032"/>
      <c r="I13601" s="959">
        <f>+I13593</f>
        <v>0</v>
      </c>
    </row>
    <row r="13602" spans="2:9" ht="15.75">
      <c r="C13602" s="956" t="s">
        <v>929</v>
      </c>
      <c r="D13602" s="957"/>
      <c r="E13602" s="958"/>
      <c r="F13602" s="1069"/>
      <c r="G13602" s="957"/>
      <c r="H13602" s="1032"/>
      <c r="I13602" s="959">
        <f>+I13597</f>
        <v>0</v>
      </c>
    </row>
    <row r="13603" spans="2:9" ht="15.75">
      <c r="C13603" s="949"/>
      <c r="D13603" s="946"/>
      <c r="E13603" s="947"/>
      <c r="F13603" s="1054"/>
      <c r="G13603" s="946"/>
      <c r="H13603" s="1031"/>
      <c r="I13603" s="948"/>
    </row>
    <row r="13604" spans="2:9" ht="15.75">
      <c r="C13604" s="951" t="s">
        <v>930</v>
      </c>
      <c r="D13604" s="960"/>
      <c r="E13604" s="975" t="str">
        <f>+E13581</f>
        <v>Ud</v>
      </c>
      <c r="F13604" s="1070"/>
      <c r="G13604" s="960"/>
      <c r="H13604" s="1033"/>
      <c r="I13604" s="952">
        <f>SUM(I13599:I13602)</f>
        <v>5158.1400000000003</v>
      </c>
    </row>
    <row r="13605" spans="2:9" ht="15.75">
      <c r="C13605" s="951"/>
      <c r="D13605" s="960"/>
      <c r="E13605" s="943"/>
      <c r="F13605" s="1070"/>
      <c r="G13605" s="960"/>
      <c r="H13605" s="1033"/>
      <c r="I13605" s="952"/>
    </row>
    <row r="13606" spans="2:9" ht="15.75">
      <c r="B13606" s="1062">
        <v>6.8</v>
      </c>
      <c r="C13606" s="937" t="str">
        <f>+Presupuesto!B773</f>
        <v>Tubería y piezas de agua potable</v>
      </c>
      <c r="D13606" s="938"/>
      <c r="E13606" s="962" t="s">
        <v>1109</v>
      </c>
      <c r="F13606" s="1066"/>
      <c r="G13606" s="938"/>
      <c r="H13606" s="1029"/>
      <c r="I13606" s="940">
        <f>+I13629</f>
        <v>12240</v>
      </c>
    </row>
    <row r="13607" spans="2:9" ht="15.75">
      <c r="C13607" s="941" t="s">
        <v>908</v>
      </c>
      <c r="D13607" s="942" t="s">
        <v>9</v>
      </c>
      <c r="E13607" s="943" t="s">
        <v>10</v>
      </c>
      <c r="F13607" s="1067" t="s">
        <v>909</v>
      </c>
      <c r="G13607" s="942" t="s">
        <v>910</v>
      </c>
      <c r="H13607" s="1030" t="s">
        <v>911</v>
      </c>
      <c r="I13607" s="944" t="s">
        <v>912</v>
      </c>
    </row>
    <row r="13608" spans="2:9" ht="15.75">
      <c r="C13608" s="945" t="s">
        <v>913</v>
      </c>
      <c r="D13608" s="946"/>
      <c r="E13608" s="947"/>
      <c r="F13608" s="1054"/>
      <c r="G13608" s="946"/>
      <c r="H13608" s="1031"/>
      <c r="I13608" s="948"/>
    </row>
    <row r="13609" spans="2:9" ht="15.75">
      <c r="C13609" s="949" t="s">
        <v>1618</v>
      </c>
      <c r="D13609" s="946">
        <v>1.02</v>
      </c>
      <c r="E13609" s="947" t="str">
        <f>+VLOOKUP(C13609,'Basic (equilibrio) (2)'!B:D,2,FALSE)</f>
        <v>p.a</v>
      </c>
      <c r="F13609" s="1068">
        <f>'Basic (equilibrio) (2)'!$D$232</f>
        <v>12000</v>
      </c>
      <c r="G13609" s="946">
        <f>F13609-(F13609/1.18)</f>
        <v>1830.51</v>
      </c>
      <c r="H13609" s="1031"/>
      <c r="I13609" s="948">
        <f>D13609*F13609</f>
        <v>12240</v>
      </c>
    </row>
    <row r="13610" spans="2:9" ht="15.75">
      <c r="C13610" s="951" t="s">
        <v>918</v>
      </c>
      <c r="D13610" s="946"/>
      <c r="E13610" s="947"/>
      <c r="F13610" s="1068"/>
      <c r="G13610" s="946"/>
      <c r="H13610" s="1031"/>
      <c r="I13610" s="952">
        <f>SUM(I13609:I13609)</f>
        <v>12240</v>
      </c>
    </row>
    <row r="13611" spans="2:9" ht="15.75">
      <c r="C13611" s="949"/>
      <c r="D13611" s="946"/>
      <c r="E13611" s="947"/>
      <c r="F13611" s="1068"/>
      <c r="G13611" s="946"/>
      <c r="H13611" s="1031"/>
      <c r="I13611" s="948"/>
    </row>
    <row r="13612" spans="2:9" ht="15.75">
      <c r="C13612" s="945" t="s">
        <v>919</v>
      </c>
      <c r="D13612" s="946"/>
      <c r="E13612" s="947"/>
      <c r="F13612" s="1068"/>
      <c r="G13612" s="946"/>
      <c r="H13612" s="1031"/>
      <c r="I13612" s="948"/>
    </row>
    <row r="13613" spans="2:9" ht="15.75">
      <c r="C13613" s="949" t="s">
        <v>924</v>
      </c>
      <c r="D13613" s="953"/>
      <c r="E13613" s="954" t="str">
        <f>+VLOOKUP(C13613,'Basic (equilibrio) (2)'!B:D,2,FALSE)</f>
        <v>n/a</v>
      </c>
      <c r="F13613" s="1068">
        <f>+VLOOKUP(C13613,'Basic (equilibrio) (2)'!B:D,3,FALSE)</f>
        <v>0</v>
      </c>
      <c r="G13613" s="946">
        <v>0</v>
      </c>
      <c r="H13613" s="1031"/>
      <c r="I13613" s="948">
        <f>(D13613*F13613)</f>
        <v>0</v>
      </c>
    </row>
    <row r="13614" spans="2:9" ht="15.75">
      <c r="C13614" s="951" t="s">
        <v>918</v>
      </c>
      <c r="D13614" s="946"/>
      <c r="E13614" s="947"/>
      <c r="F13614" s="1054"/>
      <c r="G13614" s="946"/>
      <c r="H13614" s="1031"/>
      <c r="I13614" s="952">
        <f>SUM(I13613:I13613)</f>
        <v>0</v>
      </c>
    </row>
    <row r="13615" spans="2:9" ht="15.75">
      <c r="C13615" s="949"/>
      <c r="D13615" s="946"/>
      <c r="E13615" s="947"/>
      <c r="F13615" s="1054"/>
      <c r="G13615" s="946"/>
      <c r="H13615" s="1031"/>
      <c r="I13615" s="948"/>
    </row>
    <row r="13616" spans="2:9" ht="15.75">
      <c r="C13616" s="945" t="s">
        <v>923</v>
      </c>
      <c r="D13616" s="946"/>
      <c r="E13616" s="947"/>
      <c r="F13616" s="1054"/>
      <c r="G13616" s="946"/>
      <c r="H13616" s="1031"/>
      <c r="I13616" s="948"/>
    </row>
    <row r="13617" spans="2:9" ht="15.75">
      <c r="C13617" s="949" t="s">
        <v>924</v>
      </c>
      <c r="D13617" s="946"/>
      <c r="E13617" s="947" t="str">
        <f>+VLOOKUP(C13617,'Basic (equilibrio) (2)'!B:D,2,FALSE)</f>
        <v>n/a</v>
      </c>
      <c r="F13617" s="1054">
        <f>+VLOOKUP(C13617,'Basic (equilibrio) (2)'!B:D,3,FALSE)</f>
        <v>0</v>
      </c>
      <c r="G13617" s="946">
        <f>F13617-(F13617/1.18)</f>
        <v>0</v>
      </c>
      <c r="H13617" s="1039"/>
      <c r="I13617" s="955">
        <f>D13617*F13617</f>
        <v>0</v>
      </c>
    </row>
    <row r="13618" spans="2:9" ht="15.75">
      <c r="C13618" s="951" t="s">
        <v>918</v>
      </c>
      <c r="D13618" s="946"/>
      <c r="E13618" s="947"/>
      <c r="F13618" s="1054"/>
      <c r="G13618" s="946"/>
      <c r="H13618" s="1031"/>
      <c r="I13618" s="952">
        <f>SUM(I13617:I13617)</f>
        <v>0</v>
      </c>
    </row>
    <row r="13619" spans="2:9" ht="15.75">
      <c r="C13619" s="949"/>
      <c r="D13619" s="946"/>
      <c r="E13619" s="947"/>
      <c r="F13619" s="1054"/>
      <c r="G13619" s="946"/>
      <c r="H13619" s="1031"/>
      <c r="I13619" s="948"/>
    </row>
    <row r="13620" spans="2:9" ht="15.75">
      <c r="C13620" s="945" t="s">
        <v>925</v>
      </c>
      <c r="D13620" s="946"/>
      <c r="E13620" s="947"/>
      <c r="F13620" s="1054"/>
      <c r="G13620" s="946"/>
      <c r="H13620" s="1031"/>
      <c r="I13620" s="948"/>
    </row>
    <row r="13621" spans="2:9" ht="15.75">
      <c r="C13621" s="949" t="s">
        <v>924</v>
      </c>
      <c r="D13621" s="946"/>
      <c r="E13621" s="947" t="str">
        <f>+VLOOKUP(C13621,'Basic (equilibrio) (2)'!B:D,2,FALSE)</f>
        <v>n/a</v>
      </c>
      <c r="F13621" s="1054">
        <f>+VLOOKUP(C13621,'Basic (equilibrio) (2)'!B:D,3,FALSE)</f>
        <v>0</v>
      </c>
      <c r="G13621" s="946"/>
      <c r="H13621" s="1031"/>
      <c r="I13621" s="948">
        <f>D13621*F13621</f>
        <v>0</v>
      </c>
    </row>
    <row r="13622" spans="2:9" ht="15.75">
      <c r="C13622" s="951" t="s">
        <v>918</v>
      </c>
      <c r="D13622" s="946"/>
      <c r="E13622" s="947"/>
      <c r="F13622" s="1054"/>
      <c r="G13622" s="946"/>
      <c r="H13622" s="1031"/>
      <c r="I13622" s="952">
        <f>SUM(I13621)</f>
        <v>0</v>
      </c>
    </row>
    <row r="13623" spans="2:9" ht="15.75">
      <c r="C13623" s="951"/>
      <c r="D13623" s="946"/>
      <c r="E13623" s="947"/>
      <c r="F13623" s="1054"/>
      <c r="G13623" s="946"/>
      <c r="H13623" s="1031"/>
      <c r="I13623" s="952"/>
    </row>
    <row r="13624" spans="2:9" ht="15.75">
      <c r="C13624" s="956" t="s">
        <v>926</v>
      </c>
      <c r="D13624" s="957"/>
      <c r="E13624" s="958"/>
      <c r="F13624" s="1069"/>
      <c r="G13624" s="957"/>
      <c r="H13624" s="1032"/>
      <c r="I13624" s="959">
        <f>+I13610</f>
        <v>12240</v>
      </c>
    </row>
    <row r="13625" spans="2:9" ht="15.75">
      <c r="C13625" s="956" t="s">
        <v>927</v>
      </c>
      <c r="D13625" s="957"/>
      <c r="E13625" s="958"/>
      <c r="F13625" s="1069"/>
      <c r="G13625" s="957"/>
      <c r="H13625" s="1032"/>
      <c r="I13625" s="959">
        <f>+I13614</f>
        <v>0</v>
      </c>
    </row>
    <row r="13626" spans="2:9" ht="15.75">
      <c r="C13626" s="956" t="s">
        <v>928</v>
      </c>
      <c r="D13626" s="957"/>
      <c r="E13626" s="958"/>
      <c r="F13626" s="1069"/>
      <c r="G13626" s="957"/>
      <c r="H13626" s="1032"/>
      <c r="I13626" s="959">
        <f>+I13618</f>
        <v>0</v>
      </c>
    </row>
    <row r="13627" spans="2:9" ht="15.75">
      <c r="C13627" s="956" t="s">
        <v>929</v>
      </c>
      <c r="D13627" s="957"/>
      <c r="E13627" s="958"/>
      <c r="F13627" s="1069"/>
      <c r="G13627" s="957"/>
      <c r="H13627" s="1032"/>
      <c r="I13627" s="959">
        <f>+I13622</f>
        <v>0</v>
      </c>
    </row>
    <row r="13628" spans="2:9" ht="15.75">
      <c r="C13628" s="949"/>
      <c r="D13628" s="946"/>
      <c r="E13628" s="947"/>
      <c r="F13628" s="1054"/>
      <c r="G13628" s="946"/>
      <c r="H13628" s="1031"/>
      <c r="I13628" s="948"/>
    </row>
    <row r="13629" spans="2:9" ht="15.75">
      <c r="C13629" s="951" t="s">
        <v>930</v>
      </c>
      <c r="D13629" s="960"/>
      <c r="E13629" s="975" t="str">
        <f>+E13606</f>
        <v>P.a</v>
      </c>
      <c r="F13629" s="1070"/>
      <c r="G13629" s="960"/>
      <c r="H13629" s="1033"/>
      <c r="I13629" s="952">
        <f>SUM(I13624:I13627)</f>
        <v>12240</v>
      </c>
    </row>
    <row r="13630" spans="2:9" ht="15.75">
      <c r="C13630" s="951"/>
      <c r="D13630" s="960"/>
      <c r="E13630" s="943"/>
      <c r="F13630" s="1070"/>
      <c r="G13630" s="960"/>
      <c r="H13630" s="1033"/>
      <c r="I13630" s="952"/>
    </row>
    <row r="13631" spans="2:9" ht="15.75">
      <c r="C13631" s="951"/>
      <c r="D13631" s="960"/>
      <c r="E13631" s="943"/>
      <c r="F13631" s="1070"/>
      <c r="G13631" s="960"/>
      <c r="H13631" s="1033"/>
      <c r="I13631" s="952"/>
    </row>
    <row r="13632" spans="2:9" ht="15.75">
      <c r="B13632" s="1062">
        <v>6.9</v>
      </c>
      <c r="C13632" s="937" t="str">
        <f>+Presupuesto!B774</f>
        <v>Tubería y piezas de agua residuales</v>
      </c>
      <c r="D13632" s="938"/>
      <c r="E13632" s="962" t="s">
        <v>1109</v>
      </c>
      <c r="F13632" s="1066"/>
      <c r="G13632" s="938"/>
      <c r="H13632" s="1029"/>
      <c r="I13632" s="940">
        <f>+I13655</f>
        <v>15300</v>
      </c>
    </row>
    <row r="13633" spans="3:9" ht="15.75">
      <c r="C13633" s="941" t="s">
        <v>908</v>
      </c>
      <c r="D13633" s="942" t="s">
        <v>9</v>
      </c>
      <c r="E13633" s="943" t="s">
        <v>10</v>
      </c>
      <c r="F13633" s="1067" t="s">
        <v>909</v>
      </c>
      <c r="G13633" s="942" t="s">
        <v>910</v>
      </c>
      <c r="H13633" s="1030" t="s">
        <v>911</v>
      </c>
      <c r="I13633" s="944" t="s">
        <v>912</v>
      </c>
    </row>
    <row r="13634" spans="3:9" ht="15.75">
      <c r="C13634" s="945" t="s">
        <v>913</v>
      </c>
      <c r="D13634" s="946"/>
      <c r="E13634" s="947"/>
      <c r="F13634" s="1054"/>
      <c r="G13634" s="946"/>
      <c r="H13634" s="1031"/>
      <c r="I13634" s="948"/>
    </row>
    <row r="13635" spans="3:9" ht="15.75">
      <c r="C13635" s="949" t="s">
        <v>1619</v>
      </c>
      <c r="D13635" s="946">
        <v>1.02</v>
      </c>
      <c r="E13635" s="947" t="str">
        <f>+VLOOKUP(C13635,'Basic (equilibrio) (2)'!B:D,2,FALSE)</f>
        <v>p.a</v>
      </c>
      <c r="F13635" s="1068">
        <f>'Basic (equilibrio) (2)'!$D$233</f>
        <v>15000</v>
      </c>
      <c r="G13635" s="946">
        <f>F13635-(F13635/1.18)</f>
        <v>2288.14</v>
      </c>
      <c r="H13635" s="1031"/>
      <c r="I13635" s="948">
        <f>D13635*F13635</f>
        <v>15300</v>
      </c>
    </row>
    <row r="13636" spans="3:9" ht="15.75">
      <c r="C13636" s="951" t="s">
        <v>918</v>
      </c>
      <c r="D13636" s="946"/>
      <c r="E13636" s="947"/>
      <c r="F13636" s="1068"/>
      <c r="G13636" s="946"/>
      <c r="H13636" s="1031"/>
      <c r="I13636" s="952">
        <f>SUM(I13635:I13635)</f>
        <v>15300</v>
      </c>
    </row>
    <row r="13637" spans="3:9" ht="15.75">
      <c r="C13637" s="949"/>
      <c r="D13637" s="946"/>
      <c r="E13637" s="947"/>
      <c r="F13637" s="1068"/>
      <c r="G13637" s="946"/>
      <c r="H13637" s="1031"/>
      <c r="I13637" s="948"/>
    </row>
    <row r="13638" spans="3:9" ht="15.75">
      <c r="C13638" s="945" t="s">
        <v>919</v>
      </c>
      <c r="D13638" s="946"/>
      <c r="E13638" s="947"/>
      <c r="F13638" s="1068"/>
      <c r="G13638" s="946"/>
      <c r="H13638" s="1031"/>
      <c r="I13638" s="948"/>
    </row>
    <row r="13639" spans="3:9" ht="15.75">
      <c r="C13639" s="949" t="s">
        <v>924</v>
      </c>
      <c r="D13639" s="953"/>
      <c r="E13639" s="954" t="str">
        <f>+VLOOKUP(C13639,'Basic (equilibrio) (2)'!B:D,2,FALSE)</f>
        <v>n/a</v>
      </c>
      <c r="F13639" s="1068">
        <f>+VLOOKUP(C13639,'Basic (equilibrio) (2)'!B:D,3,FALSE)</f>
        <v>0</v>
      </c>
      <c r="G13639" s="946">
        <v>0</v>
      </c>
      <c r="H13639" s="1031"/>
      <c r="I13639" s="948">
        <f>(D13639*F13639)</f>
        <v>0</v>
      </c>
    </row>
    <row r="13640" spans="3:9" ht="15.75">
      <c r="C13640" s="951" t="s">
        <v>918</v>
      </c>
      <c r="D13640" s="946"/>
      <c r="E13640" s="947"/>
      <c r="F13640" s="1054"/>
      <c r="G13640" s="946"/>
      <c r="H13640" s="1031"/>
      <c r="I13640" s="952">
        <f>SUM(I13639:I13639)</f>
        <v>0</v>
      </c>
    </row>
    <row r="13641" spans="3:9" ht="15.75">
      <c r="C13641" s="949"/>
      <c r="D13641" s="946"/>
      <c r="E13641" s="947"/>
      <c r="F13641" s="1054"/>
      <c r="G13641" s="946"/>
      <c r="H13641" s="1031"/>
      <c r="I13641" s="948"/>
    </row>
    <row r="13642" spans="3:9" ht="15.75">
      <c r="C13642" s="945" t="s">
        <v>923</v>
      </c>
      <c r="D13642" s="946"/>
      <c r="E13642" s="947"/>
      <c r="F13642" s="1054"/>
      <c r="G13642" s="946"/>
      <c r="H13642" s="1031"/>
      <c r="I13642" s="948"/>
    </row>
    <row r="13643" spans="3:9" ht="15.75">
      <c r="C13643" s="949" t="s">
        <v>924</v>
      </c>
      <c r="D13643" s="946"/>
      <c r="E13643" s="947" t="str">
        <f>+VLOOKUP(C13643,'Basic (equilibrio) (2)'!B:D,2,FALSE)</f>
        <v>n/a</v>
      </c>
      <c r="F13643" s="1054">
        <f>+VLOOKUP(C13643,'Basic (equilibrio) (2)'!B:D,3,FALSE)</f>
        <v>0</v>
      </c>
      <c r="G13643" s="946">
        <f>F13643-(F13643/1.18)</f>
        <v>0</v>
      </c>
      <c r="H13643" s="1039"/>
      <c r="I13643" s="955">
        <f>D13643*F13643</f>
        <v>0</v>
      </c>
    </row>
    <row r="13644" spans="3:9" ht="15.75">
      <c r="C13644" s="951" t="s">
        <v>918</v>
      </c>
      <c r="D13644" s="946"/>
      <c r="E13644" s="947"/>
      <c r="F13644" s="1054"/>
      <c r="G13644" s="946"/>
      <c r="H13644" s="1031"/>
      <c r="I13644" s="952">
        <f>SUM(I13643:I13643)</f>
        <v>0</v>
      </c>
    </row>
    <row r="13645" spans="3:9" ht="15.75">
      <c r="C13645" s="949"/>
      <c r="D13645" s="946"/>
      <c r="E13645" s="947"/>
      <c r="F13645" s="1054"/>
      <c r="G13645" s="946"/>
      <c r="H13645" s="1031"/>
      <c r="I13645" s="948"/>
    </row>
    <row r="13646" spans="3:9" ht="15.75">
      <c r="C13646" s="945" t="s">
        <v>925</v>
      </c>
      <c r="D13646" s="946"/>
      <c r="E13646" s="947"/>
      <c r="F13646" s="1054"/>
      <c r="G13646" s="946"/>
      <c r="H13646" s="1031"/>
      <c r="I13646" s="948"/>
    </row>
    <row r="13647" spans="3:9" ht="15.75">
      <c r="C13647" s="949" t="s">
        <v>924</v>
      </c>
      <c r="D13647" s="946"/>
      <c r="E13647" s="947" t="str">
        <f>+VLOOKUP(C13647,'Basic (equilibrio) (2)'!B:D,2,FALSE)</f>
        <v>n/a</v>
      </c>
      <c r="F13647" s="1054">
        <f>+VLOOKUP(C13647,'Basic (equilibrio) (2)'!B:D,3,FALSE)</f>
        <v>0</v>
      </c>
      <c r="G13647" s="946"/>
      <c r="H13647" s="1031"/>
      <c r="I13647" s="948">
        <f>D13647*F13647</f>
        <v>0</v>
      </c>
    </row>
    <row r="13648" spans="3:9" ht="15.75">
      <c r="C13648" s="951" t="s">
        <v>918</v>
      </c>
      <c r="D13648" s="946"/>
      <c r="E13648" s="947"/>
      <c r="F13648" s="1054"/>
      <c r="G13648" s="946"/>
      <c r="H13648" s="1031"/>
      <c r="I13648" s="952">
        <f>SUM(I13647)</f>
        <v>0</v>
      </c>
    </row>
    <row r="13649" spans="2:9" ht="15.75">
      <c r="C13649" s="951"/>
      <c r="D13649" s="946"/>
      <c r="E13649" s="947"/>
      <c r="F13649" s="1054"/>
      <c r="G13649" s="946"/>
      <c r="H13649" s="1031"/>
      <c r="I13649" s="952"/>
    </row>
    <row r="13650" spans="2:9" ht="15.75">
      <c r="C13650" s="956" t="s">
        <v>926</v>
      </c>
      <c r="D13650" s="957"/>
      <c r="E13650" s="958"/>
      <c r="F13650" s="1069"/>
      <c r="G13650" s="957"/>
      <c r="H13650" s="1032"/>
      <c r="I13650" s="959">
        <f>+I13636</f>
        <v>15300</v>
      </c>
    </row>
    <row r="13651" spans="2:9" ht="15.75">
      <c r="C13651" s="956" t="s">
        <v>927</v>
      </c>
      <c r="D13651" s="957"/>
      <c r="E13651" s="958"/>
      <c r="F13651" s="1069"/>
      <c r="G13651" s="957"/>
      <c r="H13651" s="1032"/>
      <c r="I13651" s="959">
        <f>+I13640</f>
        <v>0</v>
      </c>
    </row>
    <row r="13652" spans="2:9" ht="15.75">
      <c r="C13652" s="956" t="s">
        <v>928</v>
      </c>
      <c r="D13652" s="957"/>
      <c r="E13652" s="958"/>
      <c r="F13652" s="1069"/>
      <c r="G13652" s="957"/>
      <c r="H13652" s="1032"/>
      <c r="I13652" s="959">
        <f>+I13644</f>
        <v>0</v>
      </c>
    </row>
    <row r="13653" spans="2:9" ht="15.75">
      <c r="C13653" s="956" t="s">
        <v>929</v>
      </c>
      <c r="D13653" s="957"/>
      <c r="E13653" s="958"/>
      <c r="F13653" s="1069"/>
      <c r="G13653" s="957"/>
      <c r="H13653" s="1032"/>
      <c r="I13653" s="959">
        <f>+I13648</f>
        <v>0</v>
      </c>
    </row>
    <row r="13654" spans="2:9" ht="15.75">
      <c r="C13654" s="949"/>
      <c r="D13654" s="946"/>
      <c r="E13654" s="947"/>
      <c r="F13654" s="1054"/>
      <c r="G13654" s="946"/>
      <c r="H13654" s="1031"/>
      <c r="I13654" s="948"/>
    </row>
    <row r="13655" spans="2:9" ht="15.75">
      <c r="C13655" s="951" t="s">
        <v>930</v>
      </c>
      <c r="D13655" s="960"/>
      <c r="E13655" s="975" t="str">
        <f>+E13632</f>
        <v>P.a</v>
      </c>
      <c r="F13655" s="1070"/>
      <c r="G13655" s="960"/>
      <c r="H13655" s="1033"/>
      <c r="I13655" s="952">
        <f>SUM(I13650:I13653)</f>
        <v>15300</v>
      </c>
    </row>
    <row r="13656" spans="2:9" ht="15.75">
      <c r="C13656" s="951"/>
      <c r="D13656" s="960"/>
      <c r="E13656" s="943"/>
      <c r="F13656" s="1070"/>
      <c r="G13656" s="960"/>
      <c r="H13656" s="1033"/>
      <c r="I13656" s="952"/>
    </row>
    <row r="13657" spans="2:9" ht="15.75">
      <c r="B13657" s="1062">
        <v>6.1</v>
      </c>
      <c r="C13657" s="937" t="str">
        <f>+Presupuesto!B775</f>
        <v>Mano de obra de plomero</v>
      </c>
      <c r="D13657" s="938"/>
      <c r="E13657" s="962" t="s">
        <v>1109</v>
      </c>
      <c r="F13657" s="1066"/>
      <c r="G13657" s="938"/>
      <c r="H13657" s="1029"/>
      <c r="I13657" s="940">
        <f>+I13680</f>
        <v>40800</v>
      </c>
    </row>
    <row r="13658" spans="2:9" ht="15.75">
      <c r="C13658" s="941" t="s">
        <v>908</v>
      </c>
      <c r="D13658" s="942" t="s">
        <v>9</v>
      </c>
      <c r="E13658" s="943" t="s">
        <v>10</v>
      </c>
      <c r="F13658" s="1067" t="s">
        <v>909</v>
      </c>
      <c r="G13658" s="942" t="s">
        <v>910</v>
      </c>
      <c r="H13658" s="1030" t="s">
        <v>911</v>
      </c>
      <c r="I13658" s="944" t="s">
        <v>912</v>
      </c>
    </row>
    <row r="13659" spans="2:9" ht="15.75">
      <c r="C13659" s="945" t="s">
        <v>913</v>
      </c>
      <c r="D13659" s="946"/>
      <c r="E13659" s="947"/>
      <c r="F13659" s="1054"/>
      <c r="G13659" s="946"/>
      <c r="H13659" s="1031"/>
      <c r="I13659" s="948"/>
    </row>
    <row r="13660" spans="2:9" ht="15.75">
      <c r="C13660" s="949" t="s">
        <v>1695</v>
      </c>
      <c r="D13660" s="946">
        <v>1.02</v>
      </c>
      <c r="E13660" s="947" t="str">
        <f>+VLOOKUP(C13660,'Basic (equilibrio) (2)'!B:D,2,FALSE)</f>
        <v>P.a</v>
      </c>
      <c r="F13660" s="1068">
        <f>'Basic (equilibrio) (2)'!$D$292</f>
        <v>40000</v>
      </c>
      <c r="G13660" s="946">
        <f>F13660-(F13660/1.18)</f>
        <v>6101.69</v>
      </c>
      <c r="H13660" s="1031"/>
      <c r="I13660" s="948">
        <f>D13660*F13660</f>
        <v>40800</v>
      </c>
    </row>
    <row r="13661" spans="2:9" ht="15.75">
      <c r="C13661" s="951" t="s">
        <v>918</v>
      </c>
      <c r="D13661" s="946"/>
      <c r="E13661" s="947"/>
      <c r="F13661" s="1068"/>
      <c r="G13661" s="946"/>
      <c r="H13661" s="1031"/>
      <c r="I13661" s="952">
        <f>SUM(I13660:I13660)</f>
        <v>40800</v>
      </c>
    </row>
    <row r="13662" spans="2:9" ht="15.75">
      <c r="C13662" s="949"/>
      <c r="D13662" s="946"/>
      <c r="E13662" s="947"/>
      <c r="F13662" s="1068"/>
      <c r="G13662" s="946"/>
      <c r="H13662" s="1031"/>
      <c r="I13662" s="948"/>
    </row>
    <row r="13663" spans="2:9" ht="15.75">
      <c r="C13663" s="945" t="s">
        <v>919</v>
      </c>
      <c r="D13663" s="946"/>
      <c r="E13663" s="947"/>
      <c r="F13663" s="1068"/>
      <c r="G13663" s="946"/>
      <c r="H13663" s="1031"/>
      <c r="I13663" s="948"/>
    </row>
    <row r="13664" spans="2:9" ht="15.75">
      <c r="C13664" s="949" t="s">
        <v>924</v>
      </c>
      <c r="D13664" s="953"/>
      <c r="E13664" s="954" t="str">
        <f>+VLOOKUP(C13664,'Basic (equilibrio) (2)'!B:D,2,FALSE)</f>
        <v>n/a</v>
      </c>
      <c r="F13664" s="1068">
        <f>+VLOOKUP(C13664,'Basic (equilibrio) (2)'!B:D,3,FALSE)</f>
        <v>0</v>
      </c>
      <c r="G13664" s="946">
        <v>0</v>
      </c>
      <c r="H13664" s="1031"/>
      <c r="I13664" s="948">
        <f>(D13664*F13664)</f>
        <v>0</v>
      </c>
    </row>
    <row r="13665" spans="3:9" ht="15.75">
      <c r="C13665" s="951" t="s">
        <v>918</v>
      </c>
      <c r="D13665" s="946"/>
      <c r="E13665" s="947"/>
      <c r="F13665" s="1054"/>
      <c r="G13665" s="946"/>
      <c r="H13665" s="1031"/>
      <c r="I13665" s="952">
        <f>SUM(I13664:I13664)</f>
        <v>0</v>
      </c>
    </row>
    <row r="13666" spans="3:9" ht="15.75">
      <c r="C13666" s="949"/>
      <c r="D13666" s="946"/>
      <c r="E13666" s="947"/>
      <c r="F13666" s="1054"/>
      <c r="G13666" s="946"/>
      <c r="H13666" s="1031"/>
      <c r="I13666" s="948"/>
    </row>
    <row r="13667" spans="3:9" ht="15.75">
      <c r="C13667" s="945" t="s">
        <v>923</v>
      </c>
      <c r="D13667" s="946"/>
      <c r="E13667" s="947"/>
      <c r="F13667" s="1054"/>
      <c r="G13667" s="946"/>
      <c r="H13667" s="1031"/>
      <c r="I13667" s="948"/>
    </row>
    <row r="13668" spans="3:9" ht="15.75">
      <c r="C13668" s="949" t="s">
        <v>924</v>
      </c>
      <c r="D13668" s="946"/>
      <c r="E13668" s="947" t="str">
        <f>+VLOOKUP(C13668,'Basic (equilibrio) (2)'!B:D,2,FALSE)</f>
        <v>n/a</v>
      </c>
      <c r="F13668" s="1054">
        <f>+VLOOKUP(C13668,'Basic (equilibrio) (2)'!B:D,3,FALSE)</f>
        <v>0</v>
      </c>
      <c r="G13668" s="946">
        <f>F13668-(F13668/1.18)</f>
        <v>0</v>
      </c>
      <c r="H13668" s="1039"/>
      <c r="I13668" s="955">
        <f>D13668*F13668</f>
        <v>0</v>
      </c>
    </row>
    <row r="13669" spans="3:9" ht="15.75">
      <c r="C13669" s="951" t="s">
        <v>918</v>
      </c>
      <c r="D13669" s="946"/>
      <c r="E13669" s="947"/>
      <c r="F13669" s="1054"/>
      <c r="G13669" s="946"/>
      <c r="H13669" s="1031"/>
      <c r="I13669" s="952">
        <f>SUM(I13668:I13668)</f>
        <v>0</v>
      </c>
    </row>
    <row r="13670" spans="3:9" ht="15.75">
      <c r="C13670" s="949"/>
      <c r="D13670" s="946"/>
      <c r="E13670" s="947"/>
      <c r="F13670" s="1054"/>
      <c r="G13670" s="946"/>
      <c r="H13670" s="1031"/>
      <c r="I13670" s="948"/>
    </row>
    <row r="13671" spans="3:9" ht="15.75">
      <c r="C13671" s="945" t="s">
        <v>925</v>
      </c>
      <c r="D13671" s="946"/>
      <c r="E13671" s="947"/>
      <c r="F13671" s="1054"/>
      <c r="G13671" s="946"/>
      <c r="H13671" s="1031"/>
      <c r="I13671" s="948"/>
    </row>
    <row r="13672" spans="3:9" ht="15.75">
      <c r="C13672" s="949" t="s">
        <v>924</v>
      </c>
      <c r="D13672" s="946"/>
      <c r="E13672" s="947" t="str">
        <f>+VLOOKUP(C13672,'Basic (equilibrio) (2)'!B:D,2,FALSE)</f>
        <v>n/a</v>
      </c>
      <c r="F13672" s="1054">
        <f>+VLOOKUP(C13672,'Basic (equilibrio) (2)'!B:D,3,FALSE)</f>
        <v>0</v>
      </c>
      <c r="G13672" s="946"/>
      <c r="H13672" s="1031"/>
      <c r="I13672" s="948">
        <f>D13672*F13672</f>
        <v>0</v>
      </c>
    </row>
    <row r="13673" spans="3:9" ht="15.75">
      <c r="C13673" s="951" t="s">
        <v>918</v>
      </c>
      <c r="D13673" s="946"/>
      <c r="E13673" s="947"/>
      <c r="F13673" s="1054"/>
      <c r="G13673" s="946"/>
      <c r="H13673" s="1031"/>
      <c r="I13673" s="952">
        <f>SUM(I13672)</f>
        <v>0</v>
      </c>
    </row>
    <row r="13674" spans="3:9" ht="15.75">
      <c r="C13674" s="951"/>
      <c r="D13674" s="946"/>
      <c r="E13674" s="947"/>
      <c r="F13674" s="1054"/>
      <c r="G13674" s="946"/>
      <c r="H13674" s="1031"/>
      <c r="I13674" s="952"/>
    </row>
    <row r="13675" spans="3:9" ht="15.75">
      <c r="C13675" s="956" t="s">
        <v>926</v>
      </c>
      <c r="D13675" s="957"/>
      <c r="E13675" s="958"/>
      <c r="F13675" s="1069"/>
      <c r="G13675" s="957"/>
      <c r="H13675" s="1032"/>
      <c r="I13675" s="959">
        <f>+I13661</f>
        <v>40800</v>
      </c>
    </row>
    <row r="13676" spans="3:9" ht="15.75">
      <c r="C13676" s="956" t="s">
        <v>927</v>
      </c>
      <c r="D13676" s="957"/>
      <c r="E13676" s="958"/>
      <c r="F13676" s="1069"/>
      <c r="G13676" s="957"/>
      <c r="H13676" s="1032"/>
      <c r="I13676" s="959">
        <f>+I13665</f>
        <v>0</v>
      </c>
    </row>
    <row r="13677" spans="3:9" ht="15.75">
      <c r="C13677" s="956" t="s">
        <v>928</v>
      </c>
      <c r="D13677" s="957"/>
      <c r="E13677" s="958"/>
      <c r="F13677" s="1069"/>
      <c r="G13677" s="957"/>
      <c r="H13677" s="1032"/>
      <c r="I13677" s="959">
        <f>+I13669</f>
        <v>0</v>
      </c>
    </row>
    <row r="13678" spans="3:9" ht="15.75">
      <c r="C13678" s="956" t="s">
        <v>929</v>
      </c>
      <c r="D13678" s="957"/>
      <c r="E13678" s="958"/>
      <c r="F13678" s="1069"/>
      <c r="G13678" s="957"/>
      <c r="H13678" s="1032"/>
      <c r="I13678" s="959">
        <f>+I13673</f>
        <v>0</v>
      </c>
    </row>
    <row r="13679" spans="3:9" ht="15.75">
      <c r="C13679" s="949"/>
      <c r="D13679" s="946"/>
      <c r="E13679" s="947"/>
      <c r="F13679" s="1054"/>
      <c r="G13679" s="946"/>
      <c r="H13679" s="1031"/>
      <c r="I13679" s="948"/>
    </row>
    <row r="13680" spans="3:9" ht="15.75">
      <c r="C13680" s="951" t="s">
        <v>930</v>
      </c>
      <c r="D13680" s="960"/>
      <c r="E13680" s="975" t="str">
        <f>+E13657</f>
        <v>P.a</v>
      </c>
      <c r="F13680" s="1070"/>
      <c r="G13680" s="960"/>
      <c r="H13680" s="1033"/>
      <c r="I13680" s="952">
        <f>SUM(I13675:I13678)</f>
        <v>40800</v>
      </c>
    </row>
    <row r="13681" spans="2:9" ht="15.75">
      <c r="B13681" s="1099"/>
      <c r="C13681" s="1100"/>
      <c r="D13681" s="1101"/>
      <c r="E13681" s="1102"/>
      <c r="F13681" s="1103"/>
      <c r="G13681" s="1101"/>
      <c r="H13681" s="1104"/>
      <c r="I13681" s="1095"/>
    </row>
    <row r="13682" spans="2:9" ht="15.75">
      <c r="B13682" s="1063">
        <v>8.1</v>
      </c>
      <c r="C13682" s="937" t="str">
        <f>+Presupuesto!B782</f>
        <v>Puerta polimetálica (1.00m x 2.10m) (Incluye llavín)</v>
      </c>
      <c r="D13682" s="938"/>
      <c r="E13682" s="962" t="s">
        <v>1056</v>
      </c>
      <c r="F13682" s="1066"/>
      <c r="G13682" s="938"/>
      <c r="H13682" s="1029"/>
      <c r="I13682" s="940">
        <f>+I13705</f>
        <v>8500</v>
      </c>
    </row>
    <row r="13683" spans="2:9" ht="15.75">
      <c r="C13683" s="941" t="s">
        <v>908</v>
      </c>
      <c r="D13683" s="942" t="s">
        <v>9</v>
      </c>
      <c r="E13683" s="943" t="s">
        <v>10</v>
      </c>
      <c r="F13683" s="1067" t="s">
        <v>909</v>
      </c>
      <c r="G13683" s="942" t="s">
        <v>910</v>
      </c>
      <c r="H13683" s="1030" t="s">
        <v>911</v>
      </c>
      <c r="I13683" s="944" t="s">
        <v>912</v>
      </c>
    </row>
    <row r="13684" spans="2:9" ht="15.75">
      <c r="C13684" s="945" t="s">
        <v>913</v>
      </c>
      <c r="D13684" s="946"/>
      <c r="E13684" s="947"/>
      <c r="F13684" s="1054"/>
      <c r="G13684" s="946"/>
      <c r="H13684" s="1031"/>
      <c r="I13684" s="948"/>
    </row>
    <row r="13685" spans="2:9" ht="15.75">
      <c r="C13685" s="949" t="s">
        <v>1305</v>
      </c>
      <c r="D13685" s="946">
        <v>1</v>
      </c>
      <c r="E13685" s="947" t="str">
        <f>+VLOOKUP(C13685,'Basic (equilibrio) (2)'!B:D,2,FALSE)</f>
        <v>ud</v>
      </c>
      <c r="F13685" s="1068">
        <f>'Basic (equilibrio) (2)'!$D$338</f>
        <v>8500</v>
      </c>
      <c r="G13685" s="946">
        <f>F13685-(F13685/1.18)</f>
        <v>1296.6099999999999</v>
      </c>
      <c r="H13685" s="1031"/>
      <c r="I13685" s="948">
        <f>D13685*F13685</f>
        <v>8500</v>
      </c>
    </row>
    <row r="13686" spans="2:9" ht="15.75">
      <c r="C13686" s="951" t="s">
        <v>918</v>
      </c>
      <c r="D13686" s="946"/>
      <c r="E13686" s="947"/>
      <c r="F13686" s="1068"/>
      <c r="G13686" s="946"/>
      <c r="H13686" s="1031"/>
      <c r="I13686" s="952">
        <f>SUM(I13685:I13685)</f>
        <v>8500</v>
      </c>
    </row>
    <row r="13687" spans="2:9" ht="15.75">
      <c r="C13687" s="949"/>
      <c r="D13687" s="946"/>
      <c r="E13687" s="947"/>
      <c r="F13687" s="1068"/>
      <c r="G13687" s="946"/>
      <c r="H13687" s="1031"/>
      <c r="I13687" s="948"/>
    </row>
    <row r="13688" spans="2:9" ht="15.75">
      <c r="C13688" s="945" t="s">
        <v>919</v>
      </c>
      <c r="D13688" s="946"/>
      <c r="E13688" s="947"/>
      <c r="F13688" s="1068"/>
      <c r="G13688" s="946"/>
      <c r="H13688" s="1031"/>
      <c r="I13688" s="948"/>
    </row>
    <row r="13689" spans="2:9" ht="15.75">
      <c r="C13689" s="949" t="s">
        <v>924</v>
      </c>
      <c r="D13689" s="953"/>
      <c r="E13689" s="954" t="str">
        <f>+VLOOKUP(C13689,'Basic (equilibrio) (2)'!B:D,2,FALSE)</f>
        <v>n/a</v>
      </c>
      <c r="F13689" s="1068">
        <f>+VLOOKUP(C13689,'Basic (equilibrio) (2)'!B:D,3,FALSE)</f>
        <v>0</v>
      </c>
      <c r="G13689" s="946">
        <v>0</v>
      </c>
      <c r="H13689" s="1031"/>
      <c r="I13689" s="948">
        <f>(D13689*F13689)</f>
        <v>0</v>
      </c>
    </row>
    <row r="13690" spans="2:9" ht="15.75">
      <c r="C13690" s="951" t="s">
        <v>918</v>
      </c>
      <c r="D13690" s="946"/>
      <c r="E13690" s="947"/>
      <c r="F13690" s="1054"/>
      <c r="G13690" s="946"/>
      <c r="H13690" s="1031"/>
      <c r="I13690" s="952">
        <f>SUM(I13689:I13689)</f>
        <v>0</v>
      </c>
    </row>
    <row r="13691" spans="2:9" ht="15.75">
      <c r="C13691" s="949"/>
      <c r="D13691" s="946"/>
      <c r="E13691" s="947"/>
      <c r="F13691" s="1054"/>
      <c r="G13691" s="946"/>
      <c r="H13691" s="1031"/>
      <c r="I13691" s="948"/>
    </row>
    <row r="13692" spans="2:9" ht="15.75">
      <c r="C13692" s="945" t="s">
        <v>923</v>
      </c>
      <c r="D13692" s="946"/>
      <c r="E13692" s="947"/>
      <c r="F13692" s="1054"/>
      <c r="G13692" s="946"/>
      <c r="H13692" s="1031"/>
      <c r="I13692" s="948"/>
    </row>
    <row r="13693" spans="2:9" ht="15.75">
      <c r="C13693" s="949" t="s">
        <v>924</v>
      </c>
      <c r="D13693" s="946"/>
      <c r="E13693" s="947" t="str">
        <f>+VLOOKUP(C13693,'Basic (equilibrio) (2)'!B:D,2,FALSE)</f>
        <v>n/a</v>
      </c>
      <c r="F13693" s="1054">
        <f>+VLOOKUP(C13693,'Basic (equilibrio) (2)'!B:D,3,FALSE)</f>
        <v>0</v>
      </c>
      <c r="G13693" s="946">
        <f>F13693-(F13693/1.18)</f>
        <v>0</v>
      </c>
      <c r="H13693" s="1039"/>
      <c r="I13693" s="955">
        <f>D13693*F13693</f>
        <v>0</v>
      </c>
    </row>
    <row r="13694" spans="2:9" ht="15.75">
      <c r="C13694" s="951" t="s">
        <v>918</v>
      </c>
      <c r="D13694" s="946"/>
      <c r="E13694" s="947"/>
      <c r="F13694" s="1054"/>
      <c r="G13694" s="946"/>
      <c r="H13694" s="1031"/>
      <c r="I13694" s="952">
        <f>SUM(I13693:I13693)</f>
        <v>0</v>
      </c>
    </row>
    <row r="13695" spans="2:9" ht="15.75">
      <c r="C13695" s="949"/>
      <c r="D13695" s="946"/>
      <c r="E13695" s="947"/>
      <c r="F13695" s="1054"/>
      <c r="G13695" s="946"/>
      <c r="H13695" s="1031"/>
      <c r="I13695" s="948"/>
    </row>
    <row r="13696" spans="2:9" ht="15.75">
      <c r="C13696" s="945" t="s">
        <v>925</v>
      </c>
      <c r="D13696" s="946"/>
      <c r="E13696" s="947"/>
      <c r="F13696" s="1054"/>
      <c r="G13696" s="946"/>
      <c r="H13696" s="1031"/>
      <c r="I13696" s="948"/>
    </row>
    <row r="13697" spans="2:9" ht="15.75">
      <c r="C13697" s="949" t="s">
        <v>924</v>
      </c>
      <c r="D13697" s="946"/>
      <c r="E13697" s="947" t="str">
        <f>+VLOOKUP(C13697,'Basic (equilibrio) (2)'!B:D,2,FALSE)</f>
        <v>n/a</v>
      </c>
      <c r="F13697" s="1054">
        <f>+VLOOKUP(C13697,'Basic (equilibrio) (2)'!B:D,3,FALSE)</f>
        <v>0</v>
      </c>
      <c r="G13697" s="946"/>
      <c r="H13697" s="1031"/>
      <c r="I13697" s="948">
        <f>D13697*F13697</f>
        <v>0</v>
      </c>
    </row>
    <row r="13698" spans="2:9" ht="15.75">
      <c r="C13698" s="951" t="s">
        <v>918</v>
      </c>
      <c r="D13698" s="946"/>
      <c r="E13698" s="947"/>
      <c r="F13698" s="1054"/>
      <c r="G13698" s="946"/>
      <c r="H13698" s="1031"/>
      <c r="I13698" s="952">
        <f>SUM(I13697)</f>
        <v>0</v>
      </c>
    </row>
    <row r="13699" spans="2:9" ht="15.75">
      <c r="C13699" s="951"/>
      <c r="D13699" s="946"/>
      <c r="E13699" s="947"/>
      <c r="F13699" s="1054"/>
      <c r="G13699" s="946"/>
      <c r="H13699" s="1031"/>
      <c r="I13699" s="952"/>
    </row>
    <row r="13700" spans="2:9" ht="15.75">
      <c r="C13700" s="956" t="s">
        <v>926</v>
      </c>
      <c r="D13700" s="957"/>
      <c r="E13700" s="958"/>
      <c r="F13700" s="1069"/>
      <c r="G13700" s="957"/>
      <c r="H13700" s="1032"/>
      <c r="I13700" s="959">
        <f>+I13686</f>
        <v>8500</v>
      </c>
    </row>
    <row r="13701" spans="2:9" ht="15.75">
      <c r="C13701" s="956" t="s">
        <v>927</v>
      </c>
      <c r="D13701" s="957"/>
      <c r="E13701" s="958"/>
      <c r="F13701" s="1069"/>
      <c r="G13701" s="957"/>
      <c r="H13701" s="1032"/>
      <c r="I13701" s="959">
        <f>+I13690</f>
        <v>0</v>
      </c>
    </row>
    <row r="13702" spans="2:9" ht="15.75">
      <c r="C13702" s="956" t="s">
        <v>928</v>
      </c>
      <c r="D13702" s="957"/>
      <c r="E13702" s="958"/>
      <c r="F13702" s="1069"/>
      <c r="G13702" s="957"/>
      <c r="H13702" s="1032"/>
      <c r="I13702" s="959">
        <f>+I13694</f>
        <v>0</v>
      </c>
    </row>
    <row r="13703" spans="2:9" ht="15.75">
      <c r="C13703" s="956" t="s">
        <v>929</v>
      </c>
      <c r="D13703" s="957"/>
      <c r="E13703" s="958"/>
      <c r="F13703" s="1069"/>
      <c r="G13703" s="957"/>
      <c r="H13703" s="1032"/>
      <c r="I13703" s="959">
        <f>+I13698</f>
        <v>0</v>
      </c>
    </row>
    <row r="13704" spans="2:9" ht="15.75">
      <c r="C13704" s="949"/>
      <c r="D13704" s="946"/>
      <c r="E13704" s="947"/>
      <c r="F13704" s="1054"/>
      <c r="G13704" s="946"/>
      <c r="H13704" s="1031"/>
      <c r="I13704" s="948"/>
    </row>
    <row r="13705" spans="2:9" ht="15.75">
      <c r="C13705" s="951" t="s">
        <v>930</v>
      </c>
      <c r="D13705" s="960"/>
      <c r="E13705" s="975" t="str">
        <f>+E13682</f>
        <v>ud</v>
      </c>
      <c r="F13705" s="1070"/>
      <c r="G13705" s="960"/>
      <c r="H13705" s="1033"/>
      <c r="I13705" s="952">
        <f>SUM(I13700:I13703)</f>
        <v>8500</v>
      </c>
    </row>
    <row r="13706" spans="2:9" ht="15.75">
      <c r="C13706" s="951"/>
      <c r="D13706" s="960"/>
      <c r="E13706" s="943"/>
      <c r="F13706" s="1070"/>
      <c r="G13706" s="960"/>
      <c r="H13706" s="1033"/>
      <c r="I13706" s="952"/>
    </row>
    <row r="13707" spans="2:9" ht="15.75">
      <c r="B13707" s="1026">
        <v>8.1999999999999993</v>
      </c>
      <c r="C13707" s="937" t="str">
        <f>+Presupuesto!B783</f>
        <v>Puerta polimetálica (0.85m x 2.10m) (Incluye llavín)</v>
      </c>
      <c r="D13707" s="938"/>
      <c r="E13707" s="962" t="s">
        <v>1106</v>
      </c>
      <c r="F13707" s="1066"/>
      <c r="G13707" s="938"/>
      <c r="H13707" s="1029"/>
      <c r="I13707" s="940">
        <f>+I13730</f>
        <v>8670</v>
      </c>
    </row>
    <row r="13708" spans="2:9" ht="15.75">
      <c r="C13708" s="941" t="s">
        <v>908</v>
      </c>
      <c r="D13708" s="942" t="s">
        <v>9</v>
      </c>
      <c r="E13708" s="943" t="s">
        <v>10</v>
      </c>
      <c r="F13708" s="1067" t="s">
        <v>909</v>
      </c>
      <c r="G13708" s="942" t="s">
        <v>910</v>
      </c>
      <c r="H13708" s="1030" t="s">
        <v>911</v>
      </c>
      <c r="I13708" s="944" t="s">
        <v>912</v>
      </c>
    </row>
    <row r="13709" spans="2:9" ht="15.75">
      <c r="C13709" s="945" t="s">
        <v>913</v>
      </c>
      <c r="D13709" s="946"/>
      <c r="E13709" s="947"/>
      <c r="F13709" s="1054"/>
      <c r="G13709" s="946"/>
      <c r="H13709" s="1031"/>
      <c r="I13709" s="948"/>
    </row>
    <row r="13710" spans="2:9" ht="31.5">
      <c r="C13710" s="949" t="s">
        <v>1587</v>
      </c>
      <c r="D13710" s="946">
        <v>1.02</v>
      </c>
      <c r="E13710" s="947" t="str">
        <f>+VLOOKUP(C13710,'Basic (equilibrio) (2)'!B:D,2,FALSE)</f>
        <v>ud</v>
      </c>
      <c r="F13710" s="1068">
        <f>'Basic (equilibrio) (2)'!$D$340</f>
        <v>8500</v>
      </c>
      <c r="G13710" s="946">
        <f>F13710-(F13710/1.18)</f>
        <v>1296.6099999999999</v>
      </c>
      <c r="H13710" s="1031"/>
      <c r="I13710" s="948">
        <f>D13710*F13710</f>
        <v>8670</v>
      </c>
    </row>
    <row r="13711" spans="2:9" ht="15.75">
      <c r="C13711" s="951" t="s">
        <v>918</v>
      </c>
      <c r="D13711" s="946"/>
      <c r="E13711" s="947"/>
      <c r="F13711" s="1068"/>
      <c r="G13711" s="946"/>
      <c r="H13711" s="1031"/>
      <c r="I13711" s="952">
        <f>SUM(I13710:I13710)</f>
        <v>8670</v>
      </c>
    </row>
    <row r="13712" spans="2:9" ht="15.75">
      <c r="C13712" s="949"/>
      <c r="D13712" s="946"/>
      <c r="E13712" s="947"/>
      <c r="F13712" s="1068"/>
      <c r="G13712" s="946"/>
      <c r="H13712" s="1031"/>
      <c r="I13712" s="948"/>
    </row>
    <row r="13713" spans="3:9" ht="15.75">
      <c r="C13713" s="945" t="s">
        <v>919</v>
      </c>
      <c r="D13713" s="946"/>
      <c r="E13713" s="947"/>
      <c r="F13713" s="1068"/>
      <c r="G13713" s="946"/>
      <c r="H13713" s="1031"/>
      <c r="I13713" s="948"/>
    </row>
    <row r="13714" spans="3:9" ht="15.75">
      <c r="C13714" s="949" t="s">
        <v>924</v>
      </c>
      <c r="D13714" s="953">
        <v>8.33</v>
      </c>
      <c r="E13714" s="954" t="str">
        <f>+VLOOKUP(C13714,'Basic (equilibrio) (2)'!B:D,2,FALSE)</f>
        <v>n/a</v>
      </c>
      <c r="F13714" s="1068">
        <f>+VLOOKUP(C13714,'Basic (equilibrio) (2)'!B:D,3,FALSE)</f>
        <v>0</v>
      </c>
      <c r="G13714" s="946">
        <v>0</v>
      </c>
      <c r="H13714" s="1031"/>
      <c r="I13714" s="948">
        <f>(D13714*F13714)</f>
        <v>0</v>
      </c>
    </row>
    <row r="13715" spans="3:9" ht="15.75">
      <c r="C13715" s="951" t="s">
        <v>918</v>
      </c>
      <c r="D13715" s="946"/>
      <c r="E13715" s="947"/>
      <c r="F13715" s="1054"/>
      <c r="G13715" s="946"/>
      <c r="H13715" s="1031"/>
      <c r="I13715" s="952">
        <f>SUM(I13714:I13714)</f>
        <v>0</v>
      </c>
    </row>
    <row r="13716" spans="3:9" ht="15.75">
      <c r="C13716" s="949"/>
      <c r="D13716" s="946"/>
      <c r="E13716" s="947"/>
      <c r="F13716" s="1054"/>
      <c r="G13716" s="946"/>
      <c r="H13716" s="1031"/>
      <c r="I13716" s="948"/>
    </row>
    <row r="13717" spans="3:9" ht="15.75">
      <c r="C13717" s="945" t="s">
        <v>923</v>
      </c>
      <c r="D13717" s="946"/>
      <c r="E13717" s="947"/>
      <c r="F13717" s="1054"/>
      <c r="G13717" s="946"/>
      <c r="H13717" s="1031"/>
      <c r="I13717" s="948"/>
    </row>
    <row r="13718" spans="3:9" ht="15.75">
      <c r="C13718" s="949" t="s">
        <v>924</v>
      </c>
      <c r="D13718" s="946"/>
      <c r="E13718" s="947" t="str">
        <f>+VLOOKUP(C13718,'Basic (equilibrio) (2)'!B:D,2,FALSE)</f>
        <v>n/a</v>
      </c>
      <c r="F13718" s="1054">
        <f>+VLOOKUP(C13718,'Basic (equilibrio) (2)'!B:D,3,FALSE)</f>
        <v>0</v>
      </c>
      <c r="G13718" s="946">
        <f>F13718-(F13718/1.18)</f>
        <v>0</v>
      </c>
      <c r="H13718" s="1039"/>
      <c r="I13718" s="955">
        <f>D13718*F13718</f>
        <v>0</v>
      </c>
    </row>
    <row r="13719" spans="3:9" ht="15.75">
      <c r="C13719" s="951" t="s">
        <v>918</v>
      </c>
      <c r="D13719" s="946"/>
      <c r="E13719" s="947"/>
      <c r="F13719" s="1054"/>
      <c r="G13719" s="946"/>
      <c r="H13719" s="1031"/>
      <c r="I13719" s="952">
        <f>SUM(I13718:I13718)</f>
        <v>0</v>
      </c>
    </row>
    <row r="13720" spans="3:9" ht="15.75">
      <c r="C13720" s="949"/>
      <c r="D13720" s="946"/>
      <c r="E13720" s="947"/>
      <c r="F13720" s="1054"/>
      <c r="G13720" s="946"/>
      <c r="H13720" s="1031"/>
      <c r="I13720" s="948"/>
    </row>
    <row r="13721" spans="3:9" ht="15.75">
      <c r="C13721" s="945" t="s">
        <v>925</v>
      </c>
      <c r="D13721" s="946"/>
      <c r="E13721" s="947"/>
      <c r="F13721" s="1054"/>
      <c r="G13721" s="946"/>
      <c r="H13721" s="1031"/>
      <c r="I13721" s="948"/>
    </row>
    <row r="13722" spans="3:9" ht="15.75">
      <c r="C13722" s="949" t="s">
        <v>924</v>
      </c>
      <c r="D13722" s="946"/>
      <c r="E13722" s="947" t="str">
        <f>+VLOOKUP(C13722,'Basic (equilibrio) (2)'!B:D,2,FALSE)</f>
        <v>n/a</v>
      </c>
      <c r="F13722" s="1054">
        <f>+VLOOKUP(C13722,'Basic (equilibrio) (2)'!B:D,3,FALSE)</f>
        <v>0</v>
      </c>
      <c r="G13722" s="946"/>
      <c r="H13722" s="1031"/>
      <c r="I13722" s="948">
        <f>D13722*F13722</f>
        <v>0</v>
      </c>
    </row>
    <row r="13723" spans="3:9" ht="15.75">
      <c r="C13723" s="951" t="s">
        <v>918</v>
      </c>
      <c r="D13723" s="946"/>
      <c r="E13723" s="947"/>
      <c r="F13723" s="1054"/>
      <c r="G13723" s="946"/>
      <c r="H13723" s="1031"/>
      <c r="I13723" s="952">
        <f>SUM(I13722)</f>
        <v>0</v>
      </c>
    </row>
    <row r="13724" spans="3:9" ht="15.75">
      <c r="C13724" s="951"/>
      <c r="D13724" s="946"/>
      <c r="E13724" s="947"/>
      <c r="F13724" s="1054"/>
      <c r="G13724" s="946"/>
      <c r="H13724" s="1031"/>
      <c r="I13724" s="952"/>
    </row>
    <row r="13725" spans="3:9" ht="15.75">
      <c r="C13725" s="956" t="s">
        <v>926</v>
      </c>
      <c r="D13725" s="957"/>
      <c r="E13725" s="958"/>
      <c r="F13725" s="1069"/>
      <c r="G13725" s="957"/>
      <c r="H13725" s="1032"/>
      <c r="I13725" s="959">
        <f>+I13711</f>
        <v>8670</v>
      </c>
    </row>
    <row r="13726" spans="3:9" ht="15.75">
      <c r="C13726" s="956" t="s">
        <v>927</v>
      </c>
      <c r="D13726" s="957"/>
      <c r="E13726" s="958"/>
      <c r="F13726" s="1069"/>
      <c r="G13726" s="957"/>
      <c r="H13726" s="1032"/>
      <c r="I13726" s="959">
        <f>+I13715</f>
        <v>0</v>
      </c>
    </row>
    <row r="13727" spans="3:9" ht="15.75">
      <c r="C13727" s="956" t="s">
        <v>928</v>
      </c>
      <c r="D13727" s="957"/>
      <c r="E13727" s="958"/>
      <c r="F13727" s="1069"/>
      <c r="G13727" s="957"/>
      <c r="H13727" s="1032"/>
      <c r="I13727" s="959">
        <f>+I13719</f>
        <v>0</v>
      </c>
    </row>
    <row r="13728" spans="3:9" ht="15.75">
      <c r="C13728" s="956" t="s">
        <v>929</v>
      </c>
      <c r="D13728" s="957"/>
      <c r="E13728" s="958"/>
      <c r="F13728" s="1069"/>
      <c r="G13728" s="957"/>
      <c r="H13728" s="1032"/>
      <c r="I13728" s="959">
        <f>+I13723</f>
        <v>0</v>
      </c>
    </row>
    <row r="13729" spans="2:9" ht="15.75">
      <c r="C13729" s="949"/>
      <c r="D13729" s="946"/>
      <c r="E13729" s="947"/>
      <c r="F13729" s="1054"/>
      <c r="G13729" s="946"/>
      <c r="H13729" s="1031"/>
      <c r="I13729" s="948"/>
    </row>
    <row r="13730" spans="2:9" ht="15.75">
      <c r="C13730" s="951" t="s">
        <v>930</v>
      </c>
      <c r="D13730" s="960"/>
      <c r="E13730" s="975" t="str">
        <f>+E13707</f>
        <v>und</v>
      </c>
      <c r="F13730" s="1070"/>
      <c r="G13730" s="960"/>
      <c r="H13730" s="1033"/>
      <c r="I13730" s="952">
        <f>SUM(I13725:I13728)</f>
        <v>8670</v>
      </c>
    </row>
    <row r="13731" spans="2:9" ht="15.75">
      <c r="C13731" s="951"/>
      <c r="D13731" s="960"/>
      <c r="E13731" s="943"/>
      <c r="F13731" s="1070"/>
      <c r="G13731" s="960"/>
      <c r="H13731" s="1033"/>
      <c r="I13731" s="952"/>
    </row>
    <row r="13732" spans="2:9" ht="15.75">
      <c r="B13732" s="1026">
        <v>8.3000000000000007</v>
      </c>
      <c r="C13732" s="937" t="str">
        <f>+Presupuesto!B784</f>
        <v>Puerta polimetálica (0.75m x 2.10m) (Incluye llavín)</v>
      </c>
      <c r="D13732" s="938"/>
      <c r="E13732" s="962" t="s">
        <v>1106</v>
      </c>
      <c r="F13732" s="1066"/>
      <c r="G13732" s="938"/>
      <c r="H13732" s="1029"/>
      <c r="I13732" s="940">
        <f>+I13755</f>
        <v>8670</v>
      </c>
    </row>
    <row r="13733" spans="2:9" ht="15.75">
      <c r="C13733" s="941" t="s">
        <v>908</v>
      </c>
      <c r="D13733" s="942" t="s">
        <v>9</v>
      </c>
      <c r="E13733" s="943" t="s">
        <v>10</v>
      </c>
      <c r="F13733" s="1067" t="s">
        <v>909</v>
      </c>
      <c r="G13733" s="942" t="s">
        <v>910</v>
      </c>
      <c r="H13733" s="1030" t="s">
        <v>911</v>
      </c>
      <c r="I13733" s="944" t="s">
        <v>912</v>
      </c>
    </row>
    <row r="13734" spans="2:9" ht="15.75">
      <c r="C13734" s="945" t="s">
        <v>913</v>
      </c>
      <c r="D13734" s="946"/>
      <c r="E13734" s="947"/>
      <c r="F13734" s="1054"/>
      <c r="G13734" s="946"/>
      <c r="H13734" s="1031"/>
      <c r="I13734" s="948"/>
    </row>
    <row r="13735" spans="2:9" ht="31.5">
      <c r="C13735" s="949" t="s">
        <v>1587</v>
      </c>
      <c r="D13735" s="946">
        <v>1.02</v>
      </c>
      <c r="E13735" s="947" t="str">
        <f>+VLOOKUP(C13735,'Basic (equilibrio) (2)'!B:D,2,FALSE)</f>
        <v>ud</v>
      </c>
      <c r="F13735" s="1068">
        <f>'Basic (equilibrio) (2)'!$D$340</f>
        <v>8500</v>
      </c>
      <c r="G13735" s="946">
        <f>F13735-(F13735/1.18)</f>
        <v>1296.6099999999999</v>
      </c>
      <c r="H13735" s="1031"/>
      <c r="I13735" s="948">
        <f>D13735*F13735</f>
        <v>8670</v>
      </c>
    </row>
    <row r="13736" spans="2:9" ht="15.75">
      <c r="C13736" s="951" t="s">
        <v>918</v>
      </c>
      <c r="D13736" s="946"/>
      <c r="E13736" s="947"/>
      <c r="F13736" s="1068"/>
      <c r="G13736" s="946"/>
      <c r="H13736" s="1031"/>
      <c r="I13736" s="952">
        <f>SUM(I13735:I13735)</f>
        <v>8670</v>
      </c>
    </row>
    <row r="13737" spans="2:9" ht="15.75">
      <c r="C13737" s="949"/>
      <c r="D13737" s="946"/>
      <c r="E13737" s="947"/>
      <c r="F13737" s="1068"/>
      <c r="G13737" s="946"/>
      <c r="H13737" s="1031"/>
      <c r="I13737" s="948"/>
    </row>
    <row r="13738" spans="2:9" ht="15.75">
      <c r="C13738" s="945" t="s">
        <v>919</v>
      </c>
      <c r="D13738" s="946"/>
      <c r="E13738" s="947"/>
      <c r="F13738" s="1068"/>
      <c r="G13738" s="946"/>
      <c r="H13738" s="1031"/>
      <c r="I13738" s="948"/>
    </row>
    <row r="13739" spans="2:9" ht="15.75">
      <c r="C13739" s="949" t="s">
        <v>924</v>
      </c>
      <c r="D13739" s="953">
        <v>8.33</v>
      </c>
      <c r="E13739" s="954" t="str">
        <f>+VLOOKUP(C13739,'Basic (equilibrio) (2)'!B:D,2,FALSE)</f>
        <v>n/a</v>
      </c>
      <c r="F13739" s="1068">
        <f>+VLOOKUP(C13739,'Basic (equilibrio) (2)'!B:D,3,FALSE)</f>
        <v>0</v>
      </c>
      <c r="G13739" s="946">
        <v>0</v>
      </c>
      <c r="H13739" s="1031"/>
      <c r="I13739" s="948">
        <f>(D13739*F13739)</f>
        <v>0</v>
      </c>
    </row>
    <row r="13740" spans="2:9" ht="15.75">
      <c r="C13740" s="951" t="s">
        <v>918</v>
      </c>
      <c r="D13740" s="946"/>
      <c r="E13740" s="947"/>
      <c r="F13740" s="1054"/>
      <c r="G13740" s="946"/>
      <c r="H13740" s="1031"/>
      <c r="I13740" s="952">
        <f>SUM(I13739:I13739)</f>
        <v>0</v>
      </c>
    </row>
    <row r="13741" spans="2:9" ht="15.75">
      <c r="C13741" s="949"/>
      <c r="D13741" s="946"/>
      <c r="E13741" s="947"/>
      <c r="F13741" s="1054"/>
      <c r="G13741" s="946"/>
      <c r="H13741" s="1031"/>
      <c r="I13741" s="948"/>
    </row>
    <row r="13742" spans="2:9" ht="15.75">
      <c r="C13742" s="945" t="s">
        <v>923</v>
      </c>
      <c r="D13742" s="946"/>
      <c r="E13742" s="947"/>
      <c r="F13742" s="1054"/>
      <c r="G13742" s="946"/>
      <c r="H13742" s="1031"/>
      <c r="I13742" s="948"/>
    </row>
    <row r="13743" spans="2:9" ht="15.75">
      <c r="C13743" s="949" t="s">
        <v>924</v>
      </c>
      <c r="D13743" s="946"/>
      <c r="E13743" s="947" t="str">
        <f>+VLOOKUP(C13743,'Basic (equilibrio) (2)'!B:D,2,FALSE)</f>
        <v>n/a</v>
      </c>
      <c r="F13743" s="1054">
        <f>+VLOOKUP(C13743,'Basic (equilibrio) (2)'!B:D,3,FALSE)</f>
        <v>0</v>
      </c>
      <c r="G13743" s="946">
        <f>F13743-(F13743/1.18)</f>
        <v>0</v>
      </c>
      <c r="H13743" s="1039"/>
      <c r="I13743" s="955">
        <f>D13743*F13743</f>
        <v>0</v>
      </c>
    </row>
    <row r="13744" spans="2:9" ht="15.75">
      <c r="C13744" s="951" t="s">
        <v>918</v>
      </c>
      <c r="D13744" s="946"/>
      <c r="E13744" s="947"/>
      <c r="F13744" s="1054"/>
      <c r="G13744" s="946"/>
      <c r="H13744" s="1031"/>
      <c r="I13744" s="952">
        <f>SUM(I13743:I13743)</f>
        <v>0</v>
      </c>
    </row>
    <row r="13745" spans="2:9" ht="15.75">
      <c r="C13745" s="949"/>
      <c r="D13745" s="946"/>
      <c r="E13745" s="947"/>
      <c r="F13745" s="1054"/>
      <c r="G13745" s="946"/>
      <c r="H13745" s="1031"/>
      <c r="I13745" s="948"/>
    </row>
    <row r="13746" spans="2:9" ht="15.75">
      <c r="C13746" s="945" t="s">
        <v>925</v>
      </c>
      <c r="D13746" s="946"/>
      <c r="E13746" s="947"/>
      <c r="F13746" s="1054"/>
      <c r="G13746" s="946"/>
      <c r="H13746" s="1031"/>
      <c r="I13746" s="948"/>
    </row>
    <row r="13747" spans="2:9" ht="15.75">
      <c r="C13747" s="949" t="s">
        <v>924</v>
      </c>
      <c r="D13747" s="946"/>
      <c r="E13747" s="947" t="str">
        <f>+VLOOKUP(C13747,'Basic (equilibrio) (2)'!B:D,2,FALSE)</f>
        <v>n/a</v>
      </c>
      <c r="F13747" s="1054">
        <f>+VLOOKUP(C13747,'Basic (equilibrio) (2)'!B:D,3,FALSE)</f>
        <v>0</v>
      </c>
      <c r="G13747" s="946"/>
      <c r="H13747" s="1031"/>
      <c r="I13747" s="948">
        <f>D13747*F13747</f>
        <v>0</v>
      </c>
    </row>
    <row r="13748" spans="2:9" ht="15.75">
      <c r="C13748" s="951" t="s">
        <v>918</v>
      </c>
      <c r="D13748" s="946"/>
      <c r="E13748" s="947"/>
      <c r="F13748" s="1054"/>
      <c r="G13748" s="946"/>
      <c r="H13748" s="1031"/>
      <c r="I13748" s="952">
        <f>SUM(I13747)</f>
        <v>0</v>
      </c>
    </row>
    <row r="13749" spans="2:9" ht="15.75">
      <c r="C13749" s="951"/>
      <c r="D13749" s="946"/>
      <c r="E13749" s="947"/>
      <c r="F13749" s="1054"/>
      <c r="G13749" s="946"/>
      <c r="H13749" s="1031"/>
      <c r="I13749" s="952"/>
    </row>
    <row r="13750" spans="2:9" ht="15.75">
      <c r="C13750" s="956" t="s">
        <v>926</v>
      </c>
      <c r="D13750" s="957"/>
      <c r="E13750" s="958"/>
      <c r="F13750" s="1069"/>
      <c r="G13750" s="957"/>
      <c r="H13750" s="1032"/>
      <c r="I13750" s="959">
        <f>+I13736</f>
        <v>8670</v>
      </c>
    </row>
    <row r="13751" spans="2:9" ht="15.75">
      <c r="C13751" s="956" t="s">
        <v>927</v>
      </c>
      <c r="D13751" s="957"/>
      <c r="E13751" s="958"/>
      <c r="F13751" s="1069"/>
      <c r="G13751" s="957"/>
      <c r="H13751" s="1032"/>
      <c r="I13751" s="959">
        <f>+I13740</f>
        <v>0</v>
      </c>
    </row>
    <row r="13752" spans="2:9" ht="15.75">
      <c r="C13752" s="956" t="s">
        <v>928</v>
      </c>
      <c r="D13752" s="957"/>
      <c r="E13752" s="958"/>
      <c r="F13752" s="1069"/>
      <c r="G13752" s="957"/>
      <c r="H13752" s="1032"/>
      <c r="I13752" s="959">
        <f>+I13744</f>
        <v>0</v>
      </c>
    </row>
    <row r="13753" spans="2:9" ht="15.75">
      <c r="C13753" s="956" t="s">
        <v>929</v>
      </c>
      <c r="D13753" s="957"/>
      <c r="E13753" s="958"/>
      <c r="F13753" s="1069"/>
      <c r="G13753" s="957"/>
      <c r="H13753" s="1032"/>
      <c r="I13753" s="959">
        <f>+I13748</f>
        <v>0</v>
      </c>
    </row>
    <row r="13754" spans="2:9" ht="15.75">
      <c r="C13754" s="949"/>
      <c r="D13754" s="946"/>
      <c r="E13754" s="947"/>
      <c r="F13754" s="1054"/>
      <c r="G13754" s="946"/>
      <c r="H13754" s="1031"/>
      <c r="I13754" s="948"/>
    </row>
    <row r="13755" spans="2:9" ht="15.75">
      <c r="C13755" s="951" t="s">
        <v>930</v>
      </c>
      <c r="D13755" s="960"/>
      <c r="E13755" s="975" t="str">
        <f>+E13732</f>
        <v>und</v>
      </c>
      <c r="F13755" s="1070"/>
      <c r="G13755" s="960"/>
      <c r="H13755" s="1033"/>
      <c r="I13755" s="952">
        <f>SUM(I13750:I13753)</f>
        <v>8670</v>
      </c>
    </row>
    <row r="13756" spans="2:9" ht="15.75">
      <c r="C13756" s="951"/>
      <c r="D13756" s="960"/>
      <c r="E13756" s="943"/>
      <c r="F13756" s="1070"/>
      <c r="G13756" s="960"/>
      <c r="H13756" s="1033"/>
      <c r="I13756" s="952"/>
    </row>
    <row r="13757" spans="2:9" ht="15.75">
      <c r="C13757" s="951"/>
      <c r="D13757" s="960"/>
      <c r="E13757" s="943"/>
      <c r="F13757" s="1070"/>
      <c r="G13757" s="960"/>
      <c r="H13757" s="1033"/>
      <c r="I13757" s="952"/>
    </row>
    <row r="13758" spans="2:9" ht="15.75">
      <c r="B13758" s="1026">
        <v>8.4</v>
      </c>
      <c r="C13758" s="937" t="str">
        <f>+Presupuesto!B785</f>
        <v>Ventana corrediza de cristal y aluminio (1.20m x 1.00m)</v>
      </c>
      <c r="D13758" s="938"/>
      <c r="E13758" s="962" t="s">
        <v>1585</v>
      </c>
      <c r="F13758" s="1066"/>
      <c r="G13758" s="938"/>
      <c r="H13758" s="1029"/>
      <c r="I13758" s="940">
        <f>+I13781</f>
        <v>3614.8</v>
      </c>
    </row>
    <row r="13759" spans="2:9" ht="15.75">
      <c r="C13759" s="941" t="s">
        <v>908</v>
      </c>
      <c r="D13759" s="942" t="s">
        <v>9</v>
      </c>
      <c r="E13759" s="943" t="s">
        <v>10</v>
      </c>
      <c r="F13759" s="1067" t="s">
        <v>909</v>
      </c>
      <c r="G13759" s="942" t="s">
        <v>910</v>
      </c>
      <c r="H13759" s="1030" t="s">
        <v>911</v>
      </c>
      <c r="I13759" s="944" t="s">
        <v>912</v>
      </c>
    </row>
    <row r="13760" spans="2:9" ht="15.75">
      <c r="C13760" s="945" t="s">
        <v>913</v>
      </c>
      <c r="D13760" s="946"/>
      <c r="E13760" s="947"/>
      <c r="F13760" s="1054"/>
      <c r="G13760" s="946"/>
      <c r="H13760" s="1031"/>
      <c r="I13760" s="948"/>
    </row>
    <row r="13761" spans="3:9" ht="15.75">
      <c r="C13761" s="949" t="s">
        <v>1583</v>
      </c>
      <c r="D13761" s="946">
        <v>12.91</v>
      </c>
      <c r="E13761" s="947" t="str">
        <f>+VLOOKUP(C13761,'Basic (equilibrio) (2)'!B:D,2,FALSE)</f>
        <v>pie2</v>
      </c>
      <c r="F13761" s="1068">
        <f>'Basic (equilibrio) (2)'!$D$197</f>
        <v>280</v>
      </c>
      <c r="G13761" s="946">
        <f>F13761-(F13761/1.18)</f>
        <v>42.71</v>
      </c>
      <c r="H13761" s="1031"/>
      <c r="I13761" s="948">
        <f>D13761*F13761</f>
        <v>3614.8</v>
      </c>
    </row>
    <row r="13762" spans="3:9" ht="15.75">
      <c r="C13762" s="951" t="s">
        <v>918</v>
      </c>
      <c r="D13762" s="946"/>
      <c r="E13762" s="947"/>
      <c r="F13762" s="1068"/>
      <c r="G13762" s="946"/>
      <c r="H13762" s="1031"/>
      <c r="I13762" s="952">
        <f>SUM(I13761:I13761)</f>
        <v>3614.8</v>
      </c>
    </row>
    <row r="13763" spans="3:9" ht="15.75">
      <c r="C13763" s="949"/>
      <c r="D13763" s="946"/>
      <c r="E13763" s="947"/>
      <c r="F13763" s="1068"/>
      <c r="G13763" s="946"/>
      <c r="H13763" s="1031"/>
      <c r="I13763" s="948"/>
    </row>
    <row r="13764" spans="3:9" ht="15.75">
      <c r="C13764" s="945" t="s">
        <v>919</v>
      </c>
      <c r="D13764" s="946"/>
      <c r="E13764" s="947"/>
      <c r="F13764" s="1068"/>
      <c r="G13764" s="946"/>
      <c r="H13764" s="1031"/>
      <c r="I13764" s="948"/>
    </row>
    <row r="13765" spans="3:9" ht="15.75">
      <c r="C13765" s="949" t="s">
        <v>924</v>
      </c>
      <c r="D13765" s="953">
        <v>8.33</v>
      </c>
      <c r="E13765" s="954" t="str">
        <f>+VLOOKUP(C13765,'Basic (equilibrio) (2)'!B:D,2,FALSE)</f>
        <v>n/a</v>
      </c>
      <c r="F13765" s="1068">
        <f>+VLOOKUP(C13765,'Basic (equilibrio) (2)'!B:D,3,FALSE)</f>
        <v>0</v>
      </c>
      <c r="G13765" s="946">
        <v>0</v>
      </c>
      <c r="H13765" s="1031"/>
      <c r="I13765" s="948">
        <f>(D13765*F13765)</f>
        <v>0</v>
      </c>
    </row>
    <row r="13766" spans="3:9" ht="15.75">
      <c r="C13766" s="951" t="s">
        <v>918</v>
      </c>
      <c r="D13766" s="946"/>
      <c r="E13766" s="947"/>
      <c r="F13766" s="1054"/>
      <c r="G13766" s="946"/>
      <c r="H13766" s="1031"/>
      <c r="I13766" s="952">
        <f>SUM(I13765:I13765)</f>
        <v>0</v>
      </c>
    </row>
    <row r="13767" spans="3:9" ht="15.75">
      <c r="C13767" s="949"/>
      <c r="D13767" s="946"/>
      <c r="E13767" s="947"/>
      <c r="F13767" s="1054"/>
      <c r="G13767" s="946"/>
      <c r="H13767" s="1031"/>
      <c r="I13767" s="948"/>
    </row>
    <row r="13768" spans="3:9" ht="15.75">
      <c r="C13768" s="945" t="s">
        <v>923</v>
      </c>
      <c r="D13768" s="946"/>
      <c r="E13768" s="947"/>
      <c r="F13768" s="1054"/>
      <c r="G13768" s="946"/>
      <c r="H13768" s="1031"/>
      <c r="I13768" s="948"/>
    </row>
    <row r="13769" spans="3:9" ht="15.75">
      <c r="C13769" s="949" t="s">
        <v>924</v>
      </c>
      <c r="D13769" s="946"/>
      <c r="E13769" s="947" t="str">
        <f>+VLOOKUP(C13769,'Basic (equilibrio) (2)'!B:D,2,FALSE)</f>
        <v>n/a</v>
      </c>
      <c r="F13769" s="1054">
        <f>+VLOOKUP(C13769,'Basic (equilibrio) (2)'!B:D,3,FALSE)</f>
        <v>0</v>
      </c>
      <c r="G13769" s="946">
        <f>F13769-(F13769/1.18)</f>
        <v>0</v>
      </c>
      <c r="H13769" s="1039"/>
      <c r="I13769" s="955">
        <f>D13769*F13769</f>
        <v>0</v>
      </c>
    </row>
    <row r="13770" spans="3:9" ht="15.75">
      <c r="C13770" s="951" t="s">
        <v>918</v>
      </c>
      <c r="D13770" s="946"/>
      <c r="E13770" s="947"/>
      <c r="F13770" s="1054"/>
      <c r="G13770" s="946"/>
      <c r="H13770" s="1031"/>
      <c r="I13770" s="952">
        <f>SUM(I13769:I13769)</f>
        <v>0</v>
      </c>
    </row>
    <row r="13771" spans="3:9" ht="15.75">
      <c r="C13771" s="949"/>
      <c r="D13771" s="946"/>
      <c r="E13771" s="947"/>
      <c r="F13771" s="1054"/>
      <c r="G13771" s="946"/>
      <c r="H13771" s="1031"/>
      <c r="I13771" s="948"/>
    </row>
    <row r="13772" spans="3:9" ht="15.75">
      <c r="C13772" s="945" t="s">
        <v>925</v>
      </c>
      <c r="D13772" s="946"/>
      <c r="E13772" s="947"/>
      <c r="F13772" s="1054"/>
      <c r="G13772" s="946"/>
      <c r="H13772" s="1031"/>
      <c r="I13772" s="948"/>
    </row>
    <row r="13773" spans="3:9" ht="15.75">
      <c r="C13773" s="949" t="s">
        <v>924</v>
      </c>
      <c r="D13773" s="946"/>
      <c r="E13773" s="947" t="str">
        <f>+VLOOKUP(C13773,'Basic (equilibrio) (2)'!B:D,2,FALSE)</f>
        <v>n/a</v>
      </c>
      <c r="F13773" s="1054">
        <f>+VLOOKUP(C13773,'Basic (equilibrio) (2)'!B:D,3,FALSE)</f>
        <v>0</v>
      </c>
      <c r="G13773" s="946"/>
      <c r="H13773" s="1031"/>
      <c r="I13773" s="948">
        <f>D13773*F13773</f>
        <v>0</v>
      </c>
    </row>
    <row r="13774" spans="3:9" ht="15.75">
      <c r="C13774" s="951" t="s">
        <v>918</v>
      </c>
      <c r="D13774" s="946"/>
      <c r="E13774" s="947"/>
      <c r="F13774" s="1054"/>
      <c r="G13774" s="946"/>
      <c r="H13774" s="1031"/>
      <c r="I13774" s="952">
        <f>SUM(I13773)</f>
        <v>0</v>
      </c>
    </row>
    <row r="13775" spans="3:9" ht="15.75">
      <c r="C13775" s="951"/>
      <c r="D13775" s="946"/>
      <c r="E13775" s="947"/>
      <c r="F13775" s="1054"/>
      <c r="G13775" s="946"/>
      <c r="H13775" s="1031"/>
      <c r="I13775" s="952"/>
    </row>
    <row r="13776" spans="3:9" ht="15.75">
      <c r="C13776" s="956" t="s">
        <v>926</v>
      </c>
      <c r="D13776" s="957"/>
      <c r="E13776" s="958"/>
      <c r="F13776" s="1069"/>
      <c r="G13776" s="957"/>
      <c r="H13776" s="1032"/>
      <c r="I13776" s="959">
        <f>+I13762</f>
        <v>3614.8</v>
      </c>
    </row>
    <row r="13777" spans="2:9" ht="15.75">
      <c r="C13777" s="956" t="s">
        <v>927</v>
      </c>
      <c r="D13777" s="957"/>
      <c r="E13777" s="958"/>
      <c r="F13777" s="1069"/>
      <c r="G13777" s="957"/>
      <c r="H13777" s="1032"/>
      <c r="I13777" s="959">
        <f>+I13766</f>
        <v>0</v>
      </c>
    </row>
    <row r="13778" spans="2:9" ht="15.75">
      <c r="C13778" s="956" t="s">
        <v>928</v>
      </c>
      <c r="D13778" s="957"/>
      <c r="E13778" s="958"/>
      <c r="F13778" s="1069"/>
      <c r="G13778" s="957"/>
      <c r="H13778" s="1032"/>
      <c r="I13778" s="959">
        <f>+I13770</f>
        <v>0</v>
      </c>
    </row>
    <row r="13779" spans="2:9" ht="15.75">
      <c r="C13779" s="956" t="s">
        <v>929</v>
      </c>
      <c r="D13779" s="957"/>
      <c r="E13779" s="958"/>
      <c r="F13779" s="1069"/>
      <c r="G13779" s="957"/>
      <c r="H13779" s="1032"/>
      <c r="I13779" s="959">
        <f>+I13774</f>
        <v>0</v>
      </c>
    </row>
    <row r="13780" spans="2:9" ht="15.75">
      <c r="C13780" s="949"/>
      <c r="D13780" s="946"/>
      <c r="E13780" s="947"/>
      <c r="F13780" s="1054"/>
      <c r="G13780" s="946"/>
      <c r="H13780" s="1031"/>
      <c r="I13780" s="948"/>
    </row>
    <row r="13781" spans="2:9" ht="15.75">
      <c r="C13781" s="951" t="s">
        <v>930</v>
      </c>
      <c r="D13781" s="960"/>
      <c r="E13781" s="975" t="str">
        <f>+E13758</f>
        <v xml:space="preserve">pie2 </v>
      </c>
      <c r="F13781" s="1070"/>
      <c r="G13781" s="960"/>
      <c r="H13781" s="1033"/>
      <c r="I13781" s="952">
        <f>SUM(I13776:I13779)</f>
        <v>3614.8</v>
      </c>
    </row>
    <row r="13782" spans="2:9" ht="15.75">
      <c r="C13782" s="951"/>
      <c r="D13782" s="960"/>
      <c r="E13782" s="943"/>
      <c r="F13782" s="1070"/>
      <c r="G13782" s="960"/>
      <c r="H13782" s="1033"/>
      <c r="I13782" s="952"/>
    </row>
    <row r="13783" spans="2:9" ht="15.75">
      <c r="C13783" s="951"/>
      <c r="D13783" s="960"/>
      <c r="E13783" s="943"/>
      <c r="F13783" s="1070"/>
      <c r="G13783" s="960"/>
      <c r="H13783" s="1033"/>
      <c r="I13783" s="952"/>
    </row>
    <row r="13784" spans="2:9" ht="15.75">
      <c r="B13784" s="1026">
        <v>8.5</v>
      </c>
      <c r="C13784" s="937" t="str">
        <f>+Presupuesto!B786</f>
        <v>Ventana corrediza de cristal y aluminio (1.00m x 1.00m)</v>
      </c>
      <c r="D13784" s="938"/>
      <c r="E13784" s="962" t="s">
        <v>1585</v>
      </c>
      <c r="F13784" s="1066"/>
      <c r="G13784" s="938"/>
      <c r="H13784" s="1029"/>
      <c r="I13784" s="940">
        <f>+I13807</f>
        <v>3360</v>
      </c>
    </row>
    <row r="13785" spans="2:9" ht="15.75">
      <c r="C13785" s="941" t="s">
        <v>908</v>
      </c>
      <c r="D13785" s="942" t="s">
        <v>9</v>
      </c>
      <c r="E13785" s="943" t="s">
        <v>10</v>
      </c>
      <c r="F13785" s="1067" t="s">
        <v>909</v>
      </c>
      <c r="G13785" s="942" t="s">
        <v>910</v>
      </c>
      <c r="H13785" s="1030" t="s">
        <v>911</v>
      </c>
      <c r="I13785" s="944" t="s">
        <v>912</v>
      </c>
    </row>
    <row r="13786" spans="2:9" ht="15.75">
      <c r="C13786" s="945" t="s">
        <v>913</v>
      </c>
      <c r="D13786" s="946"/>
      <c r="E13786" s="947"/>
      <c r="F13786" s="1054"/>
      <c r="G13786" s="946"/>
      <c r="H13786" s="1031"/>
      <c r="I13786" s="948"/>
    </row>
    <row r="13787" spans="2:9" ht="15.75">
      <c r="C13787" s="949" t="s">
        <v>1583</v>
      </c>
      <c r="D13787" s="946">
        <v>12</v>
      </c>
      <c r="E13787" s="947" t="str">
        <f>+VLOOKUP(C13787,'Basic (equilibrio) (2)'!B:D,2,FALSE)</f>
        <v>pie2</v>
      </c>
      <c r="F13787" s="1068">
        <f>'Basic (equilibrio) (2)'!$D$197</f>
        <v>280</v>
      </c>
      <c r="G13787" s="946">
        <f>F13787-(F13787/1.18)</f>
        <v>42.71</v>
      </c>
      <c r="H13787" s="1031"/>
      <c r="I13787" s="948">
        <f>D13787*F13787</f>
        <v>3360</v>
      </c>
    </row>
    <row r="13788" spans="2:9" ht="15.75">
      <c r="C13788" s="951" t="s">
        <v>918</v>
      </c>
      <c r="D13788" s="946"/>
      <c r="E13788" s="947"/>
      <c r="F13788" s="1068"/>
      <c r="G13788" s="946"/>
      <c r="H13788" s="1031"/>
      <c r="I13788" s="952">
        <f>SUM(I13787:I13787)</f>
        <v>3360</v>
      </c>
    </row>
    <row r="13789" spans="2:9" ht="15.75">
      <c r="C13789" s="949"/>
      <c r="D13789" s="946"/>
      <c r="E13789" s="947"/>
      <c r="F13789" s="1068"/>
      <c r="G13789" s="946"/>
      <c r="H13789" s="1031"/>
      <c r="I13789" s="948"/>
    </row>
    <row r="13790" spans="2:9" ht="15.75">
      <c r="C13790" s="945" t="s">
        <v>919</v>
      </c>
      <c r="D13790" s="946"/>
      <c r="E13790" s="947"/>
      <c r="F13790" s="1068"/>
      <c r="G13790" s="946"/>
      <c r="H13790" s="1031"/>
      <c r="I13790" s="948"/>
    </row>
    <row r="13791" spans="2:9" ht="15.75">
      <c r="C13791" s="949" t="s">
        <v>924</v>
      </c>
      <c r="D13791" s="953">
        <v>8.33</v>
      </c>
      <c r="E13791" s="954" t="str">
        <f>+VLOOKUP(C13791,'Basic (equilibrio) (2)'!B:D,2,FALSE)</f>
        <v>n/a</v>
      </c>
      <c r="F13791" s="1068">
        <f>+VLOOKUP(C13791,'Basic (equilibrio) (2)'!B:D,3,FALSE)</f>
        <v>0</v>
      </c>
      <c r="G13791" s="946">
        <v>0</v>
      </c>
      <c r="H13791" s="1031"/>
      <c r="I13791" s="948">
        <f>(D13791*F13791)</f>
        <v>0</v>
      </c>
    </row>
    <row r="13792" spans="2:9" ht="15.75">
      <c r="C13792" s="951" t="s">
        <v>918</v>
      </c>
      <c r="D13792" s="946"/>
      <c r="E13792" s="947"/>
      <c r="F13792" s="1054"/>
      <c r="G13792" s="946"/>
      <c r="H13792" s="1031"/>
      <c r="I13792" s="952">
        <f>SUM(I13791:I13791)</f>
        <v>0</v>
      </c>
    </row>
    <row r="13793" spans="3:9" ht="15.75">
      <c r="C13793" s="949"/>
      <c r="D13793" s="946"/>
      <c r="E13793" s="947"/>
      <c r="F13793" s="1054"/>
      <c r="G13793" s="946"/>
      <c r="H13793" s="1031"/>
      <c r="I13793" s="948"/>
    </row>
    <row r="13794" spans="3:9" ht="15.75">
      <c r="C13794" s="945" t="s">
        <v>923</v>
      </c>
      <c r="D13794" s="946"/>
      <c r="E13794" s="947"/>
      <c r="F13794" s="1054"/>
      <c r="G13794" s="946"/>
      <c r="H13794" s="1031"/>
      <c r="I13794" s="948"/>
    </row>
    <row r="13795" spans="3:9" ht="15.75">
      <c r="C13795" s="949" t="s">
        <v>924</v>
      </c>
      <c r="D13795" s="946"/>
      <c r="E13795" s="947" t="str">
        <f>+VLOOKUP(C13795,'Basic (equilibrio) (2)'!B:D,2,FALSE)</f>
        <v>n/a</v>
      </c>
      <c r="F13795" s="1054">
        <f>+VLOOKUP(C13795,'Basic (equilibrio) (2)'!B:D,3,FALSE)</f>
        <v>0</v>
      </c>
      <c r="G13795" s="946">
        <f>F13795-(F13795/1.18)</f>
        <v>0</v>
      </c>
      <c r="H13795" s="1039"/>
      <c r="I13795" s="955">
        <f>D13795*F13795</f>
        <v>0</v>
      </c>
    </row>
    <row r="13796" spans="3:9" ht="15.75">
      <c r="C13796" s="951" t="s">
        <v>918</v>
      </c>
      <c r="D13796" s="946"/>
      <c r="E13796" s="947"/>
      <c r="F13796" s="1054"/>
      <c r="G13796" s="946"/>
      <c r="H13796" s="1031"/>
      <c r="I13796" s="952">
        <f>SUM(I13795:I13795)</f>
        <v>0</v>
      </c>
    </row>
    <row r="13797" spans="3:9" ht="15.75">
      <c r="C13797" s="949"/>
      <c r="D13797" s="946"/>
      <c r="E13797" s="947"/>
      <c r="F13797" s="1054"/>
      <c r="G13797" s="946"/>
      <c r="H13797" s="1031"/>
      <c r="I13797" s="948"/>
    </row>
    <row r="13798" spans="3:9" ht="15.75">
      <c r="C13798" s="945" t="s">
        <v>925</v>
      </c>
      <c r="D13798" s="946"/>
      <c r="E13798" s="947"/>
      <c r="F13798" s="1054"/>
      <c r="G13798" s="946"/>
      <c r="H13798" s="1031"/>
      <c r="I13798" s="948"/>
    </row>
    <row r="13799" spans="3:9" ht="15.75">
      <c r="C13799" s="949" t="s">
        <v>924</v>
      </c>
      <c r="D13799" s="946"/>
      <c r="E13799" s="947" t="str">
        <f>+VLOOKUP(C13799,'Basic (equilibrio) (2)'!B:D,2,FALSE)</f>
        <v>n/a</v>
      </c>
      <c r="F13799" s="1054">
        <f>+VLOOKUP(C13799,'Basic (equilibrio) (2)'!B:D,3,FALSE)</f>
        <v>0</v>
      </c>
      <c r="G13799" s="946"/>
      <c r="H13799" s="1031"/>
      <c r="I13799" s="948">
        <f>D13799*F13799</f>
        <v>0</v>
      </c>
    </row>
    <row r="13800" spans="3:9" ht="15.75">
      <c r="C13800" s="951" t="s">
        <v>918</v>
      </c>
      <c r="D13800" s="946"/>
      <c r="E13800" s="947"/>
      <c r="F13800" s="1054"/>
      <c r="G13800" s="946"/>
      <c r="H13800" s="1031"/>
      <c r="I13800" s="952">
        <f>SUM(I13799)</f>
        <v>0</v>
      </c>
    </row>
    <row r="13801" spans="3:9" ht="15.75">
      <c r="C13801" s="951"/>
      <c r="D13801" s="946"/>
      <c r="E13801" s="947"/>
      <c r="F13801" s="1054"/>
      <c r="G13801" s="946"/>
      <c r="H13801" s="1031"/>
      <c r="I13801" s="952"/>
    </row>
    <row r="13802" spans="3:9" ht="15.75">
      <c r="C13802" s="956" t="s">
        <v>926</v>
      </c>
      <c r="D13802" s="957"/>
      <c r="E13802" s="958"/>
      <c r="F13802" s="1069"/>
      <c r="G13802" s="957"/>
      <c r="H13802" s="1032"/>
      <c r="I13802" s="959">
        <f>+I13788</f>
        <v>3360</v>
      </c>
    </row>
    <row r="13803" spans="3:9" ht="15.75">
      <c r="C13803" s="956" t="s">
        <v>927</v>
      </c>
      <c r="D13803" s="957"/>
      <c r="E13803" s="958"/>
      <c r="F13803" s="1069"/>
      <c r="G13803" s="957"/>
      <c r="H13803" s="1032"/>
      <c r="I13803" s="959">
        <f>+I13792</f>
        <v>0</v>
      </c>
    </row>
    <row r="13804" spans="3:9" ht="15.75">
      <c r="C13804" s="956" t="s">
        <v>928</v>
      </c>
      <c r="D13804" s="957"/>
      <c r="E13804" s="958"/>
      <c r="F13804" s="1069"/>
      <c r="G13804" s="957"/>
      <c r="H13804" s="1032"/>
      <c r="I13804" s="959">
        <f>+I13796</f>
        <v>0</v>
      </c>
    </row>
    <row r="13805" spans="3:9" ht="15.75">
      <c r="C13805" s="956" t="s">
        <v>929</v>
      </c>
      <c r="D13805" s="957"/>
      <c r="E13805" s="958"/>
      <c r="F13805" s="1069"/>
      <c r="G13805" s="957"/>
      <c r="H13805" s="1032"/>
      <c r="I13805" s="959">
        <f>+I13800</f>
        <v>0</v>
      </c>
    </row>
    <row r="13806" spans="3:9" ht="15.75">
      <c r="C13806" s="949"/>
      <c r="D13806" s="946"/>
      <c r="E13806" s="947"/>
      <c r="F13806" s="1054"/>
      <c r="G13806" s="946"/>
      <c r="H13806" s="1031"/>
      <c r="I13806" s="948"/>
    </row>
    <row r="13807" spans="3:9" ht="15.75">
      <c r="C13807" s="951" t="s">
        <v>930</v>
      </c>
      <c r="D13807" s="960"/>
      <c r="E13807" s="975" t="str">
        <f>+E13784</f>
        <v xml:space="preserve">pie2 </v>
      </c>
      <c r="F13807" s="1070"/>
      <c r="G13807" s="960"/>
      <c r="H13807" s="1033"/>
      <c r="I13807" s="952">
        <f>SUM(I13802:I13805)</f>
        <v>3360</v>
      </c>
    </row>
    <row r="13808" spans="3:9" ht="15.75">
      <c r="C13808" s="951"/>
      <c r="D13808" s="960"/>
      <c r="E13808" s="943"/>
      <c r="F13808" s="1070"/>
      <c r="G13808" s="960"/>
      <c r="H13808" s="1033"/>
      <c r="I13808" s="952"/>
    </row>
    <row r="13809" spans="2:9" ht="15.75">
      <c r="B13809" s="1026">
        <v>8.6</v>
      </c>
      <c r="C13809" s="937" t="str">
        <f>+Presupuesto!B787</f>
        <v>Ventana corrediza de cristal y aluminio (0.60m x 0.50m)</v>
      </c>
      <c r="D13809" s="938"/>
      <c r="E13809" s="962" t="s">
        <v>1585</v>
      </c>
      <c r="F13809" s="1066"/>
      <c r="G13809" s="938"/>
      <c r="H13809" s="1029"/>
      <c r="I13809" s="940">
        <f>+I13832</f>
        <v>901.6</v>
      </c>
    </row>
    <row r="13810" spans="2:9" ht="15.75">
      <c r="C13810" s="941" t="s">
        <v>908</v>
      </c>
      <c r="D13810" s="942" t="s">
        <v>9</v>
      </c>
      <c r="E13810" s="943" t="s">
        <v>10</v>
      </c>
      <c r="F13810" s="1067" t="s">
        <v>909</v>
      </c>
      <c r="G13810" s="942" t="s">
        <v>910</v>
      </c>
      <c r="H13810" s="1030" t="s">
        <v>911</v>
      </c>
      <c r="I13810" s="944" t="s">
        <v>912</v>
      </c>
    </row>
    <row r="13811" spans="2:9" ht="15.75">
      <c r="C13811" s="945" t="s">
        <v>913</v>
      </c>
      <c r="D13811" s="946"/>
      <c r="E13811" s="947"/>
      <c r="F13811" s="1054"/>
      <c r="G13811" s="946"/>
      <c r="H13811" s="1031"/>
      <c r="I13811" s="948"/>
    </row>
    <row r="13812" spans="2:9" ht="15.75">
      <c r="C13812" s="949" t="s">
        <v>1583</v>
      </c>
      <c r="D13812" s="946">
        <v>3.22</v>
      </c>
      <c r="E13812" s="947" t="str">
        <f>+VLOOKUP(C13812,'Basic (equilibrio) (2)'!B:D,2,FALSE)</f>
        <v>pie2</v>
      </c>
      <c r="F13812" s="1068">
        <f>'Basic (equilibrio) (2)'!$D$197</f>
        <v>280</v>
      </c>
      <c r="G13812" s="946">
        <f>F13812-(F13812/1.18)</f>
        <v>42.71</v>
      </c>
      <c r="H13812" s="1031"/>
      <c r="I13812" s="948">
        <f>D13812*F13812</f>
        <v>901.6</v>
      </c>
    </row>
    <row r="13813" spans="2:9" ht="15.75">
      <c r="C13813" s="951" t="s">
        <v>918</v>
      </c>
      <c r="D13813" s="946"/>
      <c r="E13813" s="947"/>
      <c r="F13813" s="1068"/>
      <c r="G13813" s="946"/>
      <c r="H13813" s="1031"/>
      <c r="I13813" s="952">
        <f>SUM(I13812:I13812)</f>
        <v>901.6</v>
      </c>
    </row>
    <row r="13814" spans="2:9" ht="15.75">
      <c r="C13814" s="949"/>
      <c r="D13814" s="946"/>
      <c r="E13814" s="947"/>
      <c r="F13814" s="1068"/>
      <c r="G13814" s="946"/>
      <c r="H13814" s="1031"/>
      <c r="I13814" s="948"/>
    </row>
    <row r="13815" spans="2:9" ht="15.75">
      <c r="C13815" s="945" t="s">
        <v>919</v>
      </c>
      <c r="D13815" s="946"/>
      <c r="E13815" s="947"/>
      <c r="F13815" s="1068"/>
      <c r="G13815" s="946"/>
      <c r="H13815" s="1031"/>
      <c r="I13815" s="948"/>
    </row>
    <row r="13816" spans="2:9" ht="15.75">
      <c r="C13816" s="949" t="s">
        <v>924</v>
      </c>
      <c r="D13816" s="953">
        <v>8.33</v>
      </c>
      <c r="E13816" s="954" t="str">
        <f>+VLOOKUP(C13816,'Basic (equilibrio) (2)'!B:D,2,FALSE)</f>
        <v>n/a</v>
      </c>
      <c r="F13816" s="1068">
        <f>+VLOOKUP(C13816,'Basic (equilibrio) (2)'!B:D,3,FALSE)</f>
        <v>0</v>
      </c>
      <c r="G13816" s="946">
        <v>0</v>
      </c>
      <c r="H13816" s="1031"/>
      <c r="I13816" s="948">
        <f>(D13816*F13816)</f>
        <v>0</v>
      </c>
    </row>
    <row r="13817" spans="2:9" ht="15.75">
      <c r="C13817" s="951" t="s">
        <v>918</v>
      </c>
      <c r="D13817" s="946"/>
      <c r="E13817" s="947"/>
      <c r="F13817" s="1054"/>
      <c r="G13817" s="946"/>
      <c r="H13817" s="1031"/>
      <c r="I13817" s="952">
        <f>SUM(I13816:I13816)</f>
        <v>0</v>
      </c>
    </row>
    <row r="13818" spans="2:9" ht="15.75">
      <c r="C13818" s="949"/>
      <c r="D13818" s="946"/>
      <c r="E13818" s="947"/>
      <c r="F13818" s="1054"/>
      <c r="G13818" s="946"/>
      <c r="H13818" s="1031"/>
      <c r="I13818" s="948"/>
    </row>
    <row r="13819" spans="2:9" ht="15.75">
      <c r="C13819" s="945" t="s">
        <v>923</v>
      </c>
      <c r="D13819" s="946"/>
      <c r="E13819" s="947"/>
      <c r="F13819" s="1054"/>
      <c r="G13819" s="946"/>
      <c r="H13819" s="1031"/>
      <c r="I13819" s="948"/>
    </row>
    <row r="13820" spans="2:9" ht="15.75">
      <c r="C13820" s="949" t="s">
        <v>924</v>
      </c>
      <c r="D13820" s="946"/>
      <c r="E13820" s="947" t="str">
        <f>+VLOOKUP(C13820,'Basic (equilibrio) (2)'!B:D,2,FALSE)</f>
        <v>n/a</v>
      </c>
      <c r="F13820" s="1054">
        <f>+VLOOKUP(C13820,'Basic (equilibrio) (2)'!B:D,3,FALSE)</f>
        <v>0</v>
      </c>
      <c r="G13820" s="946">
        <f>F13820-(F13820/1.18)</f>
        <v>0</v>
      </c>
      <c r="H13820" s="1039"/>
      <c r="I13820" s="955">
        <f>D13820*F13820</f>
        <v>0</v>
      </c>
    </row>
    <row r="13821" spans="2:9" ht="15.75">
      <c r="C13821" s="951" t="s">
        <v>918</v>
      </c>
      <c r="D13821" s="946"/>
      <c r="E13821" s="947"/>
      <c r="F13821" s="1054"/>
      <c r="G13821" s="946"/>
      <c r="H13821" s="1031"/>
      <c r="I13821" s="952">
        <f>SUM(I13820:I13820)</f>
        <v>0</v>
      </c>
    </row>
    <row r="13822" spans="2:9" ht="15.75">
      <c r="C13822" s="949"/>
      <c r="D13822" s="946"/>
      <c r="E13822" s="947"/>
      <c r="F13822" s="1054"/>
      <c r="G13822" s="946"/>
      <c r="H13822" s="1031"/>
      <c r="I13822" s="948"/>
    </row>
    <row r="13823" spans="2:9" ht="15.75">
      <c r="C13823" s="945" t="s">
        <v>925</v>
      </c>
      <c r="D13823" s="946"/>
      <c r="E13823" s="947"/>
      <c r="F13823" s="1054"/>
      <c r="G13823" s="946"/>
      <c r="H13823" s="1031"/>
      <c r="I13823" s="948"/>
    </row>
    <row r="13824" spans="2:9" ht="15.75">
      <c r="C13824" s="949" t="s">
        <v>924</v>
      </c>
      <c r="D13824" s="946"/>
      <c r="E13824" s="947" t="str">
        <f>+VLOOKUP(C13824,'Basic (equilibrio) (2)'!B:D,2,FALSE)</f>
        <v>n/a</v>
      </c>
      <c r="F13824" s="1054">
        <f>+VLOOKUP(C13824,'Basic (equilibrio) (2)'!B:D,3,FALSE)</f>
        <v>0</v>
      </c>
      <c r="G13824" s="946"/>
      <c r="H13824" s="1031"/>
      <c r="I13824" s="948">
        <f>D13824*F13824</f>
        <v>0</v>
      </c>
    </row>
    <row r="13825" spans="2:9" ht="15.75">
      <c r="C13825" s="951" t="s">
        <v>918</v>
      </c>
      <c r="D13825" s="946"/>
      <c r="E13825" s="947"/>
      <c r="F13825" s="1054"/>
      <c r="G13825" s="946"/>
      <c r="H13825" s="1031"/>
      <c r="I13825" s="952">
        <f>SUM(I13824)</f>
        <v>0</v>
      </c>
    </row>
    <row r="13826" spans="2:9" ht="15.75">
      <c r="C13826" s="951"/>
      <c r="D13826" s="946"/>
      <c r="E13826" s="947"/>
      <c r="F13826" s="1054"/>
      <c r="G13826" s="946"/>
      <c r="H13826" s="1031"/>
      <c r="I13826" s="952"/>
    </row>
    <row r="13827" spans="2:9" ht="15.75">
      <c r="C13827" s="956" t="s">
        <v>926</v>
      </c>
      <c r="D13827" s="957"/>
      <c r="E13827" s="958"/>
      <c r="F13827" s="1069"/>
      <c r="G13827" s="957"/>
      <c r="H13827" s="1032"/>
      <c r="I13827" s="959">
        <f>+I13813</f>
        <v>901.6</v>
      </c>
    </row>
    <row r="13828" spans="2:9" ht="15.75">
      <c r="C13828" s="956" t="s">
        <v>927</v>
      </c>
      <c r="D13828" s="957"/>
      <c r="E13828" s="958"/>
      <c r="F13828" s="1069"/>
      <c r="G13828" s="957"/>
      <c r="H13828" s="1032"/>
      <c r="I13828" s="959">
        <f>+I13817</f>
        <v>0</v>
      </c>
    </row>
    <row r="13829" spans="2:9" ht="15.75">
      <c r="C13829" s="956" t="s">
        <v>928</v>
      </c>
      <c r="D13829" s="957"/>
      <c r="E13829" s="958"/>
      <c r="F13829" s="1069"/>
      <c r="G13829" s="957"/>
      <c r="H13829" s="1032"/>
      <c r="I13829" s="959">
        <f>+I13821</f>
        <v>0</v>
      </c>
    </row>
    <row r="13830" spans="2:9" ht="15.75">
      <c r="C13830" s="956" t="s">
        <v>929</v>
      </c>
      <c r="D13830" s="957"/>
      <c r="E13830" s="958"/>
      <c r="F13830" s="1069"/>
      <c r="G13830" s="957"/>
      <c r="H13830" s="1032"/>
      <c r="I13830" s="959">
        <f>+I13825</f>
        <v>0</v>
      </c>
    </row>
    <row r="13831" spans="2:9" ht="15.75">
      <c r="C13831" s="949"/>
      <c r="D13831" s="946"/>
      <c r="E13831" s="947"/>
      <c r="F13831" s="1054"/>
      <c r="G13831" s="946"/>
      <c r="H13831" s="1031"/>
      <c r="I13831" s="948"/>
    </row>
    <row r="13832" spans="2:9" ht="15.75">
      <c r="C13832" s="951" t="s">
        <v>930</v>
      </c>
      <c r="D13832" s="960"/>
      <c r="E13832" s="975" t="str">
        <f>+E13809</f>
        <v xml:space="preserve">pie2 </v>
      </c>
      <c r="F13832" s="1070"/>
      <c r="G13832" s="960"/>
      <c r="H13832" s="1033"/>
      <c r="I13832" s="952">
        <f>SUM(I13827:I13830)</f>
        <v>901.6</v>
      </c>
    </row>
    <row r="13833" spans="2:9" ht="15.75">
      <c r="C13833" s="951"/>
      <c r="D13833" s="960"/>
      <c r="E13833" s="943"/>
      <c r="F13833" s="1070"/>
      <c r="G13833" s="960"/>
      <c r="H13833" s="1033"/>
      <c r="I13833" s="952"/>
    </row>
    <row r="13834" spans="2:9" ht="15.75">
      <c r="B13834" s="1026">
        <v>9.1</v>
      </c>
      <c r="C13834" s="937" t="str">
        <f>+Presupuesto!B790</f>
        <v>Escritorio tope melanina con estructura plateada (28" x 48")</v>
      </c>
      <c r="D13834" s="938"/>
      <c r="E13834" s="962" t="s">
        <v>1056</v>
      </c>
      <c r="F13834" s="1066"/>
      <c r="G13834" s="938"/>
      <c r="H13834" s="1029"/>
      <c r="I13834" s="940">
        <f>+I13857</f>
        <v>13173.5</v>
      </c>
    </row>
    <row r="13835" spans="2:9" ht="15.75">
      <c r="C13835" s="941" t="s">
        <v>908</v>
      </c>
      <c r="D13835" s="942" t="s">
        <v>9</v>
      </c>
      <c r="E13835" s="943" t="s">
        <v>10</v>
      </c>
      <c r="F13835" s="1067" t="s">
        <v>909</v>
      </c>
      <c r="G13835" s="942" t="s">
        <v>910</v>
      </c>
      <c r="H13835" s="1030" t="s">
        <v>911</v>
      </c>
      <c r="I13835" s="944" t="s">
        <v>912</v>
      </c>
    </row>
    <row r="13836" spans="2:9" ht="15.75">
      <c r="C13836" s="945" t="s">
        <v>913</v>
      </c>
      <c r="D13836" s="946"/>
      <c r="E13836" s="947"/>
      <c r="F13836" s="1054"/>
      <c r="G13836" s="946"/>
      <c r="H13836" s="1031"/>
      <c r="I13836" s="948"/>
    </row>
    <row r="13837" spans="2:9" ht="15.75">
      <c r="C13837" s="949" t="s">
        <v>1700</v>
      </c>
      <c r="D13837" s="946">
        <v>1</v>
      </c>
      <c r="E13837" s="947" t="str">
        <f>+VLOOKUP(C13837,'Basic (equilibrio) (2)'!B:D,2,FALSE)</f>
        <v>ud</v>
      </c>
      <c r="F13837" s="1068">
        <f>'Basic (equilibrio) (2)'!$D$294</f>
        <v>13173.5</v>
      </c>
      <c r="G13837" s="946">
        <f>F13837-(F13837/1.18)</f>
        <v>2009.52</v>
      </c>
      <c r="H13837" s="1031"/>
      <c r="I13837" s="948">
        <f>D13837*F13837</f>
        <v>13173.5</v>
      </c>
    </row>
    <row r="13838" spans="2:9" ht="15.75">
      <c r="C13838" s="951" t="s">
        <v>918</v>
      </c>
      <c r="D13838" s="946"/>
      <c r="E13838" s="947"/>
      <c r="F13838" s="1068"/>
      <c r="G13838" s="946"/>
      <c r="H13838" s="1031"/>
      <c r="I13838" s="952">
        <f>SUM(I13837:I13837)</f>
        <v>13173.5</v>
      </c>
    </row>
    <row r="13839" spans="2:9" ht="15.75">
      <c r="C13839" s="949"/>
      <c r="D13839" s="946"/>
      <c r="E13839" s="947"/>
      <c r="F13839" s="1068"/>
      <c r="G13839" s="946"/>
      <c r="H13839" s="1031"/>
      <c r="I13839" s="948"/>
    </row>
    <row r="13840" spans="2:9" ht="15.75">
      <c r="C13840" s="945" t="s">
        <v>919</v>
      </c>
      <c r="D13840" s="946"/>
      <c r="E13840" s="947"/>
      <c r="F13840" s="1068"/>
      <c r="G13840" s="946"/>
      <c r="H13840" s="1031"/>
      <c r="I13840" s="948"/>
    </row>
    <row r="13841" spans="3:9" ht="15.75">
      <c r="C13841" s="949" t="s">
        <v>924</v>
      </c>
      <c r="D13841" s="953">
        <v>8.33</v>
      </c>
      <c r="E13841" s="954" t="str">
        <f>+VLOOKUP(C13841,'Basic (equilibrio) (2)'!B:D,2,FALSE)</f>
        <v>n/a</v>
      </c>
      <c r="F13841" s="1068">
        <f>+VLOOKUP(C13841,'Basic (equilibrio) (2)'!B:D,3,FALSE)</f>
        <v>0</v>
      </c>
      <c r="G13841" s="946">
        <v>0</v>
      </c>
      <c r="H13841" s="1031"/>
      <c r="I13841" s="948">
        <f>(D13841*F13841)</f>
        <v>0</v>
      </c>
    </row>
    <row r="13842" spans="3:9" ht="15.75">
      <c r="C13842" s="951" t="s">
        <v>918</v>
      </c>
      <c r="D13842" s="946"/>
      <c r="E13842" s="947"/>
      <c r="F13842" s="1054"/>
      <c r="G13842" s="946"/>
      <c r="H13842" s="1031"/>
      <c r="I13842" s="952">
        <f>SUM(I13841:I13841)</f>
        <v>0</v>
      </c>
    </row>
    <row r="13843" spans="3:9" ht="15.75">
      <c r="C13843" s="949"/>
      <c r="D13843" s="946"/>
      <c r="E13843" s="947"/>
      <c r="F13843" s="1054"/>
      <c r="G13843" s="946"/>
      <c r="H13843" s="1031"/>
      <c r="I13843" s="948"/>
    </row>
    <row r="13844" spans="3:9" ht="15.75">
      <c r="C13844" s="945" t="s">
        <v>923</v>
      </c>
      <c r="D13844" s="946"/>
      <c r="E13844" s="947"/>
      <c r="F13844" s="1054"/>
      <c r="G13844" s="946"/>
      <c r="H13844" s="1031"/>
      <c r="I13844" s="948"/>
    </row>
    <row r="13845" spans="3:9" ht="15.75">
      <c r="C13845" s="949" t="s">
        <v>924</v>
      </c>
      <c r="D13845" s="946"/>
      <c r="E13845" s="947" t="str">
        <f>+VLOOKUP(C13845,'Basic (equilibrio) (2)'!B:D,2,FALSE)</f>
        <v>n/a</v>
      </c>
      <c r="F13845" s="1054">
        <f>+VLOOKUP(C13845,'Basic (equilibrio) (2)'!B:D,3,FALSE)</f>
        <v>0</v>
      </c>
      <c r="G13845" s="946">
        <f>F13845-(F13845/1.18)</f>
        <v>0</v>
      </c>
      <c r="H13845" s="1039"/>
      <c r="I13845" s="955">
        <f>D13845*F13845</f>
        <v>0</v>
      </c>
    </row>
    <row r="13846" spans="3:9" ht="15.75">
      <c r="C13846" s="951" t="s">
        <v>918</v>
      </c>
      <c r="D13846" s="946"/>
      <c r="E13846" s="947"/>
      <c r="F13846" s="1054"/>
      <c r="G13846" s="946"/>
      <c r="H13846" s="1031"/>
      <c r="I13846" s="952">
        <f>SUM(I13845:I13845)</f>
        <v>0</v>
      </c>
    </row>
    <row r="13847" spans="3:9" ht="15.75">
      <c r="C13847" s="949"/>
      <c r="D13847" s="946"/>
      <c r="E13847" s="947"/>
      <c r="F13847" s="1054"/>
      <c r="G13847" s="946"/>
      <c r="H13847" s="1031"/>
      <c r="I13847" s="948"/>
    </row>
    <row r="13848" spans="3:9" ht="15.75">
      <c r="C13848" s="945" t="s">
        <v>925</v>
      </c>
      <c r="D13848" s="946"/>
      <c r="E13848" s="947"/>
      <c r="F13848" s="1054"/>
      <c r="G13848" s="946"/>
      <c r="H13848" s="1031"/>
      <c r="I13848" s="948"/>
    </row>
    <row r="13849" spans="3:9" ht="15.75">
      <c r="C13849" s="949" t="s">
        <v>924</v>
      </c>
      <c r="D13849" s="946"/>
      <c r="E13849" s="947" t="str">
        <f>+VLOOKUP(C13849,'Basic (equilibrio) (2)'!B:D,2,FALSE)</f>
        <v>n/a</v>
      </c>
      <c r="F13849" s="1054">
        <f>+VLOOKUP(C13849,'Basic (equilibrio) (2)'!B:D,3,FALSE)</f>
        <v>0</v>
      </c>
      <c r="G13849" s="946"/>
      <c r="H13849" s="1031"/>
      <c r="I13849" s="948">
        <f>D13849*F13849</f>
        <v>0</v>
      </c>
    </row>
    <row r="13850" spans="3:9" ht="15.75">
      <c r="C13850" s="951" t="s">
        <v>918</v>
      </c>
      <c r="D13850" s="946"/>
      <c r="E13850" s="947"/>
      <c r="F13850" s="1054"/>
      <c r="G13850" s="946"/>
      <c r="H13850" s="1031"/>
      <c r="I13850" s="952">
        <f>SUM(I13849)</f>
        <v>0</v>
      </c>
    </row>
    <row r="13851" spans="3:9" ht="15.75">
      <c r="C13851" s="951"/>
      <c r="D13851" s="946"/>
      <c r="E13851" s="947"/>
      <c r="F13851" s="1054"/>
      <c r="G13851" s="946"/>
      <c r="H13851" s="1031"/>
      <c r="I13851" s="952"/>
    </row>
    <row r="13852" spans="3:9" ht="15.75">
      <c r="C13852" s="956" t="s">
        <v>926</v>
      </c>
      <c r="D13852" s="957"/>
      <c r="E13852" s="958"/>
      <c r="F13852" s="1069"/>
      <c r="G13852" s="957"/>
      <c r="H13852" s="1032"/>
      <c r="I13852" s="959">
        <f>+I13838</f>
        <v>13173.5</v>
      </c>
    </row>
    <row r="13853" spans="3:9" ht="15.75">
      <c r="C13853" s="956" t="s">
        <v>927</v>
      </c>
      <c r="D13853" s="957"/>
      <c r="E13853" s="958"/>
      <c r="F13853" s="1069"/>
      <c r="G13853" s="957"/>
      <c r="H13853" s="1032"/>
      <c r="I13853" s="959">
        <f>+I13842</f>
        <v>0</v>
      </c>
    </row>
    <row r="13854" spans="3:9" ht="15.75">
      <c r="C13854" s="956" t="s">
        <v>928</v>
      </c>
      <c r="D13854" s="957"/>
      <c r="E13854" s="958"/>
      <c r="F13854" s="1069"/>
      <c r="G13854" s="957"/>
      <c r="H13854" s="1032"/>
      <c r="I13854" s="959">
        <f>+I13846</f>
        <v>0</v>
      </c>
    </row>
    <row r="13855" spans="3:9" ht="15.75">
      <c r="C13855" s="956" t="s">
        <v>929</v>
      </c>
      <c r="D13855" s="957"/>
      <c r="E13855" s="958"/>
      <c r="F13855" s="1069"/>
      <c r="G13855" s="957"/>
      <c r="H13855" s="1032"/>
      <c r="I13855" s="959">
        <f>+I13850</f>
        <v>0</v>
      </c>
    </row>
    <row r="13856" spans="3:9" ht="15.75">
      <c r="C13856" s="949"/>
      <c r="D13856" s="946"/>
      <c r="E13856" s="947"/>
      <c r="F13856" s="1054"/>
      <c r="G13856" s="946"/>
      <c r="H13856" s="1031"/>
      <c r="I13856" s="948"/>
    </row>
    <row r="13857" spans="2:9" ht="15.75">
      <c r="C13857" s="951" t="s">
        <v>930</v>
      </c>
      <c r="D13857" s="960"/>
      <c r="E13857" s="975" t="str">
        <f>+E13834</f>
        <v>ud</v>
      </c>
      <c r="F13857" s="1070"/>
      <c r="G13857" s="960"/>
      <c r="H13857" s="1033"/>
      <c r="I13857" s="952">
        <f>SUM(I13852:I13855)</f>
        <v>13173.5</v>
      </c>
    </row>
    <row r="13858" spans="2:9" ht="15.75">
      <c r="C13858" s="951"/>
      <c r="D13858" s="960"/>
      <c r="E13858" s="943"/>
      <c r="F13858" s="1070"/>
      <c r="G13858" s="960"/>
      <c r="H13858" s="1033"/>
      <c r="I13858" s="952"/>
    </row>
    <row r="13859" spans="2:9" ht="15.75">
      <c r="B13859" s="1026">
        <v>9.1999999999999993</v>
      </c>
      <c r="C13859" s="937" t="str">
        <f>+Presupuesto!B791</f>
        <v>Silla operativa en tela con brazos</v>
      </c>
      <c r="D13859" s="938"/>
      <c r="E13859" s="962" t="s">
        <v>1056</v>
      </c>
      <c r="F13859" s="1066"/>
      <c r="G13859" s="938"/>
      <c r="H13859" s="1029"/>
      <c r="I13859" s="940">
        <f>+I13882</f>
        <v>10868.9</v>
      </c>
    </row>
    <row r="13860" spans="2:9" ht="15.75">
      <c r="C13860" s="941" t="s">
        <v>908</v>
      </c>
      <c r="D13860" s="942" t="s">
        <v>9</v>
      </c>
      <c r="E13860" s="943" t="s">
        <v>10</v>
      </c>
      <c r="F13860" s="1067" t="s">
        <v>909</v>
      </c>
      <c r="G13860" s="942" t="s">
        <v>910</v>
      </c>
      <c r="H13860" s="1030" t="s">
        <v>911</v>
      </c>
      <c r="I13860" s="944" t="s">
        <v>912</v>
      </c>
    </row>
    <row r="13861" spans="2:9" ht="15.75">
      <c r="C13861" s="945" t="s">
        <v>913</v>
      </c>
      <c r="D13861" s="946"/>
      <c r="E13861" s="947"/>
      <c r="F13861" s="1054"/>
      <c r="G13861" s="946"/>
      <c r="H13861" s="1031"/>
      <c r="I13861" s="948"/>
    </row>
    <row r="13862" spans="2:9" ht="15.75">
      <c r="C13862" s="949" t="s">
        <v>1701</v>
      </c>
      <c r="D13862" s="946">
        <v>1</v>
      </c>
      <c r="E13862" s="947" t="str">
        <f>+VLOOKUP(C13862,'Basic (equilibrio) (2)'!B:D,2,FALSE)</f>
        <v>ud</v>
      </c>
      <c r="F13862" s="1068">
        <f>'Basic (equilibrio) (2)'!$D$295</f>
        <v>10868.9</v>
      </c>
      <c r="G13862" s="946">
        <f>F13862-(F13862/1.18)</f>
        <v>1657.97</v>
      </c>
      <c r="H13862" s="1031"/>
      <c r="I13862" s="948">
        <f>D13862*F13862</f>
        <v>10868.9</v>
      </c>
    </row>
    <row r="13863" spans="2:9" ht="15.75">
      <c r="C13863" s="951" t="s">
        <v>918</v>
      </c>
      <c r="D13863" s="946"/>
      <c r="E13863" s="947"/>
      <c r="F13863" s="1068"/>
      <c r="G13863" s="946"/>
      <c r="H13863" s="1031"/>
      <c r="I13863" s="952">
        <f>SUM(I13862:I13862)</f>
        <v>10868.9</v>
      </c>
    </row>
    <row r="13864" spans="2:9" ht="15.75">
      <c r="C13864" s="949"/>
      <c r="D13864" s="946"/>
      <c r="E13864" s="947"/>
      <c r="F13864" s="1068"/>
      <c r="G13864" s="946"/>
      <c r="H13864" s="1031"/>
      <c r="I13864" s="948"/>
    </row>
    <row r="13865" spans="2:9" ht="15.75">
      <c r="C13865" s="945" t="s">
        <v>919</v>
      </c>
      <c r="D13865" s="946"/>
      <c r="E13865" s="947"/>
      <c r="F13865" s="1068"/>
      <c r="G13865" s="946"/>
      <c r="H13865" s="1031"/>
      <c r="I13865" s="948"/>
    </row>
    <row r="13866" spans="2:9" ht="15.75">
      <c r="C13866" s="949" t="s">
        <v>924</v>
      </c>
      <c r="D13866" s="953">
        <v>8.33</v>
      </c>
      <c r="E13866" s="954" t="str">
        <f>+VLOOKUP(C13866,'Basic (equilibrio) (2)'!B:D,2,FALSE)</f>
        <v>n/a</v>
      </c>
      <c r="F13866" s="1068">
        <f>+VLOOKUP(C13866,'Basic (equilibrio) (2)'!B:D,3,FALSE)</f>
        <v>0</v>
      </c>
      <c r="G13866" s="946">
        <v>0</v>
      </c>
      <c r="H13866" s="1031"/>
      <c r="I13866" s="948">
        <f>(D13866*F13866)</f>
        <v>0</v>
      </c>
    </row>
    <row r="13867" spans="2:9" ht="15.75">
      <c r="C13867" s="951" t="s">
        <v>918</v>
      </c>
      <c r="D13867" s="946"/>
      <c r="E13867" s="947"/>
      <c r="F13867" s="1054"/>
      <c r="G13867" s="946"/>
      <c r="H13867" s="1031"/>
      <c r="I13867" s="952">
        <f>SUM(I13866:I13866)</f>
        <v>0</v>
      </c>
    </row>
    <row r="13868" spans="2:9" ht="15.75">
      <c r="C13868" s="949"/>
      <c r="D13868" s="946"/>
      <c r="E13868" s="947"/>
      <c r="F13868" s="1054"/>
      <c r="G13868" s="946"/>
      <c r="H13868" s="1031"/>
      <c r="I13868" s="948"/>
    </row>
    <row r="13869" spans="2:9" ht="15.75">
      <c r="C13869" s="945" t="s">
        <v>923</v>
      </c>
      <c r="D13869" s="946"/>
      <c r="E13869" s="947"/>
      <c r="F13869" s="1054"/>
      <c r="G13869" s="946"/>
      <c r="H13869" s="1031"/>
      <c r="I13869" s="948"/>
    </row>
    <row r="13870" spans="2:9" ht="15.75">
      <c r="C13870" s="949" t="s">
        <v>924</v>
      </c>
      <c r="D13870" s="946"/>
      <c r="E13870" s="947" t="str">
        <f>+VLOOKUP(C13870,'Basic (equilibrio) (2)'!B:D,2,FALSE)</f>
        <v>n/a</v>
      </c>
      <c r="F13870" s="1054">
        <f>+VLOOKUP(C13870,'Basic (equilibrio) (2)'!B:D,3,FALSE)</f>
        <v>0</v>
      </c>
      <c r="G13870" s="946">
        <f>F13870-(F13870/1.18)</f>
        <v>0</v>
      </c>
      <c r="H13870" s="1039"/>
      <c r="I13870" s="955">
        <f>D13870*F13870</f>
        <v>0</v>
      </c>
    </row>
    <row r="13871" spans="2:9" ht="15.75">
      <c r="C13871" s="951" t="s">
        <v>918</v>
      </c>
      <c r="D13871" s="946"/>
      <c r="E13871" s="947"/>
      <c r="F13871" s="1054"/>
      <c r="G13871" s="946"/>
      <c r="H13871" s="1031"/>
      <c r="I13871" s="952">
        <f>SUM(I13870:I13870)</f>
        <v>0</v>
      </c>
    </row>
    <row r="13872" spans="2:9" ht="15.75">
      <c r="C13872" s="949"/>
      <c r="D13872" s="946"/>
      <c r="E13872" s="947"/>
      <c r="F13872" s="1054"/>
      <c r="G13872" s="946"/>
      <c r="H13872" s="1031"/>
      <c r="I13872" s="948"/>
    </row>
    <row r="13873" spans="2:9" ht="15.75">
      <c r="C13873" s="945" t="s">
        <v>925</v>
      </c>
      <c r="D13873" s="946"/>
      <c r="E13873" s="947"/>
      <c r="F13873" s="1054"/>
      <c r="G13873" s="946"/>
      <c r="H13873" s="1031"/>
      <c r="I13873" s="948"/>
    </row>
    <row r="13874" spans="2:9" ht="15.75">
      <c r="C13874" s="949" t="s">
        <v>924</v>
      </c>
      <c r="D13874" s="946"/>
      <c r="E13874" s="947" t="str">
        <f>+VLOOKUP(C13874,'Basic (equilibrio) (2)'!B:D,2,FALSE)</f>
        <v>n/a</v>
      </c>
      <c r="F13874" s="1054">
        <f>+VLOOKUP(C13874,'Basic (equilibrio) (2)'!B:D,3,FALSE)</f>
        <v>0</v>
      </c>
      <c r="G13874" s="946"/>
      <c r="H13874" s="1031"/>
      <c r="I13874" s="948">
        <f>D13874*F13874</f>
        <v>0</v>
      </c>
    </row>
    <row r="13875" spans="2:9" ht="15.75">
      <c r="C13875" s="951" t="s">
        <v>918</v>
      </c>
      <c r="D13875" s="946"/>
      <c r="E13875" s="947"/>
      <c r="F13875" s="1054"/>
      <c r="G13875" s="946"/>
      <c r="H13875" s="1031"/>
      <c r="I13875" s="952">
        <f>SUM(I13874)</f>
        <v>0</v>
      </c>
    </row>
    <row r="13876" spans="2:9" ht="15.75">
      <c r="C13876" s="951"/>
      <c r="D13876" s="946"/>
      <c r="E13876" s="947"/>
      <c r="F13876" s="1054"/>
      <c r="G13876" s="946"/>
      <c r="H13876" s="1031"/>
      <c r="I13876" s="952"/>
    </row>
    <row r="13877" spans="2:9" ht="15.75">
      <c r="C13877" s="956" t="s">
        <v>926</v>
      </c>
      <c r="D13877" s="957"/>
      <c r="E13877" s="958"/>
      <c r="F13877" s="1069"/>
      <c r="G13877" s="957"/>
      <c r="H13877" s="1032"/>
      <c r="I13877" s="959">
        <f>+I13863</f>
        <v>10868.9</v>
      </c>
    </row>
    <row r="13878" spans="2:9" ht="15.75">
      <c r="C13878" s="956" t="s">
        <v>927</v>
      </c>
      <c r="D13878" s="957"/>
      <c r="E13878" s="958"/>
      <c r="F13878" s="1069"/>
      <c r="G13878" s="957"/>
      <c r="H13878" s="1032"/>
      <c r="I13878" s="959">
        <f>+I13867</f>
        <v>0</v>
      </c>
    </row>
    <row r="13879" spans="2:9" ht="15.75">
      <c r="C13879" s="956" t="s">
        <v>928</v>
      </c>
      <c r="D13879" s="957"/>
      <c r="E13879" s="958"/>
      <c r="F13879" s="1069"/>
      <c r="G13879" s="957"/>
      <c r="H13879" s="1032"/>
      <c r="I13879" s="959">
        <f>+I13871</f>
        <v>0</v>
      </c>
    </row>
    <row r="13880" spans="2:9" ht="15.75">
      <c r="C13880" s="956" t="s">
        <v>929</v>
      </c>
      <c r="D13880" s="957"/>
      <c r="E13880" s="958"/>
      <c r="F13880" s="1069"/>
      <c r="G13880" s="957"/>
      <c r="H13880" s="1032"/>
      <c r="I13880" s="959">
        <f>+I13875</f>
        <v>0</v>
      </c>
    </row>
    <row r="13881" spans="2:9" ht="15.75">
      <c r="C13881" s="949"/>
      <c r="D13881" s="946"/>
      <c r="E13881" s="947"/>
      <c r="F13881" s="1054"/>
      <c r="G13881" s="946"/>
      <c r="H13881" s="1031"/>
      <c r="I13881" s="948"/>
    </row>
    <row r="13882" spans="2:9" ht="15.75">
      <c r="C13882" s="951" t="s">
        <v>930</v>
      </c>
      <c r="D13882" s="960"/>
      <c r="E13882" s="975" t="str">
        <f>+E13859</f>
        <v>ud</v>
      </c>
      <c r="F13882" s="1070"/>
      <c r="G13882" s="960"/>
      <c r="H13882" s="1033"/>
      <c r="I13882" s="952">
        <f>SUM(I13877:I13880)</f>
        <v>10868.9</v>
      </c>
    </row>
    <row r="13883" spans="2:9" ht="15.75">
      <c r="C13883" s="951"/>
      <c r="D13883" s="960"/>
      <c r="E13883" s="943"/>
      <c r="F13883" s="1070"/>
      <c r="G13883" s="960"/>
      <c r="H13883" s="1033"/>
      <c r="I13883" s="952"/>
    </row>
    <row r="13884" spans="2:9" ht="15.75">
      <c r="B13884" s="1026">
        <v>9.3000000000000007</v>
      </c>
      <c r="C13884" s="937" t="str">
        <f>+Presupuesto!B792</f>
        <v>Silla de visita en tela negro con brazos</v>
      </c>
      <c r="D13884" s="938"/>
      <c r="E13884" s="962" t="s">
        <v>1056</v>
      </c>
      <c r="F13884" s="1066"/>
      <c r="G13884" s="938"/>
      <c r="H13884" s="1029"/>
      <c r="I13884" s="940">
        <f>+I13907</f>
        <v>9090.7000000000007</v>
      </c>
    </row>
    <row r="13885" spans="2:9" ht="15.75">
      <c r="C13885" s="941" t="s">
        <v>908</v>
      </c>
      <c r="D13885" s="942" t="s">
        <v>9</v>
      </c>
      <c r="E13885" s="943" t="s">
        <v>10</v>
      </c>
      <c r="F13885" s="1067" t="s">
        <v>909</v>
      </c>
      <c r="G13885" s="942" t="s">
        <v>910</v>
      </c>
      <c r="H13885" s="1030" t="s">
        <v>911</v>
      </c>
      <c r="I13885" s="944" t="s">
        <v>912</v>
      </c>
    </row>
    <row r="13886" spans="2:9" ht="15.75">
      <c r="C13886" s="945" t="s">
        <v>913</v>
      </c>
      <c r="D13886" s="946"/>
      <c r="E13886" s="947"/>
      <c r="F13886" s="1054"/>
      <c r="G13886" s="946"/>
      <c r="H13886" s="1031"/>
      <c r="I13886" s="948"/>
    </row>
    <row r="13887" spans="2:9" ht="15.75">
      <c r="C13887" s="949" t="s">
        <v>1702</v>
      </c>
      <c r="D13887" s="946">
        <v>1</v>
      </c>
      <c r="E13887" s="947" t="str">
        <f>+VLOOKUP(C13887,'Basic (equilibrio) (2)'!B:D,2,FALSE)</f>
        <v>ud</v>
      </c>
      <c r="F13887" s="1068">
        <f>'Basic (equilibrio) (2)'!$D$296</f>
        <v>9090.7000000000007</v>
      </c>
      <c r="G13887" s="946">
        <f>F13887-(F13887/1.18)</f>
        <v>1386.72</v>
      </c>
      <c r="H13887" s="1031"/>
      <c r="I13887" s="948">
        <f>D13887*F13887</f>
        <v>9090.7000000000007</v>
      </c>
    </row>
    <row r="13888" spans="2:9" ht="15.75">
      <c r="C13888" s="951" t="s">
        <v>918</v>
      </c>
      <c r="D13888" s="946"/>
      <c r="E13888" s="947"/>
      <c r="F13888" s="1068"/>
      <c r="G13888" s="946"/>
      <c r="H13888" s="1031"/>
      <c r="I13888" s="952">
        <f>SUM(I13887:I13887)</f>
        <v>9090.7000000000007</v>
      </c>
    </row>
    <row r="13889" spans="3:9" ht="15.75">
      <c r="C13889" s="949"/>
      <c r="D13889" s="946"/>
      <c r="E13889" s="947"/>
      <c r="F13889" s="1068"/>
      <c r="G13889" s="946"/>
      <c r="H13889" s="1031"/>
      <c r="I13889" s="948"/>
    </row>
    <row r="13890" spans="3:9" ht="15.75">
      <c r="C13890" s="945" t="s">
        <v>919</v>
      </c>
      <c r="D13890" s="946"/>
      <c r="E13890" s="947"/>
      <c r="F13890" s="1068"/>
      <c r="G13890" s="946"/>
      <c r="H13890" s="1031"/>
      <c r="I13890" s="948"/>
    </row>
    <row r="13891" spans="3:9" ht="15.75">
      <c r="C13891" s="949" t="s">
        <v>924</v>
      </c>
      <c r="D13891" s="953">
        <v>8.33</v>
      </c>
      <c r="E13891" s="954" t="str">
        <f>+VLOOKUP(C13891,'Basic (equilibrio) (2)'!B:D,2,FALSE)</f>
        <v>n/a</v>
      </c>
      <c r="F13891" s="1068">
        <f>+VLOOKUP(C13891,'Basic (equilibrio) (2)'!B:D,3,FALSE)</f>
        <v>0</v>
      </c>
      <c r="G13891" s="946">
        <v>0</v>
      </c>
      <c r="H13891" s="1031"/>
      <c r="I13891" s="948">
        <f>(D13891*F13891)</f>
        <v>0</v>
      </c>
    </row>
    <row r="13892" spans="3:9" ht="15.75">
      <c r="C13892" s="951" t="s">
        <v>918</v>
      </c>
      <c r="D13892" s="946"/>
      <c r="E13892" s="947"/>
      <c r="F13892" s="1054"/>
      <c r="G13892" s="946"/>
      <c r="H13892" s="1031"/>
      <c r="I13892" s="952">
        <f>SUM(I13891:I13891)</f>
        <v>0</v>
      </c>
    </row>
    <row r="13893" spans="3:9" ht="15.75">
      <c r="C13893" s="949"/>
      <c r="D13893" s="946"/>
      <c r="E13893" s="947"/>
      <c r="F13893" s="1054"/>
      <c r="G13893" s="946"/>
      <c r="H13893" s="1031"/>
      <c r="I13893" s="948"/>
    </row>
    <row r="13894" spans="3:9" ht="15.75">
      <c r="C13894" s="945" t="s">
        <v>923</v>
      </c>
      <c r="D13894" s="946"/>
      <c r="E13894" s="947"/>
      <c r="F13894" s="1054"/>
      <c r="G13894" s="946"/>
      <c r="H13894" s="1031"/>
      <c r="I13894" s="948"/>
    </row>
    <row r="13895" spans="3:9" ht="15.75">
      <c r="C13895" s="949" t="s">
        <v>924</v>
      </c>
      <c r="D13895" s="946"/>
      <c r="E13895" s="947" t="str">
        <f>+VLOOKUP(C13895,'Basic (equilibrio) (2)'!B:D,2,FALSE)</f>
        <v>n/a</v>
      </c>
      <c r="F13895" s="1054">
        <f>+VLOOKUP(C13895,'Basic (equilibrio) (2)'!B:D,3,FALSE)</f>
        <v>0</v>
      </c>
      <c r="G13895" s="946">
        <f>F13895-(F13895/1.18)</f>
        <v>0</v>
      </c>
      <c r="H13895" s="1039"/>
      <c r="I13895" s="955">
        <f>D13895*F13895</f>
        <v>0</v>
      </c>
    </row>
    <row r="13896" spans="3:9" ht="15.75">
      <c r="C13896" s="951" t="s">
        <v>918</v>
      </c>
      <c r="D13896" s="946"/>
      <c r="E13896" s="947"/>
      <c r="F13896" s="1054"/>
      <c r="G13896" s="946"/>
      <c r="H13896" s="1031"/>
      <c r="I13896" s="952">
        <f>SUM(I13895:I13895)</f>
        <v>0</v>
      </c>
    </row>
    <row r="13897" spans="3:9" ht="15.75">
      <c r="C13897" s="949"/>
      <c r="D13897" s="946"/>
      <c r="E13897" s="947"/>
      <c r="F13897" s="1054"/>
      <c r="G13897" s="946"/>
      <c r="H13897" s="1031"/>
      <c r="I13897" s="948"/>
    </row>
    <row r="13898" spans="3:9" ht="15.75">
      <c r="C13898" s="945" t="s">
        <v>925</v>
      </c>
      <c r="D13898" s="946"/>
      <c r="E13898" s="947"/>
      <c r="F13898" s="1054"/>
      <c r="G13898" s="946"/>
      <c r="H13898" s="1031"/>
      <c r="I13898" s="948"/>
    </row>
    <row r="13899" spans="3:9" ht="15.75">
      <c r="C13899" s="949" t="s">
        <v>924</v>
      </c>
      <c r="D13899" s="946"/>
      <c r="E13899" s="947" t="str">
        <f>+VLOOKUP(C13899,'Basic (equilibrio) (2)'!B:D,2,FALSE)</f>
        <v>n/a</v>
      </c>
      <c r="F13899" s="1054">
        <f>+VLOOKUP(C13899,'Basic (equilibrio) (2)'!B:D,3,FALSE)</f>
        <v>0</v>
      </c>
      <c r="G13899" s="946"/>
      <c r="H13899" s="1031"/>
      <c r="I13899" s="948">
        <f>D13899*F13899</f>
        <v>0</v>
      </c>
    </row>
    <row r="13900" spans="3:9" ht="15.75">
      <c r="C13900" s="951" t="s">
        <v>918</v>
      </c>
      <c r="D13900" s="946"/>
      <c r="E13900" s="947"/>
      <c r="F13900" s="1054"/>
      <c r="G13900" s="946"/>
      <c r="H13900" s="1031"/>
      <c r="I13900" s="952">
        <f>SUM(I13899)</f>
        <v>0</v>
      </c>
    </row>
    <row r="13901" spans="3:9" ht="15.75">
      <c r="C13901" s="951"/>
      <c r="D13901" s="946"/>
      <c r="E13901" s="947"/>
      <c r="F13901" s="1054"/>
      <c r="G13901" s="946"/>
      <c r="H13901" s="1031"/>
      <c r="I13901" s="952"/>
    </row>
    <row r="13902" spans="3:9" ht="15.75">
      <c r="C13902" s="956" t="s">
        <v>926</v>
      </c>
      <c r="D13902" s="957"/>
      <c r="E13902" s="958"/>
      <c r="F13902" s="1069"/>
      <c r="G13902" s="957"/>
      <c r="H13902" s="1032"/>
      <c r="I13902" s="959">
        <f>+I13888</f>
        <v>9090.7000000000007</v>
      </c>
    </row>
    <row r="13903" spans="3:9" ht="15.75">
      <c r="C13903" s="956" t="s">
        <v>927</v>
      </c>
      <c r="D13903" s="957"/>
      <c r="E13903" s="958"/>
      <c r="F13903" s="1069"/>
      <c r="G13903" s="957"/>
      <c r="H13903" s="1032"/>
      <c r="I13903" s="959">
        <f>+I13892</f>
        <v>0</v>
      </c>
    </row>
    <row r="13904" spans="3:9" ht="15.75">
      <c r="C13904" s="956" t="s">
        <v>928</v>
      </c>
      <c r="D13904" s="957"/>
      <c r="E13904" s="958"/>
      <c r="F13904" s="1069"/>
      <c r="G13904" s="957"/>
      <c r="H13904" s="1032"/>
      <c r="I13904" s="959">
        <f>+I13896</f>
        <v>0</v>
      </c>
    </row>
    <row r="13905" spans="2:9" ht="15.75">
      <c r="C13905" s="956" t="s">
        <v>929</v>
      </c>
      <c r="D13905" s="957"/>
      <c r="E13905" s="958"/>
      <c r="F13905" s="1069"/>
      <c r="G13905" s="957"/>
      <c r="H13905" s="1032"/>
      <c r="I13905" s="959">
        <f>+I13900</f>
        <v>0</v>
      </c>
    </row>
    <row r="13906" spans="2:9" ht="15.75">
      <c r="C13906" s="949"/>
      <c r="D13906" s="946"/>
      <c r="E13906" s="947"/>
      <c r="F13906" s="1054"/>
      <c r="G13906" s="946"/>
      <c r="H13906" s="1031"/>
      <c r="I13906" s="948"/>
    </row>
    <row r="13907" spans="2:9" ht="15.75">
      <c r="C13907" s="951" t="s">
        <v>930</v>
      </c>
      <c r="D13907" s="960"/>
      <c r="E13907" s="975" t="str">
        <f>+E13884</f>
        <v>ud</v>
      </c>
      <c r="F13907" s="1070"/>
      <c r="G13907" s="960"/>
      <c r="H13907" s="1033"/>
      <c r="I13907" s="952">
        <f>SUM(I13902:I13905)</f>
        <v>9090.7000000000007</v>
      </c>
    </row>
    <row r="13908" spans="2:9" ht="15.75">
      <c r="C13908" s="951"/>
      <c r="D13908" s="960"/>
      <c r="E13908" s="943"/>
      <c r="F13908" s="1070"/>
      <c r="G13908" s="960"/>
      <c r="H13908" s="1033"/>
      <c r="I13908" s="952"/>
    </row>
    <row r="13909" spans="2:9" ht="31.5">
      <c r="B13909" s="1026">
        <v>9.4</v>
      </c>
      <c r="C13909" s="937" t="str">
        <f>+Presupuesto!B793</f>
        <v>Archivo metálico tipo módulo color aluminio de tres gavetas con ruedas</v>
      </c>
      <c r="D13909" s="938"/>
      <c r="E13909" s="962" t="s">
        <v>1056</v>
      </c>
      <c r="F13909" s="1066"/>
      <c r="G13909" s="938"/>
      <c r="H13909" s="1029"/>
      <c r="I13909" s="940">
        <f>+I13932</f>
        <v>8769.7999999999993</v>
      </c>
    </row>
    <row r="13910" spans="2:9" ht="15.75">
      <c r="C13910" s="941" t="s">
        <v>908</v>
      </c>
      <c r="D13910" s="942" t="s">
        <v>9</v>
      </c>
      <c r="E13910" s="943" t="s">
        <v>10</v>
      </c>
      <c r="F13910" s="1067" t="s">
        <v>909</v>
      </c>
      <c r="G13910" s="942" t="s">
        <v>910</v>
      </c>
      <c r="H13910" s="1030" t="s">
        <v>911</v>
      </c>
      <c r="I13910" s="944" t="s">
        <v>912</v>
      </c>
    </row>
    <row r="13911" spans="2:9" ht="15.75">
      <c r="C13911" s="945" t="s">
        <v>913</v>
      </c>
      <c r="D13911" s="946"/>
      <c r="E13911" s="947"/>
      <c r="F13911" s="1054"/>
      <c r="G13911" s="946"/>
      <c r="H13911" s="1031"/>
      <c r="I13911" s="948"/>
    </row>
    <row r="13912" spans="2:9" ht="15.75">
      <c r="C13912" s="949" t="s">
        <v>1702</v>
      </c>
      <c r="D13912" s="946">
        <v>1</v>
      </c>
      <c r="E13912" s="947" t="str">
        <f>+VLOOKUP(C13912,'Basic (equilibrio) (2)'!B:D,2,FALSE)</f>
        <v>ud</v>
      </c>
      <c r="F13912" s="1068">
        <f>'Basic (equilibrio) (2)'!$D$297</f>
        <v>8769.7999999999993</v>
      </c>
      <c r="G13912" s="946">
        <f>F13912-(F13912/1.18)</f>
        <v>1337.77</v>
      </c>
      <c r="H13912" s="1031"/>
      <c r="I13912" s="948">
        <f>D13912*F13912</f>
        <v>8769.7999999999993</v>
      </c>
    </row>
    <row r="13913" spans="2:9" ht="15.75">
      <c r="C13913" s="951" t="s">
        <v>918</v>
      </c>
      <c r="D13913" s="946"/>
      <c r="E13913" s="947"/>
      <c r="F13913" s="1068"/>
      <c r="G13913" s="946"/>
      <c r="H13913" s="1031"/>
      <c r="I13913" s="952">
        <f>SUM(I13912:I13912)</f>
        <v>8769.7999999999993</v>
      </c>
    </row>
    <row r="13914" spans="2:9" ht="15.75">
      <c r="C13914" s="949"/>
      <c r="D13914" s="946"/>
      <c r="E13914" s="947"/>
      <c r="F13914" s="1068"/>
      <c r="G13914" s="946"/>
      <c r="H13914" s="1031"/>
      <c r="I13914" s="948"/>
    </row>
    <row r="13915" spans="2:9" ht="15.75">
      <c r="C13915" s="945" t="s">
        <v>919</v>
      </c>
      <c r="D13915" s="946"/>
      <c r="E13915" s="947"/>
      <c r="F13915" s="1068"/>
      <c r="G13915" s="946"/>
      <c r="H13915" s="1031"/>
      <c r="I13915" s="948"/>
    </row>
    <row r="13916" spans="2:9" ht="15.75">
      <c r="C13916" s="949" t="s">
        <v>924</v>
      </c>
      <c r="D13916" s="953">
        <v>8.33</v>
      </c>
      <c r="E13916" s="954" t="str">
        <f>+VLOOKUP(C13916,'Basic (equilibrio) (2)'!B:D,2,FALSE)</f>
        <v>n/a</v>
      </c>
      <c r="F13916" s="1068">
        <f>+VLOOKUP(C13916,'Basic (equilibrio) (2)'!B:D,3,FALSE)</f>
        <v>0</v>
      </c>
      <c r="G13916" s="946">
        <v>0</v>
      </c>
      <c r="H13916" s="1031"/>
      <c r="I13916" s="948">
        <f>(D13916*F13916)</f>
        <v>0</v>
      </c>
    </row>
    <row r="13917" spans="2:9" ht="15.75">
      <c r="C13917" s="951" t="s">
        <v>918</v>
      </c>
      <c r="D13917" s="946"/>
      <c r="E13917" s="947"/>
      <c r="F13917" s="1054"/>
      <c r="G13917" s="946"/>
      <c r="H13917" s="1031"/>
      <c r="I13917" s="952">
        <f>SUM(I13916:I13916)</f>
        <v>0</v>
      </c>
    </row>
    <row r="13918" spans="2:9" ht="15.75">
      <c r="C13918" s="949"/>
      <c r="D13918" s="946"/>
      <c r="E13918" s="947"/>
      <c r="F13918" s="1054"/>
      <c r="G13918" s="946"/>
      <c r="H13918" s="1031"/>
      <c r="I13918" s="948"/>
    </row>
    <row r="13919" spans="2:9" ht="15.75">
      <c r="C13919" s="945" t="s">
        <v>923</v>
      </c>
      <c r="D13919" s="946"/>
      <c r="E13919" s="947"/>
      <c r="F13919" s="1054"/>
      <c r="G13919" s="946"/>
      <c r="H13919" s="1031"/>
      <c r="I13919" s="948"/>
    </row>
    <row r="13920" spans="2:9" ht="15.75">
      <c r="C13920" s="949" t="s">
        <v>924</v>
      </c>
      <c r="D13920" s="946"/>
      <c r="E13920" s="947" t="str">
        <f>+VLOOKUP(C13920,'Basic (equilibrio) (2)'!B:D,2,FALSE)</f>
        <v>n/a</v>
      </c>
      <c r="F13920" s="1054">
        <f>+VLOOKUP(C13920,'Basic (equilibrio) (2)'!B:D,3,FALSE)</f>
        <v>0</v>
      </c>
      <c r="G13920" s="946">
        <f>F13920-(F13920/1.18)</f>
        <v>0</v>
      </c>
      <c r="H13920" s="1039"/>
      <c r="I13920" s="955">
        <f>D13920*F13920</f>
        <v>0</v>
      </c>
    </row>
    <row r="13921" spans="2:9" ht="15.75">
      <c r="C13921" s="951" t="s">
        <v>918</v>
      </c>
      <c r="D13921" s="946"/>
      <c r="E13921" s="947"/>
      <c r="F13921" s="1054"/>
      <c r="G13921" s="946"/>
      <c r="H13921" s="1031"/>
      <c r="I13921" s="952">
        <f>SUM(I13920:I13920)</f>
        <v>0</v>
      </c>
    </row>
    <row r="13922" spans="2:9" ht="15.75">
      <c r="C13922" s="949"/>
      <c r="D13922" s="946"/>
      <c r="E13922" s="947"/>
      <c r="F13922" s="1054"/>
      <c r="G13922" s="946"/>
      <c r="H13922" s="1031"/>
      <c r="I13922" s="948"/>
    </row>
    <row r="13923" spans="2:9" ht="15.75">
      <c r="C13923" s="945" t="s">
        <v>925</v>
      </c>
      <c r="D13923" s="946"/>
      <c r="E13923" s="947"/>
      <c r="F13923" s="1054"/>
      <c r="G13923" s="946"/>
      <c r="H13923" s="1031"/>
      <c r="I13923" s="948"/>
    </row>
    <row r="13924" spans="2:9" ht="15.75">
      <c r="C13924" s="949" t="s">
        <v>924</v>
      </c>
      <c r="D13924" s="946"/>
      <c r="E13924" s="947" t="str">
        <f>+VLOOKUP(C13924,'Basic (equilibrio) (2)'!B:D,2,FALSE)</f>
        <v>n/a</v>
      </c>
      <c r="F13924" s="1054">
        <f>+VLOOKUP(C13924,'Basic (equilibrio) (2)'!B:D,3,FALSE)</f>
        <v>0</v>
      </c>
      <c r="G13924" s="946"/>
      <c r="H13924" s="1031"/>
      <c r="I13924" s="948">
        <f>D13924*F13924</f>
        <v>0</v>
      </c>
    </row>
    <row r="13925" spans="2:9" ht="15.75">
      <c r="C13925" s="951" t="s">
        <v>918</v>
      </c>
      <c r="D13925" s="946"/>
      <c r="E13925" s="947"/>
      <c r="F13925" s="1054"/>
      <c r="G13925" s="946"/>
      <c r="H13925" s="1031"/>
      <c r="I13925" s="952">
        <f>SUM(I13924)</f>
        <v>0</v>
      </c>
    </row>
    <row r="13926" spans="2:9" ht="15.75">
      <c r="C13926" s="951"/>
      <c r="D13926" s="946"/>
      <c r="E13926" s="947"/>
      <c r="F13926" s="1054"/>
      <c r="G13926" s="946"/>
      <c r="H13926" s="1031"/>
      <c r="I13926" s="952"/>
    </row>
    <row r="13927" spans="2:9" ht="15.75">
      <c r="C13927" s="956" t="s">
        <v>926</v>
      </c>
      <c r="D13927" s="957"/>
      <c r="E13927" s="958"/>
      <c r="F13927" s="1069"/>
      <c r="G13927" s="957"/>
      <c r="H13927" s="1032"/>
      <c r="I13927" s="959">
        <f>+I13913</f>
        <v>8769.7999999999993</v>
      </c>
    </row>
    <row r="13928" spans="2:9" ht="15.75">
      <c r="C13928" s="956" t="s">
        <v>927</v>
      </c>
      <c r="D13928" s="957"/>
      <c r="E13928" s="958"/>
      <c r="F13928" s="1069"/>
      <c r="G13928" s="957"/>
      <c r="H13928" s="1032"/>
      <c r="I13928" s="959">
        <f>+I13917</f>
        <v>0</v>
      </c>
    </row>
    <row r="13929" spans="2:9" ht="15.75">
      <c r="C13929" s="956" t="s">
        <v>928</v>
      </c>
      <c r="D13929" s="957"/>
      <c r="E13929" s="958"/>
      <c r="F13929" s="1069"/>
      <c r="G13929" s="957"/>
      <c r="H13929" s="1032"/>
      <c r="I13929" s="959">
        <f>+I13921</f>
        <v>0</v>
      </c>
    </row>
    <row r="13930" spans="2:9" ht="15.75">
      <c r="C13930" s="956" t="s">
        <v>929</v>
      </c>
      <c r="D13930" s="957"/>
      <c r="E13930" s="958"/>
      <c r="F13930" s="1069"/>
      <c r="G13930" s="957"/>
      <c r="H13930" s="1032"/>
      <c r="I13930" s="959">
        <f>+I13925</f>
        <v>0</v>
      </c>
    </row>
    <row r="13931" spans="2:9" ht="15.75">
      <c r="C13931" s="949"/>
      <c r="D13931" s="946"/>
      <c r="E13931" s="947"/>
      <c r="F13931" s="1054"/>
      <c r="G13931" s="946"/>
      <c r="H13931" s="1031"/>
      <c r="I13931" s="948"/>
    </row>
    <row r="13932" spans="2:9" ht="15.75">
      <c r="C13932" s="951" t="s">
        <v>930</v>
      </c>
      <c r="D13932" s="960"/>
      <c r="E13932" s="975" t="str">
        <f>+E13909</f>
        <v>ud</v>
      </c>
      <c r="F13932" s="1070"/>
      <c r="G13932" s="960"/>
      <c r="H13932" s="1033"/>
      <c r="I13932" s="952">
        <f>SUM(I13927:I13930)</f>
        <v>8769.7999999999993</v>
      </c>
    </row>
    <row r="13933" spans="2:9" ht="15.75">
      <c r="C13933" s="951"/>
      <c r="D13933" s="960"/>
      <c r="E13933" s="943"/>
      <c r="F13933" s="1070"/>
      <c r="G13933" s="960"/>
      <c r="H13933" s="1033"/>
      <c r="I13933" s="952"/>
    </row>
    <row r="13934" spans="2:9" ht="31.5">
      <c r="B13934" s="1026">
        <v>10.1</v>
      </c>
      <c r="C13934" s="937" t="str">
        <f>+Presupuesto!B796</f>
        <v>Suministro y colocación de barandas en acero inoxidable en entrada</v>
      </c>
      <c r="D13934" s="938"/>
      <c r="E13934" s="962" t="s">
        <v>1088</v>
      </c>
      <c r="F13934" s="1066"/>
      <c r="G13934" s="938"/>
      <c r="H13934" s="1029"/>
      <c r="I13934" s="940">
        <f>+I13957</f>
        <v>1167.68</v>
      </c>
    </row>
    <row r="13935" spans="2:9" ht="15.75">
      <c r="C13935" s="941" t="s">
        <v>908</v>
      </c>
      <c r="D13935" s="942" t="s">
        <v>9</v>
      </c>
      <c r="E13935" s="943" t="s">
        <v>10</v>
      </c>
      <c r="F13935" s="1067" t="s">
        <v>909</v>
      </c>
      <c r="G13935" s="942" t="s">
        <v>910</v>
      </c>
      <c r="H13935" s="1030" t="s">
        <v>911</v>
      </c>
      <c r="I13935" s="944" t="s">
        <v>912</v>
      </c>
    </row>
    <row r="13936" spans="2:9" ht="15.75">
      <c r="C13936" s="945" t="s">
        <v>913</v>
      </c>
      <c r="D13936" s="946"/>
      <c r="E13936" s="947"/>
      <c r="F13936" s="1054"/>
      <c r="G13936" s="946"/>
      <c r="H13936" s="1031"/>
      <c r="I13936" s="948"/>
    </row>
    <row r="13937" spans="3:9" ht="63">
      <c r="C13937" s="949" t="s">
        <v>966</v>
      </c>
      <c r="D13937" s="946">
        <v>3.28</v>
      </c>
      <c r="E13937" s="947" t="str">
        <f>+VLOOKUP(C13937,'Basic (equilibrio) (2)'!B:D,2,FALSE)</f>
        <v>p2</v>
      </c>
      <c r="F13937" s="1068">
        <f>'Basic (equilibrio) (2)'!$D$454</f>
        <v>356</v>
      </c>
      <c r="G13937" s="946">
        <f>F13937-(F13937/1.18)</f>
        <v>54.31</v>
      </c>
      <c r="H13937" s="1031"/>
      <c r="I13937" s="948">
        <f>D13937*F13937</f>
        <v>1167.68</v>
      </c>
    </row>
    <row r="13938" spans="3:9" ht="15.75">
      <c r="C13938" s="951" t="s">
        <v>918</v>
      </c>
      <c r="D13938" s="946"/>
      <c r="E13938" s="947"/>
      <c r="F13938" s="1068"/>
      <c r="G13938" s="946"/>
      <c r="H13938" s="1031"/>
      <c r="I13938" s="952">
        <f>SUM(I13937:I13937)</f>
        <v>1167.68</v>
      </c>
    </row>
    <row r="13939" spans="3:9" ht="15.75">
      <c r="C13939" s="949"/>
      <c r="D13939" s="946"/>
      <c r="E13939" s="947"/>
      <c r="F13939" s="1068"/>
      <c r="G13939" s="946"/>
      <c r="H13939" s="1031"/>
      <c r="I13939" s="948"/>
    </row>
    <row r="13940" spans="3:9" ht="15.75">
      <c r="C13940" s="945" t="s">
        <v>919</v>
      </c>
      <c r="D13940" s="946"/>
      <c r="E13940" s="947"/>
      <c r="F13940" s="1068"/>
      <c r="G13940" s="946"/>
      <c r="H13940" s="1031"/>
      <c r="I13940" s="948"/>
    </row>
    <row r="13941" spans="3:9" ht="15.75">
      <c r="C13941" s="949" t="s">
        <v>924</v>
      </c>
      <c r="D13941" s="953">
        <v>8.33</v>
      </c>
      <c r="E13941" s="954" t="str">
        <f>+VLOOKUP(C13941,'Basic (equilibrio) (2)'!B:D,2,FALSE)</f>
        <v>n/a</v>
      </c>
      <c r="F13941" s="1068">
        <f>+VLOOKUP(C13941,'Basic (equilibrio) (2)'!B:D,3,FALSE)</f>
        <v>0</v>
      </c>
      <c r="G13941" s="946">
        <v>0</v>
      </c>
      <c r="H13941" s="1031"/>
      <c r="I13941" s="948">
        <f>(D13941*F13941)</f>
        <v>0</v>
      </c>
    </row>
    <row r="13942" spans="3:9" ht="15.75">
      <c r="C13942" s="951" t="s">
        <v>918</v>
      </c>
      <c r="D13942" s="946"/>
      <c r="E13942" s="947"/>
      <c r="F13942" s="1054"/>
      <c r="G13942" s="946"/>
      <c r="H13942" s="1031"/>
      <c r="I13942" s="952">
        <f>SUM(I13941:I13941)</f>
        <v>0</v>
      </c>
    </row>
    <row r="13943" spans="3:9" ht="15.75">
      <c r="C13943" s="949"/>
      <c r="D13943" s="946"/>
      <c r="E13943" s="947"/>
      <c r="F13943" s="1054"/>
      <c r="G13943" s="946"/>
      <c r="H13943" s="1031"/>
      <c r="I13943" s="948"/>
    </row>
    <row r="13944" spans="3:9" ht="15.75">
      <c r="C13944" s="945" t="s">
        <v>923</v>
      </c>
      <c r="D13944" s="946"/>
      <c r="E13944" s="947"/>
      <c r="F13944" s="1054"/>
      <c r="G13944" s="946"/>
      <c r="H13944" s="1031"/>
      <c r="I13944" s="948"/>
    </row>
    <row r="13945" spans="3:9" ht="15.75">
      <c r="C13945" s="949" t="s">
        <v>924</v>
      </c>
      <c r="D13945" s="946"/>
      <c r="E13945" s="947" t="str">
        <f>+VLOOKUP(C13945,'Basic (equilibrio) (2)'!B:D,2,FALSE)</f>
        <v>n/a</v>
      </c>
      <c r="F13945" s="1054">
        <f>+VLOOKUP(C13945,'Basic (equilibrio) (2)'!B:D,3,FALSE)</f>
        <v>0</v>
      </c>
      <c r="G13945" s="946">
        <f>F13945-(F13945/1.18)</f>
        <v>0</v>
      </c>
      <c r="H13945" s="1039"/>
      <c r="I13945" s="955">
        <f>D13945*F13945</f>
        <v>0</v>
      </c>
    </row>
    <row r="13946" spans="3:9" ht="15.75">
      <c r="C13946" s="951" t="s">
        <v>918</v>
      </c>
      <c r="D13946" s="946"/>
      <c r="E13946" s="947"/>
      <c r="F13946" s="1054"/>
      <c r="G13946" s="946"/>
      <c r="H13946" s="1031"/>
      <c r="I13946" s="952">
        <f>SUM(I13945:I13945)</f>
        <v>0</v>
      </c>
    </row>
    <row r="13947" spans="3:9" ht="15.75">
      <c r="C13947" s="949"/>
      <c r="D13947" s="946"/>
      <c r="E13947" s="947"/>
      <c r="F13947" s="1054"/>
      <c r="G13947" s="946"/>
      <c r="H13947" s="1031"/>
      <c r="I13947" s="948"/>
    </row>
    <row r="13948" spans="3:9" ht="15.75">
      <c r="C13948" s="945" t="s">
        <v>925</v>
      </c>
      <c r="D13948" s="946"/>
      <c r="E13948" s="947"/>
      <c r="F13948" s="1054"/>
      <c r="G13948" s="946"/>
      <c r="H13948" s="1031"/>
      <c r="I13948" s="948"/>
    </row>
    <row r="13949" spans="3:9" ht="15.75">
      <c r="C13949" s="949" t="s">
        <v>924</v>
      </c>
      <c r="D13949" s="946"/>
      <c r="E13949" s="947" t="str">
        <f>+VLOOKUP(C13949,'Basic (equilibrio) (2)'!B:D,2,FALSE)</f>
        <v>n/a</v>
      </c>
      <c r="F13949" s="1054">
        <f>+VLOOKUP(C13949,'Basic (equilibrio) (2)'!B:D,3,FALSE)</f>
        <v>0</v>
      </c>
      <c r="G13949" s="946"/>
      <c r="H13949" s="1031"/>
      <c r="I13949" s="948">
        <f>D13949*F13949</f>
        <v>0</v>
      </c>
    </row>
    <row r="13950" spans="3:9" ht="15.75">
      <c r="C13950" s="951" t="s">
        <v>918</v>
      </c>
      <c r="D13950" s="946"/>
      <c r="E13950" s="947"/>
      <c r="F13950" s="1054"/>
      <c r="G13950" s="946"/>
      <c r="H13950" s="1031"/>
      <c r="I13950" s="952">
        <f>SUM(I13949)</f>
        <v>0</v>
      </c>
    </row>
    <row r="13951" spans="3:9" ht="15.75">
      <c r="C13951" s="951"/>
      <c r="D13951" s="946"/>
      <c r="E13951" s="947"/>
      <c r="F13951" s="1054"/>
      <c r="G13951" s="946"/>
      <c r="H13951" s="1031"/>
      <c r="I13951" s="952"/>
    </row>
    <row r="13952" spans="3:9" ht="15.75">
      <c r="C13952" s="956" t="s">
        <v>926</v>
      </c>
      <c r="D13952" s="957"/>
      <c r="E13952" s="958"/>
      <c r="F13952" s="1069"/>
      <c r="G13952" s="957"/>
      <c r="H13952" s="1032"/>
      <c r="I13952" s="959">
        <f>+I13938</f>
        <v>1167.68</v>
      </c>
    </row>
    <row r="13953" spans="2:9" ht="15.75">
      <c r="C13953" s="956" t="s">
        <v>927</v>
      </c>
      <c r="D13953" s="957"/>
      <c r="E13953" s="958"/>
      <c r="F13953" s="1069"/>
      <c r="G13953" s="957"/>
      <c r="H13953" s="1032"/>
      <c r="I13953" s="959">
        <f>+I13942</f>
        <v>0</v>
      </c>
    </row>
    <row r="13954" spans="2:9" ht="15.75">
      <c r="C13954" s="956" t="s">
        <v>928</v>
      </c>
      <c r="D13954" s="957"/>
      <c r="E13954" s="958"/>
      <c r="F13954" s="1069"/>
      <c r="G13954" s="957"/>
      <c r="H13954" s="1032"/>
      <c r="I13954" s="959">
        <f>+I13946</f>
        <v>0</v>
      </c>
    </row>
    <row r="13955" spans="2:9" ht="15.75">
      <c r="C13955" s="956" t="s">
        <v>929</v>
      </c>
      <c r="D13955" s="957"/>
      <c r="E13955" s="958"/>
      <c r="F13955" s="1069"/>
      <c r="G13955" s="957"/>
      <c r="H13955" s="1032"/>
      <c r="I13955" s="959">
        <f>+I13950</f>
        <v>0</v>
      </c>
    </row>
    <row r="13956" spans="2:9" ht="15.75">
      <c r="C13956" s="949"/>
      <c r="D13956" s="946"/>
      <c r="E13956" s="947"/>
      <c r="F13956" s="1054"/>
      <c r="G13956" s="946"/>
      <c r="H13956" s="1031"/>
      <c r="I13956" s="948"/>
    </row>
    <row r="13957" spans="2:9" ht="15.75">
      <c r="C13957" s="951" t="s">
        <v>930</v>
      </c>
      <c r="D13957" s="960"/>
      <c r="E13957" s="975" t="str">
        <f>+E13934</f>
        <v>m</v>
      </c>
      <c r="F13957" s="1070"/>
      <c r="G13957" s="960"/>
      <c r="H13957" s="1033"/>
      <c r="I13957" s="952">
        <f>SUM(I13952:I13955)</f>
        <v>1167.68</v>
      </c>
    </row>
    <row r="13958" spans="2:9" ht="15.75">
      <c r="C13958" s="951"/>
      <c r="D13958" s="960"/>
      <c r="E13958" s="943"/>
      <c r="F13958" s="1070"/>
      <c r="G13958" s="960"/>
      <c r="H13958" s="1033"/>
      <c r="I13958" s="952"/>
    </row>
    <row r="13959" spans="2:9" ht="15.75">
      <c r="B13959" s="1026">
        <v>10.199999999999999</v>
      </c>
      <c r="C13959" s="937" t="str">
        <f>+Presupuesto!B797</f>
        <v>Tope en granito natural para cocina</v>
      </c>
      <c r="D13959" s="938"/>
      <c r="E13959" s="962" t="s">
        <v>1000</v>
      </c>
      <c r="F13959" s="1066"/>
      <c r="G13959" s="938"/>
      <c r="H13959" s="1029"/>
      <c r="I13959" s="940">
        <f>+I13982</f>
        <v>9500</v>
      </c>
    </row>
    <row r="13960" spans="2:9" ht="15.75">
      <c r="C13960" s="941" t="s">
        <v>908</v>
      </c>
      <c r="D13960" s="942" t="s">
        <v>9</v>
      </c>
      <c r="E13960" s="943" t="s">
        <v>10</v>
      </c>
      <c r="F13960" s="1067" t="s">
        <v>909</v>
      </c>
      <c r="G13960" s="942" t="s">
        <v>910</v>
      </c>
      <c r="H13960" s="1030" t="s">
        <v>911</v>
      </c>
      <c r="I13960" s="944" t="s">
        <v>912</v>
      </c>
    </row>
    <row r="13961" spans="2:9" ht="15.75">
      <c r="C13961" s="945" t="s">
        <v>913</v>
      </c>
      <c r="D13961" s="946"/>
      <c r="E13961" s="947"/>
      <c r="F13961" s="1054"/>
      <c r="G13961" s="946"/>
      <c r="H13961" s="1031"/>
      <c r="I13961" s="948"/>
    </row>
    <row r="13962" spans="2:9" ht="15.75">
      <c r="C13962" s="949" t="s">
        <v>1728</v>
      </c>
      <c r="D13962" s="946">
        <v>1</v>
      </c>
      <c r="E13962" s="947" t="str">
        <f>+VLOOKUP(C13962,'Basic (equilibrio) (2)'!B:D,2,FALSE)</f>
        <v>m2</v>
      </c>
      <c r="F13962" s="1068">
        <f>'Basic (equilibrio) (2)'!$D$318</f>
        <v>9500</v>
      </c>
      <c r="G13962" s="946">
        <f>F13962-(F13962/1.18)</f>
        <v>1449.15</v>
      </c>
      <c r="H13962" s="1031"/>
      <c r="I13962" s="948">
        <f>D13962*F13962</f>
        <v>9500</v>
      </c>
    </row>
    <row r="13963" spans="2:9" ht="15.75">
      <c r="C13963" s="951" t="s">
        <v>918</v>
      </c>
      <c r="D13963" s="946"/>
      <c r="E13963" s="947"/>
      <c r="F13963" s="1068"/>
      <c r="G13963" s="946"/>
      <c r="H13963" s="1031"/>
      <c r="I13963" s="952">
        <f>SUM(I13962:I13962)</f>
        <v>9500</v>
      </c>
    </row>
    <row r="13964" spans="2:9" ht="15.75">
      <c r="C13964" s="949"/>
      <c r="D13964" s="946"/>
      <c r="E13964" s="947"/>
      <c r="F13964" s="1068"/>
      <c r="G13964" s="946"/>
      <c r="H13964" s="1031"/>
      <c r="I13964" s="948"/>
    </row>
    <row r="13965" spans="2:9" ht="15.75">
      <c r="C13965" s="945" t="s">
        <v>919</v>
      </c>
      <c r="D13965" s="946"/>
      <c r="E13965" s="947"/>
      <c r="F13965" s="1068"/>
      <c r="G13965" s="946"/>
      <c r="H13965" s="1031"/>
      <c r="I13965" s="948"/>
    </row>
    <row r="13966" spans="2:9" ht="15.75">
      <c r="C13966" s="949" t="s">
        <v>924</v>
      </c>
      <c r="D13966" s="953">
        <v>8.33</v>
      </c>
      <c r="E13966" s="954" t="str">
        <f>+VLOOKUP(C13966,'Basic (equilibrio) (2)'!B:D,2,FALSE)</f>
        <v>n/a</v>
      </c>
      <c r="F13966" s="1068">
        <f>+VLOOKUP(C13966,'Basic (equilibrio) (2)'!B:D,3,FALSE)</f>
        <v>0</v>
      </c>
      <c r="G13966" s="946">
        <v>0</v>
      </c>
      <c r="H13966" s="1031"/>
      <c r="I13966" s="948">
        <f>(D13966*F13966)</f>
        <v>0</v>
      </c>
    </row>
    <row r="13967" spans="2:9" ht="15.75">
      <c r="C13967" s="951" t="s">
        <v>918</v>
      </c>
      <c r="D13967" s="946"/>
      <c r="E13967" s="947"/>
      <c r="F13967" s="1054"/>
      <c r="G13967" s="946"/>
      <c r="H13967" s="1031"/>
      <c r="I13967" s="952">
        <f>SUM(I13966:I13966)</f>
        <v>0</v>
      </c>
    </row>
    <row r="13968" spans="2:9" ht="15.75">
      <c r="C13968" s="949"/>
      <c r="D13968" s="946"/>
      <c r="E13968" s="947"/>
      <c r="F13968" s="1054"/>
      <c r="G13968" s="946"/>
      <c r="H13968" s="1031"/>
      <c r="I13968" s="948"/>
    </row>
    <row r="13969" spans="3:9" ht="15.75">
      <c r="C13969" s="945" t="s">
        <v>923</v>
      </c>
      <c r="D13969" s="946"/>
      <c r="E13969" s="947"/>
      <c r="F13969" s="1054"/>
      <c r="G13969" s="946"/>
      <c r="H13969" s="1031"/>
      <c r="I13969" s="948"/>
    </row>
    <row r="13970" spans="3:9" ht="15.75">
      <c r="C13970" s="949" t="s">
        <v>924</v>
      </c>
      <c r="D13970" s="946"/>
      <c r="E13970" s="947" t="str">
        <f>+VLOOKUP(C13970,'Basic (equilibrio) (2)'!B:D,2,FALSE)</f>
        <v>n/a</v>
      </c>
      <c r="F13970" s="1054">
        <f>+VLOOKUP(C13970,'Basic (equilibrio) (2)'!B:D,3,FALSE)</f>
        <v>0</v>
      </c>
      <c r="G13970" s="946">
        <f>F13970-(F13970/1.18)</f>
        <v>0</v>
      </c>
      <c r="H13970" s="1039"/>
      <c r="I13970" s="955">
        <f>D13970*F13970</f>
        <v>0</v>
      </c>
    </row>
    <row r="13971" spans="3:9" ht="15.75">
      <c r="C13971" s="951" t="s">
        <v>918</v>
      </c>
      <c r="D13971" s="946"/>
      <c r="E13971" s="947"/>
      <c r="F13971" s="1054"/>
      <c r="G13971" s="946"/>
      <c r="H13971" s="1031"/>
      <c r="I13971" s="952">
        <f>SUM(I13970:I13970)</f>
        <v>0</v>
      </c>
    </row>
    <row r="13972" spans="3:9" ht="15.75">
      <c r="C13972" s="949"/>
      <c r="D13972" s="946"/>
      <c r="E13972" s="947"/>
      <c r="F13972" s="1054"/>
      <c r="G13972" s="946"/>
      <c r="H13972" s="1031"/>
      <c r="I13972" s="948"/>
    </row>
    <row r="13973" spans="3:9" ht="15.75">
      <c r="C13973" s="945" t="s">
        <v>925</v>
      </c>
      <c r="D13973" s="946"/>
      <c r="E13973" s="947"/>
      <c r="F13973" s="1054"/>
      <c r="G13973" s="946"/>
      <c r="H13973" s="1031"/>
      <c r="I13973" s="948"/>
    </row>
    <row r="13974" spans="3:9" ht="15.75">
      <c r="C13974" s="949" t="s">
        <v>924</v>
      </c>
      <c r="D13974" s="946"/>
      <c r="E13974" s="947" t="str">
        <f>+VLOOKUP(C13974,'Basic (equilibrio) (2)'!B:D,2,FALSE)</f>
        <v>n/a</v>
      </c>
      <c r="F13974" s="1054">
        <f>+VLOOKUP(C13974,'Basic (equilibrio) (2)'!B:D,3,FALSE)</f>
        <v>0</v>
      </c>
      <c r="G13974" s="946"/>
      <c r="H13974" s="1031"/>
      <c r="I13974" s="948">
        <f>D13974*F13974</f>
        <v>0</v>
      </c>
    </row>
    <row r="13975" spans="3:9" ht="15.75">
      <c r="C13975" s="951" t="s">
        <v>918</v>
      </c>
      <c r="D13975" s="946"/>
      <c r="E13975" s="947"/>
      <c r="F13975" s="1054"/>
      <c r="G13975" s="946"/>
      <c r="H13975" s="1031"/>
      <c r="I13975" s="952">
        <f>SUM(I13974)</f>
        <v>0</v>
      </c>
    </row>
    <row r="13976" spans="3:9" ht="15.75">
      <c r="C13976" s="951"/>
      <c r="D13976" s="946"/>
      <c r="E13976" s="947"/>
      <c r="F13976" s="1054"/>
      <c r="G13976" s="946"/>
      <c r="H13976" s="1031"/>
      <c r="I13976" s="952"/>
    </row>
    <row r="13977" spans="3:9" ht="15.75">
      <c r="C13977" s="956" t="s">
        <v>926</v>
      </c>
      <c r="D13977" s="957"/>
      <c r="E13977" s="958"/>
      <c r="F13977" s="1069"/>
      <c r="G13977" s="957"/>
      <c r="H13977" s="1032"/>
      <c r="I13977" s="959">
        <f>+I13963</f>
        <v>9500</v>
      </c>
    </row>
    <row r="13978" spans="3:9" ht="15.75">
      <c r="C13978" s="956" t="s">
        <v>927</v>
      </c>
      <c r="D13978" s="957"/>
      <c r="E13978" s="958"/>
      <c r="F13978" s="1069"/>
      <c r="G13978" s="957"/>
      <c r="H13978" s="1032"/>
      <c r="I13978" s="959">
        <f>+I13967</f>
        <v>0</v>
      </c>
    </row>
    <row r="13979" spans="3:9" ht="15.75">
      <c r="C13979" s="956" t="s">
        <v>928</v>
      </c>
      <c r="D13979" s="957"/>
      <c r="E13979" s="958"/>
      <c r="F13979" s="1069"/>
      <c r="G13979" s="957"/>
      <c r="H13979" s="1032"/>
      <c r="I13979" s="959">
        <f>+I13971</f>
        <v>0</v>
      </c>
    </row>
    <row r="13980" spans="3:9" ht="15.75">
      <c r="C13980" s="956" t="s">
        <v>929</v>
      </c>
      <c r="D13980" s="957"/>
      <c r="E13980" s="958"/>
      <c r="F13980" s="1069"/>
      <c r="G13980" s="957"/>
      <c r="H13980" s="1032"/>
      <c r="I13980" s="959">
        <f>+I13975</f>
        <v>0</v>
      </c>
    </row>
    <row r="13981" spans="3:9" ht="15.75">
      <c r="C13981" s="949"/>
      <c r="D13981" s="946"/>
      <c r="E13981" s="947"/>
      <c r="F13981" s="1054"/>
      <c r="G13981" s="946"/>
      <c r="H13981" s="1031"/>
      <c r="I13981" s="948"/>
    </row>
    <row r="13982" spans="3:9" ht="15.75">
      <c r="C13982" s="951" t="s">
        <v>930</v>
      </c>
      <c r="D13982" s="960"/>
      <c r="E13982" s="975" t="str">
        <f>+E13959</f>
        <v>m2</v>
      </c>
      <c r="F13982" s="1070"/>
      <c r="G13982" s="960"/>
      <c r="H13982" s="1033"/>
      <c r="I13982" s="952">
        <f>SUM(I13977:I13980)</f>
        <v>9500</v>
      </c>
    </row>
    <row r="13983" spans="3:9" ht="15.75">
      <c r="C13983" s="951"/>
      <c r="D13983" s="960"/>
      <c r="E13983" s="943"/>
      <c r="F13983" s="1070"/>
      <c r="G13983" s="960"/>
      <c r="H13983" s="1033"/>
      <c r="I13983" s="952"/>
    </row>
    <row r="13984" spans="3:9" ht="15.75">
      <c r="C13984" s="951"/>
      <c r="D13984" s="960"/>
      <c r="E13984" s="943"/>
      <c r="F13984" s="1070"/>
      <c r="G13984" s="960"/>
      <c r="H13984" s="1033"/>
      <c r="I13984" s="952"/>
    </row>
    <row r="13985" spans="2:9" ht="31.5">
      <c r="B13985" s="1026">
        <v>10.3</v>
      </c>
      <c r="C13985" s="937" t="str">
        <f>+Presupuesto!B798</f>
        <v>Letrero de Oficina Administrativa en acrílico (0.85m x 0.45m) (Suministro y colocación)</v>
      </c>
      <c r="D13985" s="938"/>
      <c r="E13985" s="962" t="s">
        <v>1056</v>
      </c>
      <c r="F13985" s="1066"/>
      <c r="G13985" s="938"/>
      <c r="H13985" s="1029"/>
      <c r="I13985" s="940">
        <f>+I14008</f>
        <v>6500</v>
      </c>
    </row>
    <row r="13986" spans="2:9" ht="15.75">
      <c r="C13986" s="941" t="s">
        <v>908</v>
      </c>
      <c r="D13986" s="942" t="s">
        <v>9</v>
      </c>
      <c r="E13986" s="943" t="s">
        <v>10</v>
      </c>
      <c r="F13986" s="1067" t="s">
        <v>909</v>
      </c>
      <c r="G13986" s="942" t="s">
        <v>910</v>
      </c>
      <c r="H13986" s="1030" t="s">
        <v>911</v>
      </c>
      <c r="I13986" s="944" t="s">
        <v>912</v>
      </c>
    </row>
    <row r="13987" spans="2:9" ht="15.75">
      <c r="C13987" s="945" t="s">
        <v>913</v>
      </c>
      <c r="D13987" s="946"/>
      <c r="E13987" s="947"/>
      <c r="F13987" s="1054"/>
      <c r="G13987" s="946"/>
      <c r="H13987" s="1031"/>
      <c r="I13987" s="948"/>
    </row>
    <row r="13988" spans="2:9" ht="15.75">
      <c r="C13988" s="949" t="s">
        <v>1341</v>
      </c>
      <c r="D13988" s="946">
        <v>1</v>
      </c>
      <c r="E13988" s="947" t="str">
        <f>+VLOOKUP(C13988,'Basic (equilibrio) (2)'!B:D,2,FALSE)</f>
        <v>und</v>
      </c>
      <c r="F13988" s="1068">
        <f>'Basic (equilibrio) (2)'!$D$352</f>
        <v>6500</v>
      </c>
      <c r="G13988" s="946">
        <f>F13988-(F13988/1.18)</f>
        <v>991.53</v>
      </c>
      <c r="H13988" s="1031"/>
      <c r="I13988" s="948">
        <f>D13988*F13988</f>
        <v>6500</v>
      </c>
    </row>
    <row r="13989" spans="2:9" ht="15.75">
      <c r="C13989" s="951" t="s">
        <v>918</v>
      </c>
      <c r="D13989" s="946"/>
      <c r="E13989" s="947"/>
      <c r="F13989" s="1068"/>
      <c r="G13989" s="946"/>
      <c r="H13989" s="1031"/>
      <c r="I13989" s="952">
        <f>SUM(I13988:I13988)</f>
        <v>6500</v>
      </c>
    </row>
    <row r="13990" spans="2:9" ht="15.75">
      <c r="C13990" s="949"/>
      <c r="D13990" s="946"/>
      <c r="E13990" s="947"/>
      <c r="F13990" s="1068"/>
      <c r="G13990" s="946"/>
      <c r="H13990" s="1031"/>
      <c r="I13990" s="948"/>
    </row>
    <row r="13991" spans="2:9" ht="15.75">
      <c r="C13991" s="945" t="s">
        <v>919</v>
      </c>
      <c r="D13991" s="946"/>
      <c r="E13991" s="947"/>
      <c r="F13991" s="1068"/>
      <c r="G13991" s="946"/>
      <c r="H13991" s="1031"/>
      <c r="I13991" s="948"/>
    </row>
    <row r="13992" spans="2:9" ht="15.75">
      <c r="C13992" s="949" t="s">
        <v>924</v>
      </c>
      <c r="D13992" s="953">
        <v>8.33</v>
      </c>
      <c r="E13992" s="954" t="str">
        <f>+VLOOKUP(C13992,'Basic (equilibrio) (2)'!B:D,2,FALSE)</f>
        <v>n/a</v>
      </c>
      <c r="F13992" s="1068">
        <f>+VLOOKUP(C13992,'Basic (equilibrio) (2)'!B:D,3,FALSE)</f>
        <v>0</v>
      </c>
      <c r="G13992" s="946">
        <v>0</v>
      </c>
      <c r="H13992" s="1031"/>
      <c r="I13992" s="948">
        <f>(D13992*F13992)</f>
        <v>0</v>
      </c>
    </row>
    <row r="13993" spans="2:9" ht="15.75">
      <c r="C13993" s="951" t="s">
        <v>918</v>
      </c>
      <c r="D13993" s="946"/>
      <c r="E13993" s="947"/>
      <c r="F13993" s="1054"/>
      <c r="G13993" s="946"/>
      <c r="H13993" s="1031"/>
      <c r="I13993" s="952">
        <f>SUM(I13992:I13992)</f>
        <v>0</v>
      </c>
    </row>
    <row r="13994" spans="2:9" ht="15.75">
      <c r="C13994" s="949"/>
      <c r="D13994" s="946"/>
      <c r="E13994" s="947"/>
      <c r="F13994" s="1054"/>
      <c r="G13994" s="946"/>
      <c r="H13994" s="1031"/>
      <c r="I13994" s="948"/>
    </row>
    <row r="13995" spans="2:9" ht="15.75">
      <c r="C13995" s="945" t="s">
        <v>923</v>
      </c>
      <c r="D13995" s="946"/>
      <c r="E13995" s="947"/>
      <c r="F13995" s="1054"/>
      <c r="G13995" s="946"/>
      <c r="H13995" s="1031"/>
      <c r="I13995" s="948"/>
    </row>
    <row r="13996" spans="2:9" ht="15.75">
      <c r="C13996" s="949" t="s">
        <v>924</v>
      </c>
      <c r="D13996" s="946"/>
      <c r="E13996" s="947" t="str">
        <f>+VLOOKUP(C13996,'Basic (equilibrio) (2)'!B:D,2,FALSE)</f>
        <v>n/a</v>
      </c>
      <c r="F13996" s="1054">
        <f>+VLOOKUP(C13996,'Basic (equilibrio) (2)'!B:D,3,FALSE)</f>
        <v>0</v>
      </c>
      <c r="G13996" s="946">
        <f>F13996-(F13996/1.18)</f>
        <v>0</v>
      </c>
      <c r="H13996" s="1039"/>
      <c r="I13996" s="955">
        <f>D13996*F13996</f>
        <v>0</v>
      </c>
    </row>
    <row r="13997" spans="2:9" ht="15.75">
      <c r="C13997" s="951" t="s">
        <v>918</v>
      </c>
      <c r="D13997" s="946"/>
      <c r="E13997" s="947"/>
      <c r="F13997" s="1054"/>
      <c r="G13997" s="946"/>
      <c r="H13997" s="1031"/>
      <c r="I13997" s="952">
        <f>SUM(I13996:I13996)</f>
        <v>0</v>
      </c>
    </row>
    <row r="13998" spans="2:9" ht="15.75">
      <c r="C13998" s="949"/>
      <c r="D13998" s="946"/>
      <c r="E13998" s="947"/>
      <c r="F13998" s="1054"/>
      <c r="G13998" s="946"/>
      <c r="H13998" s="1031"/>
      <c r="I13998" s="948"/>
    </row>
    <row r="13999" spans="2:9" ht="15.75">
      <c r="C13999" s="945" t="s">
        <v>925</v>
      </c>
      <c r="D13999" s="946"/>
      <c r="E13999" s="947"/>
      <c r="F13999" s="1054"/>
      <c r="G13999" s="946"/>
      <c r="H13999" s="1031"/>
      <c r="I13999" s="948"/>
    </row>
    <row r="14000" spans="2:9" ht="15.75">
      <c r="C14000" s="949" t="s">
        <v>924</v>
      </c>
      <c r="D14000" s="946"/>
      <c r="E14000" s="947" t="str">
        <f>+VLOOKUP(C14000,'Basic (equilibrio) (2)'!B:D,2,FALSE)</f>
        <v>n/a</v>
      </c>
      <c r="F14000" s="1054">
        <f>+VLOOKUP(C14000,'Basic (equilibrio) (2)'!B:D,3,FALSE)</f>
        <v>0</v>
      </c>
      <c r="G14000" s="946"/>
      <c r="H14000" s="1031"/>
      <c r="I14000" s="948">
        <f>D14000*F14000</f>
        <v>0</v>
      </c>
    </row>
    <row r="14001" spans="2:9" ht="15.75">
      <c r="C14001" s="951" t="s">
        <v>918</v>
      </c>
      <c r="D14001" s="946"/>
      <c r="E14001" s="947"/>
      <c r="F14001" s="1054"/>
      <c r="G14001" s="946"/>
      <c r="H14001" s="1031"/>
      <c r="I14001" s="952">
        <f>SUM(I14000)</f>
        <v>0</v>
      </c>
    </row>
    <row r="14002" spans="2:9" ht="15.75">
      <c r="C14002" s="951"/>
      <c r="D14002" s="946"/>
      <c r="E14002" s="947"/>
      <c r="F14002" s="1054"/>
      <c r="G14002" s="946"/>
      <c r="H14002" s="1031"/>
      <c r="I14002" s="952"/>
    </row>
    <row r="14003" spans="2:9" ht="15.75">
      <c r="C14003" s="956" t="s">
        <v>926</v>
      </c>
      <c r="D14003" s="957"/>
      <c r="E14003" s="958"/>
      <c r="F14003" s="1069"/>
      <c r="G14003" s="957"/>
      <c r="H14003" s="1032"/>
      <c r="I14003" s="959">
        <f>+I13989</f>
        <v>6500</v>
      </c>
    </row>
    <row r="14004" spans="2:9" ht="15.75">
      <c r="C14004" s="956" t="s">
        <v>927</v>
      </c>
      <c r="D14004" s="957"/>
      <c r="E14004" s="958"/>
      <c r="F14004" s="1069"/>
      <c r="G14004" s="957"/>
      <c r="H14004" s="1032"/>
      <c r="I14004" s="959">
        <f>+I13993</f>
        <v>0</v>
      </c>
    </row>
    <row r="14005" spans="2:9" ht="15.75">
      <c r="C14005" s="956" t="s">
        <v>928</v>
      </c>
      <c r="D14005" s="957"/>
      <c r="E14005" s="958"/>
      <c r="F14005" s="1069"/>
      <c r="G14005" s="957"/>
      <c r="H14005" s="1032"/>
      <c r="I14005" s="959">
        <f>+I13997</f>
        <v>0</v>
      </c>
    </row>
    <row r="14006" spans="2:9" ht="15.75">
      <c r="C14006" s="956" t="s">
        <v>929</v>
      </c>
      <c r="D14006" s="957"/>
      <c r="E14006" s="958"/>
      <c r="F14006" s="1069"/>
      <c r="G14006" s="957"/>
      <c r="H14006" s="1032"/>
      <c r="I14006" s="959">
        <f>+I14001</f>
        <v>0</v>
      </c>
    </row>
    <row r="14007" spans="2:9" ht="15.75">
      <c r="C14007" s="949"/>
      <c r="D14007" s="946"/>
      <c r="E14007" s="947"/>
      <c r="F14007" s="1054"/>
      <c r="G14007" s="946"/>
      <c r="H14007" s="1031"/>
      <c r="I14007" s="948"/>
    </row>
    <row r="14008" spans="2:9" ht="15.75">
      <c r="C14008" s="951" t="s">
        <v>930</v>
      </c>
      <c r="D14008" s="960"/>
      <c r="E14008" s="975" t="str">
        <f>+E13985</f>
        <v>ud</v>
      </c>
      <c r="F14008" s="1070"/>
      <c r="G14008" s="960"/>
      <c r="H14008" s="1033"/>
      <c r="I14008" s="952">
        <f>SUM(I14003:I14006)</f>
        <v>6500</v>
      </c>
    </row>
    <row r="14009" spans="2:9" s="1083" customFormat="1" ht="15.75">
      <c r="B14009" s="1025"/>
      <c r="C14009" s="951"/>
      <c r="D14009" s="1084"/>
      <c r="E14009" s="943"/>
      <c r="F14009" s="1085"/>
      <c r="G14009" s="1084"/>
      <c r="H14009" s="1086"/>
      <c r="I14009" s="1087"/>
    </row>
    <row r="14010" spans="2:9" s="1083" customFormat="1" ht="15.75">
      <c r="B14010" s="1025"/>
      <c r="C14010" s="951"/>
      <c r="D14010" s="1084"/>
      <c r="E14010" s="943"/>
      <c r="F14010" s="1085"/>
      <c r="G14010" s="1084"/>
      <c r="H14010" s="1086"/>
      <c r="I14010" s="1087"/>
    </row>
    <row r="14011" spans="2:9" ht="15.75">
      <c r="B14011" s="1026">
        <v>10.4</v>
      </c>
      <c r="C14011" s="937" t="str">
        <f>+Presupuesto!B799</f>
        <v>Logo y Letrero de INAPA</v>
      </c>
      <c r="D14011" s="938"/>
      <c r="E14011" s="962" t="s">
        <v>1056</v>
      </c>
      <c r="F14011" s="1066"/>
      <c r="G14011" s="938"/>
      <c r="H14011" s="1029"/>
      <c r="I14011" s="940">
        <f>+I14034</f>
        <v>25000</v>
      </c>
    </row>
    <row r="14012" spans="2:9" ht="15.75">
      <c r="C14012" s="941" t="s">
        <v>908</v>
      </c>
      <c r="D14012" s="942" t="s">
        <v>9</v>
      </c>
      <c r="E14012" s="943" t="s">
        <v>10</v>
      </c>
      <c r="F14012" s="1067" t="s">
        <v>909</v>
      </c>
      <c r="G14012" s="942" t="s">
        <v>910</v>
      </c>
      <c r="H14012" s="1030" t="s">
        <v>911</v>
      </c>
      <c r="I14012" s="944" t="s">
        <v>912</v>
      </c>
    </row>
    <row r="14013" spans="2:9" ht="15.75">
      <c r="C14013" s="945" t="s">
        <v>913</v>
      </c>
      <c r="D14013" s="946"/>
      <c r="E14013" s="947"/>
      <c r="F14013" s="1054"/>
      <c r="G14013" s="946"/>
      <c r="H14013" s="1031"/>
      <c r="I14013" s="948"/>
    </row>
    <row r="14014" spans="2:9" ht="15.75">
      <c r="C14014" s="949" t="s">
        <v>1662</v>
      </c>
      <c r="D14014" s="946">
        <v>1</v>
      </c>
      <c r="E14014" s="947" t="str">
        <f>+VLOOKUP(C14014,'Basic (equilibrio) (2)'!B:D,2,FALSE)</f>
        <v>p.a</v>
      </c>
      <c r="F14014" s="1068">
        <f>'Basic (equilibrio) (2)'!$D$196</f>
        <v>25000</v>
      </c>
      <c r="G14014" s="946">
        <f>F14014-(F14014/1.18)</f>
        <v>3813.56</v>
      </c>
      <c r="H14014" s="1031"/>
      <c r="I14014" s="948">
        <f>D14014*F14014</f>
        <v>25000</v>
      </c>
    </row>
    <row r="14015" spans="2:9" ht="15.75">
      <c r="C14015" s="951" t="s">
        <v>918</v>
      </c>
      <c r="D14015" s="946"/>
      <c r="E14015" s="947"/>
      <c r="F14015" s="1068"/>
      <c r="G14015" s="946"/>
      <c r="H14015" s="1031"/>
      <c r="I14015" s="952">
        <f>SUM(I14014:I14014)</f>
        <v>25000</v>
      </c>
    </row>
    <row r="14016" spans="2:9" ht="15.75">
      <c r="C14016" s="949"/>
      <c r="D14016" s="946"/>
      <c r="E14016" s="947"/>
      <c r="F14016" s="1068"/>
      <c r="G14016" s="946"/>
      <c r="H14016" s="1031"/>
      <c r="I14016" s="948"/>
    </row>
    <row r="14017" spans="3:9" ht="15.75">
      <c r="C14017" s="945" t="s">
        <v>919</v>
      </c>
      <c r="D14017" s="946"/>
      <c r="E14017" s="947"/>
      <c r="F14017" s="1068"/>
      <c r="G14017" s="946"/>
      <c r="H14017" s="1031"/>
      <c r="I14017" s="948"/>
    </row>
    <row r="14018" spans="3:9" ht="15.75">
      <c r="C14018" s="949" t="s">
        <v>924</v>
      </c>
      <c r="D14018" s="953">
        <v>8.33</v>
      </c>
      <c r="E14018" s="954" t="str">
        <f>+VLOOKUP(C14018,'Basic (equilibrio) (2)'!B:D,2,FALSE)</f>
        <v>n/a</v>
      </c>
      <c r="F14018" s="1068">
        <f>+VLOOKUP(C14018,'Basic (equilibrio) (2)'!B:D,3,FALSE)</f>
        <v>0</v>
      </c>
      <c r="G14018" s="946">
        <v>0</v>
      </c>
      <c r="H14018" s="1031"/>
      <c r="I14018" s="948">
        <f>(D14018*F14018)</f>
        <v>0</v>
      </c>
    </row>
    <row r="14019" spans="3:9" ht="15.75">
      <c r="C14019" s="951" t="s">
        <v>918</v>
      </c>
      <c r="D14019" s="946"/>
      <c r="E14019" s="947"/>
      <c r="F14019" s="1054"/>
      <c r="G14019" s="946"/>
      <c r="H14019" s="1031"/>
      <c r="I14019" s="952">
        <f>SUM(I14018:I14018)</f>
        <v>0</v>
      </c>
    </row>
    <row r="14020" spans="3:9" ht="15.75">
      <c r="C14020" s="949"/>
      <c r="D14020" s="946"/>
      <c r="E14020" s="947"/>
      <c r="F14020" s="1054"/>
      <c r="G14020" s="946"/>
      <c r="H14020" s="1031"/>
      <c r="I14020" s="948"/>
    </row>
    <row r="14021" spans="3:9" ht="15.75">
      <c r="C14021" s="945" t="s">
        <v>923</v>
      </c>
      <c r="D14021" s="946"/>
      <c r="E14021" s="947"/>
      <c r="F14021" s="1054"/>
      <c r="G14021" s="946"/>
      <c r="H14021" s="1031"/>
      <c r="I14021" s="948"/>
    </row>
    <row r="14022" spans="3:9" ht="15.75">
      <c r="C14022" s="949" t="s">
        <v>924</v>
      </c>
      <c r="D14022" s="946"/>
      <c r="E14022" s="947" t="str">
        <f>+VLOOKUP(C14022,'Basic (equilibrio) (2)'!B:D,2,FALSE)</f>
        <v>n/a</v>
      </c>
      <c r="F14022" s="1054">
        <f>+VLOOKUP(C14022,'Basic (equilibrio) (2)'!B:D,3,FALSE)</f>
        <v>0</v>
      </c>
      <c r="G14022" s="946">
        <f>F14022-(F14022/1.18)</f>
        <v>0</v>
      </c>
      <c r="H14022" s="1039"/>
      <c r="I14022" s="955">
        <f>D14022*F14022</f>
        <v>0</v>
      </c>
    </row>
    <row r="14023" spans="3:9" ht="15.75">
      <c r="C14023" s="951" t="s">
        <v>918</v>
      </c>
      <c r="D14023" s="946"/>
      <c r="E14023" s="947"/>
      <c r="F14023" s="1054"/>
      <c r="G14023" s="946"/>
      <c r="H14023" s="1031"/>
      <c r="I14023" s="952">
        <f>SUM(I14022:I14022)</f>
        <v>0</v>
      </c>
    </row>
    <row r="14024" spans="3:9" ht="15.75">
      <c r="C14024" s="949"/>
      <c r="D14024" s="946"/>
      <c r="E14024" s="947"/>
      <c r="F14024" s="1054"/>
      <c r="G14024" s="946"/>
      <c r="H14024" s="1031"/>
      <c r="I14024" s="948"/>
    </row>
    <row r="14025" spans="3:9" ht="15.75">
      <c r="C14025" s="945" t="s">
        <v>925</v>
      </c>
      <c r="D14025" s="946"/>
      <c r="E14025" s="947"/>
      <c r="F14025" s="1054"/>
      <c r="G14025" s="946"/>
      <c r="H14025" s="1031"/>
      <c r="I14025" s="948"/>
    </row>
    <row r="14026" spans="3:9" ht="15.75">
      <c r="C14026" s="949" t="s">
        <v>924</v>
      </c>
      <c r="D14026" s="946"/>
      <c r="E14026" s="947" t="str">
        <f>+VLOOKUP(C14026,'Basic (equilibrio) (2)'!B:D,2,FALSE)</f>
        <v>n/a</v>
      </c>
      <c r="F14026" s="1054">
        <f>+VLOOKUP(C14026,'Basic (equilibrio) (2)'!B:D,3,FALSE)</f>
        <v>0</v>
      </c>
      <c r="G14026" s="946"/>
      <c r="H14026" s="1031"/>
      <c r="I14026" s="948">
        <f>D14026*F14026</f>
        <v>0</v>
      </c>
    </row>
    <row r="14027" spans="3:9" ht="15.75">
      <c r="C14027" s="951" t="s">
        <v>918</v>
      </c>
      <c r="D14027" s="946"/>
      <c r="E14027" s="947"/>
      <c r="F14027" s="1054"/>
      <c r="G14027" s="946"/>
      <c r="H14027" s="1031"/>
      <c r="I14027" s="952">
        <f>SUM(I14026)</f>
        <v>0</v>
      </c>
    </row>
    <row r="14028" spans="3:9" ht="15.75">
      <c r="C14028" s="951"/>
      <c r="D14028" s="946"/>
      <c r="E14028" s="947"/>
      <c r="F14028" s="1054"/>
      <c r="G14028" s="946"/>
      <c r="H14028" s="1031"/>
      <c r="I14028" s="952"/>
    </row>
    <row r="14029" spans="3:9" ht="15.75">
      <c r="C14029" s="956" t="s">
        <v>926</v>
      </c>
      <c r="D14029" s="957"/>
      <c r="E14029" s="958"/>
      <c r="F14029" s="1069"/>
      <c r="G14029" s="957"/>
      <c r="H14029" s="1032"/>
      <c r="I14029" s="959">
        <f>+I14015</f>
        <v>25000</v>
      </c>
    </row>
    <row r="14030" spans="3:9" ht="15.75">
      <c r="C14030" s="956" t="s">
        <v>927</v>
      </c>
      <c r="D14030" s="957"/>
      <c r="E14030" s="958"/>
      <c r="F14030" s="1069"/>
      <c r="G14030" s="957"/>
      <c r="H14030" s="1032"/>
      <c r="I14030" s="959">
        <f>+I14019</f>
        <v>0</v>
      </c>
    </row>
    <row r="14031" spans="3:9" ht="15.75">
      <c r="C14031" s="956" t="s">
        <v>928</v>
      </c>
      <c r="D14031" s="957"/>
      <c r="E14031" s="958"/>
      <c r="F14031" s="1069"/>
      <c r="G14031" s="957"/>
      <c r="H14031" s="1032"/>
      <c r="I14031" s="959">
        <f>+I14023</f>
        <v>0</v>
      </c>
    </row>
    <row r="14032" spans="3:9" ht="15.75">
      <c r="C14032" s="956" t="s">
        <v>929</v>
      </c>
      <c r="D14032" s="957"/>
      <c r="E14032" s="958"/>
      <c r="F14032" s="1069"/>
      <c r="G14032" s="957"/>
      <c r="H14032" s="1032"/>
      <c r="I14032" s="959">
        <f>+I14027</f>
        <v>0</v>
      </c>
    </row>
    <row r="14033" spans="2:9" ht="15.75">
      <c r="C14033" s="949"/>
      <c r="D14033" s="946"/>
      <c r="E14033" s="947"/>
      <c r="F14033" s="1054"/>
      <c r="G14033" s="946"/>
      <c r="H14033" s="1031"/>
      <c r="I14033" s="948"/>
    </row>
    <row r="14034" spans="2:9" ht="15.75">
      <c r="C14034" s="951" t="s">
        <v>930</v>
      </c>
      <c r="D14034" s="960"/>
      <c r="E14034" s="975" t="str">
        <f>+E14011</f>
        <v>ud</v>
      </c>
      <c r="F14034" s="1070"/>
      <c r="G14034" s="960"/>
      <c r="H14034" s="1033"/>
      <c r="I14034" s="952">
        <f>SUM(I14029:I14032)</f>
        <v>25000</v>
      </c>
    </row>
    <row r="14035" spans="2:9" ht="15.75">
      <c r="C14035" s="951"/>
      <c r="D14035" s="960"/>
      <c r="E14035" s="943"/>
      <c r="F14035" s="1070"/>
      <c r="G14035" s="960"/>
      <c r="H14035" s="1033"/>
      <c r="I14035" s="952"/>
    </row>
    <row r="14036" spans="2:9" ht="17.25" customHeight="1">
      <c r="B14036" s="1435" t="s">
        <v>1717</v>
      </c>
      <c r="C14036" s="1435"/>
      <c r="D14036" s="1435"/>
      <c r="E14036" s="1435"/>
      <c r="F14036" s="1435"/>
      <c r="G14036" s="1435"/>
      <c r="H14036" s="1435"/>
      <c r="I14036" s="1436"/>
    </row>
    <row r="14037" spans="2:9" ht="17.25" customHeight="1">
      <c r="B14037" s="934"/>
      <c r="C14037" s="934"/>
      <c r="D14037" s="934"/>
      <c r="E14037" s="934"/>
      <c r="F14037" s="1065"/>
      <c r="G14037" s="934"/>
      <c r="H14037" s="934"/>
      <c r="I14037" s="936"/>
    </row>
    <row r="14038" spans="2:9" ht="31.5">
      <c r="B14038" s="1026">
        <v>1.1000000000000001</v>
      </c>
      <c r="C14038" s="937" t="str">
        <f>+Presupuesto!B805</f>
        <v>Reflector LED de 150 Watts, 100-240 Volts, 60 HZ,  52,000 LM, IP 65</v>
      </c>
      <c r="D14038" s="938"/>
      <c r="E14038" s="962" t="s">
        <v>1056</v>
      </c>
      <c r="F14038" s="1066"/>
      <c r="G14038" s="938"/>
      <c r="H14038" s="1029"/>
      <c r="I14038" s="940">
        <f>+I14061</f>
        <v>12000</v>
      </c>
    </row>
    <row r="14039" spans="2:9" ht="15.75">
      <c r="C14039" s="941" t="s">
        <v>908</v>
      </c>
      <c r="D14039" s="942" t="s">
        <v>9</v>
      </c>
      <c r="E14039" s="943" t="s">
        <v>10</v>
      </c>
      <c r="F14039" s="1067" t="s">
        <v>909</v>
      </c>
      <c r="G14039" s="942" t="s">
        <v>910</v>
      </c>
      <c r="H14039" s="1030" t="s">
        <v>911</v>
      </c>
      <c r="I14039" s="944" t="s">
        <v>912</v>
      </c>
    </row>
    <row r="14040" spans="2:9" ht="15.75">
      <c r="C14040" s="945" t="s">
        <v>913</v>
      </c>
      <c r="D14040" s="946"/>
      <c r="E14040" s="947"/>
      <c r="F14040" s="1054"/>
      <c r="G14040" s="946"/>
      <c r="H14040" s="1031"/>
      <c r="I14040" s="948"/>
    </row>
    <row r="14041" spans="2:9" ht="15.75">
      <c r="C14041" s="949" t="s">
        <v>1706</v>
      </c>
      <c r="D14041" s="946">
        <v>1</v>
      </c>
      <c r="E14041" s="947" t="str">
        <f>+VLOOKUP(C14041,'Basic (equilibrio) (2)'!B:D,2,FALSE)</f>
        <v>und</v>
      </c>
      <c r="F14041" s="1068">
        <f>'Basic (equilibrio) (2)'!$D$371</f>
        <v>12000</v>
      </c>
      <c r="G14041" s="946">
        <f>F14041-(F14041/1.18)</f>
        <v>1830.51</v>
      </c>
      <c r="H14041" s="1031"/>
      <c r="I14041" s="948">
        <f>D14041*F14041</f>
        <v>12000</v>
      </c>
    </row>
    <row r="14042" spans="2:9" ht="15.75">
      <c r="C14042" s="951" t="s">
        <v>918</v>
      </c>
      <c r="D14042" s="946"/>
      <c r="E14042" s="947"/>
      <c r="F14042" s="1068"/>
      <c r="G14042" s="946"/>
      <c r="H14042" s="1031"/>
      <c r="I14042" s="952">
        <f>SUM(I14041:I14041)</f>
        <v>12000</v>
      </c>
    </row>
    <row r="14043" spans="2:9" ht="15.75">
      <c r="C14043" s="949"/>
      <c r="D14043" s="946"/>
      <c r="E14043" s="947"/>
      <c r="F14043" s="1068"/>
      <c r="G14043" s="946"/>
      <c r="H14043" s="1031"/>
      <c r="I14043" s="948"/>
    </row>
    <row r="14044" spans="2:9" ht="15.75">
      <c r="C14044" s="945" t="s">
        <v>919</v>
      </c>
      <c r="D14044" s="946"/>
      <c r="E14044" s="947"/>
      <c r="F14044" s="1068"/>
      <c r="G14044" s="946"/>
      <c r="H14044" s="1031"/>
      <c r="I14044" s="948"/>
    </row>
    <row r="14045" spans="2:9" ht="15.75">
      <c r="C14045" s="949" t="s">
        <v>924</v>
      </c>
      <c r="D14045" s="953">
        <v>8.33</v>
      </c>
      <c r="E14045" s="954" t="str">
        <f>+VLOOKUP(C14045,'Basic (equilibrio) (2)'!B:D,2,FALSE)</f>
        <v>n/a</v>
      </c>
      <c r="F14045" s="1068">
        <f>+VLOOKUP(C14045,'Basic (equilibrio) (2)'!B:D,3,FALSE)</f>
        <v>0</v>
      </c>
      <c r="G14045" s="946">
        <v>0</v>
      </c>
      <c r="H14045" s="1031"/>
      <c r="I14045" s="948">
        <f>(D14045*F14045)</f>
        <v>0</v>
      </c>
    </row>
    <row r="14046" spans="2:9" ht="15.75">
      <c r="C14046" s="951" t="s">
        <v>918</v>
      </c>
      <c r="D14046" s="946"/>
      <c r="E14046" s="947"/>
      <c r="F14046" s="1054"/>
      <c r="G14046" s="946"/>
      <c r="H14046" s="1031"/>
      <c r="I14046" s="952">
        <f>SUM(I14045:I14045)</f>
        <v>0</v>
      </c>
    </row>
    <row r="14047" spans="2:9" ht="15.75">
      <c r="C14047" s="949"/>
      <c r="D14047" s="946"/>
      <c r="E14047" s="947"/>
      <c r="F14047" s="1054"/>
      <c r="G14047" s="946"/>
      <c r="H14047" s="1031"/>
      <c r="I14047" s="948"/>
    </row>
    <row r="14048" spans="2:9" ht="15.75">
      <c r="C14048" s="945" t="s">
        <v>923</v>
      </c>
      <c r="D14048" s="946"/>
      <c r="E14048" s="947"/>
      <c r="F14048" s="1054"/>
      <c r="G14048" s="946"/>
      <c r="H14048" s="1031"/>
      <c r="I14048" s="948"/>
    </row>
    <row r="14049" spans="2:9" ht="15.75">
      <c r="C14049" s="949" t="s">
        <v>924</v>
      </c>
      <c r="D14049" s="946"/>
      <c r="E14049" s="947" t="str">
        <f>+VLOOKUP(C14049,'Basic (equilibrio) (2)'!B:D,2,FALSE)</f>
        <v>n/a</v>
      </c>
      <c r="F14049" s="1054">
        <f>+VLOOKUP(C14049,'Basic (equilibrio) (2)'!B:D,3,FALSE)</f>
        <v>0</v>
      </c>
      <c r="G14049" s="946">
        <f>F14049-(F14049/1.18)</f>
        <v>0</v>
      </c>
      <c r="H14049" s="1039"/>
      <c r="I14049" s="955">
        <f>D14049*F14049</f>
        <v>0</v>
      </c>
    </row>
    <row r="14050" spans="2:9" ht="15.75">
      <c r="C14050" s="951" t="s">
        <v>918</v>
      </c>
      <c r="D14050" s="946"/>
      <c r="E14050" s="947"/>
      <c r="F14050" s="1054"/>
      <c r="G14050" s="946"/>
      <c r="H14050" s="1031"/>
      <c r="I14050" s="952">
        <f>SUM(I14049:I14049)</f>
        <v>0</v>
      </c>
    </row>
    <row r="14051" spans="2:9" ht="15.75">
      <c r="C14051" s="949"/>
      <c r="D14051" s="946"/>
      <c r="E14051" s="947"/>
      <c r="F14051" s="1054"/>
      <c r="G14051" s="946"/>
      <c r="H14051" s="1031"/>
      <c r="I14051" s="948"/>
    </row>
    <row r="14052" spans="2:9" ht="15.75">
      <c r="C14052" s="945" t="s">
        <v>925</v>
      </c>
      <c r="D14052" s="946"/>
      <c r="E14052" s="947"/>
      <c r="F14052" s="1054"/>
      <c r="G14052" s="946"/>
      <c r="H14052" s="1031"/>
      <c r="I14052" s="948"/>
    </row>
    <row r="14053" spans="2:9" ht="15.75">
      <c r="C14053" s="949" t="s">
        <v>924</v>
      </c>
      <c r="D14053" s="946"/>
      <c r="E14053" s="947" t="str">
        <f>+VLOOKUP(C14053,'Basic (equilibrio) (2)'!B:D,2,FALSE)</f>
        <v>n/a</v>
      </c>
      <c r="F14053" s="1054">
        <f>+VLOOKUP(C14053,'Basic (equilibrio) (2)'!B:D,3,FALSE)</f>
        <v>0</v>
      </c>
      <c r="G14053" s="946"/>
      <c r="H14053" s="1031"/>
      <c r="I14053" s="948">
        <f>D14053*F14053</f>
        <v>0</v>
      </c>
    </row>
    <row r="14054" spans="2:9" ht="15.75">
      <c r="C14054" s="951" t="s">
        <v>918</v>
      </c>
      <c r="D14054" s="946"/>
      <c r="E14054" s="947"/>
      <c r="F14054" s="1054"/>
      <c r="G14054" s="946"/>
      <c r="H14054" s="1031"/>
      <c r="I14054" s="952">
        <f>SUM(I14053)</f>
        <v>0</v>
      </c>
    </row>
    <row r="14055" spans="2:9" ht="15.75">
      <c r="C14055" s="951"/>
      <c r="D14055" s="946"/>
      <c r="E14055" s="947"/>
      <c r="F14055" s="1054"/>
      <c r="G14055" s="946"/>
      <c r="H14055" s="1031"/>
      <c r="I14055" s="952"/>
    </row>
    <row r="14056" spans="2:9" ht="15.75">
      <c r="C14056" s="956" t="s">
        <v>926</v>
      </c>
      <c r="D14056" s="957"/>
      <c r="E14056" s="958"/>
      <c r="F14056" s="1069"/>
      <c r="G14056" s="957"/>
      <c r="H14056" s="1032"/>
      <c r="I14056" s="959">
        <f>+I14042</f>
        <v>12000</v>
      </c>
    </row>
    <row r="14057" spans="2:9" ht="15.75">
      <c r="C14057" s="956" t="s">
        <v>927</v>
      </c>
      <c r="D14057" s="957"/>
      <c r="E14057" s="958"/>
      <c r="F14057" s="1069"/>
      <c r="G14057" s="957"/>
      <c r="H14057" s="1032"/>
      <c r="I14057" s="959">
        <f>+I14046</f>
        <v>0</v>
      </c>
    </row>
    <row r="14058" spans="2:9" ht="15.75">
      <c r="C14058" s="956" t="s">
        <v>928</v>
      </c>
      <c r="D14058" s="957"/>
      <c r="E14058" s="958"/>
      <c r="F14058" s="1069"/>
      <c r="G14058" s="957"/>
      <c r="H14058" s="1032"/>
      <c r="I14058" s="959">
        <f>+I14050</f>
        <v>0</v>
      </c>
    </row>
    <row r="14059" spans="2:9" ht="15.75">
      <c r="C14059" s="956" t="s">
        <v>929</v>
      </c>
      <c r="D14059" s="957"/>
      <c r="E14059" s="958"/>
      <c r="F14059" s="1069"/>
      <c r="G14059" s="957"/>
      <c r="H14059" s="1032"/>
      <c r="I14059" s="959">
        <f>+I14054</f>
        <v>0</v>
      </c>
    </row>
    <row r="14060" spans="2:9" ht="15.75">
      <c r="C14060" s="949"/>
      <c r="D14060" s="946"/>
      <c r="E14060" s="947"/>
      <c r="F14060" s="1054"/>
      <c r="G14060" s="946"/>
      <c r="H14060" s="1031"/>
      <c r="I14060" s="948"/>
    </row>
    <row r="14061" spans="2:9" ht="15.75">
      <c r="C14061" s="951" t="s">
        <v>930</v>
      </c>
      <c r="D14061" s="960"/>
      <c r="E14061" s="975" t="str">
        <f>+E14038</f>
        <v>ud</v>
      </c>
      <c r="F14061" s="1070"/>
      <c r="G14061" s="960"/>
      <c r="H14061" s="1033"/>
      <c r="I14061" s="952">
        <f>SUM(I14056:I14059)</f>
        <v>12000</v>
      </c>
    </row>
    <row r="14062" spans="2:9" ht="15.75">
      <c r="C14062" s="951"/>
      <c r="D14062" s="960"/>
      <c r="E14062" s="943"/>
      <c r="F14062" s="1070"/>
      <c r="G14062" s="960"/>
      <c r="H14062" s="1033"/>
      <c r="I14062" s="952"/>
    </row>
    <row r="14063" spans="2:9" ht="15.75">
      <c r="B14063" s="1026">
        <v>1.2</v>
      </c>
      <c r="C14063" s="937" t="str">
        <f>+Presupuesto!B806</f>
        <v>Poste H.A.V 30', 300 DAM</v>
      </c>
      <c r="D14063" s="938"/>
      <c r="E14063" s="962" t="s">
        <v>1056</v>
      </c>
      <c r="F14063" s="1066"/>
      <c r="G14063" s="938"/>
      <c r="H14063" s="1029"/>
      <c r="I14063" s="940">
        <f>+I14086</f>
        <v>0</v>
      </c>
    </row>
    <row r="14064" spans="2:9" ht="15.75">
      <c r="C14064" s="941" t="s">
        <v>908</v>
      </c>
      <c r="D14064" s="942" t="s">
        <v>9</v>
      </c>
      <c r="E14064" s="943" t="s">
        <v>10</v>
      </c>
      <c r="F14064" s="1067" t="s">
        <v>909</v>
      </c>
      <c r="G14064" s="942" t="s">
        <v>910</v>
      </c>
      <c r="H14064" s="1030" t="s">
        <v>911</v>
      </c>
      <c r="I14064" s="944" t="s">
        <v>912</v>
      </c>
    </row>
    <row r="14065" spans="3:9" ht="15.75">
      <c r="C14065" s="945" t="s">
        <v>913</v>
      </c>
      <c r="D14065" s="946"/>
      <c r="E14065" s="947"/>
      <c r="F14065" s="1054"/>
      <c r="G14065" s="946"/>
      <c r="H14065" s="1031"/>
      <c r="I14065" s="948"/>
    </row>
    <row r="14066" spans="3:9" ht="15.75">
      <c r="C14066" s="949" t="s">
        <v>1707</v>
      </c>
      <c r="D14066" s="946">
        <v>1</v>
      </c>
      <c r="E14066" s="947" t="str">
        <f>+VLOOKUP(C14066,'Basic (equilibrio) (2)'!B:D,2,FALSE)</f>
        <v>und</v>
      </c>
      <c r="F14066" s="1068">
        <f>'Basic (equilibrio) (2)'!$D$372</f>
        <v>0</v>
      </c>
      <c r="G14066" s="946">
        <f>F14066-(F14066/1.18)</f>
        <v>0</v>
      </c>
      <c r="H14066" s="1031"/>
      <c r="I14066" s="948">
        <f>D14066*F14066</f>
        <v>0</v>
      </c>
    </row>
    <row r="14067" spans="3:9" ht="15.75">
      <c r="C14067" s="951" t="s">
        <v>918</v>
      </c>
      <c r="D14067" s="946"/>
      <c r="E14067" s="947"/>
      <c r="F14067" s="1068"/>
      <c r="G14067" s="946"/>
      <c r="H14067" s="1031"/>
      <c r="I14067" s="952">
        <f>SUM(I14066:I14066)</f>
        <v>0</v>
      </c>
    </row>
    <row r="14068" spans="3:9" ht="15.75">
      <c r="C14068" s="949"/>
      <c r="D14068" s="946"/>
      <c r="E14068" s="947"/>
      <c r="F14068" s="1068"/>
      <c r="G14068" s="946"/>
      <c r="H14068" s="1031"/>
      <c r="I14068" s="948"/>
    </row>
    <row r="14069" spans="3:9" ht="15.75">
      <c r="C14069" s="945" t="s">
        <v>919</v>
      </c>
      <c r="D14069" s="946"/>
      <c r="E14069" s="947"/>
      <c r="F14069" s="1068"/>
      <c r="G14069" s="946"/>
      <c r="H14069" s="1031"/>
      <c r="I14069" s="948"/>
    </row>
    <row r="14070" spans="3:9" ht="15.75">
      <c r="C14070" s="949" t="s">
        <v>924</v>
      </c>
      <c r="D14070" s="953">
        <v>8.33</v>
      </c>
      <c r="E14070" s="954" t="str">
        <f>+VLOOKUP(C14070,'Basic (equilibrio) (2)'!B:D,2,FALSE)</f>
        <v>n/a</v>
      </c>
      <c r="F14070" s="1068">
        <f>+VLOOKUP(C14070,'Basic (equilibrio) (2)'!B:D,3,FALSE)</f>
        <v>0</v>
      </c>
      <c r="G14070" s="946">
        <v>0</v>
      </c>
      <c r="H14070" s="1031"/>
      <c r="I14070" s="948">
        <f>(D14070*F14070)</f>
        <v>0</v>
      </c>
    </row>
    <row r="14071" spans="3:9" ht="15.75">
      <c r="C14071" s="951" t="s">
        <v>918</v>
      </c>
      <c r="D14071" s="946"/>
      <c r="E14071" s="947"/>
      <c r="F14071" s="1054"/>
      <c r="G14071" s="946"/>
      <c r="H14071" s="1031"/>
      <c r="I14071" s="952">
        <f>SUM(I14070:I14070)</f>
        <v>0</v>
      </c>
    </row>
    <row r="14072" spans="3:9" ht="15.75">
      <c r="C14072" s="949"/>
      <c r="D14072" s="946"/>
      <c r="E14072" s="947"/>
      <c r="F14072" s="1054"/>
      <c r="G14072" s="946"/>
      <c r="H14072" s="1031"/>
      <c r="I14072" s="948"/>
    </row>
    <row r="14073" spans="3:9" ht="15.75">
      <c r="C14073" s="945" t="s">
        <v>923</v>
      </c>
      <c r="D14073" s="946"/>
      <c r="E14073" s="947"/>
      <c r="F14073" s="1054"/>
      <c r="G14073" s="946"/>
      <c r="H14073" s="1031"/>
      <c r="I14073" s="948"/>
    </row>
    <row r="14074" spans="3:9" ht="15.75">
      <c r="C14074" s="949" t="s">
        <v>924</v>
      </c>
      <c r="D14074" s="946"/>
      <c r="E14074" s="947" t="str">
        <f>+VLOOKUP(C14074,'Basic (equilibrio) (2)'!B:D,2,FALSE)</f>
        <v>n/a</v>
      </c>
      <c r="F14074" s="1054">
        <f>+VLOOKUP(C14074,'Basic (equilibrio) (2)'!B:D,3,FALSE)</f>
        <v>0</v>
      </c>
      <c r="G14074" s="946">
        <f>F14074-(F14074/1.18)</f>
        <v>0</v>
      </c>
      <c r="H14074" s="1039"/>
      <c r="I14074" s="955">
        <f>D14074*F14074</f>
        <v>0</v>
      </c>
    </row>
    <row r="14075" spans="3:9" ht="15.75">
      <c r="C14075" s="951" t="s">
        <v>918</v>
      </c>
      <c r="D14075" s="946"/>
      <c r="E14075" s="947"/>
      <c r="F14075" s="1054"/>
      <c r="G14075" s="946"/>
      <c r="H14075" s="1031"/>
      <c r="I14075" s="952">
        <f>SUM(I14074:I14074)</f>
        <v>0</v>
      </c>
    </row>
    <row r="14076" spans="3:9" ht="15.75">
      <c r="C14076" s="949"/>
      <c r="D14076" s="946"/>
      <c r="E14076" s="947"/>
      <c r="F14076" s="1054"/>
      <c r="G14076" s="946"/>
      <c r="H14076" s="1031"/>
      <c r="I14076" s="948"/>
    </row>
    <row r="14077" spans="3:9" ht="15.75">
      <c r="C14077" s="945" t="s">
        <v>925</v>
      </c>
      <c r="D14077" s="946"/>
      <c r="E14077" s="947"/>
      <c r="F14077" s="1054"/>
      <c r="G14077" s="946"/>
      <c r="H14077" s="1031"/>
      <c r="I14077" s="948"/>
    </row>
    <row r="14078" spans="3:9" ht="15.75">
      <c r="C14078" s="949" t="s">
        <v>924</v>
      </c>
      <c r="D14078" s="946"/>
      <c r="E14078" s="947" t="str">
        <f>+VLOOKUP(C14078,'Basic (equilibrio) (2)'!B:D,2,FALSE)</f>
        <v>n/a</v>
      </c>
      <c r="F14078" s="1054">
        <f>+VLOOKUP(C14078,'Basic (equilibrio) (2)'!B:D,3,FALSE)</f>
        <v>0</v>
      </c>
      <c r="G14078" s="946"/>
      <c r="H14078" s="1031"/>
      <c r="I14078" s="948">
        <f>D14078*F14078</f>
        <v>0</v>
      </c>
    </row>
    <row r="14079" spans="3:9" ht="15.75">
      <c r="C14079" s="951" t="s">
        <v>918</v>
      </c>
      <c r="D14079" s="946"/>
      <c r="E14079" s="947"/>
      <c r="F14079" s="1054"/>
      <c r="G14079" s="946"/>
      <c r="H14079" s="1031"/>
      <c r="I14079" s="952">
        <f>SUM(I14078)</f>
        <v>0</v>
      </c>
    </row>
    <row r="14080" spans="3:9" ht="15.75">
      <c r="C14080" s="951"/>
      <c r="D14080" s="946"/>
      <c r="E14080" s="947"/>
      <c r="F14080" s="1054"/>
      <c r="G14080" s="946"/>
      <c r="H14080" s="1031"/>
      <c r="I14080" s="952"/>
    </row>
    <row r="14081" spans="2:9" ht="15.75">
      <c r="C14081" s="956" t="s">
        <v>926</v>
      </c>
      <c r="D14081" s="957"/>
      <c r="E14081" s="958"/>
      <c r="F14081" s="1069"/>
      <c r="G14081" s="957"/>
      <c r="H14081" s="1032"/>
      <c r="I14081" s="959">
        <f>+I14067</f>
        <v>0</v>
      </c>
    </row>
    <row r="14082" spans="2:9" ht="15.75">
      <c r="C14082" s="956" t="s">
        <v>927</v>
      </c>
      <c r="D14082" s="957"/>
      <c r="E14082" s="958"/>
      <c r="F14082" s="1069"/>
      <c r="G14082" s="957"/>
      <c r="H14082" s="1032"/>
      <c r="I14082" s="959">
        <f>+I14071</f>
        <v>0</v>
      </c>
    </row>
    <row r="14083" spans="2:9" ht="15.75">
      <c r="C14083" s="956" t="s">
        <v>928</v>
      </c>
      <c r="D14083" s="957"/>
      <c r="E14083" s="958"/>
      <c r="F14083" s="1069"/>
      <c r="G14083" s="957"/>
      <c r="H14083" s="1032"/>
      <c r="I14083" s="959">
        <f>+I14075</f>
        <v>0</v>
      </c>
    </row>
    <row r="14084" spans="2:9" ht="15.75">
      <c r="C14084" s="956" t="s">
        <v>929</v>
      </c>
      <c r="D14084" s="957"/>
      <c r="E14084" s="958"/>
      <c r="F14084" s="1069"/>
      <c r="G14084" s="957"/>
      <c r="H14084" s="1032"/>
      <c r="I14084" s="959">
        <f>+I14079</f>
        <v>0</v>
      </c>
    </row>
    <row r="14085" spans="2:9" ht="15.75">
      <c r="C14085" s="949"/>
      <c r="D14085" s="946"/>
      <c r="E14085" s="947"/>
      <c r="F14085" s="1054"/>
      <c r="G14085" s="946"/>
      <c r="H14085" s="1031"/>
      <c r="I14085" s="948"/>
    </row>
    <row r="14086" spans="2:9" ht="15.75">
      <c r="C14086" s="951" t="s">
        <v>930</v>
      </c>
      <c r="D14086" s="960"/>
      <c r="E14086" s="975" t="str">
        <f>+E14063</f>
        <v>ud</v>
      </c>
      <c r="F14086" s="1070"/>
      <c r="G14086" s="960"/>
      <c r="H14086" s="1033"/>
      <c r="I14086" s="952">
        <f>SUM(I14081:I14084)</f>
        <v>0</v>
      </c>
    </row>
    <row r="14087" spans="2:9" ht="15.75">
      <c r="C14087" s="951"/>
      <c r="D14087" s="960"/>
      <c r="E14087" s="943"/>
      <c r="F14087" s="1070"/>
      <c r="G14087" s="960"/>
      <c r="H14087" s="1033"/>
      <c r="I14087" s="952"/>
    </row>
    <row r="14088" spans="2:9" ht="31.5">
      <c r="B14088" s="1026">
        <v>1.3</v>
      </c>
      <c r="C14088" s="937" t="str">
        <f>+Presupuesto!B807</f>
        <v>Conductor eléctrico de goma No. 6/3 para alimentación de reflectores</v>
      </c>
      <c r="D14088" s="938"/>
      <c r="E14088" s="962" t="s">
        <v>1056</v>
      </c>
      <c r="F14088" s="1066"/>
      <c r="G14088" s="938"/>
      <c r="H14088" s="1029"/>
      <c r="I14088" s="940">
        <f>+I14111</f>
        <v>555.6</v>
      </c>
    </row>
    <row r="14089" spans="2:9" ht="15.75">
      <c r="C14089" s="941" t="s">
        <v>908</v>
      </c>
      <c r="D14089" s="942" t="s">
        <v>9</v>
      </c>
      <c r="E14089" s="943" t="s">
        <v>10</v>
      </c>
      <c r="F14089" s="1067" t="s">
        <v>909</v>
      </c>
      <c r="G14089" s="942" t="s">
        <v>910</v>
      </c>
      <c r="H14089" s="1030" t="s">
        <v>911</v>
      </c>
      <c r="I14089" s="944" t="s">
        <v>912</v>
      </c>
    </row>
    <row r="14090" spans="2:9" ht="15.75">
      <c r="C14090" s="945" t="s">
        <v>913</v>
      </c>
      <c r="D14090" s="946"/>
      <c r="E14090" s="947"/>
      <c r="F14090" s="1054"/>
      <c r="G14090" s="946"/>
      <c r="H14090" s="1031"/>
      <c r="I14090" s="948"/>
    </row>
    <row r="14091" spans="2:9" ht="15.75">
      <c r="C14091" s="949" t="s">
        <v>1708</v>
      </c>
      <c r="D14091" s="946">
        <v>1</v>
      </c>
      <c r="E14091" s="947" t="str">
        <f>+VLOOKUP(C14091,'Basic (equilibrio) (2)'!B:D,2,FALSE)</f>
        <v>m</v>
      </c>
      <c r="F14091" s="1068">
        <f>'Basic (equilibrio) (2)'!$D$373</f>
        <v>555.6</v>
      </c>
      <c r="G14091" s="946">
        <f>F14091-(F14091/1.18)</f>
        <v>84.75</v>
      </c>
      <c r="H14091" s="1031"/>
      <c r="I14091" s="948">
        <f>D14091*F14091</f>
        <v>555.6</v>
      </c>
    </row>
    <row r="14092" spans="2:9" ht="15.75">
      <c r="C14092" s="951" t="s">
        <v>918</v>
      </c>
      <c r="D14092" s="946"/>
      <c r="E14092" s="947"/>
      <c r="F14092" s="1068"/>
      <c r="G14092" s="946"/>
      <c r="H14092" s="1031"/>
      <c r="I14092" s="952">
        <f>SUM(I14091:I14091)</f>
        <v>555.6</v>
      </c>
    </row>
    <row r="14093" spans="2:9" ht="15.75">
      <c r="C14093" s="949"/>
      <c r="D14093" s="946"/>
      <c r="E14093" s="947"/>
      <c r="F14093" s="1068"/>
      <c r="G14093" s="946"/>
      <c r="H14093" s="1031"/>
      <c r="I14093" s="948"/>
    </row>
    <row r="14094" spans="2:9" ht="15.75">
      <c r="C14094" s="945" t="s">
        <v>919</v>
      </c>
      <c r="D14094" s="946"/>
      <c r="E14094" s="947"/>
      <c r="F14094" s="1068"/>
      <c r="G14094" s="946"/>
      <c r="H14094" s="1031"/>
      <c r="I14094" s="948"/>
    </row>
    <row r="14095" spans="2:9" ht="15.75">
      <c r="C14095" s="949" t="s">
        <v>924</v>
      </c>
      <c r="D14095" s="953">
        <v>8.33</v>
      </c>
      <c r="E14095" s="954" t="str">
        <f>+VLOOKUP(C14095,'Basic (equilibrio) (2)'!B:D,2,FALSE)</f>
        <v>n/a</v>
      </c>
      <c r="F14095" s="1068">
        <f>+VLOOKUP(C14095,'Basic (equilibrio) (2)'!B:D,3,FALSE)</f>
        <v>0</v>
      </c>
      <c r="G14095" s="946">
        <v>0</v>
      </c>
      <c r="H14095" s="1031"/>
      <c r="I14095" s="948">
        <f>(D14095*F14095)</f>
        <v>0</v>
      </c>
    </row>
    <row r="14096" spans="2:9" ht="15.75">
      <c r="C14096" s="951" t="s">
        <v>918</v>
      </c>
      <c r="D14096" s="946"/>
      <c r="E14096" s="947"/>
      <c r="F14096" s="1054"/>
      <c r="G14096" s="946"/>
      <c r="H14096" s="1031"/>
      <c r="I14096" s="952">
        <f>SUM(I14095:I14095)</f>
        <v>0</v>
      </c>
    </row>
    <row r="14097" spans="3:9" ht="15.75">
      <c r="C14097" s="949"/>
      <c r="D14097" s="946"/>
      <c r="E14097" s="947"/>
      <c r="F14097" s="1054"/>
      <c r="G14097" s="946"/>
      <c r="H14097" s="1031"/>
      <c r="I14097" s="948"/>
    </row>
    <row r="14098" spans="3:9" ht="15.75">
      <c r="C14098" s="945" t="s">
        <v>923</v>
      </c>
      <c r="D14098" s="946"/>
      <c r="E14098" s="947"/>
      <c r="F14098" s="1054"/>
      <c r="G14098" s="946"/>
      <c r="H14098" s="1031"/>
      <c r="I14098" s="948"/>
    </row>
    <row r="14099" spans="3:9" ht="15.75">
      <c r="C14099" s="949" t="s">
        <v>924</v>
      </c>
      <c r="D14099" s="946"/>
      <c r="E14099" s="947" t="str">
        <f>+VLOOKUP(C14099,'Basic (equilibrio) (2)'!B:D,2,FALSE)</f>
        <v>n/a</v>
      </c>
      <c r="F14099" s="1054">
        <f>+VLOOKUP(C14099,'Basic (equilibrio) (2)'!B:D,3,FALSE)</f>
        <v>0</v>
      </c>
      <c r="G14099" s="946">
        <f>F14099-(F14099/1.18)</f>
        <v>0</v>
      </c>
      <c r="H14099" s="1039"/>
      <c r="I14099" s="955">
        <f>D14099*F14099</f>
        <v>0</v>
      </c>
    </row>
    <row r="14100" spans="3:9" ht="15.75">
      <c r="C14100" s="951" t="s">
        <v>918</v>
      </c>
      <c r="D14100" s="946"/>
      <c r="E14100" s="947"/>
      <c r="F14100" s="1054"/>
      <c r="G14100" s="946"/>
      <c r="H14100" s="1031"/>
      <c r="I14100" s="952">
        <f>SUM(I14099:I14099)</f>
        <v>0</v>
      </c>
    </row>
    <row r="14101" spans="3:9" ht="15.75">
      <c r="C14101" s="949"/>
      <c r="D14101" s="946"/>
      <c r="E14101" s="947"/>
      <c r="F14101" s="1054"/>
      <c r="G14101" s="946"/>
      <c r="H14101" s="1031"/>
      <c r="I14101" s="948"/>
    </row>
    <row r="14102" spans="3:9" ht="15.75">
      <c r="C14102" s="945" t="s">
        <v>925</v>
      </c>
      <c r="D14102" s="946"/>
      <c r="E14102" s="947"/>
      <c r="F14102" s="1054"/>
      <c r="G14102" s="946"/>
      <c r="H14102" s="1031"/>
      <c r="I14102" s="948"/>
    </row>
    <row r="14103" spans="3:9" ht="15.75">
      <c r="C14103" s="949" t="s">
        <v>924</v>
      </c>
      <c r="D14103" s="946"/>
      <c r="E14103" s="947" t="str">
        <f>+VLOOKUP(C14103,'Basic (equilibrio) (2)'!B:D,2,FALSE)</f>
        <v>n/a</v>
      </c>
      <c r="F14103" s="1054">
        <f>+VLOOKUP(C14103,'Basic (equilibrio) (2)'!B:D,3,FALSE)</f>
        <v>0</v>
      </c>
      <c r="G14103" s="946"/>
      <c r="H14103" s="1031"/>
      <c r="I14103" s="948">
        <f>D14103*F14103</f>
        <v>0</v>
      </c>
    </row>
    <row r="14104" spans="3:9" ht="15.75">
      <c r="C14104" s="951" t="s">
        <v>918</v>
      </c>
      <c r="D14104" s="946"/>
      <c r="E14104" s="947"/>
      <c r="F14104" s="1054"/>
      <c r="G14104" s="946"/>
      <c r="H14104" s="1031"/>
      <c r="I14104" s="952">
        <f>SUM(I14103)</f>
        <v>0</v>
      </c>
    </row>
    <row r="14105" spans="3:9" ht="15.75">
      <c r="C14105" s="951"/>
      <c r="D14105" s="946"/>
      <c r="E14105" s="947"/>
      <c r="F14105" s="1054"/>
      <c r="G14105" s="946"/>
      <c r="H14105" s="1031"/>
      <c r="I14105" s="952"/>
    </row>
    <row r="14106" spans="3:9" ht="15.75">
      <c r="C14106" s="956" t="s">
        <v>926</v>
      </c>
      <c r="D14106" s="957"/>
      <c r="E14106" s="958"/>
      <c r="F14106" s="1069"/>
      <c r="G14106" s="957"/>
      <c r="H14106" s="1032"/>
      <c r="I14106" s="959">
        <f>+I14092</f>
        <v>555.6</v>
      </c>
    </row>
    <row r="14107" spans="3:9" ht="15.75">
      <c r="C14107" s="956" t="s">
        <v>927</v>
      </c>
      <c r="D14107" s="957"/>
      <c r="E14107" s="958"/>
      <c r="F14107" s="1069"/>
      <c r="G14107" s="957"/>
      <c r="H14107" s="1032"/>
      <c r="I14107" s="959">
        <f>+I14096</f>
        <v>0</v>
      </c>
    </row>
    <row r="14108" spans="3:9" ht="15.75">
      <c r="C14108" s="956" t="s">
        <v>928</v>
      </c>
      <c r="D14108" s="957"/>
      <c r="E14108" s="958"/>
      <c r="F14108" s="1069"/>
      <c r="G14108" s="957"/>
      <c r="H14108" s="1032"/>
      <c r="I14108" s="959">
        <f>+I14100</f>
        <v>0</v>
      </c>
    </row>
    <row r="14109" spans="3:9" ht="15.75">
      <c r="C14109" s="956" t="s">
        <v>929</v>
      </c>
      <c r="D14109" s="957"/>
      <c r="E14109" s="958"/>
      <c r="F14109" s="1069"/>
      <c r="G14109" s="957"/>
      <c r="H14109" s="1032"/>
      <c r="I14109" s="959">
        <f>+I14104</f>
        <v>0</v>
      </c>
    </row>
    <row r="14110" spans="3:9" ht="15.75">
      <c r="C14110" s="949"/>
      <c r="D14110" s="946"/>
      <c r="E14110" s="947"/>
      <c r="F14110" s="1054"/>
      <c r="G14110" s="946"/>
      <c r="H14110" s="1031"/>
      <c r="I14110" s="948"/>
    </row>
    <row r="14111" spans="3:9" ht="15.75">
      <c r="C14111" s="951" t="s">
        <v>930</v>
      </c>
      <c r="D14111" s="960"/>
      <c r="E14111" s="975" t="str">
        <f>+E14088</f>
        <v>ud</v>
      </c>
      <c r="F14111" s="1070"/>
      <c r="G14111" s="960"/>
      <c r="H14111" s="1033"/>
      <c r="I14111" s="952">
        <f>SUM(I14106:I14109)</f>
        <v>555.6</v>
      </c>
    </row>
    <row r="14112" spans="3:9" ht="15.75">
      <c r="C14112" s="951"/>
      <c r="D14112" s="960"/>
      <c r="E14112" s="943"/>
      <c r="F14112" s="1070"/>
      <c r="G14112" s="960"/>
      <c r="H14112" s="1033"/>
      <c r="I14112" s="952"/>
    </row>
    <row r="14113" spans="2:9" ht="31.5">
      <c r="B14113" s="1026">
        <v>1.3</v>
      </c>
      <c r="C14113" s="937" t="str">
        <f>+Presupuesto!B807</f>
        <v>Conductor eléctrico de goma No. 6/3 para alimentación de reflectores</v>
      </c>
      <c r="D14113" s="938"/>
      <c r="E14113" s="962" t="str">
        <f>+Presupuesto!D807</f>
        <v>M</v>
      </c>
      <c r="F14113" s="1066"/>
      <c r="G14113" s="938"/>
      <c r="H14113" s="1029"/>
      <c r="I14113" s="940">
        <f>+I14136</f>
        <v>555.6</v>
      </c>
    </row>
    <row r="14114" spans="2:9" ht="15.75">
      <c r="C14114" s="941" t="s">
        <v>908</v>
      </c>
      <c r="D14114" s="942" t="s">
        <v>9</v>
      </c>
      <c r="E14114" s="943" t="s">
        <v>10</v>
      </c>
      <c r="F14114" s="1067" t="s">
        <v>909</v>
      </c>
      <c r="G14114" s="942" t="s">
        <v>910</v>
      </c>
      <c r="H14114" s="1030" t="s">
        <v>911</v>
      </c>
      <c r="I14114" s="944" t="s">
        <v>912</v>
      </c>
    </row>
    <row r="14115" spans="2:9" ht="15.75">
      <c r="C14115" s="945" t="s">
        <v>913</v>
      </c>
      <c r="D14115" s="946"/>
      <c r="E14115" s="947"/>
      <c r="F14115" s="1054"/>
      <c r="G14115" s="946"/>
      <c r="H14115" s="1031"/>
      <c r="I14115" s="948"/>
    </row>
    <row r="14116" spans="2:9" ht="15.75">
      <c r="C14116" s="949" t="s">
        <v>1708</v>
      </c>
      <c r="D14116" s="946">
        <v>1</v>
      </c>
      <c r="E14116" s="947" t="str">
        <f>+VLOOKUP(C14116,'Basic (equilibrio) (2)'!B:D,2,FALSE)</f>
        <v>m</v>
      </c>
      <c r="F14116" s="1068">
        <f>'Basic (equilibrio) (2)'!$D$373</f>
        <v>555.6</v>
      </c>
      <c r="G14116" s="946">
        <f>F14116-(F14116/1.18)</f>
        <v>84.75</v>
      </c>
      <c r="H14116" s="1031"/>
      <c r="I14116" s="948">
        <f>D14116*F14116</f>
        <v>555.6</v>
      </c>
    </row>
    <row r="14117" spans="2:9" ht="15.75">
      <c r="C14117" s="951" t="s">
        <v>918</v>
      </c>
      <c r="D14117" s="946"/>
      <c r="E14117" s="947"/>
      <c r="F14117" s="1068"/>
      <c r="G14117" s="946"/>
      <c r="H14117" s="1031"/>
      <c r="I14117" s="952">
        <f>SUM(I14116:I14116)</f>
        <v>555.6</v>
      </c>
    </row>
    <row r="14118" spans="2:9" ht="15.75">
      <c r="C14118" s="949"/>
      <c r="D14118" s="946"/>
      <c r="E14118" s="947"/>
      <c r="F14118" s="1068"/>
      <c r="G14118" s="946"/>
      <c r="H14118" s="1031"/>
      <c r="I14118" s="948"/>
    </row>
    <row r="14119" spans="2:9" ht="15.75">
      <c r="C14119" s="945" t="s">
        <v>919</v>
      </c>
      <c r="D14119" s="946"/>
      <c r="E14119" s="947"/>
      <c r="F14119" s="1068"/>
      <c r="G14119" s="946"/>
      <c r="H14119" s="1031"/>
      <c r="I14119" s="948"/>
    </row>
    <row r="14120" spans="2:9" ht="15.75">
      <c r="C14120" s="949" t="s">
        <v>924</v>
      </c>
      <c r="D14120" s="953">
        <v>8.33</v>
      </c>
      <c r="E14120" s="954" t="str">
        <f>+VLOOKUP(C14120,'Basic (equilibrio) (2)'!B:D,2,FALSE)</f>
        <v>n/a</v>
      </c>
      <c r="F14120" s="1068">
        <f>+VLOOKUP(C14120,'Basic (equilibrio) (2)'!B:D,3,FALSE)</f>
        <v>0</v>
      </c>
      <c r="G14120" s="946">
        <v>0</v>
      </c>
      <c r="H14120" s="1031"/>
      <c r="I14120" s="948">
        <f>(D14120*F14120)</f>
        <v>0</v>
      </c>
    </row>
    <row r="14121" spans="2:9" ht="15.75">
      <c r="C14121" s="951" t="s">
        <v>918</v>
      </c>
      <c r="D14121" s="946"/>
      <c r="E14121" s="947"/>
      <c r="F14121" s="1054"/>
      <c r="G14121" s="946"/>
      <c r="H14121" s="1031"/>
      <c r="I14121" s="952">
        <f>SUM(I14120:I14120)</f>
        <v>0</v>
      </c>
    </row>
    <row r="14122" spans="2:9" ht="15.75">
      <c r="C14122" s="949"/>
      <c r="D14122" s="946"/>
      <c r="E14122" s="947"/>
      <c r="F14122" s="1054"/>
      <c r="G14122" s="946"/>
      <c r="H14122" s="1031"/>
      <c r="I14122" s="948"/>
    </row>
    <row r="14123" spans="2:9" ht="15.75">
      <c r="C14123" s="945" t="s">
        <v>923</v>
      </c>
      <c r="D14123" s="946"/>
      <c r="E14123" s="947"/>
      <c r="F14123" s="1054"/>
      <c r="G14123" s="946"/>
      <c r="H14123" s="1031"/>
      <c r="I14123" s="948"/>
    </row>
    <row r="14124" spans="2:9" ht="15.75">
      <c r="C14124" s="949" t="s">
        <v>924</v>
      </c>
      <c r="D14124" s="946"/>
      <c r="E14124" s="947" t="str">
        <f>+VLOOKUP(C14124,'Basic (equilibrio) (2)'!B:D,2,FALSE)</f>
        <v>n/a</v>
      </c>
      <c r="F14124" s="1054">
        <f>+VLOOKUP(C14124,'Basic (equilibrio) (2)'!B:D,3,FALSE)</f>
        <v>0</v>
      </c>
      <c r="G14124" s="946">
        <f>F14124-(F14124/1.18)</f>
        <v>0</v>
      </c>
      <c r="H14124" s="1039"/>
      <c r="I14124" s="955">
        <f>D14124*F14124</f>
        <v>0</v>
      </c>
    </row>
    <row r="14125" spans="2:9" ht="15.75">
      <c r="C14125" s="951" t="s">
        <v>918</v>
      </c>
      <c r="D14125" s="946"/>
      <c r="E14125" s="947"/>
      <c r="F14125" s="1054"/>
      <c r="G14125" s="946"/>
      <c r="H14125" s="1031"/>
      <c r="I14125" s="952">
        <f>SUM(I14124:I14124)</f>
        <v>0</v>
      </c>
    </row>
    <row r="14126" spans="2:9" ht="15.75">
      <c r="C14126" s="949"/>
      <c r="D14126" s="946"/>
      <c r="E14126" s="947"/>
      <c r="F14126" s="1054"/>
      <c r="G14126" s="946"/>
      <c r="H14126" s="1031"/>
      <c r="I14126" s="948"/>
    </row>
    <row r="14127" spans="2:9" ht="15.75">
      <c r="C14127" s="945" t="s">
        <v>925</v>
      </c>
      <c r="D14127" s="946"/>
      <c r="E14127" s="947"/>
      <c r="F14127" s="1054"/>
      <c r="G14127" s="946"/>
      <c r="H14127" s="1031"/>
      <c r="I14127" s="948"/>
    </row>
    <row r="14128" spans="2:9" ht="15.75">
      <c r="C14128" s="949" t="s">
        <v>924</v>
      </c>
      <c r="D14128" s="946"/>
      <c r="E14128" s="947" t="str">
        <f>+VLOOKUP(C14128,'Basic (equilibrio) (2)'!B:D,2,FALSE)</f>
        <v>n/a</v>
      </c>
      <c r="F14128" s="1054">
        <f>+VLOOKUP(C14128,'Basic (equilibrio) (2)'!B:D,3,FALSE)</f>
        <v>0</v>
      </c>
      <c r="G14128" s="946"/>
      <c r="H14128" s="1031"/>
      <c r="I14128" s="948">
        <f>D14128*F14128</f>
        <v>0</v>
      </c>
    </row>
    <row r="14129" spans="2:9" ht="15.75">
      <c r="C14129" s="951" t="s">
        <v>918</v>
      </c>
      <c r="D14129" s="946"/>
      <c r="E14129" s="947"/>
      <c r="F14129" s="1054"/>
      <c r="G14129" s="946"/>
      <c r="H14129" s="1031"/>
      <c r="I14129" s="952">
        <f>SUM(I14128)</f>
        <v>0</v>
      </c>
    </row>
    <row r="14130" spans="2:9" ht="15.75">
      <c r="C14130" s="951"/>
      <c r="D14130" s="946"/>
      <c r="E14130" s="947"/>
      <c r="F14130" s="1054"/>
      <c r="G14130" s="946"/>
      <c r="H14130" s="1031"/>
      <c r="I14130" s="952"/>
    </row>
    <row r="14131" spans="2:9" ht="15.75">
      <c r="C14131" s="956" t="s">
        <v>926</v>
      </c>
      <c r="D14131" s="957"/>
      <c r="E14131" s="958"/>
      <c r="F14131" s="1069"/>
      <c r="G14131" s="957"/>
      <c r="H14131" s="1032"/>
      <c r="I14131" s="959">
        <f>+I14117</f>
        <v>555.6</v>
      </c>
    </row>
    <row r="14132" spans="2:9" ht="15.75">
      <c r="C14132" s="956" t="s">
        <v>927</v>
      </c>
      <c r="D14132" s="957"/>
      <c r="E14132" s="958"/>
      <c r="F14132" s="1069"/>
      <c r="G14132" s="957"/>
      <c r="H14132" s="1032"/>
      <c r="I14132" s="959">
        <f>+I14121</f>
        <v>0</v>
      </c>
    </row>
    <row r="14133" spans="2:9" ht="15.75">
      <c r="C14133" s="956" t="s">
        <v>928</v>
      </c>
      <c r="D14133" s="957"/>
      <c r="E14133" s="958"/>
      <c r="F14133" s="1069"/>
      <c r="G14133" s="957"/>
      <c r="H14133" s="1032"/>
      <c r="I14133" s="959">
        <f>+I14125</f>
        <v>0</v>
      </c>
    </row>
    <row r="14134" spans="2:9" ht="15.75">
      <c r="C14134" s="956" t="s">
        <v>929</v>
      </c>
      <c r="D14134" s="957"/>
      <c r="E14134" s="958"/>
      <c r="F14134" s="1069"/>
      <c r="G14134" s="957"/>
      <c r="H14134" s="1032"/>
      <c r="I14134" s="959">
        <f>+I14129</f>
        <v>0</v>
      </c>
    </row>
    <row r="14135" spans="2:9" ht="15.75">
      <c r="C14135" s="949"/>
      <c r="D14135" s="946"/>
      <c r="E14135" s="947"/>
      <c r="F14135" s="1054"/>
      <c r="G14135" s="946"/>
      <c r="H14135" s="1031"/>
      <c r="I14135" s="948"/>
    </row>
    <row r="14136" spans="2:9" ht="15.75">
      <c r="C14136" s="951" t="s">
        <v>930</v>
      </c>
      <c r="D14136" s="960"/>
      <c r="E14136" s="975" t="str">
        <f>+E14113</f>
        <v>M</v>
      </c>
      <c r="F14136" s="1070"/>
      <c r="G14136" s="960"/>
      <c r="H14136" s="1033"/>
      <c r="I14136" s="952">
        <f>SUM(I14131:I14134)</f>
        <v>555.6</v>
      </c>
    </row>
    <row r="14137" spans="2:9" ht="15.75">
      <c r="C14137" s="951"/>
      <c r="D14137" s="960"/>
      <c r="E14137" s="943"/>
      <c r="F14137" s="1070"/>
      <c r="G14137" s="960"/>
      <c r="H14137" s="1033"/>
      <c r="I14137" s="952"/>
    </row>
    <row r="14138" spans="2:9" ht="31.5">
      <c r="B14138" s="1026">
        <v>1.4</v>
      </c>
      <c r="C14138" s="937" t="str">
        <f>+Presupuesto!B808</f>
        <v>Salidas Panel de Breakers 2/4 Circuitos para el encendido de reflectores a instalar en poste</v>
      </c>
      <c r="D14138" s="938"/>
      <c r="E14138" s="962" t="str">
        <f>+Presupuesto!D832</f>
        <v>Ud</v>
      </c>
      <c r="F14138" s="1066"/>
      <c r="G14138" s="938"/>
      <c r="H14138" s="1029"/>
      <c r="I14138" s="940">
        <f>+I14161</f>
        <v>2800</v>
      </c>
    </row>
    <row r="14139" spans="2:9" ht="15.75">
      <c r="C14139" s="941" t="s">
        <v>908</v>
      </c>
      <c r="D14139" s="942" t="s">
        <v>9</v>
      </c>
      <c r="E14139" s="943" t="s">
        <v>10</v>
      </c>
      <c r="F14139" s="1067" t="s">
        <v>909</v>
      </c>
      <c r="G14139" s="942" t="s">
        <v>910</v>
      </c>
      <c r="H14139" s="1030" t="s">
        <v>911</v>
      </c>
      <c r="I14139" s="944" t="s">
        <v>912</v>
      </c>
    </row>
    <row r="14140" spans="2:9" ht="15.75">
      <c r="C14140" s="945" t="s">
        <v>913</v>
      </c>
      <c r="D14140" s="946"/>
      <c r="E14140" s="947"/>
      <c r="F14140" s="1054"/>
      <c r="G14140" s="946"/>
      <c r="H14140" s="1031"/>
      <c r="I14140" s="948"/>
    </row>
    <row r="14141" spans="2:9" ht="15.75">
      <c r="C14141" s="949" t="s">
        <v>1709</v>
      </c>
      <c r="D14141" s="946">
        <v>1</v>
      </c>
      <c r="E14141" s="947" t="str">
        <f>+VLOOKUP(C14141,'Basic (equilibrio) (2)'!B:D,2,FALSE)</f>
        <v>und</v>
      </c>
      <c r="F14141" s="1068">
        <f>'Basic (equilibrio) (2)'!$D$374</f>
        <v>2800</v>
      </c>
      <c r="G14141" s="946">
        <f>F14141-(F14141/1.18)</f>
        <v>427.12</v>
      </c>
      <c r="H14141" s="1031"/>
      <c r="I14141" s="948">
        <f>D14141*F14141</f>
        <v>2800</v>
      </c>
    </row>
    <row r="14142" spans="2:9" ht="15.75">
      <c r="C14142" s="951" t="s">
        <v>918</v>
      </c>
      <c r="D14142" s="946"/>
      <c r="E14142" s="947"/>
      <c r="F14142" s="1068"/>
      <c r="G14142" s="946"/>
      <c r="H14142" s="1031"/>
      <c r="I14142" s="952">
        <f>SUM(I14141:I14141)</f>
        <v>2800</v>
      </c>
    </row>
    <row r="14143" spans="2:9" ht="15.75">
      <c r="C14143" s="949"/>
      <c r="D14143" s="946"/>
      <c r="E14143" s="947"/>
      <c r="F14143" s="1068"/>
      <c r="G14143" s="946"/>
      <c r="H14143" s="1031"/>
      <c r="I14143" s="948"/>
    </row>
    <row r="14144" spans="2:9" ht="15.75">
      <c r="C14144" s="945" t="s">
        <v>919</v>
      </c>
      <c r="D14144" s="946"/>
      <c r="E14144" s="947"/>
      <c r="F14144" s="1068"/>
      <c r="G14144" s="946"/>
      <c r="H14144" s="1031"/>
      <c r="I14144" s="948"/>
    </row>
    <row r="14145" spans="3:9" ht="15.75">
      <c r="C14145" s="949" t="s">
        <v>924</v>
      </c>
      <c r="D14145" s="953">
        <v>8.33</v>
      </c>
      <c r="E14145" s="954" t="str">
        <f>+VLOOKUP(C14145,'Basic (equilibrio) (2)'!B:D,2,FALSE)</f>
        <v>n/a</v>
      </c>
      <c r="F14145" s="1068">
        <f>+VLOOKUP(C14145,'Basic (equilibrio) (2)'!B:D,3,FALSE)</f>
        <v>0</v>
      </c>
      <c r="G14145" s="946">
        <v>0</v>
      </c>
      <c r="H14145" s="1031"/>
      <c r="I14145" s="948">
        <f>(D14145*F14145)</f>
        <v>0</v>
      </c>
    </row>
    <row r="14146" spans="3:9" ht="15.75">
      <c r="C14146" s="951" t="s">
        <v>918</v>
      </c>
      <c r="D14146" s="946"/>
      <c r="E14146" s="947"/>
      <c r="F14146" s="1054"/>
      <c r="G14146" s="946"/>
      <c r="H14146" s="1031"/>
      <c r="I14146" s="952">
        <f>SUM(I14145:I14145)</f>
        <v>0</v>
      </c>
    </row>
    <row r="14147" spans="3:9" ht="15.75">
      <c r="C14147" s="949"/>
      <c r="D14147" s="946"/>
      <c r="E14147" s="947"/>
      <c r="F14147" s="1054"/>
      <c r="G14147" s="946"/>
      <c r="H14147" s="1031"/>
      <c r="I14147" s="948"/>
    </row>
    <row r="14148" spans="3:9" ht="15.75">
      <c r="C14148" s="945" t="s">
        <v>923</v>
      </c>
      <c r="D14148" s="946"/>
      <c r="E14148" s="947"/>
      <c r="F14148" s="1054"/>
      <c r="G14148" s="946"/>
      <c r="H14148" s="1031"/>
      <c r="I14148" s="948"/>
    </row>
    <row r="14149" spans="3:9" ht="15.75">
      <c r="C14149" s="949" t="s">
        <v>924</v>
      </c>
      <c r="D14149" s="946"/>
      <c r="E14149" s="947" t="str">
        <f>+VLOOKUP(C14149,'Basic (equilibrio) (2)'!B:D,2,FALSE)</f>
        <v>n/a</v>
      </c>
      <c r="F14149" s="1054">
        <f>+VLOOKUP(C14149,'Basic (equilibrio) (2)'!B:D,3,FALSE)</f>
        <v>0</v>
      </c>
      <c r="G14149" s="946">
        <f>F14149-(F14149/1.18)</f>
        <v>0</v>
      </c>
      <c r="H14149" s="1039"/>
      <c r="I14149" s="955">
        <f>D14149*F14149</f>
        <v>0</v>
      </c>
    </row>
    <row r="14150" spans="3:9" ht="15.75">
      <c r="C14150" s="951" t="s">
        <v>918</v>
      </c>
      <c r="D14150" s="946"/>
      <c r="E14150" s="947"/>
      <c r="F14150" s="1054"/>
      <c r="G14150" s="946"/>
      <c r="H14150" s="1031"/>
      <c r="I14150" s="952">
        <f>SUM(I14149:I14149)</f>
        <v>0</v>
      </c>
    </row>
    <row r="14151" spans="3:9" ht="15.75">
      <c r="C14151" s="949"/>
      <c r="D14151" s="946"/>
      <c r="E14151" s="947"/>
      <c r="F14151" s="1054"/>
      <c r="G14151" s="946"/>
      <c r="H14151" s="1031"/>
      <c r="I14151" s="948"/>
    </row>
    <row r="14152" spans="3:9" ht="15.75">
      <c r="C14152" s="945" t="s">
        <v>925</v>
      </c>
      <c r="D14152" s="946"/>
      <c r="E14152" s="947"/>
      <c r="F14152" s="1054"/>
      <c r="G14152" s="946"/>
      <c r="H14152" s="1031"/>
      <c r="I14152" s="948"/>
    </row>
    <row r="14153" spans="3:9" ht="15.75">
      <c r="C14153" s="949" t="s">
        <v>924</v>
      </c>
      <c r="D14153" s="946"/>
      <c r="E14153" s="947" t="str">
        <f>+VLOOKUP(C14153,'Basic (equilibrio) (2)'!B:D,2,FALSE)</f>
        <v>n/a</v>
      </c>
      <c r="F14153" s="1054">
        <f>+VLOOKUP(C14153,'Basic (equilibrio) (2)'!B:D,3,FALSE)</f>
        <v>0</v>
      </c>
      <c r="G14153" s="946"/>
      <c r="H14153" s="1031"/>
      <c r="I14153" s="948">
        <f>D14153*F14153</f>
        <v>0</v>
      </c>
    </row>
    <row r="14154" spans="3:9" ht="15.75">
      <c r="C14154" s="951" t="s">
        <v>918</v>
      </c>
      <c r="D14154" s="946"/>
      <c r="E14154" s="947"/>
      <c r="F14154" s="1054"/>
      <c r="G14154" s="946"/>
      <c r="H14154" s="1031"/>
      <c r="I14154" s="952">
        <f>SUM(I14153)</f>
        <v>0</v>
      </c>
    </row>
    <row r="14155" spans="3:9" ht="15.75">
      <c r="C14155" s="951"/>
      <c r="D14155" s="946"/>
      <c r="E14155" s="947"/>
      <c r="F14155" s="1054"/>
      <c r="G14155" s="946"/>
      <c r="H14155" s="1031"/>
      <c r="I14155" s="952"/>
    </row>
    <row r="14156" spans="3:9" ht="15.75">
      <c r="C14156" s="956" t="s">
        <v>926</v>
      </c>
      <c r="D14156" s="957"/>
      <c r="E14156" s="958"/>
      <c r="F14156" s="1069"/>
      <c r="G14156" s="957"/>
      <c r="H14156" s="1032"/>
      <c r="I14156" s="959">
        <f>+I14142</f>
        <v>2800</v>
      </c>
    </row>
    <row r="14157" spans="3:9" ht="15.75">
      <c r="C14157" s="956" t="s">
        <v>927</v>
      </c>
      <c r="D14157" s="957"/>
      <c r="E14157" s="958"/>
      <c r="F14157" s="1069"/>
      <c r="G14157" s="957"/>
      <c r="H14157" s="1032"/>
      <c r="I14157" s="959">
        <f>+I14146</f>
        <v>0</v>
      </c>
    </row>
    <row r="14158" spans="3:9" ht="15.75">
      <c r="C14158" s="956" t="s">
        <v>928</v>
      </c>
      <c r="D14158" s="957"/>
      <c r="E14158" s="958"/>
      <c r="F14158" s="1069"/>
      <c r="G14158" s="957"/>
      <c r="H14158" s="1032"/>
      <c r="I14158" s="959">
        <f>+I14150</f>
        <v>0</v>
      </c>
    </row>
    <row r="14159" spans="3:9" ht="15.75">
      <c r="C14159" s="956" t="s">
        <v>929</v>
      </c>
      <c r="D14159" s="957"/>
      <c r="E14159" s="958"/>
      <c r="F14159" s="1069"/>
      <c r="G14159" s="957"/>
      <c r="H14159" s="1032"/>
      <c r="I14159" s="959">
        <f>+I14154</f>
        <v>0</v>
      </c>
    </row>
    <row r="14160" spans="3:9" ht="15.75">
      <c r="C14160" s="949"/>
      <c r="D14160" s="946"/>
      <c r="E14160" s="947"/>
      <c r="F14160" s="1054"/>
      <c r="G14160" s="946"/>
      <c r="H14160" s="1031"/>
      <c r="I14160" s="948"/>
    </row>
    <row r="14161" spans="2:9" ht="15.75">
      <c r="C14161" s="951" t="s">
        <v>930</v>
      </c>
      <c r="D14161" s="960"/>
      <c r="E14161" s="975" t="str">
        <f>+E14138</f>
        <v>Ud</v>
      </c>
      <c r="F14161" s="1070"/>
      <c r="G14161" s="960"/>
      <c r="H14161" s="1033"/>
      <c r="I14161" s="952">
        <f>SUM(I14156:I14159)</f>
        <v>2800</v>
      </c>
    </row>
    <row r="14162" spans="2:9" ht="15.75">
      <c r="C14162" s="951"/>
      <c r="D14162" s="960"/>
      <c r="E14162" s="943"/>
      <c r="F14162" s="1070"/>
      <c r="G14162" s="960"/>
      <c r="H14162" s="1033"/>
      <c r="I14162" s="952"/>
    </row>
    <row r="14163" spans="2:9" ht="15.75">
      <c r="B14163" s="1026">
        <v>1.5</v>
      </c>
      <c r="C14163" s="937" t="str">
        <f>+Presupuesto!B809</f>
        <v>Tubería PVC de Ø3/4" x 19'</v>
      </c>
      <c r="D14163" s="938"/>
      <c r="E14163" s="962" t="str">
        <f>+Presupuesto!D857</f>
        <v>PA</v>
      </c>
      <c r="F14163" s="1066"/>
      <c r="G14163" s="938"/>
      <c r="H14163" s="1029"/>
      <c r="I14163" s="940">
        <f>+I14186</f>
        <v>566.4</v>
      </c>
    </row>
    <row r="14164" spans="2:9" ht="15.75">
      <c r="C14164" s="941" t="s">
        <v>908</v>
      </c>
      <c r="D14164" s="942" t="s">
        <v>9</v>
      </c>
      <c r="E14164" s="943" t="s">
        <v>10</v>
      </c>
      <c r="F14164" s="1067" t="s">
        <v>909</v>
      </c>
      <c r="G14164" s="942" t="s">
        <v>910</v>
      </c>
      <c r="H14164" s="1030" t="s">
        <v>911</v>
      </c>
      <c r="I14164" s="944" t="s">
        <v>912</v>
      </c>
    </row>
    <row r="14165" spans="2:9" ht="15.75">
      <c r="C14165" s="945" t="s">
        <v>913</v>
      </c>
      <c r="D14165" s="946"/>
      <c r="E14165" s="947"/>
      <c r="F14165" s="1054"/>
      <c r="G14165" s="946"/>
      <c r="H14165" s="1031"/>
      <c r="I14165" s="948"/>
    </row>
    <row r="14166" spans="2:9" ht="15.75">
      <c r="C14166" s="949" t="s">
        <v>1710</v>
      </c>
      <c r="D14166" s="946">
        <v>1</v>
      </c>
      <c r="E14166" s="947" t="str">
        <f>+VLOOKUP(C14166,'Basic (equilibrio) (2)'!B:D,2,FALSE)</f>
        <v>und</v>
      </c>
      <c r="F14166" s="1068">
        <f>'Basic (equilibrio) (2)'!$D$375</f>
        <v>566.4</v>
      </c>
      <c r="G14166" s="946">
        <f>F14166-(F14166/1.18)</f>
        <v>86.4</v>
      </c>
      <c r="H14166" s="1031"/>
      <c r="I14166" s="948">
        <f>D14166*F14166</f>
        <v>566.4</v>
      </c>
    </row>
    <row r="14167" spans="2:9" ht="15.75">
      <c r="C14167" s="951" t="s">
        <v>918</v>
      </c>
      <c r="D14167" s="946"/>
      <c r="E14167" s="947"/>
      <c r="F14167" s="1068"/>
      <c r="G14167" s="946"/>
      <c r="H14167" s="1031"/>
      <c r="I14167" s="952">
        <f>SUM(I14166:I14166)</f>
        <v>566.4</v>
      </c>
    </row>
    <row r="14168" spans="2:9" ht="15.75">
      <c r="C14168" s="949"/>
      <c r="D14168" s="946"/>
      <c r="E14168" s="947"/>
      <c r="F14168" s="1068"/>
      <c r="G14168" s="946"/>
      <c r="H14168" s="1031"/>
      <c r="I14168" s="948"/>
    </row>
    <row r="14169" spans="2:9" ht="15.75">
      <c r="C14169" s="945" t="s">
        <v>919</v>
      </c>
      <c r="D14169" s="946"/>
      <c r="E14169" s="947"/>
      <c r="F14169" s="1068"/>
      <c r="G14169" s="946"/>
      <c r="H14169" s="1031"/>
      <c r="I14169" s="948"/>
    </row>
    <row r="14170" spans="2:9" ht="15.75">
      <c r="C14170" s="949" t="s">
        <v>924</v>
      </c>
      <c r="D14170" s="953">
        <v>8.33</v>
      </c>
      <c r="E14170" s="954" t="str">
        <f>+VLOOKUP(C14170,'Basic (equilibrio) (2)'!B:D,2,FALSE)</f>
        <v>n/a</v>
      </c>
      <c r="F14170" s="1068">
        <f>+VLOOKUP(C14170,'Basic (equilibrio) (2)'!B:D,3,FALSE)</f>
        <v>0</v>
      </c>
      <c r="G14170" s="946">
        <v>0</v>
      </c>
      <c r="H14170" s="1031"/>
      <c r="I14170" s="948">
        <f>(D14170*F14170)</f>
        <v>0</v>
      </c>
    </row>
    <row r="14171" spans="2:9" ht="15.75">
      <c r="C14171" s="951" t="s">
        <v>918</v>
      </c>
      <c r="D14171" s="946"/>
      <c r="E14171" s="947"/>
      <c r="F14171" s="1054"/>
      <c r="G14171" s="946"/>
      <c r="H14171" s="1031"/>
      <c r="I14171" s="952">
        <f>SUM(I14170:I14170)</f>
        <v>0</v>
      </c>
    </row>
    <row r="14172" spans="2:9" ht="15.75">
      <c r="C14172" s="949"/>
      <c r="D14172" s="946"/>
      <c r="E14172" s="947"/>
      <c r="F14172" s="1054"/>
      <c r="G14172" s="946"/>
      <c r="H14172" s="1031"/>
      <c r="I14172" s="948"/>
    </row>
    <row r="14173" spans="2:9" ht="15.75">
      <c r="C14173" s="945" t="s">
        <v>923</v>
      </c>
      <c r="D14173" s="946"/>
      <c r="E14173" s="947"/>
      <c r="F14173" s="1054"/>
      <c r="G14173" s="946"/>
      <c r="H14173" s="1031"/>
      <c r="I14173" s="948"/>
    </row>
    <row r="14174" spans="2:9" ht="15.75">
      <c r="C14174" s="949" t="s">
        <v>924</v>
      </c>
      <c r="D14174" s="946"/>
      <c r="E14174" s="947" t="str">
        <f>+VLOOKUP(C14174,'Basic (equilibrio) (2)'!B:D,2,FALSE)</f>
        <v>n/a</v>
      </c>
      <c r="F14174" s="1054">
        <f>+VLOOKUP(C14174,'Basic (equilibrio) (2)'!B:D,3,FALSE)</f>
        <v>0</v>
      </c>
      <c r="G14174" s="946">
        <f>F14174-(F14174/1.18)</f>
        <v>0</v>
      </c>
      <c r="H14174" s="1039"/>
      <c r="I14174" s="955">
        <f>D14174*F14174</f>
        <v>0</v>
      </c>
    </row>
    <row r="14175" spans="2:9" ht="15.75">
      <c r="C14175" s="951" t="s">
        <v>918</v>
      </c>
      <c r="D14175" s="946"/>
      <c r="E14175" s="947"/>
      <c r="F14175" s="1054"/>
      <c r="G14175" s="946"/>
      <c r="H14175" s="1031"/>
      <c r="I14175" s="952">
        <f>SUM(I14174:I14174)</f>
        <v>0</v>
      </c>
    </row>
    <row r="14176" spans="2:9" ht="15.75">
      <c r="C14176" s="949"/>
      <c r="D14176" s="946"/>
      <c r="E14176" s="947"/>
      <c r="F14176" s="1054"/>
      <c r="G14176" s="946"/>
      <c r="H14176" s="1031"/>
      <c r="I14176" s="948"/>
    </row>
    <row r="14177" spans="2:9" ht="15.75">
      <c r="C14177" s="945" t="s">
        <v>925</v>
      </c>
      <c r="D14177" s="946"/>
      <c r="E14177" s="947"/>
      <c r="F14177" s="1054"/>
      <c r="G14177" s="946"/>
      <c r="H14177" s="1031"/>
      <c r="I14177" s="948"/>
    </row>
    <row r="14178" spans="2:9" ht="15.75">
      <c r="C14178" s="949" t="s">
        <v>924</v>
      </c>
      <c r="D14178" s="946"/>
      <c r="E14178" s="947" t="str">
        <f>+VLOOKUP(C14178,'Basic (equilibrio) (2)'!B:D,2,FALSE)</f>
        <v>n/a</v>
      </c>
      <c r="F14178" s="1054">
        <f>+VLOOKUP(C14178,'Basic (equilibrio) (2)'!B:D,3,FALSE)</f>
        <v>0</v>
      </c>
      <c r="G14178" s="946"/>
      <c r="H14178" s="1031"/>
      <c r="I14178" s="948">
        <f>D14178*F14178</f>
        <v>0</v>
      </c>
    </row>
    <row r="14179" spans="2:9" ht="15.75">
      <c r="C14179" s="951" t="s">
        <v>918</v>
      </c>
      <c r="D14179" s="946"/>
      <c r="E14179" s="947"/>
      <c r="F14179" s="1054"/>
      <c r="G14179" s="946"/>
      <c r="H14179" s="1031"/>
      <c r="I14179" s="952">
        <f>SUM(I14178)</f>
        <v>0</v>
      </c>
    </row>
    <row r="14180" spans="2:9" ht="15.75">
      <c r="C14180" s="951"/>
      <c r="D14180" s="946"/>
      <c r="E14180" s="947"/>
      <c r="F14180" s="1054"/>
      <c r="G14180" s="946"/>
      <c r="H14180" s="1031"/>
      <c r="I14180" s="952"/>
    </row>
    <row r="14181" spans="2:9" ht="15.75">
      <c r="C14181" s="956" t="s">
        <v>926</v>
      </c>
      <c r="D14181" s="957"/>
      <c r="E14181" s="958"/>
      <c r="F14181" s="1069"/>
      <c r="G14181" s="957"/>
      <c r="H14181" s="1032"/>
      <c r="I14181" s="959">
        <f>+I14167</f>
        <v>566.4</v>
      </c>
    </row>
    <row r="14182" spans="2:9" ht="15.75">
      <c r="C14182" s="956" t="s">
        <v>927</v>
      </c>
      <c r="D14182" s="957"/>
      <c r="E14182" s="958"/>
      <c r="F14182" s="1069"/>
      <c r="G14182" s="957"/>
      <c r="H14182" s="1032"/>
      <c r="I14182" s="959">
        <f>+I14171</f>
        <v>0</v>
      </c>
    </row>
    <row r="14183" spans="2:9" ht="15.75">
      <c r="C14183" s="956" t="s">
        <v>928</v>
      </c>
      <c r="D14183" s="957"/>
      <c r="E14183" s="958"/>
      <c r="F14183" s="1069"/>
      <c r="G14183" s="957"/>
      <c r="H14183" s="1032"/>
      <c r="I14183" s="959">
        <f>+I14175</f>
        <v>0</v>
      </c>
    </row>
    <row r="14184" spans="2:9" ht="15.75">
      <c r="C14184" s="956" t="s">
        <v>929</v>
      </c>
      <c r="D14184" s="957"/>
      <c r="E14184" s="958"/>
      <c r="F14184" s="1069"/>
      <c r="G14184" s="957"/>
      <c r="H14184" s="1032"/>
      <c r="I14184" s="959">
        <f>+I14179</f>
        <v>0</v>
      </c>
    </row>
    <row r="14185" spans="2:9" ht="15.75">
      <c r="C14185" s="949"/>
      <c r="D14185" s="946"/>
      <c r="E14185" s="947"/>
      <c r="F14185" s="1054"/>
      <c r="G14185" s="946"/>
      <c r="H14185" s="1031"/>
      <c r="I14185" s="948"/>
    </row>
    <row r="14186" spans="2:9" ht="15.75">
      <c r="C14186" s="951" t="s">
        <v>930</v>
      </c>
      <c r="D14186" s="960"/>
      <c r="E14186" s="975" t="str">
        <f>+E14163</f>
        <v>PA</v>
      </c>
      <c r="F14186" s="1070"/>
      <c r="G14186" s="960"/>
      <c r="H14186" s="1033"/>
      <c r="I14186" s="952">
        <f>SUM(I14181:I14184)</f>
        <v>566.4</v>
      </c>
    </row>
    <row r="14187" spans="2:9" ht="15.75">
      <c r="C14187" s="951"/>
      <c r="D14187" s="960"/>
      <c r="E14187" s="943"/>
      <c r="F14187" s="1070"/>
      <c r="G14187" s="960"/>
      <c r="H14187" s="1033"/>
      <c r="I14187" s="952"/>
    </row>
    <row r="14188" spans="2:9" ht="15.75">
      <c r="B14188" s="1026">
        <v>1.6</v>
      </c>
      <c r="C14188" s="937" t="str">
        <f>+Presupuesto!B810</f>
        <v>Instalación de postes</v>
      </c>
      <c r="D14188" s="938"/>
      <c r="E14188" s="962" t="s">
        <v>38</v>
      </c>
      <c r="F14188" s="1066"/>
      <c r="G14188" s="938"/>
      <c r="H14188" s="1029"/>
      <c r="I14188" s="940">
        <f>+I14211</f>
        <v>3500</v>
      </c>
    </row>
    <row r="14189" spans="2:9" ht="15.75">
      <c r="C14189" s="941" t="s">
        <v>908</v>
      </c>
      <c r="D14189" s="942" t="s">
        <v>9</v>
      </c>
      <c r="E14189" s="943" t="s">
        <v>10</v>
      </c>
      <c r="F14189" s="1067" t="s">
        <v>909</v>
      </c>
      <c r="G14189" s="942" t="s">
        <v>910</v>
      </c>
      <c r="H14189" s="1030" t="s">
        <v>911</v>
      </c>
      <c r="I14189" s="944" t="s">
        <v>912</v>
      </c>
    </row>
    <row r="14190" spans="2:9" ht="15.75">
      <c r="C14190" s="945" t="s">
        <v>913</v>
      </c>
      <c r="D14190" s="946"/>
      <c r="E14190" s="947"/>
      <c r="F14190" s="1054"/>
      <c r="G14190" s="946"/>
      <c r="H14190" s="1031"/>
      <c r="I14190" s="948"/>
    </row>
    <row r="14191" spans="2:9" ht="15.75">
      <c r="C14191" s="949" t="s">
        <v>1711</v>
      </c>
      <c r="D14191" s="946">
        <v>1</v>
      </c>
      <c r="E14191" s="947" t="str">
        <f>+VLOOKUP(C14191,'Basic (equilibrio) (2)'!B:D,2,FALSE)</f>
        <v>und</v>
      </c>
      <c r="F14191" s="1068">
        <f>'Basic (equilibrio) (2)'!$D$376</f>
        <v>3500</v>
      </c>
      <c r="G14191" s="946">
        <f>F14191-(F14191/1.18)</f>
        <v>533.9</v>
      </c>
      <c r="H14191" s="1031"/>
      <c r="I14191" s="948">
        <f>D14191*F14191</f>
        <v>3500</v>
      </c>
    </row>
    <row r="14192" spans="2:9" ht="15.75">
      <c r="C14192" s="951" t="s">
        <v>918</v>
      </c>
      <c r="D14192" s="946"/>
      <c r="E14192" s="947"/>
      <c r="F14192" s="1068"/>
      <c r="G14192" s="946"/>
      <c r="H14192" s="1031"/>
      <c r="I14192" s="952">
        <f>SUM(I14191:I14191)</f>
        <v>3500</v>
      </c>
    </row>
    <row r="14193" spans="3:9" ht="15.75">
      <c r="C14193" s="949"/>
      <c r="D14193" s="946"/>
      <c r="E14193" s="947"/>
      <c r="F14193" s="1068"/>
      <c r="G14193" s="946"/>
      <c r="H14193" s="1031"/>
      <c r="I14193" s="948"/>
    </row>
    <row r="14194" spans="3:9" ht="15.75">
      <c r="C14194" s="945" t="s">
        <v>919</v>
      </c>
      <c r="D14194" s="946"/>
      <c r="E14194" s="947"/>
      <c r="F14194" s="1068"/>
      <c r="G14194" s="946"/>
      <c r="H14194" s="1031"/>
      <c r="I14194" s="948"/>
    </row>
    <row r="14195" spans="3:9" ht="15.75">
      <c r="C14195" s="949" t="s">
        <v>924</v>
      </c>
      <c r="D14195" s="953">
        <v>8.33</v>
      </c>
      <c r="E14195" s="954" t="str">
        <f>+VLOOKUP(C14195,'Basic (equilibrio) (2)'!B:D,2,FALSE)</f>
        <v>n/a</v>
      </c>
      <c r="F14195" s="1068">
        <f>+VLOOKUP(C14195,'Basic (equilibrio) (2)'!B:D,3,FALSE)</f>
        <v>0</v>
      </c>
      <c r="G14195" s="946">
        <v>0</v>
      </c>
      <c r="H14195" s="1031"/>
      <c r="I14195" s="948">
        <f>(D14195*F14195)</f>
        <v>0</v>
      </c>
    </row>
    <row r="14196" spans="3:9" ht="15.75">
      <c r="C14196" s="951" t="s">
        <v>918</v>
      </c>
      <c r="D14196" s="946"/>
      <c r="E14196" s="947"/>
      <c r="F14196" s="1054"/>
      <c r="G14196" s="946"/>
      <c r="H14196" s="1031"/>
      <c r="I14196" s="952">
        <f>SUM(I14195:I14195)</f>
        <v>0</v>
      </c>
    </row>
    <row r="14197" spans="3:9" ht="15.75">
      <c r="C14197" s="949"/>
      <c r="D14197" s="946"/>
      <c r="E14197" s="947"/>
      <c r="F14197" s="1054"/>
      <c r="G14197" s="946"/>
      <c r="H14197" s="1031"/>
      <c r="I14197" s="948"/>
    </row>
    <row r="14198" spans="3:9" ht="15.75">
      <c r="C14198" s="945" t="s">
        <v>923</v>
      </c>
      <c r="D14198" s="946"/>
      <c r="E14198" s="947"/>
      <c r="F14198" s="1054"/>
      <c r="G14198" s="946"/>
      <c r="H14198" s="1031"/>
      <c r="I14198" s="948"/>
    </row>
    <row r="14199" spans="3:9" ht="15.75">
      <c r="C14199" s="949" t="s">
        <v>924</v>
      </c>
      <c r="D14199" s="946"/>
      <c r="E14199" s="947" t="str">
        <f>+VLOOKUP(C14199,'Basic (equilibrio) (2)'!B:D,2,FALSE)</f>
        <v>n/a</v>
      </c>
      <c r="F14199" s="1054">
        <f>+VLOOKUP(C14199,'Basic (equilibrio) (2)'!B:D,3,FALSE)</f>
        <v>0</v>
      </c>
      <c r="G14199" s="946">
        <f>F14199-(F14199/1.18)</f>
        <v>0</v>
      </c>
      <c r="H14199" s="1039"/>
      <c r="I14199" s="955">
        <f>D14199*F14199</f>
        <v>0</v>
      </c>
    </row>
    <row r="14200" spans="3:9" ht="15.75">
      <c r="C14200" s="951" t="s">
        <v>918</v>
      </c>
      <c r="D14200" s="946"/>
      <c r="E14200" s="947"/>
      <c r="F14200" s="1054"/>
      <c r="G14200" s="946"/>
      <c r="H14200" s="1031"/>
      <c r="I14200" s="952">
        <f>SUM(I14199:I14199)</f>
        <v>0</v>
      </c>
    </row>
    <row r="14201" spans="3:9" ht="15.75">
      <c r="C14201" s="949"/>
      <c r="D14201" s="946"/>
      <c r="E14201" s="947"/>
      <c r="F14201" s="1054"/>
      <c r="G14201" s="946"/>
      <c r="H14201" s="1031"/>
      <c r="I14201" s="948"/>
    </row>
    <row r="14202" spans="3:9" ht="15.75">
      <c r="C14202" s="945" t="s">
        <v>925</v>
      </c>
      <c r="D14202" s="946"/>
      <c r="E14202" s="947"/>
      <c r="F14202" s="1054"/>
      <c r="G14202" s="946"/>
      <c r="H14202" s="1031"/>
      <c r="I14202" s="948"/>
    </row>
    <row r="14203" spans="3:9" ht="15.75">
      <c r="C14203" s="949" t="s">
        <v>924</v>
      </c>
      <c r="D14203" s="946"/>
      <c r="E14203" s="947" t="str">
        <f>+VLOOKUP(C14203,'Basic (equilibrio) (2)'!B:D,2,FALSE)</f>
        <v>n/a</v>
      </c>
      <c r="F14203" s="1054">
        <f>+VLOOKUP(C14203,'Basic (equilibrio) (2)'!B:D,3,FALSE)</f>
        <v>0</v>
      </c>
      <c r="G14203" s="946"/>
      <c r="H14203" s="1031"/>
      <c r="I14203" s="948">
        <f>D14203*F14203</f>
        <v>0</v>
      </c>
    </row>
    <row r="14204" spans="3:9" ht="15.75">
      <c r="C14204" s="951" t="s">
        <v>918</v>
      </c>
      <c r="D14204" s="946"/>
      <c r="E14204" s="947"/>
      <c r="F14204" s="1054"/>
      <c r="G14204" s="946"/>
      <c r="H14204" s="1031"/>
      <c r="I14204" s="952">
        <f>SUM(I14203)</f>
        <v>0</v>
      </c>
    </row>
    <row r="14205" spans="3:9" ht="15.75">
      <c r="C14205" s="951"/>
      <c r="D14205" s="946"/>
      <c r="E14205" s="947"/>
      <c r="F14205" s="1054"/>
      <c r="G14205" s="946"/>
      <c r="H14205" s="1031"/>
      <c r="I14205" s="952"/>
    </row>
    <row r="14206" spans="3:9" ht="15.75">
      <c r="C14206" s="956" t="s">
        <v>926</v>
      </c>
      <c r="D14206" s="957"/>
      <c r="E14206" s="958"/>
      <c r="F14206" s="1069"/>
      <c r="G14206" s="957"/>
      <c r="H14206" s="1032"/>
      <c r="I14206" s="959">
        <f>+I14192</f>
        <v>3500</v>
      </c>
    </row>
    <row r="14207" spans="3:9" ht="15.75">
      <c r="C14207" s="956" t="s">
        <v>927</v>
      </c>
      <c r="D14207" s="957"/>
      <c r="E14207" s="958"/>
      <c r="F14207" s="1069"/>
      <c r="G14207" s="957"/>
      <c r="H14207" s="1032"/>
      <c r="I14207" s="959">
        <f>+I14196</f>
        <v>0</v>
      </c>
    </row>
    <row r="14208" spans="3:9" ht="15.75">
      <c r="C14208" s="956" t="s">
        <v>928</v>
      </c>
      <c r="D14208" s="957"/>
      <c r="E14208" s="958"/>
      <c r="F14208" s="1069"/>
      <c r="G14208" s="957"/>
      <c r="H14208" s="1032"/>
      <c r="I14208" s="959">
        <f>+I14200</f>
        <v>0</v>
      </c>
    </row>
    <row r="14209" spans="2:9" ht="15.75">
      <c r="C14209" s="956" t="s">
        <v>929</v>
      </c>
      <c r="D14209" s="957"/>
      <c r="E14209" s="958"/>
      <c r="F14209" s="1069"/>
      <c r="G14209" s="957"/>
      <c r="H14209" s="1032"/>
      <c r="I14209" s="959">
        <f>+I14204</f>
        <v>0</v>
      </c>
    </row>
    <row r="14210" spans="2:9" ht="15.75">
      <c r="C14210" s="949"/>
      <c r="D14210" s="946"/>
      <c r="E14210" s="947"/>
      <c r="F14210" s="1054"/>
      <c r="G14210" s="946"/>
      <c r="H14210" s="1031"/>
      <c r="I14210" s="948"/>
    </row>
    <row r="14211" spans="2:9" ht="15.75">
      <c r="C14211" s="951" t="s">
        <v>930</v>
      </c>
      <c r="D14211" s="960"/>
      <c r="E14211" s="975" t="str">
        <f>+E14188</f>
        <v>UD</v>
      </c>
      <c r="F14211" s="1070"/>
      <c r="G14211" s="960"/>
      <c r="H14211" s="1033"/>
      <c r="I14211" s="952">
        <f>SUM(I14206:I14209)</f>
        <v>3500</v>
      </c>
    </row>
    <row r="14212" spans="2:9" ht="15.75">
      <c r="C14212" s="951"/>
      <c r="D14212" s="960"/>
      <c r="E14212" s="943"/>
      <c r="F14212" s="1070"/>
      <c r="G14212" s="960"/>
      <c r="H14212" s="1033"/>
      <c r="I14212" s="952"/>
    </row>
    <row r="14213" spans="2:9" ht="15.75">
      <c r="C14213" s="951"/>
      <c r="D14213" s="960"/>
      <c r="E14213" s="943"/>
      <c r="F14213" s="1070"/>
      <c r="G14213" s="960"/>
      <c r="H14213" s="1033"/>
      <c r="I14213" s="952"/>
    </row>
    <row r="14214" spans="2:9" ht="15.75">
      <c r="B14214" s="1026">
        <v>1.7</v>
      </c>
      <c r="C14214" s="937" t="str">
        <f>+Presupuesto!B811</f>
        <v>Mano de obra eléctrica</v>
      </c>
      <c r="D14214" s="938"/>
      <c r="E14214" s="962" t="s">
        <v>1056</v>
      </c>
      <c r="F14214" s="1066"/>
      <c r="G14214" s="938"/>
      <c r="H14214" s="1029"/>
      <c r="I14214" s="940">
        <f>+I14237</f>
        <v>45000</v>
      </c>
    </row>
    <row r="14215" spans="2:9" ht="15.75">
      <c r="C14215" s="941" t="s">
        <v>908</v>
      </c>
      <c r="D14215" s="942" t="s">
        <v>9</v>
      </c>
      <c r="E14215" s="943" t="s">
        <v>10</v>
      </c>
      <c r="F14215" s="1067" t="s">
        <v>909</v>
      </c>
      <c r="G14215" s="942" t="s">
        <v>910</v>
      </c>
      <c r="H14215" s="1030" t="s">
        <v>911</v>
      </c>
      <c r="I14215" s="944" t="s">
        <v>912</v>
      </c>
    </row>
    <row r="14216" spans="2:9" ht="15.75">
      <c r="C14216" s="945" t="s">
        <v>913</v>
      </c>
      <c r="D14216" s="946"/>
      <c r="E14216" s="947"/>
      <c r="F14216" s="1054"/>
      <c r="G14216" s="946"/>
      <c r="H14216" s="1031"/>
      <c r="I14216" s="948"/>
    </row>
    <row r="14217" spans="2:9" ht="15.75">
      <c r="C14217" s="949" t="s">
        <v>1704</v>
      </c>
      <c r="D14217" s="946">
        <v>1</v>
      </c>
      <c r="E14217" s="947" t="str">
        <f>+VLOOKUP(C14217,'Basic (equilibrio) (2)'!B:D,2,FALSE)</f>
        <v>P.a</v>
      </c>
      <c r="F14217" s="1068">
        <f>'Basic (equilibrio) (2)'!$D$377</f>
        <v>45000</v>
      </c>
      <c r="G14217" s="946">
        <f>F14217-(F14217/1.18)</f>
        <v>6864.41</v>
      </c>
      <c r="H14217" s="1031"/>
      <c r="I14217" s="948">
        <f>D14217*F14217</f>
        <v>45000</v>
      </c>
    </row>
    <row r="14218" spans="2:9" ht="15.75">
      <c r="C14218" s="951" t="s">
        <v>918</v>
      </c>
      <c r="D14218" s="946"/>
      <c r="E14218" s="947"/>
      <c r="F14218" s="1068"/>
      <c r="G14218" s="946"/>
      <c r="H14218" s="1031"/>
      <c r="I14218" s="952">
        <f>SUM(I14217:I14217)</f>
        <v>45000</v>
      </c>
    </row>
    <row r="14219" spans="2:9" ht="15.75">
      <c r="C14219" s="949"/>
      <c r="D14219" s="946"/>
      <c r="E14219" s="947"/>
      <c r="F14219" s="1068"/>
      <c r="G14219" s="946"/>
      <c r="H14219" s="1031"/>
      <c r="I14219" s="948"/>
    </row>
    <row r="14220" spans="2:9" ht="15.75">
      <c r="C14220" s="945" t="s">
        <v>919</v>
      </c>
      <c r="D14220" s="946"/>
      <c r="E14220" s="947"/>
      <c r="F14220" s="1068"/>
      <c r="G14220" s="946"/>
      <c r="H14220" s="1031"/>
      <c r="I14220" s="948"/>
    </row>
    <row r="14221" spans="2:9" ht="15.75">
      <c r="C14221" s="949" t="s">
        <v>924</v>
      </c>
      <c r="D14221" s="953">
        <v>8.33</v>
      </c>
      <c r="E14221" s="954" t="str">
        <f>+VLOOKUP(C14221,'Basic (equilibrio) (2)'!B:D,2,FALSE)</f>
        <v>n/a</v>
      </c>
      <c r="F14221" s="1068">
        <f>+VLOOKUP(C14221,'Basic (equilibrio) (2)'!B:D,3,FALSE)</f>
        <v>0</v>
      </c>
      <c r="G14221" s="946">
        <v>0</v>
      </c>
      <c r="H14221" s="1031"/>
      <c r="I14221" s="948">
        <f>(D14221*F14221)</f>
        <v>0</v>
      </c>
    </row>
    <row r="14222" spans="2:9" ht="15.75">
      <c r="C14222" s="951" t="s">
        <v>918</v>
      </c>
      <c r="D14222" s="946"/>
      <c r="E14222" s="947"/>
      <c r="F14222" s="1054"/>
      <c r="G14222" s="946"/>
      <c r="H14222" s="1031"/>
      <c r="I14222" s="952">
        <f>SUM(I14221:I14221)</f>
        <v>0</v>
      </c>
    </row>
    <row r="14223" spans="2:9" ht="15.75">
      <c r="C14223" s="949"/>
      <c r="D14223" s="946"/>
      <c r="E14223" s="947"/>
      <c r="F14223" s="1054"/>
      <c r="G14223" s="946"/>
      <c r="H14223" s="1031"/>
      <c r="I14223" s="948"/>
    </row>
    <row r="14224" spans="2:9" ht="15.75">
      <c r="C14224" s="945" t="s">
        <v>923</v>
      </c>
      <c r="D14224" s="946"/>
      <c r="E14224" s="947"/>
      <c r="F14224" s="1054"/>
      <c r="G14224" s="946"/>
      <c r="H14224" s="1031"/>
      <c r="I14224" s="948"/>
    </row>
    <row r="14225" spans="2:9" ht="15.75">
      <c r="C14225" s="949" t="s">
        <v>924</v>
      </c>
      <c r="D14225" s="946"/>
      <c r="E14225" s="947" t="str">
        <f>+VLOOKUP(C14225,'Basic (equilibrio) (2)'!B:D,2,FALSE)</f>
        <v>n/a</v>
      </c>
      <c r="F14225" s="1054">
        <f>+VLOOKUP(C14225,'Basic (equilibrio) (2)'!B:D,3,FALSE)</f>
        <v>0</v>
      </c>
      <c r="G14225" s="946">
        <f>F14225-(F14225/1.18)</f>
        <v>0</v>
      </c>
      <c r="H14225" s="1039"/>
      <c r="I14225" s="955">
        <f>D14225*F14225</f>
        <v>0</v>
      </c>
    </row>
    <row r="14226" spans="2:9" ht="15.75">
      <c r="C14226" s="951" t="s">
        <v>918</v>
      </c>
      <c r="D14226" s="946"/>
      <c r="E14226" s="947"/>
      <c r="F14226" s="1054"/>
      <c r="G14226" s="946"/>
      <c r="H14226" s="1031"/>
      <c r="I14226" s="952">
        <f>SUM(I14225:I14225)</f>
        <v>0</v>
      </c>
    </row>
    <row r="14227" spans="2:9" ht="15.75">
      <c r="C14227" s="949"/>
      <c r="D14227" s="946"/>
      <c r="E14227" s="947"/>
      <c r="F14227" s="1054"/>
      <c r="G14227" s="946"/>
      <c r="H14227" s="1031"/>
      <c r="I14227" s="948"/>
    </row>
    <row r="14228" spans="2:9" ht="15.75">
      <c r="C14228" s="945" t="s">
        <v>925</v>
      </c>
      <c r="D14228" s="946"/>
      <c r="E14228" s="947"/>
      <c r="F14228" s="1054"/>
      <c r="G14228" s="946"/>
      <c r="H14228" s="1031"/>
      <c r="I14228" s="948"/>
    </row>
    <row r="14229" spans="2:9" ht="15.75">
      <c r="C14229" s="949" t="s">
        <v>924</v>
      </c>
      <c r="D14229" s="946"/>
      <c r="E14229" s="947" t="str">
        <f>+VLOOKUP(C14229,'Basic (equilibrio) (2)'!B:D,2,FALSE)</f>
        <v>n/a</v>
      </c>
      <c r="F14229" s="1054">
        <f>+VLOOKUP(C14229,'Basic (equilibrio) (2)'!B:D,3,FALSE)</f>
        <v>0</v>
      </c>
      <c r="G14229" s="946"/>
      <c r="H14229" s="1031"/>
      <c r="I14229" s="948">
        <f>D14229*F14229</f>
        <v>0</v>
      </c>
    </row>
    <row r="14230" spans="2:9" ht="15.75">
      <c r="C14230" s="951" t="s">
        <v>918</v>
      </c>
      <c r="D14230" s="946"/>
      <c r="E14230" s="947"/>
      <c r="F14230" s="1054"/>
      <c r="G14230" s="946"/>
      <c r="H14230" s="1031"/>
      <c r="I14230" s="952">
        <f>SUM(I14229)</f>
        <v>0</v>
      </c>
    </row>
    <row r="14231" spans="2:9" ht="15.75">
      <c r="C14231" s="951"/>
      <c r="D14231" s="946"/>
      <c r="E14231" s="947"/>
      <c r="F14231" s="1054"/>
      <c r="G14231" s="946"/>
      <c r="H14231" s="1031"/>
      <c r="I14231" s="952"/>
    </row>
    <row r="14232" spans="2:9" ht="15.75">
      <c r="C14232" s="956" t="s">
        <v>926</v>
      </c>
      <c r="D14232" s="957"/>
      <c r="E14232" s="958"/>
      <c r="F14232" s="1069"/>
      <c r="G14232" s="957"/>
      <c r="H14232" s="1032"/>
      <c r="I14232" s="959">
        <f>+I14218</f>
        <v>45000</v>
      </c>
    </row>
    <row r="14233" spans="2:9" ht="15.75">
      <c r="C14233" s="956" t="s">
        <v>927</v>
      </c>
      <c r="D14233" s="957"/>
      <c r="E14233" s="958"/>
      <c r="F14233" s="1069"/>
      <c r="G14233" s="957"/>
      <c r="H14233" s="1032"/>
      <c r="I14233" s="959">
        <f>+I14222</f>
        <v>0</v>
      </c>
    </row>
    <row r="14234" spans="2:9" ht="15.75">
      <c r="C14234" s="956" t="s">
        <v>928</v>
      </c>
      <c r="D14234" s="957"/>
      <c r="E14234" s="958"/>
      <c r="F14234" s="1069"/>
      <c r="G14234" s="957"/>
      <c r="H14234" s="1032"/>
      <c r="I14234" s="959">
        <f>+I14226</f>
        <v>0</v>
      </c>
    </row>
    <row r="14235" spans="2:9" ht="15.75">
      <c r="C14235" s="956" t="s">
        <v>929</v>
      </c>
      <c r="D14235" s="957"/>
      <c r="E14235" s="958"/>
      <c r="F14235" s="1069"/>
      <c r="G14235" s="957"/>
      <c r="H14235" s="1032"/>
      <c r="I14235" s="959">
        <f>+I14230</f>
        <v>0</v>
      </c>
    </row>
    <row r="14236" spans="2:9" ht="15.75">
      <c r="C14236" s="949"/>
      <c r="D14236" s="946"/>
      <c r="E14236" s="947"/>
      <c r="F14236" s="1054"/>
      <c r="G14236" s="946"/>
      <c r="H14236" s="1031"/>
      <c r="I14236" s="948"/>
    </row>
    <row r="14237" spans="2:9" ht="15.75">
      <c r="C14237" s="951" t="s">
        <v>930</v>
      </c>
      <c r="D14237" s="960"/>
      <c r="E14237" s="975" t="str">
        <f>+E14214</f>
        <v>ud</v>
      </c>
      <c r="F14237" s="1070"/>
      <c r="G14237" s="960"/>
      <c r="H14237" s="1033"/>
      <c r="I14237" s="952">
        <f>SUM(I14232:I14235)</f>
        <v>45000</v>
      </c>
    </row>
    <row r="14238" spans="2:9" ht="15.75">
      <c r="C14238" s="951"/>
      <c r="D14238" s="960"/>
      <c r="E14238" s="943"/>
      <c r="F14238" s="1070"/>
      <c r="G14238" s="960"/>
      <c r="H14238" s="1033"/>
      <c r="I14238" s="952"/>
    </row>
    <row r="14239" spans="2:9" ht="31.5">
      <c r="B14239" s="1026">
        <v>2.1</v>
      </c>
      <c r="C14239" s="937" t="str">
        <f>+Presupuesto!B814</f>
        <v>Reflector LED tipo campana de 80 Watts, 100-240 Volts, 60 HZ</v>
      </c>
      <c r="D14239" s="938"/>
      <c r="E14239" s="962" t="s">
        <v>1056</v>
      </c>
      <c r="F14239" s="1066"/>
      <c r="G14239" s="938"/>
      <c r="H14239" s="1029"/>
      <c r="I14239" s="940">
        <f>+I14262</f>
        <v>3500</v>
      </c>
    </row>
    <row r="14240" spans="2:9" ht="15.75">
      <c r="C14240" s="941" t="s">
        <v>908</v>
      </c>
      <c r="D14240" s="942" t="s">
        <v>9</v>
      </c>
      <c r="E14240" s="943" t="s">
        <v>10</v>
      </c>
      <c r="F14240" s="1067" t="s">
        <v>909</v>
      </c>
      <c r="G14240" s="942" t="s">
        <v>910</v>
      </c>
      <c r="H14240" s="1030" t="s">
        <v>911</v>
      </c>
      <c r="I14240" s="944" t="s">
        <v>912</v>
      </c>
    </row>
    <row r="14241" spans="3:9" ht="15.75">
      <c r="C14241" s="945" t="s">
        <v>913</v>
      </c>
      <c r="D14241" s="946"/>
      <c r="E14241" s="947"/>
      <c r="F14241" s="1054"/>
      <c r="G14241" s="946"/>
      <c r="H14241" s="1031"/>
      <c r="I14241" s="948"/>
    </row>
    <row r="14242" spans="3:9" ht="15.75">
      <c r="C14242" s="949" t="s">
        <v>1712</v>
      </c>
      <c r="D14242" s="946">
        <v>1</v>
      </c>
      <c r="E14242" s="947" t="str">
        <f>+VLOOKUP(C14242,'Basic (equilibrio) (2)'!B:D,2,FALSE)</f>
        <v>und</v>
      </c>
      <c r="F14242" s="1068">
        <f>'Basic (equilibrio) (2)'!$D$378</f>
        <v>3500</v>
      </c>
      <c r="G14242" s="946">
        <f>F14242-(F14242/1.18)</f>
        <v>533.9</v>
      </c>
      <c r="H14242" s="1031"/>
      <c r="I14242" s="948">
        <f>D14242*F14242</f>
        <v>3500</v>
      </c>
    </row>
    <row r="14243" spans="3:9" ht="15.75">
      <c r="C14243" s="951" t="s">
        <v>918</v>
      </c>
      <c r="D14243" s="946"/>
      <c r="E14243" s="947"/>
      <c r="F14243" s="1068"/>
      <c r="G14243" s="946"/>
      <c r="H14243" s="1031"/>
      <c r="I14243" s="952">
        <f>SUM(I14242:I14242)</f>
        <v>3500</v>
      </c>
    </row>
    <row r="14244" spans="3:9" ht="15.75">
      <c r="C14244" s="949"/>
      <c r="D14244" s="946"/>
      <c r="E14244" s="947"/>
      <c r="F14244" s="1068"/>
      <c r="G14244" s="946"/>
      <c r="H14244" s="1031"/>
      <c r="I14244" s="948"/>
    </row>
    <row r="14245" spans="3:9" ht="15.75">
      <c r="C14245" s="945" t="s">
        <v>919</v>
      </c>
      <c r="D14245" s="946"/>
      <c r="E14245" s="947"/>
      <c r="F14245" s="1068"/>
      <c r="G14245" s="946"/>
      <c r="H14245" s="1031"/>
      <c r="I14245" s="948"/>
    </row>
    <row r="14246" spans="3:9" ht="15.75">
      <c r="C14246" s="949" t="s">
        <v>924</v>
      </c>
      <c r="D14246" s="953">
        <v>8.33</v>
      </c>
      <c r="E14246" s="954" t="str">
        <f>+VLOOKUP(C14246,'Basic (equilibrio) (2)'!B:D,2,FALSE)</f>
        <v>n/a</v>
      </c>
      <c r="F14246" s="1068">
        <f>+VLOOKUP(C14246,'Basic (equilibrio) (2)'!B:D,3,FALSE)</f>
        <v>0</v>
      </c>
      <c r="G14246" s="946">
        <v>0</v>
      </c>
      <c r="H14246" s="1031"/>
      <c r="I14246" s="948">
        <f>(D14246*F14246)</f>
        <v>0</v>
      </c>
    </row>
    <row r="14247" spans="3:9" ht="15.75">
      <c r="C14247" s="951" t="s">
        <v>918</v>
      </c>
      <c r="D14247" s="946"/>
      <c r="E14247" s="947"/>
      <c r="F14247" s="1054"/>
      <c r="G14247" s="946"/>
      <c r="H14247" s="1031"/>
      <c r="I14247" s="952">
        <f>SUM(I14246:I14246)</f>
        <v>0</v>
      </c>
    </row>
    <row r="14248" spans="3:9" ht="15.75">
      <c r="C14248" s="949"/>
      <c r="D14248" s="946"/>
      <c r="E14248" s="947"/>
      <c r="F14248" s="1054"/>
      <c r="G14248" s="946"/>
      <c r="H14248" s="1031"/>
      <c r="I14248" s="948"/>
    </row>
    <row r="14249" spans="3:9" ht="15.75">
      <c r="C14249" s="945" t="s">
        <v>923</v>
      </c>
      <c r="D14249" s="946"/>
      <c r="E14249" s="947"/>
      <c r="F14249" s="1054"/>
      <c r="G14249" s="946"/>
      <c r="H14249" s="1031"/>
      <c r="I14249" s="948"/>
    </row>
    <row r="14250" spans="3:9" ht="15.75">
      <c r="C14250" s="949" t="s">
        <v>924</v>
      </c>
      <c r="D14250" s="946"/>
      <c r="E14250" s="947" t="str">
        <f>+VLOOKUP(C14250,'Basic (equilibrio) (2)'!B:D,2,FALSE)</f>
        <v>n/a</v>
      </c>
      <c r="F14250" s="1054">
        <f>+VLOOKUP(C14250,'Basic (equilibrio) (2)'!B:D,3,FALSE)</f>
        <v>0</v>
      </c>
      <c r="G14250" s="946">
        <f>F14250-(F14250/1.18)</f>
        <v>0</v>
      </c>
      <c r="H14250" s="1039"/>
      <c r="I14250" s="955">
        <f>D14250*F14250</f>
        <v>0</v>
      </c>
    </row>
    <row r="14251" spans="3:9" ht="15.75">
      <c r="C14251" s="951" t="s">
        <v>918</v>
      </c>
      <c r="D14251" s="946"/>
      <c r="E14251" s="947"/>
      <c r="F14251" s="1054"/>
      <c r="G14251" s="946"/>
      <c r="H14251" s="1031"/>
      <c r="I14251" s="952">
        <f>SUM(I14250:I14250)</f>
        <v>0</v>
      </c>
    </row>
    <row r="14252" spans="3:9" ht="15.75">
      <c r="C14252" s="949"/>
      <c r="D14252" s="946"/>
      <c r="E14252" s="947"/>
      <c r="F14252" s="1054"/>
      <c r="G14252" s="946"/>
      <c r="H14252" s="1031"/>
      <c r="I14252" s="948"/>
    </row>
    <row r="14253" spans="3:9" ht="15.75">
      <c r="C14253" s="945" t="s">
        <v>925</v>
      </c>
      <c r="D14253" s="946"/>
      <c r="E14253" s="947"/>
      <c r="F14253" s="1054"/>
      <c r="G14253" s="946"/>
      <c r="H14253" s="1031"/>
      <c r="I14253" s="948"/>
    </row>
    <row r="14254" spans="3:9" ht="15.75">
      <c r="C14254" s="949" t="s">
        <v>924</v>
      </c>
      <c r="D14254" s="946"/>
      <c r="E14254" s="947" t="str">
        <f>+VLOOKUP(C14254,'Basic (equilibrio) (2)'!B:D,2,FALSE)</f>
        <v>n/a</v>
      </c>
      <c r="F14254" s="1054">
        <f>+VLOOKUP(C14254,'Basic (equilibrio) (2)'!B:D,3,FALSE)</f>
        <v>0</v>
      </c>
      <c r="G14254" s="946"/>
      <c r="H14254" s="1031"/>
      <c r="I14254" s="948">
        <f>D14254*F14254</f>
        <v>0</v>
      </c>
    </row>
    <row r="14255" spans="3:9" ht="15.75">
      <c r="C14255" s="951" t="s">
        <v>918</v>
      </c>
      <c r="D14255" s="946"/>
      <c r="E14255" s="947"/>
      <c r="F14255" s="1054"/>
      <c r="G14255" s="946"/>
      <c r="H14255" s="1031"/>
      <c r="I14255" s="952">
        <f>SUM(I14254)</f>
        <v>0</v>
      </c>
    </row>
    <row r="14256" spans="3:9" ht="15.75">
      <c r="C14256" s="951"/>
      <c r="D14256" s="946"/>
      <c r="E14256" s="947"/>
      <c r="F14256" s="1054"/>
      <c r="G14256" s="946"/>
      <c r="H14256" s="1031"/>
      <c r="I14256" s="952"/>
    </row>
    <row r="14257" spans="2:9" ht="15.75">
      <c r="C14257" s="956" t="s">
        <v>926</v>
      </c>
      <c r="D14257" s="957"/>
      <c r="E14257" s="958"/>
      <c r="F14257" s="1069"/>
      <c r="G14257" s="957"/>
      <c r="H14257" s="1032"/>
      <c r="I14257" s="959">
        <f>+I14243</f>
        <v>3500</v>
      </c>
    </row>
    <row r="14258" spans="2:9" ht="15.75">
      <c r="C14258" s="956" t="s">
        <v>927</v>
      </c>
      <c r="D14258" s="957"/>
      <c r="E14258" s="958"/>
      <c r="F14258" s="1069"/>
      <c r="G14258" s="957"/>
      <c r="H14258" s="1032"/>
      <c r="I14258" s="959">
        <f>+I14247</f>
        <v>0</v>
      </c>
    </row>
    <row r="14259" spans="2:9" ht="15.75">
      <c r="C14259" s="956" t="s">
        <v>928</v>
      </c>
      <c r="D14259" s="957"/>
      <c r="E14259" s="958"/>
      <c r="F14259" s="1069"/>
      <c r="G14259" s="957"/>
      <c r="H14259" s="1032"/>
      <c r="I14259" s="959">
        <f>+I14251</f>
        <v>0</v>
      </c>
    </row>
    <row r="14260" spans="2:9" ht="15.75">
      <c r="C14260" s="956" t="s">
        <v>929</v>
      </c>
      <c r="D14260" s="957"/>
      <c r="E14260" s="958"/>
      <c r="F14260" s="1069"/>
      <c r="G14260" s="957"/>
      <c r="H14260" s="1032"/>
      <c r="I14260" s="959">
        <f>+I14255</f>
        <v>0</v>
      </c>
    </row>
    <row r="14261" spans="2:9" ht="15.75">
      <c r="C14261" s="949"/>
      <c r="D14261" s="946"/>
      <c r="E14261" s="947"/>
      <c r="F14261" s="1054"/>
      <c r="G14261" s="946"/>
      <c r="H14261" s="1031"/>
      <c r="I14261" s="948"/>
    </row>
    <row r="14262" spans="2:9" ht="15.75">
      <c r="C14262" s="951" t="s">
        <v>930</v>
      </c>
      <c r="D14262" s="960"/>
      <c r="E14262" s="975" t="str">
        <f>+E14239</f>
        <v>ud</v>
      </c>
      <c r="F14262" s="1070"/>
      <c r="G14262" s="960"/>
      <c r="H14262" s="1033"/>
      <c r="I14262" s="952">
        <f>SUM(I14257:I14260)</f>
        <v>3500</v>
      </c>
    </row>
    <row r="14263" spans="2:9" ht="15.75">
      <c r="C14263" s="951"/>
      <c r="D14263" s="960"/>
      <c r="E14263" s="943"/>
      <c r="F14263" s="1070"/>
      <c r="G14263" s="960"/>
      <c r="H14263" s="1033"/>
      <c r="I14263" s="952"/>
    </row>
    <row r="14264" spans="2:9" ht="15.75">
      <c r="B14264" s="1026">
        <v>2.2000000000000002</v>
      </c>
      <c r="C14264" s="937" t="str">
        <f>+Presupuesto!B815</f>
        <v>Salidas eléctricas para tomacorrientes dobles 120V</v>
      </c>
      <c r="D14264" s="938"/>
      <c r="E14264" s="962" t="s">
        <v>1056</v>
      </c>
      <c r="F14264" s="1066"/>
      <c r="G14264" s="938"/>
      <c r="H14264" s="1029"/>
      <c r="I14264" s="940">
        <f>+I14287</f>
        <v>2133</v>
      </c>
    </row>
    <row r="14265" spans="2:9" ht="15.75">
      <c r="C14265" s="941" t="s">
        <v>908</v>
      </c>
      <c r="D14265" s="942" t="s">
        <v>9</v>
      </c>
      <c r="E14265" s="943" t="s">
        <v>10</v>
      </c>
      <c r="F14265" s="1067" t="s">
        <v>909</v>
      </c>
      <c r="G14265" s="942" t="s">
        <v>910</v>
      </c>
      <c r="H14265" s="1030" t="s">
        <v>911</v>
      </c>
      <c r="I14265" s="944" t="s">
        <v>912</v>
      </c>
    </row>
    <row r="14266" spans="2:9" ht="15.75">
      <c r="C14266" s="945" t="s">
        <v>913</v>
      </c>
      <c r="D14266" s="946"/>
      <c r="E14266" s="947"/>
      <c r="F14266" s="1054"/>
      <c r="G14266" s="946"/>
      <c r="H14266" s="1031"/>
      <c r="I14266" s="948"/>
    </row>
    <row r="14267" spans="2:9" ht="15.75">
      <c r="C14267" s="949" t="s">
        <v>1622</v>
      </c>
      <c r="D14267" s="946">
        <v>1</v>
      </c>
      <c r="E14267" s="947" t="str">
        <f>+VLOOKUP(C14267,'Basic (equilibrio) (2)'!B:D,2,FALSE)</f>
        <v>ud</v>
      </c>
      <c r="F14267" s="1068">
        <f>'Basic (equilibrio) (2)'!$D$237</f>
        <v>2133</v>
      </c>
      <c r="G14267" s="946">
        <f>F14267-(F14267/1.18)</f>
        <v>325.37</v>
      </c>
      <c r="H14267" s="1031"/>
      <c r="I14267" s="948">
        <f>D14267*F14267</f>
        <v>2133</v>
      </c>
    </row>
    <row r="14268" spans="2:9" ht="15.75">
      <c r="C14268" s="951" t="s">
        <v>918</v>
      </c>
      <c r="D14268" s="946"/>
      <c r="E14268" s="947"/>
      <c r="F14268" s="1068"/>
      <c r="G14268" s="946"/>
      <c r="H14268" s="1031"/>
      <c r="I14268" s="952">
        <f>SUM(I14267:I14267)</f>
        <v>2133</v>
      </c>
    </row>
    <row r="14269" spans="2:9" ht="15.75">
      <c r="C14269" s="949"/>
      <c r="D14269" s="946"/>
      <c r="E14269" s="947"/>
      <c r="F14269" s="1068"/>
      <c r="G14269" s="946"/>
      <c r="H14269" s="1031"/>
      <c r="I14269" s="948"/>
    </row>
    <row r="14270" spans="2:9" ht="15.75">
      <c r="C14270" s="945" t="s">
        <v>919</v>
      </c>
      <c r="D14270" s="946"/>
      <c r="E14270" s="947"/>
      <c r="F14270" s="1068"/>
      <c r="G14270" s="946"/>
      <c r="H14270" s="1031"/>
      <c r="I14270" s="948"/>
    </row>
    <row r="14271" spans="2:9" ht="15.75">
      <c r="C14271" s="949" t="s">
        <v>924</v>
      </c>
      <c r="D14271" s="953">
        <v>8.33</v>
      </c>
      <c r="E14271" s="954" t="str">
        <f>+VLOOKUP(C14271,'Basic (equilibrio) (2)'!B:D,2,FALSE)</f>
        <v>n/a</v>
      </c>
      <c r="F14271" s="1068">
        <f>+VLOOKUP(C14271,'Basic (equilibrio) (2)'!B:D,3,FALSE)</f>
        <v>0</v>
      </c>
      <c r="G14271" s="946">
        <v>0</v>
      </c>
      <c r="H14271" s="1031"/>
      <c r="I14271" s="948">
        <f>(D14271*F14271)</f>
        <v>0</v>
      </c>
    </row>
    <row r="14272" spans="2:9" ht="15.75">
      <c r="C14272" s="951" t="s">
        <v>918</v>
      </c>
      <c r="D14272" s="946"/>
      <c r="E14272" s="947"/>
      <c r="F14272" s="1054"/>
      <c r="G14272" s="946"/>
      <c r="H14272" s="1031"/>
      <c r="I14272" s="952">
        <f>SUM(I14271:I14271)</f>
        <v>0</v>
      </c>
    </row>
    <row r="14273" spans="3:9" ht="15.75">
      <c r="C14273" s="949"/>
      <c r="D14273" s="946"/>
      <c r="E14273" s="947"/>
      <c r="F14273" s="1054"/>
      <c r="G14273" s="946"/>
      <c r="H14273" s="1031"/>
      <c r="I14273" s="948"/>
    </row>
    <row r="14274" spans="3:9" ht="15.75">
      <c r="C14274" s="945" t="s">
        <v>923</v>
      </c>
      <c r="D14274" s="946"/>
      <c r="E14274" s="947"/>
      <c r="F14274" s="1054"/>
      <c r="G14274" s="946"/>
      <c r="H14274" s="1031"/>
      <c r="I14274" s="948"/>
    </row>
    <row r="14275" spans="3:9" ht="15.75">
      <c r="C14275" s="949" t="s">
        <v>924</v>
      </c>
      <c r="D14275" s="946"/>
      <c r="E14275" s="947" t="str">
        <f>+VLOOKUP(C14275,'Basic (equilibrio) (2)'!B:D,2,FALSE)</f>
        <v>n/a</v>
      </c>
      <c r="F14275" s="1054">
        <f>+VLOOKUP(C14275,'Basic (equilibrio) (2)'!B:D,3,FALSE)</f>
        <v>0</v>
      </c>
      <c r="G14275" s="946">
        <f>F14275-(F14275/1.18)</f>
        <v>0</v>
      </c>
      <c r="H14275" s="1039"/>
      <c r="I14275" s="955">
        <f>D14275*F14275</f>
        <v>0</v>
      </c>
    </row>
    <row r="14276" spans="3:9" ht="15.75">
      <c r="C14276" s="951" t="s">
        <v>918</v>
      </c>
      <c r="D14276" s="946"/>
      <c r="E14276" s="947"/>
      <c r="F14276" s="1054"/>
      <c r="G14276" s="946"/>
      <c r="H14276" s="1031"/>
      <c r="I14276" s="952">
        <f>SUM(I14275:I14275)</f>
        <v>0</v>
      </c>
    </row>
    <row r="14277" spans="3:9" ht="15.75">
      <c r="C14277" s="949"/>
      <c r="D14277" s="946"/>
      <c r="E14277" s="947"/>
      <c r="F14277" s="1054"/>
      <c r="G14277" s="946"/>
      <c r="H14277" s="1031"/>
      <c r="I14277" s="948"/>
    </row>
    <row r="14278" spans="3:9" ht="15.75">
      <c r="C14278" s="945" t="s">
        <v>925</v>
      </c>
      <c r="D14278" s="946"/>
      <c r="E14278" s="947"/>
      <c r="F14278" s="1054"/>
      <c r="G14278" s="946"/>
      <c r="H14278" s="1031"/>
      <c r="I14278" s="948"/>
    </row>
    <row r="14279" spans="3:9" ht="15.75">
      <c r="C14279" s="949" t="s">
        <v>924</v>
      </c>
      <c r="D14279" s="946"/>
      <c r="E14279" s="947" t="str">
        <f>+VLOOKUP(C14279,'Basic (equilibrio) (2)'!B:D,2,FALSE)</f>
        <v>n/a</v>
      </c>
      <c r="F14279" s="1054">
        <f>+VLOOKUP(C14279,'Basic (equilibrio) (2)'!B:D,3,FALSE)</f>
        <v>0</v>
      </c>
      <c r="G14279" s="946"/>
      <c r="H14279" s="1031"/>
      <c r="I14279" s="948">
        <f>D14279*F14279</f>
        <v>0</v>
      </c>
    </row>
    <row r="14280" spans="3:9" ht="15.75">
      <c r="C14280" s="951" t="s">
        <v>918</v>
      </c>
      <c r="D14280" s="946"/>
      <c r="E14280" s="947"/>
      <c r="F14280" s="1054"/>
      <c r="G14280" s="946"/>
      <c r="H14280" s="1031"/>
      <c r="I14280" s="952">
        <f>SUM(I14279)</f>
        <v>0</v>
      </c>
    </row>
    <row r="14281" spans="3:9" ht="15.75">
      <c r="C14281" s="951"/>
      <c r="D14281" s="946"/>
      <c r="E14281" s="947"/>
      <c r="F14281" s="1054"/>
      <c r="G14281" s="946"/>
      <c r="H14281" s="1031"/>
      <c r="I14281" s="952"/>
    </row>
    <row r="14282" spans="3:9" ht="15.75">
      <c r="C14282" s="956" t="s">
        <v>926</v>
      </c>
      <c r="D14282" s="957"/>
      <c r="E14282" s="958"/>
      <c r="F14282" s="1069"/>
      <c r="G14282" s="957"/>
      <c r="H14282" s="1032"/>
      <c r="I14282" s="959">
        <f>+I14268</f>
        <v>2133</v>
      </c>
    </row>
    <row r="14283" spans="3:9" ht="15.75">
      <c r="C14283" s="956" t="s">
        <v>927</v>
      </c>
      <c r="D14283" s="957"/>
      <c r="E14283" s="958"/>
      <c r="F14283" s="1069"/>
      <c r="G14283" s="957"/>
      <c r="H14283" s="1032"/>
      <c r="I14283" s="959">
        <f>+I14272</f>
        <v>0</v>
      </c>
    </row>
    <row r="14284" spans="3:9" ht="15.75">
      <c r="C14284" s="956" t="s">
        <v>928</v>
      </c>
      <c r="D14284" s="957"/>
      <c r="E14284" s="958"/>
      <c r="F14284" s="1069"/>
      <c r="G14284" s="957"/>
      <c r="H14284" s="1032"/>
      <c r="I14284" s="959">
        <f>+I14276</f>
        <v>0</v>
      </c>
    </row>
    <row r="14285" spans="3:9" ht="15.75">
      <c r="C14285" s="956" t="s">
        <v>929</v>
      </c>
      <c r="D14285" s="957"/>
      <c r="E14285" s="958"/>
      <c r="F14285" s="1069"/>
      <c r="G14285" s="957"/>
      <c r="H14285" s="1032"/>
      <c r="I14285" s="959">
        <f>+I14280</f>
        <v>0</v>
      </c>
    </row>
    <row r="14286" spans="3:9" ht="15.75">
      <c r="C14286" s="949"/>
      <c r="D14286" s="946"/>
      <c r="E14286" s="947"/>
      <c r="F14286" s="1054"/>
      <c r="G14286" s="946"/>
      <c r="H14286" s="1031"/>
      <c r="I14286" s="948"/>
    </row>
    <row r="14287" spans="3:9" ht="15.75">
      <c r="C14287" s="951" t="s">
        <v>930</v>
      </c>
      <c r="D14287" s="960"/>
      <c r="E14287" s="975" t="str">
        <f>+E14264</f>
        <v>ud</v>
      </c>
      <c r="F14287" s="1070"/>
      <c r="G14287" s="960"/>
      <c r="H14287" s="1033"/>
      <c r="I14287" s="952">
        <f>SUM(I14282:I14285)</f>
        <v>2133</v>
      </c>
    </row>
    <row r="14288" spans="3:9" ht="15.75">
      <c r="C14288" s="951"/>
      <c r="D14288" s="960"/>
      <c r="E14288" s="943"/>
      <c r="F14288" s="1070"/>
      <c r="G14288" s="960"/>
      <c r="H14288" s="1033"/>
      <c r="I14288" s="952"/>
    </row>
    <row r="14289" spans="2:9" ht="15.75">
      <c r="B14289" s="1026">
        <v>2.2999999999999998</v>
      </c>
      <c r="C14289" s="937" t="str">
        <f>+Presupuesto!B824</f>
        <v>Conductor eléctrico THW No.10</v>
      </c>
      <c r="D14289" s="938"/>
      <c r="E14289" s="962" t="s">
        <v>1056</v>
      </c>
      <c r="F14289" s="1066"/>
      <c r="G14289" s="938"/>
      <c r="H14289" s="1029"/>
      <c r="I14289" s="940">
        <f>+I14312</f>
        <v>73.099999999999994</v>
      </c>
    </row>
    <row r="14290" spans="2:9" ht="15.75">
      <c r="C14290" s="941" t="s">
        <v>908</v>
      </c>
      <c r="D14290" s="942" t="s">
        <v>9</v>
      </c>
      <c r="E14290" s="943" t="s">
        <v>10</v>
      </c>
      <c r="F14290" s="1067" t="s">
        <v>909</v>
      </c>
      <c r="G14290" s="942" t="s">
        <v>910</v>
      </c>
      <c r="H14290" s="1030" t="s">
        <v>911</v>
      </c>
      <c r="I14290" s="944" t="s">
        <v>912</v>
      </c>
    </row>
    <row r="14291" spans="2:9" ht="15.75">
      <c r="C14291" s="945" t="s">
        <v>913</v>
      </c>
      <c r="D14291" s="946"/>
      <c r="E14291" s="947"/>
      <c r="F14291" s="1054"/>
      <c r="G14291" s="946"/>
      <c r="H14291" s="1031"/>
      <c r="I14291" s="948"/>
    </row>
    <row r="14292" spans="2:9" ht="15.75">
      <c r="C14292" s="949" t="s">
        <v>873</v>
      </c>
      <c r="D14292" s="946">
        <v>1</v>
      </c>
      <c r="E14292" s="947" t="str">
        <f>+VLOOKUP(C14292,'Basic (equilibrio) (2)'!B:D,2,FALSE)</f>
        <v>m</v>
      </c>
      <c r="F14292" s="1068">
        <f>'Basic (equilibrio) (2)'!$D$381</f>
        <v>73.099999999999994</v>
      </c>
      <c r="G14292" s="946">
        <f>F14292-(F14292/1.18)</f>
        <v>11.15</v>
      </c>
      <c r="H14292" s="1031"/>
      <c r="I14292" s="948">
        <f>D14292*F14292</f>
        <v>73.099999999999994</v>
      </c>
    </row>
    <row r="14293" spans="2:9" ht="15.75">
      <c r="C14293" s="951" t="s">
        <v>918</v>
      </c>
      <c r="D14293" s="946"/>
      <c r="E14293" s="947"/>
      <c r="F14293" s="1068"/>
      <c r="G14293" s="946"/>
      <c r="H14293" s="1031"/>
      <c r="I14293" s="952">
        <f>SUM(I14292:I14292)</f>
        <v>73.099999999999994</v>
      </c>
    </row>
    <row r="14294" spans="2:9" ht="15.75">
      <c r="C14294" s="949"/>
      <c r="D14294" s="946"/>
      <c r="E14294" s="947"/>
      <c r="F14294" s="1068"/>
      <c r="G14294" s="946"/>
      <c r="H14294" s="1031"/>
      <c r="I14294" s="948"/>
    </row>
    <row r="14295" spans="2:9" ht="15.75">
      <c r="C14295" s="945" t="s">
        <v>919</v>
      </c>
      <c r="D14295" s="946"/>
      <c r="E14295" s="947"/>
      <c r="F14295" s="1068"/>
      <c r="G14295" s="946"/>
      <c r="H14295" s="1031"/>
      <c r="I14295" s="948"/>
    </row>
    <row r="14296" spans="2:9" ht="15.75">
      <c r="C14296" s="949" t="s">
        <v>924</v>
      </c>
      <c r="D14296" s="953">
        <v>8.33</v>
      </c>
      <c r="E14296" s="954" t="str">
        <f>+VLOOKUP(C14296,'Basic (equilibrio) (2)'!B:D,2,FALSE)</f>
        <v>n/a</v>
      </c>
      <c r="F14296" s="1068">
        <f>+VLOOKUP(C14296,'Basic (equilibrio) (2)'!B:D,3,FALSE)</f>
        <v>0</v>
      </c>
      <c r="G14296" s="946">
        <v>0</v>
      </c>
      <c r="H14296" s="1031"/>
      <c r="I14296" s="948">
        <f>(D14296*F14296)</f>
        <v>0</v>
      </c>
    </row>
    <row r="14297" spans="2:9" ht="15.75">
      <c r="C14297" s="951" t="s">
        <v>918</v>
      </c>
      <c r="D14297" s="946"/>
      <c r="E14297" s="947"/>
      <c r="F14297" s="1054"/>
      <c r="G14297" s="946"/>
      <c r="H14297" s="1031"/>
      <c r="I14297" s="952">
        <f>SUM(I14296:I14296)</f>
        <v>0</v>
      </c>
    </row>
    <row r="14298" spans="2:9" ht="15.75">
      <c r="C14298" s="949"/>
      <c r="D14298" s="946"/>
      <c r="E14298" s="947"/>
      <c r="F14298" s="1054"/>
      <c r="G14298" s="946"/>
      <c r="H14298" s="1031"/>
      <c r="I14298" s="948"/>
    </row>
    <row r="14299" spans="2:9" ht="15.75">
      <c r="C14299" s="945" t="s">
        <v>923</v>
      </c>
      <c r="D14299" s="946"/>
      <c r="E14299" s="947"/>
      <c r="F14299" s="1054"/>
      <c r="G14299" s="946"/>
      <c r="H14299" s="1031"/>
      <c r="I14299" s="948"/>
    </row>
    <row r="14300" spans="2:9" ht="15.75">
      <c r="C14300" s="949" t="s">
        <v>924</v>
      </c>
      <c r="D14300" s="946"/>
      <c r="E14300" s="947" t="str">
        <f>+VLOOKUP(C14300,'Basic (equilibrio) (2)'!B:D,2,FALSE)</f>
        <v>n/a</v>
      </c>
      <c r="F14300" s="1054">
        <f>+VLOOKUP(C14300,'Basic (equilibrio) (2)'!B:D,3,FALSE)</f>
        <v>0</v>
      </c>
      <c r="G14300" s="946">
        <f>F14300-(F14300/1.18)</f>
        <v>0</v>
      </c>
      <c r="H14300" s="1039"/>
      <c r="I14300" s="955">
        <f>D14300*F14300</f>
        <v>0</v>
      </c>
    </row>
    <row r="14301" spans="2:9" ht="15.75">
      <c r="C14301" s="951" t="s">
        <v>918</v>
      </c>
      <c r="D14301" s="946"/>
      <c r="E14301" s="947"/>
      <c r="F14301" s="1054"/>
      <c r="G14301" s="946"/>
      <c r="H14301" s="1031"/>
      <c r="I14301" s="952">
        <f>SUM(I14300:I14300)</f>
        <v>0</v>
      </c>
    </row>
    <row r="14302" spans="2:9" ht="15.75">
      <c r="C14302" s="949"/>
      <c r="D14302" s="946"/>
      <c r="E14302" s="947"/>
      <c r="F14302" s="1054"/>
      <c r="G14302" s="946"/>
      <c r="H14302" s="1031"/>
      <c r="I14302" s="948"/>
    </row>
    <row r="14303" spans="2:9" ht="15.75">
      <c r="C14303" s="945" t="s">
        <v>925</v>
      </c>
      <c r="D14303" s="946"/>
      <c r="E14303" s="947"/>
      <c r="F14303" s="1054"/>
      <c r="G14303" s="946"/>
      <c r="H14303" s="1031"/>
      <c r="I14303" s="948"/>
    </row>
    <row r="14304" spans="2:9" ht="15.75">
      <c r="C14304" s="949" t="s">
        <v>924</v>
      </c>
      <c r="D14304" s="946"/>
      <c r="E14304" s="947" t="str">
        <f>+VLOOKUP(C14304,'Basic (equilibrio) (2)'!B:D,2,FALSE)</f>
        <v>n/a</v>
      </c>
      <c r="F14304" s="1054">
        <f>+VLOOKUP(C14304,'Basic (equilibrio) (2)'!B:D,3,FALSE)</f>
        <v>0</v>
      </c>
      <c r="G14304" s="946"/>
      <c r="H14304" s="1031"/>
      <c r="I14304" s="948">
        <f>D14304*F14304</f>
        <v>0</v>
      </c>
    </row>
    <row r="14305" spans="2:9" ht="15.75">
      <c r="C14305" s="951" t="s">
        <v>918</v>
      </c>
      <c r="D14305" s="946"/>
      <c r="E14305" s="947"/>
      <c r="F14305" s="1054"/>
      <c r="G14305" s="946"/>
      <c r="H14305" s="1031"/>
      <c r="I14305" s="952">
        <f>SUM(I14304)</f>
        <v>0</v>
      </c>
    </row>
    <row r="14306" spans="2:9" ht="15.75">
      <c r="C14306" s="951"/>
      <c r="D14306" s="946"/>
      <c r="E14306" s="947"/>
      <c r="F14306" s="1054"/>
      <c r="G14306" s="946"/>
      <c r="H14306" s="1031"/>
      <c r="I14306" s="952"/>
    </row>
    <row r="14307" spans="2:9" ht="15.75">
      <c r="C14307" s="956" t="s">
        <v>926</v>
      </c>
      <c r="D14307" s="957"/>
      <c r="E14307" s="958"/>
      <c r="F14307" s="1069"/>
      <c r="G14307" s="957"/>
      <c r="H14307" s="1032"/>
      <c r="I14307" s="959">
        <f>+I14293</f>
        <v>73.099999999999994</v>
      </c>
    </row>
    <row r="14308" spans="2:9" ht="15.75">
      <c r="C14308" s="956" t="s">
        <v>927</v>
      </c>
      <c r="D14308" s="957"/>
      <c r="E14308" s="958"/>
      <c r="F14308" s="1069"/>
      <c r="G14308" s="957"/>
      <c r="H14308" s="1032"/>
      <c r="I14308" s="959">
        <f>+I14297</f>
        <v>0</v>
      </c>
    </row>
    <row r="14309" spans="2:9" ht="15.75">
      <c r="C14309" s="956" t="s">
        <v>928</v>
      </c>
      <c r="D14309" s="957"/>
      <c r="E14309" s="958"/>
      <c r="F14309" s="1069"/>
      <c r="G14309" s="957"/>
      <c r="H14309" s="1032"/>
      <c r="I14309" s="959">
        <f>+I14301</f>
        <v>0</v>
      </c>
    </row>
    <row r="14310" spans="2:9" ht="15.75">
      <c r="C14310" s="956" t="s">
        <v>929</v>
      </c>
      <c r="D14310" s="957"/>
      <c r="E14310" s="958"/>
      <c r="F14310" s="1069"/>
      <c r="G14310" s="957"/>
      <c r="H14310" s="1032"/>
      <c r="I14310" s="959">
        <f>+I14305</f>
        <v>0</v>
      </c>
    </row>
    <row r="14311" spans="2:9" ht="15.75">
      <c r="C14311" s="949"/>
      <c r="D14311" s="946"/>
      <c r="E14311" s="947"/>
      <c r="F14311" s="1054"/>
      <c r="G14311" s="946"/>
      <c r="H14311" s="1031"/>
      <c r="I14311" s="948"/>
    </row>
    <row r="14312" spans="2:9" ht="15.75">
      <c r="C14312" s="951" t="s">
        <v>930</v>
      </c>
      <c r="D14312" s="960"/>
      <c r="E14312" s="975" t="str">
        <f>+E14289</f>
        <v>ud</v>
      </c>
      <c r="F14312" s="1070"/>
      <c r="G14312" s="960"/>
      <c r="H14312" s="1033"/>
      <c r="I14312" s="952">
        <f>SUM(I14307:I14310)</f>
        <v>73.099999999999994</v>
      </c>
    </row>
    <row r="14313" spans="2:9" ht="15.75">
      <c r="B14313" s="1026">
        <v>2.2999999999999998</v>
      </c>
      <c r="C14313" s="937" t="str">
        <f>+Presupuesto!B816</f>
        <v>Salidas eléctricas para reflector LED en tubería EMT</v>
      </c>
      <c r="D14313" s="938"/>
      <c r="E14313" s="962" t="s">
        <v>1056</v>
      </c>
      <c r="F14313" s="1066"/>
      <c r="G14313" s="938"/>
      <c r="H14313" s="1029"/>
      <c r="I14313" s="940">
        <f>+I14336</f>
        <v>2690.3</v>
      </c>
    </row>
    <row r="14314" spans="2:9" ht="15.75">
      <c r="C14314" s="941" t="s">
        <v>908</v>
      </c>
      <c r="D14314" s="942" t="s">
        <v>9</v>
      </c>
      <c r="E14314" s="943" t="s">
        <v>10</v>
      </c>
      <c r="F14314" s="1067" t="s">
        <v>909</v>
      </c>
      <c r="G14314" s="942" t="s">
        <v>910</v>
      </c>
      <c r="H14314" s="1030" t="s">
        <v>911</v>
      </c>
      <c r="I14314" s="944" t="s">
        <v>912</v>
      </c>
    </row>
    <row r="14315" spans="2:9" ht="15.75">
      <c r="C14315" s="945" t="s">
        <v>913</v>
      </c>
      <c r="D14315" s="946"/>
      <c r="E14315" s="947"/>
      <c r="F14315" s="1054"/>
      <c r="G14315" s="946"/>
      <c r="H14315" s="1031"/>
      <c r="I14315" s="948"/>
    </row>
    <row r="14316" spans="2:9" ht="15.75">
      <c r="C14316" s="949" t="s">
        <v>1713</v>
      </c>
      <c r="D14316" s="946">
        <v>1</v>
      </c>
      <c r="E14316" s="947" t="str">
        <f>+VLOOKUP(C14316,'Basic (equilibrio) (2)'!B:D,2,FALSE)</f>
        <v>und</v>
      </c>
      <c r="F14316" s="1068">
        <f>'Basic (equilibrio) (2)'!$D$379</f>
        <v>2690.3</v>
      </c>
      <c r="G14316" s="946">
        <f>F14316-(F14316/1.18)</f>
        <v>410.38</v>
      </c>
      <c r="H14316" s="1031"/>
      <c r="I14316" s="948">
        <f>D14316*F14316</f>
        <v>2690.3</v>
      </c>
    </row>
    <row r="14317" spans="2:9" ht="15.75">
      <c r="C14317" s="951" t="s">
        <v>918</v>
      </c>
      <c r="D14317" s="946"/>
      <c r="E14317" s="947"/>
      <c r="F14317" s="1068"/>
      <c r="G14317" s="946"/>
      <c r="H14317" s="1031"/>
      <c r="I14317" s="952">
        <f>SUM(I14316:I14316)</f>
        <v>2690.3</v>
      </c>
    </row>
    <row r="14318" spans="2:9" ht="15.75">
      <c r="C14318" s="949"/>
      <c r="D14318" s="946"/>
      <c r="E14318" s="947"/>
      <c r="F14318" s="1068"/>
      <c r="G14318" s="946"/>
      <c r="H14318" s="1031"/>
      <c r="I14318" s="948"/>
    </row>
    <row r="14319" spans="2:9" ht="15.75">
      <c r="C14319" s="945" t="s">
        <v>919</v>
      </c>
      <c r="D14319" s="946"/>
      <c r="E14319" s="947"/>
      <c r="F14319" s="1068"/>
      <c r="G14319" s="946"/>
      <c r="H14319" s="1031"/>
      <c r="I14319" s="948"/>
    </row>
    <row r="14320" spans="2:9" ht="15.75">
      <c r="C14320" s="949" t="s">
        <v>924</v>
      </c>
      <c r="D14320" s="953">
        <v>8.33</v>
      </c>
      <c r="E14320" s="954" t="str">
        <f>+VLOOKUP(C14320,'Basic (equilibrio) (2)'!B:D,2,FALSE)</f>
        <v>n/a</v>
      </c>
      <c r="F14320" s="1068">
        <f>+VLOOKUP(C14320,'Basic (equilibrio) (2)'!B:D,3,FALSE)</f>
        <v>0</v>
      </c>
      <c r="G14320" s="946">
        <v>0</v>
      </c>
      <c r="H14320" s="1031"/>
      <c r="I14320" s="948">
        <f>(D14320*F14320)</f>
        <v>0</v>
      </c>
    </row>
    <row r="14321" spans="3:9" ht="15.75">
      <c r="C14321" s="951" t="s">
        <v>918</v>
      </c>
      <c r="D14321" s="946"/>
      <c r="E14321" s="947"/>
      <c r="F14321" s="1054"/>
      <c r="G14321" s="946"/>
      <c r="H14321" s="1031"/>
      <c r="I14321" s="952">
        <f>SUM(I14320:I14320)</f>
        <v>0</v>
      </c>
    </row>
    <row r="14322" spans="3:9" ht="15.75">
      <c r="C14322" s="949"/>
      <c r="D14322" s="946"/>
      <c r="E14322" s="947"/>
      <c r="F14322" s="1054"/>
      <c r="G14322" s="946"/>
      <c r="H14322" s="1031"/>
      <c r="I14322" s="948"/>
    </row>
    <row r="14323" spans="3:9" ht="15.75">
      <c r="C14323" s="945" t="s">
        <v>923</v>
      </c>
      <c r="D14323" s="946"/>
      <c r="E14323" s="947"/>
      <c r="F14323" s="1054"/>
      <c r="G14323" s="946"/>
      <c r="H14323" s="1031"/>
      <c r="I14323" s="948"/>
    </row>
    <row r="14324" spans="3:9" ht="15.75">
      <c r="C14324" s="949" t="s">
        <v>924</v>
      </c>
      <c r="D14324" s="946"/>
      <c r="E14324" s="947" t="str">
        <f>+VLOOKUP(C14324,'Basic (equilibrio) (2)'!B:D,2,FALSE)</f>
        <v>n/a</v>
      </c>
      <c r="F14324" s="1054">
        <f>+VLOOKUP(C14324,'Basic (equilibrio) (2)'!B:D,3,FALSE)</f>
        <v>0</v>
      </c>
      <c r="G14324" s="946">
        <f>F14324-(F14324/1.18)</f>
        <v>0</v>
      </c>
      <c r="H14324" s="1039"/>
      <c r="I14324" s="955">
        <f>D14324*F14324</f>
        <v>0</v>
      </c>
    </row>
    <row r="14325" spans="3:9" ht="15.75">
      <c r="C14325" s="951" t="s">
        <v>918</v>
      </c>
      <c r="D14325" s="946"/>
      <c r="E14325" s="947"/>
      <c r="F14325" s="1054"/>
      <c r="G14325" s="946"/>
      <c r="H14325" s="1031"/>
      <c r="I14325" s="952">
        <f>SUM(I14324:I14324)</f>
        <v>0</v>
      </c>
    </row>
    <row r="14326" spans="3:9" ht="15.75">
      <c r="C14326" s="949"/>
      <c r="D14326" s="946"/>
      <c r="E14326" s="947"/>
      <c r="F14326" s="1054"/>
      <c r="G14326" s="946"/>
      <c r="H14326" s="1031"/>
      <c r="I14326" s="948"/>
    </row>
    <row r="14327" spans="3:9" ht="15.75">
      <c r="C14327" s="945" t="s">
        <v>925</v>
      </c>
      <c r="D14327" s="946"/>
      <c r="E14327" s="947"/>
      <c r="F14327" s="1054"/>
      <c r="G14327" s="946"/>
      <c r="H14327" s="1031"/>
      <c r="I14327" s="948"/>
    </row>
    <row r="14328" spans="3:9" ht="15.75">
      <c r="C14328" s="949" t="s">
        <v>924</v>
      </c>
      <c r="D14328" s="946"/>
      <c r="E14328" s="947" t="str">
        <f>+VLOOKUP(C14328,'Basic (equilibrio) (2)'!B:D,2,FALSE)</f>
        <v>n/a</v>
      </c>
      <c r="F14328" s="1054">
        <f>+VLOOKUP(C14328,'Basic (equilibrio) (2)'!B:D,3,FALSE)</f>
        <v>0</v>
      </c>
      <c r="G14328" s="946"/>
      <c r="H14328" s="1031"/>
      <c r="I14328" s="948">
        <f>D14328*F14328</f>
        <v>0</v>
      </c>
    </row>
    <row r="14329" spans="3:9" ht="15.75">
      <c r="C14329" s="951" t="s">
        <v>918</v>
      </c>
      <c r="D14329" s="946"/>
      <c r="E14329" s="947"/>
      <c r="F14329" s="1054"/>
      <c r="G14329" s="946"/>
      <c r="H14329" s="1031"/>
      <c r="I14329" s="952">
        <f>SUM(I14328)</f>
        <v>0</v>
      </c>
    </row>
    <row r="14330" spans="3:9" ht="15.75">
      <c r="C14330" s="951"/>
      <c r="D14330" s="946"/>
      <c r="E14330" s="947"/>
      <c r="F14330" s="1054"/>
      <c r="G14330" s="946"/>
      <c r="H14330" s="1031"/>
      <c r="I14330" s="952"/>
    </row>
    <row r="14331" spans="3:9" ht="15.75">
      <c r="C14331" s="956" t="s">
        <v>926</v>
      </c>
      <c r="D14331" s="957"/>
      <c r="E14331" s="958"/>
      <c r="F14331" s="1069"/>
      <c r="G14331" s="957"/>
      <c r="H14331" s="1032"/>
      <c r="I14331" s="959">
        <f>+I14317</f>
        <v>2690.3</v>
      </c>
    </row>
    <row r="14332" spans="3:9" ht="15.75">
      <c r="C14332" s="956" t="s">
        <v>927</v>
      </c>
      <c r="D14332" s="957"/>
      <c r="E14332" s="958"/>
      <c r="F14332" s="1069"/>
      <c r="G14332" s="957"/>
      <c r="H14332" s="1032"/>
      <c r="I14332" s="959">
        <f>+I14321</f>
        <v>0</v>
      </c>
    </row>
    <row r="14333" spans="3:9" ht="15.75">
      <c r="C14333" s="956" t="s">
        <v>928</v>
      </c>
      <c r="D14333" s="957"/>
      <c r="E14333" s="958"/>
      <c r="F14333" s="1069"/>
      <c r="G14333" s="957"/>
      <c r="H14333" s="1032"/>
      <c r="I14333" s="959">
        <f>+I14325</f>
        <v>0</v>
      </c>
    </row>
    <row r="14334" spans="3:9" ht="15.75">
      <c r="C14334" s="956" t="s">
        <v>929</v>
      </c>
      <c r="D14334" s="957"/>
      <c r="E14334" s="958"/>
      <c r="F14334" s="1069"/>
      <c r="G14334" s="957"/>
      <c r="H14334" s="1032"/>
      <c r="I14334" s="959">
        <f>+I14329</f>
        <v>0</v>
      </c>
    </row>
    <row r="14335" spans="3:9" ht="15.75">
      <c r="C14335" s="949"/>
      <c r="D14335" s="946"/>
      <c r="E14335" s="947"/>
      <c r="F14335" s="1054"/>
      <c r="G14335" s="946"/>
      <c r="H14335" s="1031"/>
      <c r="I14335" s="948"/>
    </row>
    <row r="14336" spans="3:9" ht="15.75">
      <c r="C14336" s="951" t="s">
        <v>930</v>
      </c>
      <c r="D14336" s="960"/>
      <c r="E14336" s="975" t="str">
        <f>+E14313</f>
        <v>ud</v>
      </c>
      <c r="F14336" s="1070"/>
      <c r="G14336" s="960"/>
      <c r="H14336" s="1033"/>
      <c r="I14336" s="952">
        <f>SUM(I14331:I14334)</f>
        <v>2690.3</v>
      </c>
    </row>
    <row r="14337" spans="2:9" ht="15.75">
      <c r="C14337" s="951"/>
      <c r="D14337" s="960"/>
      <c r="E14337" s="943"/>
      <c r="F14337" s="1070"/>
      <c r="G14337" s="960"/>
      <c r="H14337" s="1033"/>
      <c r="I14337" s="952"/>
    </row>
    <row r="14338" spans="2:9" ht="31.5">
      <c r="B14338" s="1026">
        <v>2.4</v>
      </c>
      <c r="C14338" s="937" t="str">
        <f>+Presupuesto!B817</f>
        <v>Conductor eléctrico de goma No. 8/3 para alimentación de reflectores</v>
      </c>
      <c r="D14338" s="938"/>
      <c r="E14338" s="962" t="s">
        <v>1056</v>
      </c>
      <c r="F14338" s="1066"/>
      <c r="G14338" s="938"/>
      <c r="H14338" s="1029"/>
      <c r="I14338" s="940">
        <f>+I14361</f>
        <v>288.5</v>
      </c>
    </row>
    <row r="14339" spans="2:9" ht="15.75">
      <c r="C14339" s="941" t="s">
        <v>908</v>
      </c>
      <c r="D14339" s="942" t="s">
        <v>9</v>
      </c>
      <c r="E14339" s="943" t="s">
        <v>10</v>
      </c>
      <c r="F14339" s="1067" t="s">
        <v>909</v>
      </c>
      <c r="G14339" s="942" t="s">
        <v>910</v>
      </c>
      <c r="H14339" s="1030" t="s">
        <v>911</v>
      </c>
      <c r="I14339" s="944" t="s">
        <v>912</v>
      </c>
    </row>
    <row r="14340" spans="2:9" ht="15.75">
      <c r="C14340" s="945" t="s">
        <v>913</v>
      </c>
      <c r="D14340" s="946"/>
      <c r="E14340" s="947"/>
      <c r="F14340" s="1054"/>
      <c r="G14340" s="946"/>
      <c r="H14340" s="1031"/>
      <c r="I14340" s="948"/>
    </row>
    <row r="14341" spans="2:9" ht="15.75">
      <c r="C14341" s="949" t="s">
        <v>1705</v>
      </c>
      <c r="D14341" s="946">
        <v>1</v>
      </c>
      <c r="E14341" s="947" t="str">
        <f>+VLOOKUP(C14341,'Basic (equilibrio) (2)'!B:D,2,FALSE)</f>
        <v>m</v>
      </c>
      <c r="F14341" s="1068">
        <f>'Basic (equilibrio) (2)'!$D$380</f>
        <v>288.5</v>
      </c>
      <c r="G14341" s="946">
        <f>F14341-(F14341/1.18)</f>
        <v>44.01</v>
      </c>
      <c r="H14341" s="1031"/>
      <c r="I14341" s="948">
        <f>D14341*F14341</f>
        <v>288.5</v>
      </c>
    </row>
    <row r="14342" spans="2:9" ht="15.75">
      <c r="C14342" s="951" t="s">
        <v>918</v>
      </c>
      <c r="D14342" s="946"/>
      <c r="E14342" s="947"/>
      <c r="F14342" s="1068"/>
      <c r="G14342" s="946"/>
      <c r="H14342" s="1031"/>
      <c r="I14342" s="952">
        <f>SUM(I14341:I14341)</f>
        <v>288.5</v>
      </c>
    </row>
    <row r="14343" spans="2:9" ht="15.75">
      <c r="C14343" s="949"/>
      <c r="D14343" s="946"/>
      <c r="E14343" s="947"/>
      <c r="F14343" s="1068"/>
      <c r="G14343" s="946"/>
      <c r="H14343" s="1031"/>
      <c r="I14343" s="948"/>
    </row>
    <row r="14344" spans="2:9" ht="15.75">
      <c r="C14344" s="945" t="s">
        <v>919</v>
      </c>
      <c r="D14344" s="946"/>
      <c r="E14344" s="947"/>
      <c r="F14344" s="1068"/>
      <c r="G14344" s="946"/>
      <c r="H14344" s="1031"/>
      <c r="I14344" s="948"/>
    </row>
    <row r="14345" spans="2:9" ht="15.75">
      <c r="C14345" s="949" t="s">
        <v>924</v>
      </c>
      <c r="D14345" s="953">
        <v>8.33</v>
      </c>
      <c r="E14345" s="954" t="str">
        <f>+VLOOKUP(C14345,'Basic (equilibrio) (2)'!B:D,2,FALSE)</f>
        <v>n/a</v>
      </c>
      <c r="F14345" s="1068">
        <f>+VLOOKUP(C14345,'Basic (equilibrio) (2)'!B:D,3,FALSE)</f>
        <v>0</v>
      </c>
      <c r="G14345" s="946">
        <v>0</v>
      </c>
      <c r="H14345" s="1031"/>
      <c r="I14345" s="948">
        <f>(D14345*F14345)</f>
        <v>0</v>
      </c>
    </row>
    <row r="14346" spans="2:9" ht="15.75">
      <c r="C14346" s="951" t="s">
        <v>918</v>
      </c>
      <c r="D14346" s="946"/>
      <c r="E14346" s="947"/>
      <c r="F14346" s="1054"/>
      <c r="G14346" s="946"/>
      <c r="H14346" s="1031"/>
      <c r="I14346" s="952">
        <f>SUM(I14345:I14345)</f>
        <v>0</v>
      </c>
    </row>
    <row r="14347" spans="2:9" ht="15.75">
      <c r="C14347" s="949"/>
      <c r="D14347" s="946"/>
      <c r="E14347" s="947"/>
      <c r="F14347" s="1054"/>
      <c r="G14347" s="946"/>
      <c r="H14347" s="1031"/>
      <c r="I14347" s="948"/>
    </row>
    <row r="14348" spans="2:9" ht="15.75">
      <c r="C14348" s="945" t="s">
        <v>923</v>
      </c>
      <c r="D14348" s="946"/>
      <c r="E14348" s="947"/>
      <c r="F14348" s="1054"/>
      <c r="G14348" s="946"/>
      <c r="H14348" s="1031"/>
      <c r="I14348" s="948"/>
    </row>
    <row r="14349" spans="2:9" ht="15.75">
      <c r="C14349" s="949" t="s">
        <v>924</v>
      </c>
      <c r="D14349" s="946"/>
      <c r="E14349" s="947" t="str">
        <f>+VLOOKUP(C14349,'Basic (equilibrio) (2)'!B:D,2,FALSE)</f>
        <v>n/a</v>
      </c>
      <c r="F14349" s="1054">
        <f>+VLOOKUP(C14349,'Basic (equilibrio) (2)'!B:D,3,FALSE)</f>
        <v>0</v>
      </c>
      <c r="G14349" s="946">
        <f>F14349-(F14349/1.18)</f>
        <v>0</v>
      </c>
      <c r="H14349" s="1039"/>
      <c r="I14349" s="955">
        <f>D14349*F14349</f>
        <v>0</v>
      </c>
    </row>
    <row r="14350" spans="2:9" ht="15.75">
      <c r="C14350" s="951" t="s">
        <v>918</v>
      </c>
      <c r="D14350" s="946"/>
      <c r="E14350" s="947"/>
      <c r="F14350" s="1054"/>
      <c r="G14350" s="946"/>
      <c r="H14350" s="1031"/>
      <c r="I14350" s="952">
        <f>SUM(I14349:I14349)</f>
        <v>0</v>
      </c>
    </row>
    <row r="14351" spans="2:9" ht="15.75">
      <c r="C14351" s="949"/>
      <c r="D14351" s="946"/>
      <c r="E14351" s="947"/>
      <c r="F14351" s="1054"/>
      <c r="G14351" s="946"/>
      <c r="H14351" s="1031"/>
      <c r="I14351" s="948"/>
    </row>
    <row r="14352" spans="2:9" ht="15.75">
      <c r="C14352" s="945" t="s">
        <v>925</v>
      </c>
      <c r="D14352" s="946"/>
      <c r="E14352" s="947"/>
      <c r="F14352" s="1054"/>
      <c r="G14352" s="946"/>
      <c r="H14352" s="1031"/>
      <c r="I14352" s="948"/>
    </row>
    <row r="14353" spans="2:9" ht="15.75">
      <c r="C14353" s="949" t="s">
        <v>924</v>
      </c>
      <c r="D14353" s="946"/>
      <c r="E14353" s="947" t="str">
        <f>+VLOOKUP(C14353,'Basic (equilibrio) (2)'!B:D,2,FALSE)</f>
        <v>n/a</v>
      </c>
      <c r="F14353" s="1054">
        <f>+VLOOKUP(C14353,'Basic (equilibrio) (2)'!B:D,3,FALSE)</f>
        <v>0</v>
      </c>
      <c r="G14353" s="946"/>
      <c r="H14353" s="1031"/>
      <c r="I14353" s="948">
        <f>D14353*F14353</f>
        <v>0</v>
      </c>
    </row>
    <row r="14354" spans="2:9" ht="15.75">
      <c r="C14354" s="951" t="s">
        <v>918</v>
      </c>
      <c r="D14354" s="946"/>
      <c r="E14354" s="947"/>
      <c r="F14354" s="1054"/>
      <c r="G14354" s="946"/>
      <c r="H14354" s="1031"/>
      <c r="I14354" s="952">
        <f>SUM(I14353)</f>
        <v>0</v>
      </c>
    </row>
    <row r="14355" spans="2:9" ht="15.75">
      <c r="C14355" s="951"/>
      <c r="D14355" s="946"/>
      <c r="E14355" s="947"/>
      <c r="F14355" s="1054"/>
      <c r="G14355" s="946"/>
      <c r="H14355" s="1031"/>
      <c r="I14355" s="952"/>
    </row>
    <row r="14356" spans="2:9" ht="15.75">
      <c r="C14356" s="956" t="s">
        <v>926</v>
      </c>
      <c r="D14356" s="957"/>
      <c r="E14356" s="958"/>
      <c r="F14356" s="1069"/>
      <c r="G14356" s="957"/>
      <c r="H14356" s="1032"/>
      <c r="I14356" s="959">
        <f>+I14342</f>
        <v>288.5</v>
      </c>
    </row>
    <row r="14357" spans="2:9" ht="15.75">
      <c r="C14357" s="956" t="s">
        <v>927</v>
      </c>
      <c r="D14357" s="957"/>
      <c r="E14357" s="958"/>
      <c r="F14357" s="1069"/>
      <c r="G14357" s="957"/>
      <c r="H14357" s="1032"/>
      <c r="I14357" s="959">
        <f>+I14346</f>
        <v>0</v>
      </c>
    </row>
    <row r="14358" spans="2:9" ht="15.75">
      <c r="C14358" s="956" t="s">
        <v>928</v>
      </c>
      <c r="D14358" s="957"/>
      <c r="E14358" s="958"/>
      <c r="F14358" s="1069"/>
      <c r="G14358" s="957"/>
      <c r="H14358" s="1032"/>
      <c r="I14358" s="959">
        <f>+I14350</f>
        <v>0</v>
      </c>
    </row>
    <row r="14359" spans="2:9" ht="15.75">
      <c r="C14359" s="956" t="s">
        <v>929</v>
      </c>
      <c r="D14359" s="957"/>
      <c r="E14359" s="958"/>
      <c r="F14359" s="1069"/>
      <c r="G14359" s="957"/>
      <c r="H14359" s="1032"/>
      <c r="I14359" s="959">
        <f>+I14354</f>
        <v>0</v>
      </c>
    </row>
    <row r="14360" spans="2:9" ht="15.75">
      <c r="C14360" s="949"/>
      <c r="D14360" s="946"/>
      <c r="E14360" s="947"/>
      <c r="F14360" s="1054"/>
      <c r="G14360" s="946"/>
      <c r="H14360" s="1031"/>
      <c r="I14360" s="948"/>
    </row>
    <row r="14361" spans="2:9" ht="15.75">
      <c r="C14361" s="951" t="s">
        <v>930</v>
      </c>
      <c r="D14361" s="960"/>
      <c r="E14361" s="975" t="str">
        <f>+E14338</f>
        <v>ud</v>
      </c>
      <c r="F14361" s="1070"/>
      <c r="G14361" s="960"/>
      <c r="H14361" s="1033"/>
      <c r="I14361" s="952">
        <f>SUM(I14356:I14359)</f>
        <v>288.5</v>
      </c>
    </row>
    <row r="14362" spans="2:9" ht="15.75">
      <c r="C14362" s="951"/>
      <c r="D14362" s="960"/>
      <c r="E14362" s="943"/>
      <c r="F14362" s="1070"/>
      <c r="G14362" s="960"/>
      <c r="H14362" s="1033"/>
      <c r="I14362" s="952"/>
    </row>
    <row r="14363" spans="2:9" ht="15.75">
      <c r="B14363" s="1026">
        <v>2.5</v>
      </c>
      <c r="C14363" s="937" t="str">
        <f>+Presupuesto!B818</f>
        <v>Tubería PVC de Ø3/4" x 19'</v>
      </c>
      <c r="D14363" s="938"/>
      <c r="E14363" s="962" t="s">
        <v>1056</v>
      </c>
      <c r="F14363" s="1066"/>
      <c r="G14363" s="938"/>
      <c r="H14363" s="1029"/>
      <c r="I14363" s="940">
        <f>+I14386</f>
        <v>566.4</v>
      </c>
    </row>
    <row r="14364" spans="2:9" ht="15.75">
      <c r="C14364" s="941" t="s">
        <v>908</v>
      </c>
      <c r="D14364" s="942" t="s">
        <v>9</v>
      </c>
      <c r="E14364" s="943" t="s">
        <v>10</v>
      </c>
      <c r="F14364" s="1067" t="s">
        <v>909</v>
      </c>
      <c r="G14364" s="942" t="s">
        <v>910</v>
      </c>
      <c r="H14364" s="1030" t="s">
        <v>911</v>
      </c>
      <c r="I14364" s="944" t="s">
        <v>912</v>
      </c>
    </row>
    <row r="14365" spans="2:9" ht="15.75">
      <c r="C14365" s="945" t="s">
        <v>913</v>
      </c>
      <c r="D14365" s="946"/>
      <c r="E14365" s="947"/>
      <c r="F14365" s="1054"/>
      <c r="G14365" s="946"/>
      <c r="H14365" s="1031"/>
      <c r="I14365" s="948"/>
    </row>
    <row r="14366" spans="2:9" ht="15.75">
      <c r="C14366" s="949" t="s">
        <v>1710</v>
      </c>
      <c r="D14366" s="946">
        <v>1</v>
      </c>
      <c r="E14366" s="947" t="str">
        <f>+VLOOKUP(C14366,'Basic (equilibrio) (2)'!B:D,2,FALSE)</f>
        <v>und</v>
      </c>
      <c r="F14366" s="1068">
        <f>+VLOOKUP(C14366,'Basic (equilibrio) (2)'!B:D,3,FALSE)</f>
        <v>566.4</v>
      </c>
      <c r="G14366" s="946">
        <f>F14366-(F14366/1.18)</f>
        <v>86.4</v>
      </c>
      <c r="H14366" s="1031"/>
      <c r="I14366" s="948">
        <f>D14366*F14366</f>
        <v>566.4</v>
      </c>
    </row>
    <row r="14367" spans="2:9" ht="15.75">
      <c r="C14367" s="951" t="s">
        <v>918</v>
      </c>
      <c r="D14367" s="946"/>
      <c r="E14367" s="947"/>
      <c r="F14367" s="1068"/>
      <c r="G14367" s="946"/>
      <c r="H14367" s="1031"/>
      <c r="I14367" s="952">
        <f>SUM(I14366:I14366)</f>
        <v>566.4</v>
      </c>
    </row>
    <row r="14368" spans="2:9" ht="15.75">
      <c r="C14368" s="949"/>
      <c r="D14368" s="946"/>
      <c r="E14368" s="947"/>
      <c r="F14368" s="1068"/>
      <c r="G14368" s="946"/>
      <c r="H14368" s="1031"/>
      <c r="I14368" s="948"/>
    </row>
    <row r="14369" spans="3:9" ht="15.75">
      <c r="C14369" s="945" t="s">
        <v>919</v>
      </c>
      <c r="D14369" s="946"/>
      <c r="E14369" s="947"/>
      <c r="F14369" s="1068"/>
      <c r="G14369" s="946"/>
      <c r="H14369" s="1031"/>
      <c r="I14369" s="948"/>
    </row>
    <row r="14370" spans="3:9" ht="15.75">
      <c r="C14370" s="949" t="s">
        <v>924</v>
      </c>
      <c r="D14370" s="953">
        <v>8.33</v>
      </c>
      <c r="E14370" s="954" t="str">
        <f>+VLOOKUP(C14370,'Basic (equilibrio) (2)'!B:D,2,FALSE)</f>
        <v>n/a</v>
      </c>
      <c r="F14370" s="1068">
        <f>+VLOOKUP(C14370,'Basic (equilibrio) (2)'!B:D,3,FALSE)</f>
        <v>0</v>
      </c>
      <c r="G14370" s="946">
        <v>0</v>
      </c>
      <c r="H14370" s="1031"/>
      <c r="I14370" s="948">
        <f>(D14370*F14370)</f>
        <v>0</v>
      </c>
    </row>
    <row r="14371" spans="3:9" ht="15.75">
      <c r="C14371" s="951" t="s">
        <v>918</v>
      </c>
      <c r="D14371" s="946"/>
      <c r="E14371" s="947"/>
      <c r="F14371" s="1054"/>
      <c r="G14371" s="946"/>
      <c r="H14371" s="1031"/>
      <c r="I14371" s="952">
        <f>SUM(I14370:I14370)</f>
        <v>0</v>
      </c>
    </row>
    <row r="14372" spans="3:9" ht="15.75">
      <c r="C14372" s="949"/>
      <c r="D14372" s="946"/>
      <c r="E14372" s="947"/>
      <c r="F14372" s="1054"/>
      <c r="G14372" s="946"/>
      <c r="H14372" s="1031"/>
      <c r="I14372" s="948"/>
    </row>
    <row r="14373" spans="3:9" ht="15.75">
      <c r="C14373" s="945" t="s">
        <v>923</v>
      </c>
      <c r="D14373" s="946"/>
      <c r="E14373" s="947"/>
      <c r="F14373" s="1054"/>
      <c r="G14373" s="946"/>
      <c r="H14373" s="1031"/>
      <c r="I14373" s="948"/>
    </row>
    <row r="14374" spans="3:9" ht="15.75">
      <c r="C14374" s="949" t="s">
        <v>924</v>
      </c>
      <c r="D14374" s="946"/>
      <c r="E14374" s="947" t="str">
        <f>+VLOOKUP(C14374,'Basic (equilibrio) (2)'!B:D,2,FALSE)</f>
        <v>n/a</v>
      </c>
      <c r="F14374" s="1054">
        <f>+VLOOKUP(C14374,'Basic (equilibrio) (2)'!B:D,3,FALSE)</f>
        <v>0</v>
      </c>
      <c r="G14374" s="946">
        <f>F14374-(F14374/1.18)</f>
        <v>0</v>
      </c>
      <c r="H14374" s="1039"/>
      <c r="I14374" s="955">
        <f>D14374*F14374</f>
        <v>0</v>
      </c>
    </row>
    <row r="14375" spans="3:9" ht="15.75">
      <c r="C14375" s="951" t="s">
        <v>918</v>
      </c>
      <c r="D14375" s="946"/>
      <c r="E14375" s="947"/>
      <c r="F14375" s="1054"/>
      <c r="G14375" s="946"/>
      <c r="H14375" s="1031"/>
      <c r="I14375" s="952">
        <f>SUM(I14374:I14374)</f>
        <v>0</v>
      </c>
    </row>
    <row r="14376" spans="3:9" ht="15.75">
      <c r="C14376" s="949"/>
      <c r="D14376" s="946"/>
      <c r="E14376" s="947"/>
      <c r="F14376" s="1054"/>
      <c r="G14376" s="946"/>
      <c r="H14376" s="1031"/>
      <c r="I14376" s="948"/>
    </row>
    <row r="14377" spans="3:9" ht="15.75">
      <c r="C14377" s="945" t="s">
        <v>925</v>
      </c>
      <c r="D14377" s="946"/>
      <c r="E14377" s="947"/>
      <c r="F14377" s="1054"/>
      <c r="G14377" s="946"/>
      <c r="H14377" s="1031"/>
      <c r="I14377" s="948"/>
    </row>
    <row r="14378" spans="3:9" ht="15.75">
      <c r="C14378" s="949" t="s">
        <v>924</v>
      </c>
      <c r="D14378" s="946"/>
      <c r="E14378" s="947" t="str">
        <f>+VLOOKUP(C14378,'Basic (equilibrio) (2)'!B:D,2,FALSE)</f>
        <v>n/a</v>
      </c>
      <c r="F14378" s="1054">
        <f>+VLOOKUP(C14378,'Basic (equilibrio) (2)'!B:D,3,FALSE)</f>
        <v>0</v>
      </c>
      <c r="G14378" s="946"/>
      <c r="H14378" s="1031"/>
      <c r="I14378" s="948">
        <f>D14378*F14378</f>
        <v>0</v>
      </c>
    </row>
    <row r="14379" spans="3:9" ht="15.75">
      <c r="C14379" s="951" t="s">
        <v>918</v>
      </c>
      <c r="D14379" s="946"/>
      <c r="E14379" s="947"/>
      <c r="F14379" s="1054"/>
      <c r="G14379" s="946"/>
      <c r="H14379" s="1031"/>
      <c r="I14379" s="952">
        <f>SUM(I14378)</f>
        <v>0</v>
      </c>
    </row>
    <row r="14380" spans="3:9" ht="15.75">
      <c r="C14380" s="951"/>
      <c r="D14380" s="946"/>
      <c r="E14380" s="947"/>
      <c r="F14380" s="1054"/>
      <c r="G14380" s="946"/>
      <c r="H14380" s="1031"/>
      <c r="I14380" s="952"/>
    </row>
    <row r="14381" spans="3:9" ht="15.75">
      <c r="C14381" s="956" t="s">
        <v>926</v>
      </c>
      <c r="D14381" s="957"/>
      <c r="E14381" s="958"/>
      <c r="F14381" s="1069"/>
      <c r="G14381" s="957"/>
      <c r="H14381" s="1032"/>
      <c r="I14381" s="959">
        <f>+I14367</f>
        <v>566.4</v>
      </c>
    </row>
    <row r="14382" spans="3:9" ht="15.75">
      <c r="C14382" s="956" t="s">
        <v>927</v>
      </c>
      <c r="D14382" s="957"/>
      <c r="E14382" s="958"/>
      <c r="F14382" s="1069"/>
      <c r="G14382" s="957"/>
      <c r="H14382" s="1032"/>
      <c r="I14382" s="959">
        <f>+I14371</f>
        <v>0</v>
      </c>
    </row>
    <row r="14383" spans="3:9" ht="15.75">
      <c r="C14383" s="956" t="s">
        <v>928</v>
      </c>
      <c r="D14383" s="957"/>
      <c r="E14383" s="958"/>
      <c r="F14383" s="1069"/>
      <c r="G14383" s="957"/>
      <c r="H14383" s="1032"/>
      <c r="I14383" s="959">
        <f>+I14375</f>
        <v>0</v>
      </c>
    </row>
    <row r="14384" spans="3:9" ht="15.75">
      <c r="C14384" s="956" t="s">
        <v>929</v>
      </c>
      <c r="D14384" s="957"/>
      <c r="E14384" s="958"/>
      <c r="F14384" s="1069"/>
      <c r="G14384" s="957"/>
      <c r="H14384" s="1032"/>
      <c r="I14384" s="959">
        <f>+I14379</f>
        <v>0</v>
      </c>
    </row>
    <row r="14385" spans="2:9" ht="15.75">
      <c r="C14385" s="949"/>
      <c r="D14385" s="946"/>
      <c r="E14385" s="947"/>
      <c r="F14385" s="1054"/>
      <c r="G14385" s="946"/>
      <c r="H14385" s="1031"/>
      <c r="I14385" s="948"/>
    </row>
    <row r="14386" spans="2:9" ht="15.75">
      <c r="C14386" s="951" t="s">
        <v>930</v>
      </c>
      <c r="D14386" s="960"/>
      <c r="E14386" s="975" t="str">
        <f>+E14363</f>
        <v>ud</v>
      </c>
      <c r="F14386" s="1070"/>
      <c r="G14386" s="960"/>
      <c r="H14386" s="1033"/>
      <c r="I14386" s="952">
        <f>SUM(I14381:I14384)</f>
        <v>566.4</v>
      </c>
    </row>
    <row r="14387" spans="2:9" ht="15.75">
      <c r="C14387" s="951"/>
      <c r="D14387" s="960"/>
      <c r="E14387" s="943"/>
      <c r="F14387" s="1070"/>
      <c r="G14387" s="960"/>
      <c r="H14387" s="1033"/>
      <c r="I14387" s="952"/>
    </row>
    <row r="14388" spans="2:9" ht="15.75">
      <c r="B14388" s="1026">
        <v>2.6</v>
      </c>
      <c r="C14388" s="937" t="str">
        <f>+Presupuesto!B819</f>
        <v>Mano de obra eléctrica</v>
      </c>
      <c r="D14388" s="938"/>
      <c r="E14388" s="962" t="s">
        <v>1056</v>
      </c>
      <c r="F14388" s="1066"/>
      <c r="G14388" s="938"/>
      <c r="H14388" s="1029"/>
      <c r="I14388" s="940">
        <f>+I14411</f>
        <v>45000</v>
      </c>
    </row>
    <row r="14389" spans="2:9" ht="15.75">
      <c r="C14389" s="941" t="s">
        <v>908</v>
      </c>
      <c r="D14389" s="942" t="s">
        <v>9</v>
      </c>
      <c r="E14389" s="943" t="s">
        <v>10</v>
      </c>
      <c r="F14389" s="1067" t="s">
        <v>909</v>
      </c>
      <c r="G14389" s="942" t="s">
        <v>910</v>
      </c>
      <c r="H14389" s="1030" t="s">
        <v>911</v>
      </c>
      <c r="I14389" s="944" t="s">
        <v>912</v>
      </c>
    </row>
    <row r="14390" spans="2:9" ht="15.75">
      <c r="C14390" s="945" t="s">
        <v>913</v>
      </c>
      <c r="D14390" s="946"/>
      <c r="E14390" s="947"/>
      <c r="F14390" s="1054"/>
      <c r="G14390" s="946"/>
      <c r="H14390" s="1031"/>
      <c r="I14390" s="948"/>
    </row>
    <row r="14391" spans="2:9" ht="15.75">
      <c r="C14391" s="949" t="s">
        <v>1704</v>
      </c>
      <c r="D14391" s="946">
        <v>1</v>
      </c>
      <c r="E14391" s="947" t="str">
        <f>+VLOOKUP(C14391,'Basic (equilibrio) (2)'!B:D,2,FALSE)</f>
        <v>P.a</v>
      </c>
      <c r="F14391" s="1068">
        <f>+VLOOKUP(C14391,'Basic (equilibrio) (2)'!B:D,3,FALSE)</f>
        <v>45000</v>
      </c>
      <c r="G14391" s="946">
        <f>F14391-(F14391/1.18)</f>
        <v>6864.41</v>
      </c>
      <c r="H14391" s="1031"/>
      <c r="I14391" s="948">
        <f>D14391*F14391</f>
        <v>45000</v>
      </c>
    </row>
    <row r="14392" spans="2:9" ht="15.75">
      <c r="C14392" s="951" t="s">
        <v>918</v>
      </c>
      <c r="D14392" s="946"/>
      <c r="E14392" s="947"/>
      <c r="F14392" s="1068"/>
      <c r="G14392" s="946"/>
      <c r="H14392" s="1031"/>
      <c r="I14392" s="952">
        <f>SUM(I14391:I14391)</f>
        <v>45000</v>
      </c>
    </row>
    <row r="14393" spans="2:9" ht="15.75">
      <c r="C14393" s="949"/>
      <c r="D14393" s="946"/>
      <c r="E14393" s="947"/>
      <c r="F14393" s="1068"/>
      <c r="G14393" s="946"/>
      <c r="H14393" s="1031"/>
      <c r="I14393" s="948"/>
    </row>
    <row r="14394" spans="2:9" ht="15.75">
      <c r="C14394" s="945" t="s">
        <v>919</v>
      </c>
      <c r="D14394" s="946"/>
      <c r="E14394" s="947"/>
      <c r="F14394" s="1068"/>
      <c r="G14394" s="946"/>
      <c r="H14394" s="1031"/>
      <c r="I14394" s="948"/>
    </row>
    <row r="14395" spans="2:9" ht="15.75">
      <c r="C14395" s="949" t="s">
        <v>924</v>
      </c>
      <c r="D14395" s="953">
        <v>8.33</v>
      </c>
      <c r="E14395" s="954" t="str">
        <f>+VLOOKUP(C14395,'Basic (equilibrio) (2)'!B:D,2,FALSE)</f>
        <v>n/a</v>
      </c>
      <c r="F14395" s="1068">
        <f>+VLOOKUP(C14395,'Basic (equilibrio) (2)'!B:D,3,FALSE)</f>
        <v>0</v>
      </c>
      <c r="G14395" s="946">
        <v>0</v>
      </c>
      <c r="H14395" s="1031"/>
      <c r="I14395" s="948">
        <f>(D14395*F14395)</f>
        <v>0</v>
      </c>
    </row>
    <row r="14396" spans="2:9" ht="15.75">
      <c r="C14396" s="951" t="s">
        <v>918</v>
      </c>
      <c r="D14396" s="946"/>
      <c r="E14396" s="947"/>
      <c r="F14396" s="1054"/>
      <c r="G14396" s="946"/>
      <c r="H14396" s="1031"/>
      <c r="I14396" s="952">
        <f>SUM(I14395:I14395)</f>
        <v>0</v>
      </c>
    </row>
    <row r="14397" spans="2:9" ht="15.75">
      <c r="C14397" s="949"/>
      <c r="D14397" s="946"/>
      <c r="E14397" s="947"/>
      <c r="F14397" s="1054"/>
      <c r="G14397" s="946"/>
      <c r="H14397" s="1031"/>
      <c r="I14397" s="948"/>
    </row>
    <row r="14398" spans="2:9" ht="15.75">
      <c r="C14398" s="945" t="s">
        <v>923</v>
      </c>
      <c r="D14398" s="946"/>
      <c r="E14398" s="947"/>
      <c r="F14398" s="1054"/>
      <c r="G14398" s="946"/>
      <c r="H14398" s="1031"/>
      <c r="I14398" s="948"/>
    </row>
    <row r="14399" spans="2:9" ht="15.75">
      <c r="C14399" s="949" t="s">
        <v>924</v>
      </c>
      <c r="D14399" s="946"/>
      <c r="E14399" s="947" t="str">
        <f>+VLOOKUP(C14399,'Basic (equilibrio) (2)'!B:D,2,FALSE)</f>
        <v>n/a</v>
      </c>
      <c r="F14399" s="1054">
        <f>+VLOOKUP(C14399,'Basic (equilibrio) (2)'!B:D,3,FALSE)</f>
        <v>0</v>
      </c>
      <c r="G14399" s="946">
        <f>F14399-(F14399/1.18)</f>
        <v>0</v>
      </c>
      <c r="H14399" s="1039"/>
      <c r="I14399" s="955">
        <f>D14399*F14399</f>
        <v>0</v>
      </c>
    </row>
    <row r="14400" spans="2:9" ht="15.75">
      <c r="C14400" s="951" t="s">
        <v>918</v>
      </c>
      <c r="D14400" s="946"/>
      <c r="E14400" s="947"/>
      <c r="F14400" s="1054"/>
      <c r="G14400" s="946"/>
      <c r="H14400" s="1031"/>
      <c r="I14400" s="952">
        <f>SUM(I14399:I14399)</f>
        <v>0</v>
      </c>
    </row>
    <row r="14401" spans="2:9" ht="15.75">
      <c r="C14401" s="949"/>
      <c r="D14401" s="946"/>
      <c r="E14401" s="947"/>
      <c r="F14401" s="1054"/>
      <c r="G14401" s="946"/>
      <c r="H14401" s="1031"/>
      <c r="I14401" s="948"/>
    </row>
    <row r="14402" spans="2:9" ht="15.75">
      <c r="C14402" s="945" t="s">
        <v>925</v>
      </c>
      <c r="D14402" s="946"/>
      <c r="E14402" s="947"/>
      <c r="F14402" s="1054"/>
      <c r="G14402" s="946"/>
      <c r="H14402" s="1031"/>
      <c r="I14402" s="948"/>
    </row>
    <row r="14403" spans="2:9" ht="15.75">
      <c r="C14403" s="949" t="s">
        <v>924</v>
      </c>
      <c r="D14403" s="946"/>
      <c r="E14403" s="947" t="str">
        <f>+VLOOKUP(C14403,'Basic (equilibrio) (2)'!B:D,2,FALSE)</f>
        <v>n/a</v>
      </c>
      <c r="F14403" s="1054">
        <f>+VLOOKUP(C14403,'Basic (equilibrio) (2)'!B:D,3,FALSE)</f>
        <v>0</v>
      </c>
      <c r="G14403" s="946"/>
      <c r="H14403" s="1031"/>
      <c r="I14403" s="948">
        <f>D14403*F14403</f>
        <v>0</v>
      </c>
    </row>
    <row r="14404" spans="2:9" ht="15.75">
      <c r="C14404" s="951" t="s">
        <v>918</v>
      </c>
      <c r="D14404" s="946"/>
      <c r="E14404" s="947"/>
      <c r="F14404" s="1054"/>
      <c r="G14404" s="946"/>
      <c r="H14404" s="1031"/>
      <c r="I14404" s="952">
        <f>SUM(I14403)</f>
        <v>0</v>
      </c>
    </row>
    <row r="14405" spans="2:9" ht="15.75">
      <c r="C14405" s="951"/>
      <c r="D14405" s="946"/>
      <c r="E14405" s="947"/>
      <c r="F14405" s="1054"/>
      <c r="G14405" s="946"/>
      <c r="H14405" s="1031"/>
      <c r="I14405" s="952"/>
    </row>
    <row r="14406" spans="2:9" ht="15.75">
      <c r="C14406" s="956" t="s">
        <v>926</v>
      </c>
      <c r="D14406" s="957"/>
      <c r="E14406" s="958"/>
      <c r="F14406" s="1069"/>
      <c r="G14406" s="957"/>
      <c r="H14406" s="1032"/>
      <c r="I14406" s="959">
        <f>+I14392</f>
        <v>45000</v>
      </c>
    </row>
    <row r="14407" spans="2:9" ht="15.75">
      <c r="C14407" s="956" t="s">
        <v>927</v>
      </c>
      <c r="D14407" s="957"/>
      <c r="E14407" s="958"/>
      <c r="F14407" s="1069"/>
      <c r="G14407" s="957"/>
      <c r="H14407" s="1032"/>
      <c r="I14407" s="959">
        <f>+I14396</f>
        <v>0</v>
      </c>
    </row>
    <row r="14408" spans="2:9" ht="15.75">
      <c r="C14408" s="956" t="s">
        <v>928</v>
      </c>
      <c r="D14408" s="957"/>
      <c r="E14408" s="958"/>
      <c r="F14408" s="1069"/>
      <c r="G14408" s="957"/>
      <c r="H14408" s="1032"/>
      <c r="I14408" s="959">
        <f>+I14400</f>
        <v>0</v>
      </c>
    </row>
    <row r="14409" spans="2:9" ht="15.75">
      <c r="C14409" s="956" t="s">
        <v>929</v>
      </c>
      <c r="D14409" s="957"/>
      <c r="E14409" s="958"/>
      <c r="F14409" s="1069"/>
      <c r="G14409" s="957"/>
      <c r="H14409" s="1032"/>
      <c r="I14409" s="959">
        <f>+I14404</f>
        <v>0</v>
      </c>
    </row>
    <row r="14410" spans="2:9" ht="15.75">
      <c r="C14410" s="949"/>
      <c r="D14410" s="946"/>
      <c r="E14410" s="947"/>
      <c r="F14410" s="1054"/>
      <c r="G14410" s="946"/>
      <c r="H14410" s="1031"/>
      <c r="I14410" s="948"/>
    </row>
    <row r="14411" spans="2:9" ht="15.75">
      <c r="C14411" s="951" t="s">
        <v>930</v>
      </c>
      <c r="D14411" s="960"/>
      <c r="E14411" s="975" t="str">
        <f>+E14388</f>
        <v>ud</v>
      </c>
      <c r="F14411" s="1070"/>
      <c r="G14411" s="960"/>
      <c r="H14411" s="1033"/>
      <c r="I14411" s="952">
        <f>SUM(I14406:I14409)</f>
        <v>45000</v>
      </c>
    </row>
    <row r="14412" spans="2:9" ht="15.75">
      <c r="C14412" s="951"/>
      <c r="D14412" s="960"/>
      <c r="E14412" s="943"/>
      <c r="F14412" s="1070"/>
      <c r="G14412" s="960"/>
      <c r="H14412" s="1033"/>
      <c r="I14412" s="952"/>
    </row>
    <row r="14413" spans="2:9" ht="15.75">
      <c r="B14413" s="1026">
        <v>3.1</v>
      </c>
      <c r="C14413" s="937" t="str">
        <f>+Presupuesto!B822</f>
        <v>Salidas cenitales</v>
      </c>
      <c r="D14413" s="938"/>
      <c r="E14413" s="962" t="s">
        <v>1056</v>
      </c>
      <c r="F14413" s="1066"/>
      <c r="G14413" s="938"/>
      <c r="H14413" s="1029"/>
      <c r="I14413" s="940">
        <f>+I14436</f>
        <v>1907</v>
      </c>
    </row>
    <row r="14414" spans="2:9" ht="15.75">
      <c r="C14414" s="941" t="s">
        <v>908</v>
      </c>
      <c r="D14414" s="942" t="s">
        <v>9</v>
      </c>
      <c r="E14414" s="943" t="s">
        <v>10</v>
      </c>
      <c r="F14414" s="1067" t="s">
        <v>909</v>
      </c>
      <c r="G14414" s="942" t="s">
        <v>910</v>
      </c>
      <c r="H14414" s="1030" t="s">
        <v>911</v>
      </c>
      <c r="I14414" s="944" t="s">
        <v>912</v>
      </c>
    </row>
    <row r="14415" spans="2:9" ht="15.75">
      <c r="C14415" s="945" t="s">
        <v>913</v>
      </c>
      <c r="D14415" s="946"/>
      <c r="E14415" s="947"/>
      <c r="F14415" s="1054"/>
      <c r="G14415" s="946"/>
      <c r="H14415" s="1031"/>
      <c r="I14415" s="948"/>
    </row>
    <row r="14416" spans="2:9" ht="15.75">
      <c r="C14416" s="949" t="s">
        <v>1620</v>
      </c>
      <c r="D14416" s="946">
        <v>1</v>
      </c>
      <c r="E14416" s="947" t="str">
        <f>+VLOOKUP(C14416,'Basic (equilibrio) (2)'!B:D,2,FALSE)</f>
        <v>ud</v>
      </c>
      <c r="F14416" s="1068">
        <f>'Basic (equilibrio) (2)'!$D$234</f>
        <v>1907</v>
      </c>
      <c r="G14416" s="946">
        <f>F14416-(F14416/1.18)</f>
        <v>290.89999999999998</v>
      </c>
      <c r="H14416" s="1031"/>
      <c r="I14416" s="948">
        <f>D14416*F14416</f>
        <v>1907</v>
      </c>
    </row>
    <row r="14417" spans="3:9" ht="15.75">
      <c r="C14417" s="951" t="s">
        <v>918</v>
      </c>
      <c r="D14417" s="946"/>
      <c r="E14417" s="947"/>
      <c r="F14417" s="1068"/>
      <c r="G14417" s="946"/>
      <c r="H14417" s="1031"/>
      <c r="I14417" s="952">
        <f>SUM(I14416:I14416)</f>
        <v>1907</v>
      </c>
    </row>
    <row r="14418" spans="3:9" ht="15.75">
      <c r="C14418" s="949"/>
      <c r="D14418" s="946"/>
      <c r="E14418" s="947"/>
      <c r="F14418" s="1068"/>
      <c r="G14418" s="946"/>
      <c r="H14418" s="1031"/>
      <c r="I14418" s="948"/>
    </row>
    <row r="14419" spans="3:9" ht="15.75">
      <c r="C14419" s="945" t="s">
        <v>919</v>
      </c>
      <c r="D14419" s="946"/>
      <c r="E14419" s="947"/>
      <c r="F14419" s="1068"/>
      <c r="G14419" s="946"/>
      <c r="H14419" s="1031"/>
      <c r="I14419" s="948"/>
    </row>
    <row r="14420" spans="3:9" ht="15.75">
      <c r="C14420" s="949" t="s">
        <v>924</v>
      </c>
      <c r="D14420" s="953">
        <v>8.33</v>
      </c>
      <c r="E14420" s="954" t="str">
        <f>+VLOOKUP(C14420,'Basic (equilibrio) (2)'!B:D,2,FALSE)</f>
        <v>n/a</v>
      </c>
      <c r="F14420" s="1068">
        <f>+VLOOKUP(C14420,'Basic (equilibrio) (2)'!B:D,3,FALSE)</f>
        <v>0</v>
      </c>
      <c r="G14420" s="946">
        <v>0</v>
      </c>
      <c r="H14420" s="1031"/>
      <c r="I14420" s="948">
        <f>(D14420*F14420)</f>
        <v>0</v>
      </c>
    </row>
    <row r="14421" spans="3:9" ht="15.75">
      <c r="C14421" s="951" t="s">
        <v>918</v>
      </c>
      <c r="D14421" s="946"/>
      <c r="E14421" s="947"/>
      <c r="F14421" s="1054"/>
      <c r="G14421" s="946"/>
      <c r="H14421" s="1031"/>
      <c r="I14421" s="952">
        <f>SUM(I14420:I14420)</f>
        <v>0</v>
      </c>
    </row>
    <row r="14422" spans="3:9" ht="15.75">
      <c r="C14422" s="949"/>
      <c r="D14422" s="946"/>
      <c r="E14422" s="947"/>
      <c r="F14422" s="1054"/>
      <c r="G14422" s="946"/>
      <c r="H14422" s="1031"/>
      <c r="I14422" s="948"/>
    </row>
    <row r="14423" spans="3:9" ht="15.75">
      <c r="C14423" s="945" t="s">
        <v>923</v>
      </c>
      <c r="D14423" s="946"/>
      <c r="E14423" s="947"/>
      <c r="F14423" s="1054"/>
      <c r="G14423" s="946"/>
      <c r="H14423" s="1031"/>
      <c r="I14423" s="948"/>
    </row>
    <row r="14424" spans="3:9" ht="15.75">
      <c r="C14424" s="949" t="s">
        <v>924</v>
      </c>
      <c r="D14424" s="946"/>
      <c r="E14424" s="947" t="str">
        <f>+VLOOKUP(C14424,'Basic (equilibrio) (2)'!B:D,2,FALSE)</f>
        <v>n/a</v>
      </c>
      <c r="F14424" s="1054">
        <f>+VLOOKUP(C14424,'Basic (equilibrio) (2)'!B:D,3,FALSE)</f>
        <v>0</v>
      </c>
      <c r="G14424" s="946">
        <f>F14424-(F14424/1.18)</f>
        <v>0</v>
      </c>
      <c r="H14424" s="1039"/>
      <c r="I14424" s="955">
        <f>D14424*F14424</f>
        <v>0</v>
      </c>
    </row>
    <row r="14425" spans="3:9" ht="15.75">
      <c r="C14425" s="951" t="s">
        <v>918</v>
      </c>
      <c r="D14425" s="946"/>
      <c r="E14425" s="947"/>
      <c r="F14425" s="1054"/>
      <c r="G14425" s="946"/>
      <c r="H14425" s="1031"/>
      <c r="I14425" s="952">
        <f>SUM(I14424:I14424)</f>
        <v>0</v>
      </c>
    </row>
    <row r="14426" spans="3:9" ht="15.75">
      <c r="C14426" s="949"/>
      <c r="D14426" s="946"/>
      <c r="E14426" s="947"/>
      <c r="F14426" s="1054"/>
      <c r="G14426" s="946"/>
      <c r="H14426" s="1031"/>
      <c r="I14426" s="948"/>
    </row>
    <row r="14427" spans="3:9" ht="15.75">
      <c r="C14427" s="945" t="s">
        <v>925</v>
      </c>
      <c r="D14427" s="946"/>
      <c r="E14427" s="947"/>
      <c r="F14427" s="1054"/>
      <c r="G14427" s="946"/>
      <c r="H14427" s="1031"/>
      <c r="I14427" s="948"/>
    </row>
    <row r="14428" spans="3:9" ht="15.75">
      <c r="C14428" s="949" t="s">
        <v>924</v>
      </c>
      <c r="D14428" s="946"/>
      <c r="E14428" s="947" t="str">
        <f>+VLOOKUP(C14428,'Basic (equilibrio) (2)'!B:D,2,FALSE)</f>
        <v>n/a</v>
      </c>
      <c r="F14428" s="1054">
        <f>+VLOOKUP(C14428,'Basic (equilibrio) (2)'!B:D,3,FALSE)</f>
        <v>0</v>
      </c>
      <c r="G14428" s="946"/>
      <c r="H14428" s="1031"/>
      <c r="I14428" s="948">
        <f>D14428*F14428</f>
        <v>0</v>
      </c>
    </row>
    <row r="14429" spans="3:9" ht="15.75">
      <c r="C14429" s="951" t="s">
        <v>918</v>
      </c>
      <c r="D14429" s="946"/>
      <c r="E14429" s="947"/>
      <c r="F14429" s="1054"/>
      <c r="G14429" s="946"/>
      <c r="H14429" s="1031"/>
      <c r="I14429" s="952">
        <f>SUM(I14428)</f>
        <v>0</v>
      </c>
    </row>
    <row r="14430" spans="3:9" ht="15.75">
      <c r="C14430" s="951"/>
      <c r="D14430" s="946"/>
      <c r="E14430" s="947"/>
      <c r="F14430" s="1054"/>
      <c r="G14430" s="946"/>
      <c r="H14430" s="1031"/>
      <c r="I14430" s="952"/>
    </row>
    <row r="14431" spans="3:9" ht="15.75">
      <c r="C14431" s="956" t="s">
        <v>926</v>
      </c>
      <c r="D14431" s="957"/>
      <c r="E14431" s="958"/>
      <c r="F14431" s="1069"/>
      <c r="G14431" s="957"/>
      <c r="H14431" s="1032"/>
      <c r="I14431" s="959">
        <f>+I14417</f>
        <v>1907</v>
      </c>
    </row>
    <row r="14432" spans="3:9" ht="15.75">
      <c r="C14432" s="956" t="s">
        <v>927</v>
      </c>
      <c r="D14432" s="957"/>
      <c r="E14432" s="958"/>
      <c r="F14432" s="1069"/>
      <c r="G14432" s="957"/>
      <c r="H14432" s="1032"/>
      <c r="I14432" s="959">
        <f>+I14421</f>
        <v>0</v>
      </c>
    </row>
    <row r="14433" spans="2:9" ht="15.75">
      <c r="C14433" s="956" t="s">
        <v>928</v>
      </c>
      <c r="D14433" s="957"/>
      <c r="E14433" s="958"/>
      <c r="F14433" s="1069"/>
      <c r="G14433" s="957"/>
      <c r="H14433" s="1032"/>
      <c r="I14433" s="959">
        <f>+I14425</f>
        <v>0</v>
      </c>
    </row>
    <row r="14434" spans="2:9" ht="15.75">
      <c r="C14434" s="956" t="s">
        <v>929</v>
      </c>
      <c r="D14434" s="957"/>
      <c r="E14434" s="958"/>
      <c r="F14434" s="1069"/>
      <c r="G14434" s="957"/>
      <c r="H14434" s="1032"/>
      <c r="I14434" s="959">
        <f>+I14429</f>
        <v>0</v>
      </c>
    </row>
    <row r="14435" spans="2:9" ht="15.75">
      <c r="C14435" s="949"/>
      <c r="D14435" s="946"/>
      <c r="E14435" s="947"/>
      <c r="F14435" s="1054"/>
      <c r="G14435" s="946"/>
      <c r="H14435" s="1031"/>
      <c r="I14435" s="948"/>
    </row>
    <row r="14436" spans="2:9" ht="15.75">
      <c r="C14436" s="951" t="s">
        <v>930</v>
      </c>
      <c r="D14436" s="960"/>
      <c r="E14436" s="975" t="str">
        <f>+E14413</f>
        <v>ud</v>
      </c>
      <c r="F14436" s="1070"/>
      <c r="G14436" s="960"/>
      <c r="H14436" s="1033"/>
      <c r="I14436" s="952">
        <f>SUM(I14431:I14434)</f>
        <v>1907</v>
      </c>
    </row>
    <row r="14437" spans="2:9" ht="15.75">
      <c r="C14437" s="951"/>
      <c r="D14437" s="960"/>
      <c r="E14437" s="943"/>
      <c r="F14437" s="1070"/>
      <c r="G14437" s="960"/>
      <c r="H14437" s="1033"/>
      <c r="I14437" s="952"/>
    </row>
    <row r="14438" spans="2:9" ht="15.75">
      <c r="B14438" s="1026">
        <v>3.2</v>
      </c>
      <c r="C14438" s="937" t="str">
        <f>+Presupuesto!B823</f>
        <v>Salidas para tomacorrientes dobles 120V</v>
      </c>
      <c r="D14438" s="938"/>
      <c r="E14438" s="962" t="s">
        <v>1056</v>
      </c>
      <c r="F14438" s="1066"/>
      <c r="G14438" s="938"/>
      <c r="H14438" s="1029"/>
      <c r="I14438" s="940">
        <f>+I14461</f>
        <v>2133</v>
      </c>
    </row>
    <row r="14439" spans="2:9" ht="15.75">
      <c r="C14439" s="941" t="s">
        <v>908</v>
      </c>
      <c r="D14439" s="942" t="s">
        <v>9</v>
      </c>
      <c r="E14439" s="943" t="s">
        <v>10</v>
      </c>
      <c r="F14439" s="1067" t="s">
        <v>909</v>
      </c>
      <c r="G14439" s="942" t="s">
        <v>910</v>
      </c>
      <c r="H14439" s="1030" t="s">
        <v>911</v>
      </c>
      <c r="I14439" s="944" t="s">
        <v>912</v>
      </c>
    </row>
    <row r="14440" spans="2:9" ht="15.75">
      <c r="C14440" s="945" t="s">
        <v>913</v>
      </c>
      <c r="D14440" s="946"/>
      <c r="E14440" s="947"/>
      <c r="F14440" s="1054"/>
      <c r="G14440" s="946"/>
      <c r="H14440" s="1031"/>
      <c r="I14440" s="948"/>
    </row>
    <row r="14441" spans="2:9" ht="15.75">
      <c r="C14441" s="949" t="s">
        <v>1622</v>
      </c>
      <c r="D14441" s="946">
        <v>1</v>
      </c>
      <c r="E14441" s="947" t="str">
        <f>+VLOOKUP(C14441,'Basic (equilibrio) (2)'!B:D,2,FALSE)</f>
        <v>ud</v>
      </c>
      <c r="F14441" s="1068">
        <f>'Basic (equilibrio) (2)'!$D$237</f>
        <v>2133</v>
      </c>
      <c r="G14441" s="946">
        <f>F14441-(F14441/1.18)</f>
        <v>325.37</v>
      </c>
      <c r="H14441" s="1031"/>
      <c r="I14441" s="948">
        <f>D14441*F14441</f>
        <v>2133</v>
      </c>
    </row>
    <row r="14442" spans="2:9" ht="15.75">
      <c r="C14442" s="951" t="s">
        <v>918</v>
      </c>
      <c r="D14442" s="946"/>
      <c r="E14442" s="947"/>
      <c r="F14442" s="1068"/>
      <c r="G14442" s="946"/>
      <c r="H14442" s="1031"/>
      <c r="I14442" s="952">
        <f>SUM(I14441:I14441)</f>
        <v>2133</v>
      </c>
    </row>
    <row r="14443" spans="2:9" ht="15.75">
      <c r="C14443" s="949"/>
      <c r="D14443" s="946"/>
      <c r="E14443" s="947"/>
      <c r="F14443" s="1068"/>
      <c r="G14443" s="946"/>
      <c r="H14443" s="1031"/>
      <c r="I14443" s="948"/>
    </row>
    <row r="14444" spans="2:9" ht="15.75">
      <c r="C14444" s="945" t="s">
        <v>919</v>
      </c>
      <c r="D14444" s="946"/>
      <c r="E14444" s="947"/>
      <c r="F14444" s="1068"/>
      <c r="G14444" s="946"/>
      <c r="H14444" s="1031"/>
      <c r="I14444" s="948"/>
    </row>
    <row r="14445" spans="2:9" ht="15.75">
      <c r="C14445" s="949" t="s">
        <v>924</v>
      </c>
      <c r="D14445" s="953">
        <v>8.33</v>
      </c>
      <c r="E14445" s="954" t="str">
        <f>+VLOOKUP(C14445,'Basic (equilibrio) (2)'!B:D,2,FALSE)</f>
        <v>n/a</v>
      </c>
      <c r="F14445" s="1068">
        <f>+VLOOKUP(C14445,'Basic (equilibrio) (2)'!B:D,3,FALSE)</f>
        <v>0</v>
      </c>
      <c r="G14445" s="946">
        <v>0</v>
      </c>
      <c r="H14445" s="1031"/>
      <c r="I14445" s="948">
        <f>(D14445*F14445)</f>
        <v>0</v>
      </c>
    </row>
    <row r="14446" spans="2:9" ht="15.75">
      <c r="C14446" s="951" t="s">
        <v>918</v>
      </c>
      <c r="D14446" s="946"/>
      <c r="E14446" s="947"/>
      <c r="F14446" s="1054"/>
      <c r="G14446" s="946"/>
      <c r="H14446" s="1031"/>
      <c r="I14446" s="952">
        <f>SUM(I14445:I14445)</f>
        <v>0</v>
      </c>
    </row>
    <row r="14447" spans="2:9" ht="15.75">
      <c r="C14447" s="949"/>
      <c r="D14447" s="946"/>
      <c r="E14447" s="947"/>
      <c r="F14447" s="1054"/>
      <c r="G14447" s="946"/>
      <c r="H14447" s="1031"/>
      <c r="I14447" s="948"/>
    </row>
    <row r="14448" spans="2:9" ht="15.75">
      <c r="C14448" s="945" t="s">
        <v>923</v>
      </c>
      <c r="D14448" s="946"/>
      <c r="E14448" s="947"/>
      <c r="F14448" s="1054"/>
      <c r="G14448" s="946"/>
      <c r="H14448" s="1031"/>
      <c r="I14448" s="948"/>
    </row>
    <row r="14449" spans="2:9" ht="15.75">
      <c r="C14449" s="949" t="s">
        <v>924</v>
      </c>
      <c r="D14449" s="946"/>
      <c r="E14449" s="947" t="str">
        <f>+VLOOKUP(C14449,'Basic (equilibrio) (2)'!B:D,2,FALSE)</f>
        <v>n/a</v>
      </c>
      <c r="F14449" s="1054">
        <f>+VLOOKUP(C14449,'Basic (equilibrio) (2)'!B:D,3,FALSE)</f>
        <v>0</v>
      </c>
      <c r="G14449" s="946">
        <f>F14449-(F14449/1.18)</f>
        <v>0</v>
      </c>
      <c r="H14449" s="1039"/>
      <c r="I14449" s="955">
        <f>D14449*F14449</f>
        <v>0</v>
      </c>
    </row>
    <row r="14450" spans="2:9" ht="15.75">
      <c r="C14450" s="951" t="s">
        <v>918</v>
      </c>
      <c r="D14450" s="946"/>
      <c r="E14450" s="947"/>
      <c r="F14450" s="1054"/>
      <c r="G14450" s="946"/>
      <c r="H14450" s="1031"/>
      <c r="I14450" s="952">
        <f>SUM(I14449:I14449)</f>
        <v>0</v>
      </c>
    </row>
    <row r="14451" spans="2:9" ht="15.75">
      <c r="C14451" s="949"/>
      <c r="D14451" s="946"/>
      <c r="E14451" s="947"/>
      <c r="F14451" s="1054"/>
      <c r="G14451" s="946"/>
      <c r="H14451" s="1031"/>
      <c r="I14451" s="948"/>
    </row>
    <row r="14452" spans="2:9" ht="15.75">
      <c r="C14452" s="945" t="s">
        <v>925</v>
      </c>
      <c r="D14452" s="946"/>
      <c r="E14452" s="947"/>
      <c r="F14452" s="1054"/>
      <c r="G14452" s="946"/>
      <c r="H14452" s="1031"/>
      <c r="I14452" s="948"/>
    </row>
    <row r="14453" spans="2:9" ht="15.75">
      <c r="C14453" s="949" t="s">
        <v>924</v>
      </c>
      <c r="D14453" s="946"/>
      <c r="E14453" s="947" t="str">
        <f>+VLOOKUP(C14453,'Basic (equilibrio) (2)'!B:D,2,FALSE)</f>
        <v>n/a</v>
      </c>
      <c r="F14453" s="1054">
        <f>+VLOOKUP(C14453,'Basic (equilibrio) (2)'!B:D,3,FALSE)</f>
        <v>0</v>
      </c>
      <c r="G14453" s="946"/>
      <c r="H14453" s="1031"/>
      <c r="I14453" s="948">
        <f>D14453*F14453</f>
        <v>0</v>
      </c>
    </row>
    <row r="14454" spans="2:9" ht="15.75">
      <c r="C14454" s="951" t="s">
        <v>918</v>
      </c>
      <c r="D14454" s="946"/>
      <c r="E14454" s="947"/>
      <c r="F14454" s="1054"/>
      <c r="G14454" s="946"/>
      <c r="H14454" s="1031"/>
      <c r="I14454" s="952">
        <f>SUM(I14453)</f>
        <v>0</v>
      </c>
    </row>
    <row r="14455" spans="2:9" ht="15.75">
      <c r="C14455" s="951"/>
      <c r="D14455" s="946"/>
      <c r="E14455" s="947"/>
      <c r="F14455" s="1054"/>
      <c r="G14455" s="946"/>
      <c r="H14455" s="1031"/>
      <c r="I14455" s="952"/>
    </row>
    <row r="14456" spans="2:9" ht="15.75">
      <c r="C14456" s="956" t="s">
        <v>926</v>
      </c>
      <c r="D14456" s="957"/>
      <c r="E14456" s="958"/>
      <c r="F14456" s="1069"/>
      <c r="G14456" s="957"/>
      <c r="H14456" s="1032"/>
      <c r="I14456" s="959">
        <f>+I14442</f>
        <v>2133</v>
      </c>
    </row>
    <row r="14457" spans="2:9" ht="15.75">
      <c r="C14457" s="956" t="s">
        <v>927</v>
      </c>
      <c r="D14457" s="957"/>
      <c r="E14457" s="958"/>
      <c r="F14457" s="1069"/>
      <c r="G14457" s="957"/>
      <c r="H14457" s="1032"/>
      <c r="I14457" s="959">
        <f>+I14446</f>
        <v>0</v>
      </c>
    </row>
    <row r="14458" spans="2:9" ht="15.75">
      <c r="C14458" s="956" t="s">
        <v>928</v>
      </c>
      <c r="D14458" s="957"/>
      <c r="E14458" s="958"/>
      <c r="F14458" s="1069"/>
      <c r="G14458" s="957"/>
      <c r="H14458" s="1032"/>
      <c r="I14458" s="959">
        <f>+I14450</f>
        <v>0</v>
      </c>
    </row>
    <row r="14459" spans="2:9" ht="15.75">
      <c r="C14459" s="956" t="s">
        <v>929</v>
      </c>
      <c r="D14459" s="957"/>
      <c r="E14459" s="958"/>
      <c r="F14459" s="1069"/>
      <c r="G14459" s="957"/>
      <c r="H14459" s="1032"/>
      <c r="I14459" s="959">
        <f>+I14454</f>
        <v>0</v>
      </c>
    </row>
    <row r="14460" spans="2:9" ht="15.75">
      <c r="C14460" s="949"/>
      <c r="D14460" s="946"/>
      <c r="E14460" s="947"/>
      <c r="F14460" s="1054"/>
      <c r="G14460" s="946"/>
      <c r="H14460" s="1031"/>
      <c r="I14460" s="948"/>
    </row>
    <row r="14461" spans="2:9" ht="15.75">
      <c r="C14461" s="951" t="s">
        <v>930</v>
      </c>
      <c r="D14461" s="960"/>
      <c r="E14461" s="975" t="str">
        <f>+E14438</f>
        <v>ud</v>
      </c>
      <c r="F14461" s="1070"/>
      <c r="G14461" s="960"/>
      <c r="H14461" s="1033"/>
      <c r="I14461" s="952">
        <f>SUM(I14456:I14459)</f>
        <v>2133</v>
      </c>
    </row>
    <row r="14462" spans="2:9" ht="15.75">
      <c r="C14462" s="951"/>
      <c r="D14462" s="960"/>
      <c r="E14462" s="943"/>
      <c r="F14462" s="1070"/>
      <c r="G14462" s="960"/>
      <c r="H14462" s="1033"/>
      <c r="I14462" s="952"/>
    </row>
    <row r="14463" spans="2:9" ht="15.75">
      <c r="B14463" s="1026">
        <v>3.3</v>
      </c>
      <c r="C14463" s="937" t="str">
        <f>+Presupuesto!B824</f>
        <v>Conductor eléctrico THW No.10</v>
      </c>
      <c r="D14463" s="938"/>
      <c r="E14463" s="962" t="s">
        <v>1056</v>
      </c>
      <c r="F14463" s="1066"/>
      <c r="G14463" s="938"/>
      <c r="H14463" s="1029"/>
      <c r="I14463" s="940">
        <f>+I14486</f>
        <v>73.099999999999994</v>
      </c>
    </row>
    <row r="14464" spans="2:9" ht="15.75">
      <c r="C14464" s="941" t="s">
        <v>908</v>
      </c>
      <c r="D14464" s="942" t="s">
        <v>9</v>
      </c>
      <c r="E14464" s="943" t="s">
        <v>10</v>
      </c>
      <c r="F14464" s="1067" t="s">
        <v>909</v>
      </c>
      <c r="G14464" s="942" t="s">
        <v>910</v>
      </c>
      <c r="H14464" s="1030" t="s">
        <v>911</v>
      </c>
      <c r="I14464" s="944" t="s">
        <v>912</v>
      </c>
    </row>
    <row r="14465" spans="3:9" ht="15.75">
      <c r="C14465" s="945" t="s">
        <v>913</v>
      </c>
      <c r="D14465" s="946"/>
      <c r="E14465" s="947"/>
      <c r="F14465" s="1054"/>
      <c r="G14465" s="946"/>
      <c r="H14465" s="1031"/>
      <c r="I14465" s="948"/>
    </row>
    <row r="14466" spans="3:9" ht="15.75">
      <c r="C14466" s="949" t="s">
        <v>873</v>
      </c>
      <c r="D14466" s="946">
        <v>1</v>
      </c>
      <c r="E14466" s="947" t="str">
        <f>+VLOOKUP(C14466,'Basic (equilibrio) (2)'!B:D,2,FALSE)</f>
        <v>m</v>
      </c>
      <c r="F14466" s="1068">
        <f>'Basic (equilibrio) (2)'!$D$381</f>
        <v>73.099999999999994</v>
      </c>
      <c r="G14466" s="946">
        <f>F14466-(F14466/1.18)</f>
        <v>11.15</v>
      </c>
      <c r="H14466" s="1031"/>
      <c r="I14466" s="948">
        <f>D14466*F14466</f>
        <v>73.099999999999994</v>
      </c>
    </row>
    <row r="14467" spans="3:9" ht="15.75">
      <c r="C14467" s="951" t="s">
        <v>918</v>
      </c>
      <c r="D14467" s="946"/>
      <c r="E14467" s="947"/>
      <c r="F14467" s="1068"/>
      <c r="G14467" s="946"/>
      <c r="H14467" s="1031"/>
      <c r="I14467" s="952">
        <f>SUM(I14466:I14466)</f>
        <v>73.099999999999994</v>
      </c>
    </row>
    <row r="14468" spans="3:9" ht="15.75">
      <c r="C14468" s="949"/>
      <c r="D14468" s="946"/>
      <c r="E14468" s="947"/>
      <c r="F14468" s="1068"/>
      <c r="G14468" s="946"/>
      <c r="H14468" s="1031"/>
      <c r="I14468" s="948"/>
    </row>
    <row r="14469" spans="3:9" ht="15.75">
      <c r="C14469" s="945" t="s">
        <v>919</v>
      </c>
      <c r="D14469" s="946"/>
      <c r="E14469" s="947"/>
      <c r="F14469" s="1068"/>
      <c r="G14469" s="946"/>
      <c r="H14469" s="1031"/>
      <c r="I14469" s="948"/>
    </row>
    <row r="14470" spans="3:9" ht="15.75">
      <c r="C14470" s="949" t="s">
        <v>924</v>
      </c>
      <c r="D14470" s="953">
        <v>8.33</v>
      </c>
      <c r="E14470" s="954" t="str">
        <f>+VLOOKUP(C14470,'Basic (equilibrio) (2)'!B:D,2,FALSE)</f>
        <v>n/a</v>
      </c>
      <c r="F14470" s="1068">
        <f>+VLOOKUP(C14470,'Basic (equilibrio) (2)'!B:D,3,FALSE)</f>
        <v>0</v>
      </c>
      <c r="G14470" s="946">
        <v>0</v>
      </c>
      <c r="H14470" s="1031"/>
      <c r="I14470" s="948">
        <f>(D14470*F14470)</f>
        <v>0</v>
      </c>
    </row>
    <row r="14471" spans="3:9" ht="15.75">
      <c r="C14471" s="951" t="s">
        <v>918</v>
      </c>
      <c r="D14471" s="946"/>
      <c r="E14471" s="947"/>
      <c r="F14471" s="1054"/>
      <c r="G14471" s="946"/>
      <c r="H14471" s="1031"/>
      <c r="I14471" s="952">
        <f>SUM(I14470:I14470)</f>
        <v>0</v>
      </c>
    </row>
    <row r="14472" spans="3:9" ht="15.75">
      <c r="C14472" s="949"/>
      <c r="D14472" s="946"/>
      <c r="E14472" s="947"/>
      <c r="F14472" s="1054"/>
      <c r="G14472" s="946"/>
      <c r="H14472" s="1031"/>
      <c r="I14472" s="948"/>
    </row>
    <row r="14473" spans="3:9" ht="15.75">
      <c r="C14473" s="945" t="s">
        <v>923</v>
      </c>
      <c r="D14473" s="946"/>
      <c r="E14473" s="947"/>
      <c r="F14473" s="1054"/>
      <c r="G14473" s="946"/>
      <c r="H14473" s="1031"/>
      <c r="I14473" s="948"/>
    </row>
    <row r="14474" spans="3:9" ht="15.75">
      <c r="C14474" s="949" t="s">
        <v>924</v>
      </c>
      <c r="D14474" s="946"/>
      <c r="E14474" s="947" t="str">
        <f>+VLOOKUP(C14474,'Basic (equilibrio) (2)'!B:D,2,FALSE)</f>
        <v>n/a</v>
      </c>
      <c r="F14474" s="1054">
        <f>+VLOOKUP(C14474,'Basic (equilibrio) (2)'!B:D,3,FALSE)</f>
        <v>0</v>
      </c>
      <c r="G14474" s="946">
        <f>F14474-(F14474/1.18)</f>
        <v>0</v>
      </c>
      <c r="H14474" s="1039"/>
      <c r="I14474" s="955">
        <f>D14474*F14474</f>
        <v>0</v>
      </c>
    </row>
    <row r="14475" spans="3:9" ht="15.75">
      <c r="C14475" s="951" t="s">
        <v>918</v>
      </c>
      <c r="D14475" s="946"/>
      <c r="E14475" s="947"/>
      <c r="F14475" s="1054"/>
      <c r="G14475" s="946"/>
      <c r="H14475" s="1031"/>
      <c r="I14475" s="952">
        <f>SUM(I14474:I14474)</f>
        <v>0</v>
      </c>
    </row>
    <row r="14476" spans="3:9" ht="15.75">
      <c r="C14476" s="949"/>
      <c r="D14476" s="946"/>
      <c r="E14476" s="947"/>
      <c r="F14476" s="1054"/>
      <c r="G14476" s="946"/>
      <c r="H14476" s="1031"/>
      <c r="I14476" s="948"/>
    </row>
    <row r="14477" spans="3:9" ht="15.75">
      <c r="C14477" s="945" t="s">
        <v>925</v>
      </c>
      <c r="D14477" s="946"/>
      <c r="E14477" s="947"/>
      <c r="F14477" s="1054"/>
      <c r="G14477" s="946"/>
      <c r="H14477" s="1031"/>
      <c r="I14477" s="948"/>
    </row>
    <row r="14478" spans="3:9" ht="15.75">
      <c r="C14478" s="949" t="s">
        <v>924</v>
      </c>
      <c r="D14478" s="946"/>
      <c r="E14478" s="947" t="str">
        <f>+VLOOKUP(C14478,'Basic (equilibrio) (2)'!B:D,2,FALSE)</f>
        <v>n/a</v>
      </c>
      <c r="F14478" s="1054">
        <f>+VLOOKUP(C14478,'Basic (equilibrio) (2)'!B:D,3,FALSE)</f>
        <v>0</v>
      </c>
      <c r="G14478" s="946"/>
      <c r="H14478" s="1031"/>
      <c r="I14478" s="948">
        <f>D14478*F14478</f>
        <v>0</v>
      </c>
    </row>
    <row r="14479" spans="3:9" ht="15.75">
      <c r="C14479" s="951" t="s">
        <v>918</v>
      </c>
      <c r="D14479" s="946"/>
      <c r="E14479" s="947"/>
      <c r="F14479" s="1054"/>
      <c r="G14479" s="946"/>
      <c r="H14479" s="1031"/>
      <c r="I14479" s="952">
        <f>SUM(I14478)</f>
        <v>0</v>
      </c>
    </row>
    <row r="14480" spans="3:9" ht="15.75">
      <c r="C14480" s="951"/>
      <c r="D14480" s="946"/>
      <c r="E14480" s="947"/>
      <c r="F14480" s="1054"/>
      <c r="G14480" s="946"/>
      <c r="H14480" s="1031"/>
      <c r="I14480" s="952"/>
    </row>
    <row r="14481" spans="2:9" ht="15.75">
      <c r="C14481" s="956" t="s">
        <v>926</v>
      </c>
      <c r="D14481" s="957"/>
      <c r="E14481" s="958"/>
      <c r="F14481" s="1069"/>
      <c r="G14481" s="957"/>
      <c r="H14481" s="1032"/>
      <c r="I14481" s="959">
        <f>+I14467</f>
        <v>73.099999999999994</v>
      </c>
    </row>
    <row r="14482" spans="2:9" ht="15.75">
      <c r="C14482" s="956" t="s">
        <v>927</v>
      </c>
      <c r="D14482" s="957"/>
      <c r="E14482" s="958"/>
      <c r="F14482" s="1069"/>
      <c r="G14482" s="957"/>
      <c r="H14482" s="1032"/>
      <c r="I14482" s="959">
        <f>+I14471</f>
        <v>0</v>
      </c>
    </row>
    <row r="14483" spans="2:9" ht="15.75">
      <c r="C14483" s="956" t="s">
        <v>928</v>
      </c>
      <c r="D14483" s="957"/>
      <c r="E14483" s="958"/>
      <c r="F14483" s="1069"/>
      <c r="G14483" s="957"/>
      <c r="H14483" s="1032"/>
      <c r="I14483" s="959">
        <f>+I14475</f>
        <v>0</v>
      </c>
    </row>
    <row r="14484" spans="2:9" ht="15.75">
      <c r="C14484" s="956" t="s">
        <v>929</v>
      </c>
      <c r="D14484" s="957"/>
      <c r="E14484" s="958"/>
      <c r="F14484" s="1069"/>
      <c r="G14484" s="957"/>
      <c r="H14484" s="1032"/>
      <c r="I14484" s="959">
        <f>+I14479</f>
        <v>0</v>
      </c>
    </row>
    <row r="14485" spans="2:9" ht="15.75">
      <c r="C14485" s="949"/>
      <c r="D14485" s="946"/>
      <c r="E14485" s="947"/>
      <c r="F14485" s="1054"/>
      <c r="G14485" s="946"/>
      <c r="H14485" s="1031"/>
      <c r="I14485" s="948"/>
    </row>
    <row r="14486" spans="2:9" ht="15.75">
      <c r="C14486" s="951" t="s">
        <v>930</v>
      </c>
      <c r="D14486" s="960"/>
      <c r="E14486" s="975" t="str">
        <f>+E14463</f>
        <v>ud</v>
      </c>
      <c r="F14486" s="1070"/>
      <c r="G14486" s="960"/>
      <c r="H14486" s="1033"/>
      <c r="I14486" s="952">
        <f>SUM(I14481:I14484)</f>
        <v>73.099999999999994</v>
      </c>
    </row>
    <row r="14487" spans="2:9" ht="15.75">
      <c r="C14487" s="951"/>
      <c r="D14487" s="960"/>
      <c r="E14487" s="943"/>
      <c r="F14487" s="1070"/>
      <c r="G14487" s="960"/>
      <c r="H14487" s="1033"/>
      <c r="I14487" s="952"/>
    </row>
    <row r="14488" spans="2:9" ht="15.75">
      <c r="B14488" s="1026">
        <v>3.4</v>
      </c>
      <c r="C14488" s="937" t="str">
        <f>+Presupuesto!B825</f>
        <v>Salidas Panel de Breakers 4/8 circuitos</v>
      </c>
      <c r="D14488" s="938"/>
      <c r="E14488" s="962" t="s">
        <v>1056</v>
      </c>
      <c r="F14488" s="1066"/>
      <c r="G14488" s="938"/>
      <c r="H14488" s="1029"/>
      <c r="I14488" s="940">
        <f>+I14511</f>
        <v>9002.1</v>
      </c>
    </row>
    <row r="14489" spans="2:9" ht="15.75">
      <c r="C14489" s="941" t="s">
        <v>908</v>
      </c>
      <c r="D14489" s="942" t="s">
        <v>9</v>
      </c>
      <c r="E14489" s="943" t="s">
        <v>10</v>
      </c>
      <c r="F14489" s="1067" t="s">
        <v>909</v>
      </c>
      <c r="G14489" s="942" t="s">
        <v>910</v>
      </c>
      <c r="H14489" s="1030" t="s">
        <v>911</v>
      </c>
      <c r="I14489" s="944" t="s">
        <v>912</v>
      </c>
    </row>
    <row r="14490" spans="2:9" ht="15.75">
      <c r="C14490" s="945" t="s">
        <v>913</v>
      </c>
      <c r="D14490" s="946"/>
      <c r="E14490" s="947"/>
      <c r="F14490" s="1054"/>
      <c r="G14490" s="946"/>
      <c r="H14490" s="1031"/>
      <c r="I14490" s="948"/>
    </row>
    <row r="14491" spans="2:9" ht="15.75">
      <c r="C14491" s="949" t="s">
        <v>1650</v>
      </c>
      <c r="D14491" s="946">
        <v>1</v>
      </c>
      <c r="E14491" s="947" t="str">
        <f>+VLOOKUP(C14491,'Basic (equilibrio) (2)'!B:D,2,FALSE)</f>
        <v>ud</v>
      </c>
      <c r="F14491" s="1068">
        <f>'Basic (equilibrio) (2)'!$D$630</f>
        <v>9002.1</v>
      </c>
      <c r="G14491" s="946">
        <f>F14491-(F14491/1.18)</f>
        <v>1373.2</v>
      </c>
      <c r="H14491" s="1031"/>
      <c r="I14491" s="948">
        <f>D14491*F14491</f>
        <v>9002.1</v>
      </c>
    </row>
    <row r="14492" spans="2:9" ht="15.75">
      <c r="C14492" s="951" t="s">
        <v>918</v>
      </c>
      <c r="D14492" s="946"/>
      <c r="E14492" s="947"/>
      <c r="F14492" s="1068"/>
      <c r="G14492" s="946"/>
      <c r="H14492" s="1031"/>
      <c r="I14492" s="952">
        <f>SUM(I14491:I14491)</f>
        <v>9002.1</v>
      </c>
    </row>
    <row r="14493" spans="2:9" ht="15.75">
      <c r="C14493" s="949"/>
      <c r="D14493" s="946"/>
      <c r="E14493" s="947"/>
      <c r="F14493" s="1068"/>
      <c r="G14493" s="946"/>
      <c r="H14493" s="1031"/>
      <c r="I14493" s="948"/>
    </row>
    <row r="14494" spans="2:9" ht="15.75">
      <c r="C14494" s="945" t="s">
        <v>919</v>
      </c>
      <c r="D14494" s="946"/>
      <c r="E14494" s="947"/>
      <c r="F14494" s="1068"/>
      <c r="G14494" s="946"/>
      <c r="H14494" s="1031"/>
      <c r="I14494" s="948"/>
    </row>
    <row r="14495" spans="2:9" ht="15.75">
      <c r="C14495" s="949" t="s">
        <v>924</v>
      </c>
      <c r="D14495" s="953">
        <v>8.33</v>
      </c>
      <c r="E14495" s="954" t="str">
        <f>+VLOOKUP(C14495,'Basic (equilibrio) (2)'!B:D,2,FALSE)</f>
        <v>n/a</v>
      </c>
      <c r="F14495" s="1068">
        <f>+VLOOKUP(C14495,'Basic (equilibrio) (2)'!B:D,3,FALSE)</f>
        <v>0</v>
      </c>
      <c r="G14495" s="946">
        <v>0</v>
      </c>
      <c r="H14495" s="1031"/>
      <c r="I14495" s="948">
        <f>(D14495*F14495)</f>
        <v>0</v>
      </c>
    </row>
    <row r="14496" spans="2:9" ht="15.75">
      <c r="C14496" s="951" t="s">
        <v>918</v>
      </c>
      <c r="D14496" s="946"/>
      <c r="E14496" s="947"/>
      <c r="F14496" s="1054"/>
      <c r="G14496" s="946"/>
      <c r="H14496" s="1031"/>
      <c r="I14496" s="952">
        <f>SUM(I14495:I14495)</f>
        <v>0</v>
      </c>
    </row>
    <row r="14497" spans="3:9" ht="15.75">
      <c r="C14497" s="949"/>
      <c r="D14497" s="946"/>
      <c r="E14497" s="947"/>
      <c r="F14497" s="1054"/>
      <c r="G14497" s="946"/>
      <c r="H14497" s="1031"/>
      <c r="I14497" s="948"/>
    </row>
    <row r="14498" spans="3:9" ht="15.75">
      <c r="C14498" s="945" t="s">
        <v>923</v>
      </c>
      <c r="D14498" s="946"/>
      <c r="E14498" s="947"/>
      <c r="F14498" s="1054"/>
      <c r="G14498" s="946"/>
      <c r="H14498" s="1031"/>
      <c r="I14498" s="948"/>
    </row>
    <row r="14499" spans="3:9" ht="15.75">
      <c r="C14499" s="949" t="s">
        <v>924</v>
      </c>
      <c r="D14499" s="946"/>
      <c r="E14499" s="947" t="str">
        <f>+VLOOKUP(C14499,'Basic (equilibrio) (2)'!B:D,2,FALSE)</f>
        <v>n/a</v>
      </c>
      <c r="F14499" s="1054">
        <f>+VLOOKUP(C14499,'Basic (equilibrio) (2)'!B:D,3,FALSE)</f>
        <v>0</v>
      </c>
      <c r="G14499" s="946">
        <f>F14499-(F14499/1.18)</f>
        <v>0</v>
      </c>
      <c r="H14499" s="1039"/>
      <c r="I14499" s="955">
        <f>D14499*F14499</f>
        <v>0</v>
      </c>
    </row>
    <row r="14500" spans="3:9" ht="15.75">
      <c r="C14500" s="951" t="s">
        <v>918</v>
      </c>
      <c r="D14500" s="946"/>
      <c r="E14500" s="947"/>
      <c r="F14500" s="1054"/>
      <c r="G14500" s="946"/>
      <c r="H14500" s="1031"/>
      <c r="I14500" s="952">
        <f>SUM(I14499:I14499)</f>
        <v>0</v>
      </c>
    </row>
    <row r="14501" spans="3:9" ht="15.75">
      <c r="C14501" s="949"/>
      <c r="D14501" s="946"/>
      <c r="E14501" s="947"/>
      <c r="F14501" s="1054"/>
      <c r="G14501" s="946"/>
      <c r="H14501" s="1031"/>
      <c r="I14501" s="948"/>
    </row>
    <row r="14502" spans="3:9" ht="15.75">
      <c r="C14502" s="945" t="s">
        <v>925</v>
      </c>
      <c r="D14502" s="946"/>
      <c r="E14502" s="947"/>
      <c r="F14502" s="1054"/>
      <c r="G14502" s="946"/>
      <c r="H14502" s="1031"/>
      <c r="I14502" s="948"/>
    </row>
    <row r="14503" spans="3:9" ht="15.75">
      <c r="C14503" s="949" t="s">
        <v>924</v>
      </c>
      <c r="D14503" s="946"/>
      <c r="E14503" s="947" t="str">
        <f>+VLOOKUP(C14503,'Basic (equilibrio) (2)'!B:D,2,FALSE)</f>
        <v>n/a</v>
      </c>
      <c r="F14503" s="1054">
        <f>+VLOOKUP(C14503,'Basic (equilibrio) (2)'!B:D,3,FALSE)</f>
        <v>0</v>
      </c>
      <c r="G14503" s="946"/>
      <c r="H14503" s="1031"/>
      <c r="I14503" s="948">
        <f>D14503*F14503</f>
        <v>0</v>
      </c>
    </row>
    <row r="14504" spans="3:9" ht="15.75">
      <c r="C14504" s="951" t="s">
        <v>918</v>
      </c>
      <c r="D14504" s="946"/>
      <c r="E14504" s="947"/>
      <c r="F14504" s="1054"/>
      <c r="G14504" s="946"/>
      <c r="H14504" s="1031"/>
      <c r="I14504" s="952">
        <f>SUM(I14503)</f>
        <v>0</v>
      </c>
    </row>
    <row r="14505" spans="3:9" ht="15.75">
      <c r="C14505" s="951"/>
      <c r="D14505" s="946"/>
      <c r="E14505" s="947"/>
      <c r="F14505" s="1054"/>
      <c r="G14505" s="946"/>
      <c r="H14505" s="1031"/>
      <c r="I14505" s="952"/>
    </row>
    <row r="14506" spans="3:9" ht="15.75">
      <c r="C14506" s="956" t="s">
        <v>926</v>
      </c>
      <c r="D14506" s="957"/>
      <c r="E14506" s="958"/>
      <c r="F14506" s="1069"/>
      <c r="G14506" s="957"/>
      <c r="H14506" s="1032"/>
      <c r="I14506" s="959">
        <f>+I14492</f>
        <v>9002.1</v>
      </c>
    </row>
    <row r="14507" spans="3:9" ht="15.75">
      <c r="C14507" s="956" t="s">
        <v>927</v>
      </c>
      <c r="D14507" s="957"/>
      <c r="E14507" s="958"/>
      <c r="F14507" s="1069"/>
      <c r="G14507" s="957"/>
      <c r="H14507" s="1032"/>
      <c r="I14507" s="959">
        <f>+I14496</f>
        <v>0</v>
      </c>
    </row>
    <row r="14508" spans="3:9" ht="15.75">
      <c r="C14508" s="956" t="s">
        <v>928</v>
      </c>
      <c r="D14508" s="957"/>
      <c r="E14508" s="958"/>
      <c r="F14508" s="1069"/>
      <c r="G14508" s="957"/>
      <c r="H14508" s="1032"/>
      <c r="I14508" s="959">
        <f>+I14500</f>
        <v>0</v>
      </c>
    </row>
    <row r="14509" spans="3:9" ht="15.75">
      <c r="C14509" s="956" t="s">
        <v>929</v>
      </c>
      <c r="D14509" s="957"/>
      <c r="E14509" s="958"/>
      <c r="F14509" s="1069"/>
      <c r="G14509" s="957"/>
      <c r="H14509" s="1032"/>
      <c r="I14509" s="959">
        <f>+I14504</f>
        <v>0</v>
      </c>
    </row>
    <row r="14510" spans="3:9" ht="15.75">
      <c r="C14510" s="949"/>
      <c r="D14510" s="946"/>
      <c r="E14510" s="947"/>
      <c r="F14510" s="1054"/>
      <c r="G14510" s="946"/>
      <c r="H14510" s="1031"/>
      <c r="I14510" s="948"/>
    </row>
    <row r="14511" spans="3:9" ht="15.75">
      <c r="C14511" s="951" t="s">
        <v>930</v>
      </c>
      <c r="D14511" s="960"/>
      <c r="E14511" s="975" t="str">
        <f>+E14488</f>
        <v>ud</v>
      </c>
      <c r="F14511" s="1070"/>
      <c r="G14511" s="960"/>
      <c r="H14511" s="1033"/>
      <c r="I14511" s="952">
        <f>SUM(I14506:I14509)</f>
        <v>9002.1</v>
      </c>
    </row>
    <row r="14512" spans="3:9" ht="15.75">
      <c r="C14512" s="951"/>
      <c r="D14512" s="960"/>
      <c r="E14512" s="943"/>
      <c r="F14512" s="1070"/>
      <c r="G14512" s="960"/>
      <c r="H14512" s="1033"/>
      <c r="I14512" s="952"/>
    </row>
    <row r="14513" spans="2:9" ht="15.75">
      <c r="B14513" s="1026">
        <v>3.5</v>
      </c>
      <c r="C14513" s="937" t="str">
        <f>+Presupuesto!B826</f>
        <v>Salida interruptor sencillo</v>
      </c>
      <c r="D14513" s="938"/>
      <c r="E14513" s="962" t="s">
        <v>1056</v>
      </c>
      <c r="F14513" s="1066"/>
      <c r="G14513" s="938"/>
      <c r="H14513" s="1029"/>
      <c r="I14513" s="940">
        <f>+I14536</f>
        <v>1936</v>
      </c>
    </row>
    <row r="14514" spans="2:9" ht="15.75">
      <c r="C14514" s="941" t="s">
        <v>908</v>
      </c>
      <c r="D14514" s="942" t="s">
        <v>9</v>
      </c>
      <c r="E14514" s="943" t="s">
        <v>10</v>
      </c>
      <c r="F14514" s="1067" t="s">
        <v>909</v>
      </c>
      <c r="G14514" s="942" t="s">
        <v>910</v>
      </c>
      <c r="H14514" s="1030" t="s">
        <v>911</v>
      </c>
      <c r="I14514" s="944" t="s">
        <v>912</v>
      </c>
    </row>
    <row r="14515" spans="2:9" ht="15.75">
      <c r="C14515" s="945" t="s">
        <v>913</v>
      </c>
      <c r="D14515" s="946"/>
      <c r="E14515" s="947"/>
      <c r="F14515" s="1054"/>
      <c r="G14515" s="946"/>
      <c r="H14515" s="1031"/>
      <c r="I14515" s="948"/>
    </row>
    <row r="14516" spans="2:9" ht="15.75">
      <c r="C14516" s="949" t="s">
        <v>1621</v>
      </c>
      <c r="D14516" s="946">
        <v>1</v>
      </c>
      <c r="E14516" s="947" t="str">
        <f>+VLOOKUP(C14516,'Basic (equilibrio) (2)'!B:D,2,FALSE)</f>
        <v>ud</v>
      </c>
      <c r="F14516" s="1068">
        <f>'Basic (equilibrio) (2)'!$D$235</f>
        <v>1936</v>
      </c>
      <c r="G14516" s="946">
        <f>F14516-(F14516/1.18)</f>
        <v>295.32</v>
      </c>
      <c r="H14516" s="1031"/>
      <c r="I14516" s="948">
        <f>D14516*F14516</f>
        <v>1936</v>
      </c>
    </row>
    <row r="14517" spans="2:9" ht="15.75">
      <c r="C14517" s="951" t="s">
        <v>918</v>
      </c>
      <c r="D14517" s="946"/>
      <c r="E14517" s="947"/>
      <c r="F14517" s="1068"/>
      <c r="G14517" s="946"/>
      <c r="H14517" s="1031"/>
      <c r="I14517" s="952">
        <f>SUM(I14516:I14516)</f>
        <v>1936</v>
      </c>
    </row>
    <row r="14518" spans="2:9" ht="15.75">
      <c r="C14518" s="949"/>
      <c r="D14518" s="946"/>
      <c r="E14518" s="947"/>
      <c r="F14518" s="1068"/>
      <c r="G14518" s="946"/>
      <c r="H14518" s="1031"/>
      <c r="I14518" s="948"/>
    </row>
    <row r="14519" spans="2:9" ht="15.75">
      <c r="C14519" s="945" t="s">
        <v>919</v>
      </c>
      <c r="D14519" s="946"/>
      <c r="E14519" s="947"/>
      <c r="F14519" s="1068"/>
      <c r="G14519" s="946"/>
      <c r="H14519" s="1031"/>
      <c r="I14519" s="948"/>
    </row>
    <row r="14520" spans="2:9" ht="15.75">
      <c r="C14520" s="949" t="s">
        <v>924</v>
      </c>
      <c r="D14520" s="953">
        <v>8.33</v>
      </c>
      <c r="E14520" s="954" t="str">
        <f>+VLOOKUP(C14520,'Basic (equilibrio) (2)'!B:D,2,FALSE)</f>
        <v>n/a</v>
      </c>
      <c r="F14520" s="1068">
        <f>+VLOOKUP(C14520,'Basic (equilibrio) (2)'!B:D,3,FALSE)</f>
        <v>0</v>
      </c>
      <c r="G14520" s="946">
        <v>0</v>
      </c>
      <c r="H14520" s="1031"/>
      <c r="I14520" s="948">
        <f>(D14520*F14520)</f>
        <v>0</v>
      </c>
    </row>
    <row r="14521" spans="2:9" ht="15.75">
      <c r="C14521" s="951" t="s">
        <v>918</v>
      </c>
      <c r="D14521" s="946"/>
      <c r="E14521" s="947"/>
      <c r="F14521" s="1054"/>
      <c r="G14521" s="946"/>
      <c r="H14521" s="1031"/>
      <c r="I14521" s="952">
        <f>SUM(I14520:I14520)</f>
        <v>0</v>
      </c>
    </row>
    <row r="14522" spans="2:9" ht="15.75">
      <c r="C14522" s="949"/>
      <c r="D14522" s="946"/>
      <c r="E14522" s="947"/>
      <c r="F14522" s="1054"/>
      <c r="G14522" s="946"/>
      <c r="H14522" s="1031"/>
      <c r="I14522" s="948"/>
    </row>
    <row r="14523" spans="2:9" ht="15.75">
      <c r="C14523" s="945" t="s">
        <v>923</v>
      </c>
      <c r="D14523" s="946"/>
      <c r="E14523" s="947"/>
      <c r="F14523" s="1054"/>
      <c r="G14523" s="946"/>
      <c r="H14523" s="1031"/>
      <c r="I14523" s="948"/>
    </row>
    <row r="14524" spans="2:9" ht="15.75">
      <c r="C14524" s="949" t="s">
        <v>924</v>
      </c>
      <c r="D14524" s="946"/>
      <c r="E14524" s="947" t="str">
        <f>+VLOOKUP(C14524,'Basic (equilibrio) (2)'!B:D,2,FALSE)</f>
        <v>n/a</v>
      </c>
      <c r="F14524" s="1054">
        <f>+VLOOKUP(C14524,'Basic (equilibrio) (2)'!B:D,3,FALSE)</f>
        <v>0</v>
      </c>
      <c r="G14524" s="946">
        <f>F14524-(F14524/1.18)</f>
        <v>0</v>
      </c>
      <c r="H14524" s="1039"/>
      <c r="I14524" s="955">
        <f>D14524*F14524</f>
        <v>0</v>
      </c>
    </row>
    <row r="14525" spans="2:9" ht="15.75">
      <c r="C14525" s="951" t="s">
        <v>918</v>
      </c>
      <c r="D14525" s="946"/>
      <c r="E14525" s="947"/>
      <c r="F14525" s="1054"/>
      <c r="G14525" s="946"/>
      <c r="H14525" s="1031"/>
      <c r="I14525" s="952">
        <f>SUM(I14524:I14524)</f>
        <v>0</v>
      </c>
    </row>
    <row r="14526" spans="2:9" ht="15.75">
      <c r="C14526" s="949"/>
      <c r="D14526" s="946"/>
      <c r="E14526" s="947"/>
      <c r="F14526" s="1054"/>
      <c r="G14526" s="946"/>
      <c r="H14526" s="1031"/>
      <c r="I14526" s="948"/>
    </row>
    <row r="14527" spans="2:9" ht="15.75">
      <c r="C14527" s="945" t="s">
        <v>925</v>
      </c>
      <c r="D14527" s="946"/>
      <c r="E14527" s="947"/>
      <c r="F14527" s="1054"/>
      <c r="G14527" s="946"/>
      <c r="H14527" s="1031"/>
      <c r="I14527" s="948"/>
    </row>
    <row r="14528" spans="2:9" ht="15.75">
      <c r="C14528" s="949" t="s">
        <v>924</v>
      </c>
      <c r="D14528" s="946"/>
      <c r="E14528" s="947" t="str">
        <f>+VLOOKUP(C14528,'Basic (equilibrio) (2)'!B:D,2,FALSE)</f>
        <v>n/a</v>
      </c>
      <c r="F14528" s="1054">
        <f>+VLOOKUP(C14528,'Basic (equilibrio) (2)'!B:D,3,FALSE)</f>
        <v>0</v>
      </c>
      <c r="G14528" s="946"/>
      <c r="H14528" s="1031"/>
      <c r="I14528" s="948">
        <f>D14528*F14528</f>
        <v>0</v>
      </c>
    </row>
    <row r="14529" spans="2:9" ht="15.75">
      <c r="C14529" s="951" t="s">
        <v>918</v>
      </c>
      <c r="D14529" s="946"/>
      <c r="E14529" s="947"/>
      <c r="F14529" s="1054"/>
      <c r="G14529" s="946"/>
      <c r="H14529" s="1031"/>
      <c r="I14529" s="952">
        <f>SUM(I14528)</f>
        <v>0</v>
      </c>
    </row>
    <row r="14530" spans="2:9" ht="15.75">
      <c r="C14530" s="951"/>
      <c r="D14530" s="946"/>
      <c r="E14530" s="947"/>
      <c r="F14530" s="1054"/>
      <c r="G14530" s="946"/>
      <c r="H14530" s="1031"/>
      <c r="I14530" s="952"/>
    </row>
    <row r="14531" spans="2:9" ht="15.75">
      <c r="C14531" s="956" t="s">
        <v>926</v>
      </c>
      <c r="D14531" s="957"/>
      <c r="E14531" s="958"/>
      <c r="F14531" s="1069"/>
      <c r="G14531" s="957"/>
      <c r="H14531" s="1032"/>
      <c r="I14531" s="959">
        <f>+I14517</f>
        <v>1936</v>
      </c>
    </row>
    <row r="14532" spans="2:9" ht="15.75">
      <c r="C14532" s="956" t="s">
        <v>927</v>
      </c>
      <c r="D14532" s="957"/>
      <c r="E14532" s="958"/>
      <c r="F14532" s="1069"/>
      <c r="G14532" s="957"/>
      <c r="H14532" s="1032"/>
      <c r="I14532" s="959">
        <f>+I14521</f>
        <v>0</v>
      </c>
    </row>
    <row r="14533" spans="2:9" ht="15.75">
      <c r="C14533" s="956" t="s">
        <v>928</v>
      </c>
      <c r="D14533" s="957"/>
      <c r="E14533" s="958"/>
      <c r="F14533" s="1069"/>
      <c r="G14533" s="957"/>
      <c r="H14533" s="1032"/>
      <c r="I14533" s="959">
        <f>+I14525</f>
        <v>0</v>
      </c>
    </row>
    <row r="14534" spans="2:9" ht="15.75">
      <c r="C14534" s="956" t="s">
        <v>929</v>
      </c>
      <c r="D14534" s="957"/>
      <c r="E14534" s="958"/>
      <c r="F14534" s="1069"/>
      <c r="G14534" s="957"/>
      <c r="H14534" s="1032"/>
      <c r="I14534" s="959">
        <f>+I14529</f>
        <v>0</v>
      </c>
    </row>
    <row r="14535" spans="2:9" ht="15.75">
      <c r="C14535" s="949"/>
      <c r="D14535" s="946"/>
      <c r="E14535" s="947"/>
      <c r="F14535" s="1054"/>
      <c r="G14535" s="946"/>
      <c r="H14535" s="1031"/>
      <c r="I14535" s="948"/>
    </row>
    <row r="14536" spans="2:9" ht="15.75">
      <c r="C14536" s="951" t="s">
        <v>930</v>
      </c>
      <c r="D14536" s="960"/>
      <c r="E14536" s="975" t="str">
        <f>+E14513</f>
        <v>ud</v>
      </c>
      <c r="F14536" s="1070"/>
      <c r="G14536" s="960"/>
      <c r="H14536" s="1033"/>
      <c r="I14536" s="952">
        <f>SUM(I14531:I14534)</f>
        <v>1936</v>
      </c>
    </row>
    <row r="14537" spans="2:9" ht="15.75">
      <c r="C14537" s="951"/>
      <c r="D14537" s="960"/>
      <c r="E14537" s="943"/>
      <c r="F14537" s="1070"/>
      <c r="G14537" s="960"/>
      <c r="H14537" s="1033"/>
      <c r="I14537" s="952"/>
    </row>
    <row r="14538" spans="2:9" ht="15.75">
      <c r="B14538" s="1026">
        <v>3.6</v>
      </c>
      <c r="C14538" s="937" t="str">
        <f>+Presupuesto!B827</f>
        <v>Mano de obra eléctrica</v>
      </c>
      <c r="D14538" s="938"/>
      <c r="E14538" s="962" t="s">
        <v>1056</v>
      </c>
      <c r="F14538" s="1066"/>
      <c r="G14538" s="938"/>
      <c r="H14538" s="1029"/>
      <c r="I14538" s="940">
        <f>+I14561</f>
        <v>45000</v>
      </c>
    </row>
    <row r="14539" spans="2:9" ht="15.75">
      <c r="C14539" s="941" t="s">
        <v>908</v>
      </c>
      <c r="D14539" s="942" t="s">
        <v>9</v>
      </c>
      <c r="E14539" s="943" t="s">
        <v>10</v>
      </c>
      <c r="F14539" s="1067" t="s">
        <v>909</v>
      </c>
      <c r="G14539" s="942" t="s">
        <v>910</v>
      </c>
      <c r="H14539" s="1030" t="s">
        <v>911</v>
      </c>
      <c r="I14539" s="944" t="s">
        <v>912</v>
      </c>
    </row>
    <row r="14540" spans="2:9" ht="15.75">
      <c r="C14540" s="945" t="s">
        <v>913</v>
      </c>
      <c r="D14540" s="946"/>
      <c r="E14540" s="947"/>
      <c r="F14540" s="1054"/>
      <c r="G14540" s="946"/>
      <c r="H14540" s="1031"/>
      <c r="I14540" s="948"/>
    </row>
    <row r="14541" spans="2:9" ht="15.75">
      <c r="C14541" s="949" t="s">
        <v>1704</v>
      </c>
      <c r="D14541" s="946">
        <v>1</v>
      </c>
      <c r="E14541" s="947" t="str">
        <f>+VLOOKUP(C14541,'Basic (equilibrio) (2)'!B:D,2,FALSE)</f>
        <v>P.a</v>
      </c>
      <c r="F14541" s="1068">
        <f>'Basic (equilibrio) (2)'!$D$377</f>
        <v>45000</v>
      </c>
      <c r="G14541" s="946">
        <f>F14541-(F14541/1.18)</f>
        <v>6864.41</v>
      </c>
      <c r="H14541" s="1031"/>
      <c r="I14541" s="948">
        <f>D14541*F14541</f>
        <v>45000</v>
      </c>
    </row>
    <row r="14542" spans="2:9" ht="15.75">
      <c r="C14542" s="951" t="s">
        <v>918</v>
      </c>
      <c r="D14542" s="946"/>
      <c r="E14542" s="947"/>
      <c r="F14542" s="1068"/>
      <c r="G14542" s="946"/>
      <c r="H14542" s="1031"/>
      <c r="I14542" s="952">
        <f>SUM(I14541:I14541)</f>
        <v>45000</v>
      </c>
    </row>
    <row r="14543" spans="2:9" ht="15.75">
      <c r="C14543" s="949"/>
      <c r="D14543" s="946"/>
      <c r="E14543" s="947"/>
      <c r="F14543" s="1068"/>
      <c r="G14543" s="946"/>
      <c r="H14543" s="1031"/>
      <c r="I14543" s="948"/>
    </row>
    <row r="14544" spans="2:9" ht="15.75">
      <c r="C14544" s="945" t="s">
        <v>919</v>
      </c>
      <c r="D14544" s="946"/>
      <c r="E14544" s="947"/>
      <c r="F14544" s="1068"/>
      <c r="G14544" s="946"/>
      <c r="H14544" s="1031"/>
      <c r="I14544" s="948"/>
    </row>
    <row r="14545" spans="3:9" ht="15.75">
      <c r="C14545" s="949" t="s">
        <v>924</v>
      </c>
      <c r="D14545" s="953">
        <v>8.33</v>
      </c>
      <c r="E14545" s="954" t="str">
        <f>+VLOOKUP(C14545,'Basic (equilibrio) (2)'!B:D,2,FALSE)</f>
        <v>n/a</v>
      </c>
      <c r="F14545" s="1068">
        <f>+VLOOKUP(C14545,'Basic (equilibrio) (2)'!B:D,3,FALSE)</f>
        <v>0</v>
      </c>
      <c r="G14545" s="946">
        <v>0</v>
      </c>
      <c r="H14545" s="1031"/>
      <c r="I14545" s="948">
        <f>(D14545*F14545)</f>
        <v>0</v>
      </c>
    </row>
    <row r="14546" spans="3:9" ht="15.75">
      <c r="C14546" s="951" t="s">
        <v>918</v>
      </c>
      <c r="D14546" s="946"/>
      <c r="E14546" s="947"/>
      <c r="F14546" s="1054"/>
      <c r="G14546" s="946"/>
      <c r="H14546" s="1031"/>
      <c r="I14546" s="952">
        <f>SUM(I14545:I14545)</f>
        <v>0</v>
      </c>
    </row>
    <row r="14547" spans="3:9" ht="15.75">
      <c r="C14547" s="949"/>
      <c r="D14547" s="946"/>
      <c r="E14547" s="947"/>
      <c r="F14547" s="1054"/>
      <c r="G14547" s="946"/>
      <c r="H14547" s="1031"/>
      <c r="I14547" s="948"/>
    </row>
    <row r="14548" spans="3:9" ht="15.75">
      <c r="C14548" s="945" t="s">
        <v>923</v>
      </c>
      <c r="D14548" s="946"/>
      <c r="E14548" s="947"/>
      <c r="F14548" s="1054"/>
      <c r="G14548" s="946"/>
      <c r="H14548" s="1031"/>
      <c r="I14548" s="948"/>
    </row>
    <row r="14549" spans="3:9" ht="15.75">
      <c r="C14549" s="949" t="s">
        <v>924</v>
      </c>
      <c r="D14549" s="946"/>
      <c r="E14549" s="947" t="str">
        <f>+VLOOKUP(C14549,'Basic (equilibrio) (2)'!B:D,2,FALSE)</f>
        <v>n/a</v>
      </c>
      <c r="F14549" s="1054">
        <f>+VLOOKUP(C14549,'Basic (equilibrio) (2)'!B:D,3,FALSE)</f>
        <v>0</v>
      </c>
      <c r="G14549" s="946">
        <f>F14549-(F14549/1.18)</f>
        <v>0</v>
      </c>
      <c r="H14549" s="1039"/>
      <c r="I14549" s="955">
        <f>D14549*F14549</f>
        <v>0</v>
      </c>
    </row>
    <row r="14550" spans="3:9" ht="15.75">
      <c r="C14550" s="951" t="s">
        <v>918</v>
      </c>
      <c r="D14550" s="946"/>
      <c r="E14550" s="947"/>
      <c r="F14550" s="1054"/>
      <c r="G14550" s="946"/>
      <c r="H14550" s="1031"/>
      <c r="I14550" s="952">
        <f>SUM(I14549:I14549)</f>
        <v>0</v>
      </c>
    </row>
    <row r="14551" spans="3:9" ht="15.75">
      <c r="C14551" s="949"/>
      <c r="D14551" s="946"/>
      <c r="E14551" s="947"/>
      <c r="F14551" s="1054"/>
      <c r="G14551" s="946"/>
      <c r="H14551" s="1031"/>
      <c r="I14551" s="948"/>
    </row>
    <row r="14552" spans="3:9" ht="15.75">
      <c r="C14552" s="945" t="s">
        <v>925</v>
      </c>
      <c r="D14552" s="946"/>
      <c r="E14552" s="947"/>
      <c r="F14552" s="1054"/>
      <c r="G14552" s="946"/>
      <c r="H14552" s="1031"/>
      <c r="I14552" s="948"/>
    </row>
    <row r="14553" spans="3:9" ht="15.75">
      <c r="C14553" s="949" t="s">
        <v>924</v>
      </c>
      <c r="D14553" s="946"/>
      <c r="E14553" s="947" t="str">
        <f>+VLOOKUP(C14553,'Basic (equilibrio) (2)'!B:D,2,FALSE)</f>
        <v>n/a</v>
      </c>
      <c r="F14553" s="1054">
        <f>+VLOOKUP(C14553,'Basic (equilibrio) (2)'!B:D,3,FALSE)</f>
        <v>0</v>
      </c>
      <c r="G14553" s="946"/>
      <c r="H14553" s="1031"/>
      <c r="I14553" s="948">
        <f>D14553*F14553</f>
        <v>0</v>
      </c>
    </row>
    <row r="14554" spans="3:9" ht="15.75">
      <c r="C14554" s="951" t="s">
        <v>918</v>
      </c>
      <c r="D14554" s="946"/>
      <c r="E14554" s="947"/>
      <c r="F14554" s="1054"/>
      <c r="G14554" s="946"/>
      <c r="H14554" s="1031"/>
      <c r="I14554" s="952">
        <f>SUM(I14553)</f>
        <v>0</v>
      </c>
    </row>
    <row r="14555" spans="3:9" ht="15.75">
      <c r="C14555" s="951"/>
      <c r="D14555" s="946"/>
      <c r="E14555" s="947"/>
      <c r="F14555" s="1054"/>
      <c r="G14555" s="946"/>
      <c r="H14555" s="1031"/>
      <c r="I14555" s="952"/>
    </row>
    <row r="14556" spans="3:9" ht="15.75">
      <c r="C14556" s="956" t="s">
        <v>926</v>
      </c>
      <c r="D14556" s="957"/>
      <c r="E14556" s="958"/>
      <c r="F14556" s="1069"/>
      <c r="G14556" s="957"/>
      <c r="H14556" s="1032"/>
      <c r="I14556" s="959">
        <f>+I14542</f>
        <v>45000</v>
      </c>
    </row>
    <row r="14557" spans="3:9" ht="15.75">
      <c r="C14557" s="956" t="s">
        <v>927</v>
      </c>
      <c r="D14557" s="957"/>
      <c r="E14557" s="958"/>
      <c r="F14557" s="1069"/>
      <c r="G14557" s="957"/>
      <c r="H14557" s="1032"/>
      <c r="I14557" s="959">
        <f>+I14546</f>
        <v>0</v>
      </c>
    </row>
    <row r="14558" spans="3:9" ht="15.75">
      <c r="C14558" s="956" t="s">
        <v>928</v>
      </c>
      <c r="D14558" s="957"/>
      <c r="E14558" s="958"/>
      <c r="F14558" s="1069"/>
      <c r="G14558" s="957"/>
      <c r="H14558" s="1032"/>
      <c r="I14558" s="959">
        <f>+I14550</f>
        <v>0</v>
      </c>
    </row>
    <row r="14559" spans="3:9" ht="15.75">
      <c r="C14559" s="956" t="s">
        <v>929</v>
      </c>
      <c r="D14559" s="957"/>
      <c r="E14559" s="958"/>
      <c r="F14559" s="1069"/>
      <c r="G14559" s="957"/>
      <c r="H14559" s="1032"/>
      <c r="I14559" s="959">
        <f>+I14554</f>
        <v>0</v>
      </c>
    </row>
    <row r="14560" spans="3:9" ht="15.75">
      <c r="C14560" s="949"/>
      <c r="D14560" s="946"/>
      <c r="E14560" s="947"/>
      <c r="F14560" s="1054"/>
      <c r="G14560" s="946"/>
      <c r="H14560" s="1031"/>
      <c r="I14560" s="948"/>
    </row>
    <row r="14561" spans="2:9" ht="15.75">
      <c r="C14561" s="951" t="s">
        <v>930</v>
      </c>
      <c r="D14561" s="960"/>
      <c r="E14561" s="975" t="str">
        <f>+E14538</f>
        <v>ud</v>
      </c>
      <c r="F14561" s="1070"/>
      <c r="G14561" s="960"/>
      <c r="H14561" s="1033"/>
      <c r="I14561" s="952">
        <f>SUM(I14556:I14559)</f>
        <v>45000</v>
      </c>
    </row>
    <row r="14562" spans="2:9" ht="15.75">
      <c r="C14562" s="951"/>
      <c r="D14562" s="960"/>
      <c r="E14562" s="943"/>
      <c r="F14562" s="1070"/>
      <c r="G14562" s="960"/>
      <c r="H14562" s="1033"/>
      <c r="I14562" s="952"/>
    </row>
    <row r="14563" spans="2:9" ht="15.75">
      <c r="B14563" s="1026">
        <v>4.0999999999999996</v>
      </c>
      <c r="C14563" s="937" t="str">
        <f>+Presupuesto!B830</f>
        <v>Salidas cenitales</v>
      </c>
      <c r="D14563" s="938"/>
      <c r="E14563" s="962" t="s">
        <v>1056</v>
      </c>
      <c r="F14563" s="1066"/>
      <c r="G14563" s="938"/>
      <c r="H14563" s="1029"/>
      <c r="I14563" s="940">
        <f>+I14586</f>
        <v>1907</v>
      </c>
    </row>
    <row r="14564" spans="2:9" ht="15.75">
      <c r="C14564" s="941" t="s">
        <v>908</v>
      </c>
      <c r="D14564" s="942" t="s">
        <v>9</v>
      </c>
      <c r="E14564" s="943" t="s">
        <v>10</v>
      </c>
      <c r="F14564" s="1067" t="s">
        <v>909</v>
      </c>
      <c r="G14564" s="942" t="s">
        <v>910</v>
      </c>
      <c r="H14564" s="1030" t="s">
        <v>911</v>
      </c>
      <c r="I14564" s="944" t="s">
        <v>912</v>
      </c>
    </row>
    <row r="14565" spans="2:9" ht="15.75">
      <c r="C14565" s="945" t="s">
        <v>913</v>
      </c>
      <c r="D14565" s="946"/>
      <c r="E14565" s="947"/>
      <c r="F14565" s="1054"/>
      <c r="G14565" s="946"/>
      <c r="H14565" s="1031"/>
      <c r="I14565" s="948"/>
    </row>
    <row r="14566" spans="2:9" ht="15.75">
      <c r="C14566" s="949" t="s">
        <v>1620</v>
      </c>
      <c r="D14566" s="946">
        <v>1</v>
      </c>
      <c r="E14566" s="947" t="str">
        <f>+VLOOKUP(C14566,'Basic (equilibrio) (2)'!B:D,2,FALSE)</f>
        <v>ud</v>
      </c>
      <c r="F14566" s="1068">
        <f>'Basic (equilibrio) (2)'!$D$234</f>
        <v>1907</v>
      </c>
      <c r="G14566" s="946">
        <f>F14566-(F14566/1.18)</f>
        <v>290.89999999999998</v>
      </c>
      <c r="H14566" s="1031"/>
      <c r="I14566" s="948">
        <f>D14566*F14566</f>
        <v>1907</v>
      </c>
    </row>
    <row r="14567" spans="2:9" ht="15.75">
      <c r="C14567" s="951" t="s">
        <v>918</v>
      </c>
      <c r="D14567" s="946"/>
      <c r="E14567" s="947"/>
      <c r="F14567" s="1068"/>
      <c r="G14567" s="946"/>
      <c r="H14567" s="1031"/>
      <c r="I14567" s="952">
        <f>SUM(I14566:I14566)</f>
        <v>1907</v>
      </c>
    </row>
    <row r="14568" spans="2:9" ht="15.75">
      <c r="C14568" s="949"/>
      <c r="D14568" s="946"/>
      <c r="E14568" s="947"/>
      <c r="F14568" s="1068"/>
      <c r="G14568" s="946"/>
      <c r="H14568" s="1031"/>
      <c r="I14568" s="948"/>
    </row>
    <row r="14569" spans="2:9" ht="15.75">
      <c r="C14569" s="945" t="s">
        <v>919</v>
      </c>
      <c r="D14569" s="946"/>
      <c r="E14569" s="947"/>
      <c r="F14569" s="1068"/>
      <c r="G14569" s="946"/>
      <c r="H14569" s="1031"/>
      <c r="I14569" s="948"/>
    </row>
    <row r="14570" spans="2:9" ht="15.75">
      <c r="C14570" s="949" t="s">
        <v>924</v>
      </c>
      <c r="D14570" s="953">
        <v>8.33</v>
      </c>
      <c r="E14570" s="954" t="str">
        <f>+VLOOKUP(C14570,'Basic (equilibrio) (2)'!B:D,2,FALSE)</f>
        <v>n/a</v>
      </c>
      <c r="F14570" s="1068">
        <f>+VLOOKUP(C14570,'Basic (equilibrio) (2)'!B:D,3,FALSE)</f>
        <v>0</v>
      </c>
      <c r="G14570" s="946">
        <v>0</v>
      </c>
      <c r="H14570" s="1031"/>
      <c r="I14570" s="948">
        <f>(D14570*F14570)</f>
        <v>0</v>
      </c>
    </row>
    <row r="14571" spans="2:9" ht="15.75">
      <c r="C14571" s="951" t="s">
        <v>918</v>
      </c>
      <c r="D14571" s="946"/>
      <c r="E14571" s="947"/>
      <c r="F14571" s="1054"/>
      <c r="G14571" s="946"/>
      <c r="H14571" s="1031"/>
      <c r="I14571" s="952">
        <f>SUM(I14570:I14570)</f>
        <v>0</v>
      </c>
    </row>
    <row r="14572" spans="2:9" ht="15.75">
      <c r="C14572" s="949"/>
      <c r="D14572" s="946"/>
      <c r="E14572" s="947"/>
      <c r="F14572" s="1054"/>
      <c r="G14572" s="946"/>
      <c r="H14572" s="1031"/>
      <c r="I14572" s="948"/>
    </row>
    <row r="14573" spans="2:9" ht="15.75">
      <c r="C14573" s="945" t="s">
        <v>923</v>
      </c>
      <c r="D14573" s="946"/>
      <c r="E14573" s="947"/>
      <c r="F14573" s="1054"/>
      <c r="G14573" s="946"/>
      <c r="H14573" s="1031"/>
      <c r="I14573" s="948"/>
    </row>
    <row r="14574" spans="2:9" ht="15.75">
      <c r="C14574" s="949" t="s">
        <v>924</v>
      </c>
      <c r="D14574" s="946"/>
      <c r="E14574" s="947" t="str">
        <f>+VLOOKUP(C14574,'Basic (equilibrio) (2)'!B:D,2,FALSE)</f>
        <v>n/a</v>
      </c>
      <c r="F14574" s="1054">
        <f>+VLOOKUP(C14574,'Basic (equilibrio) (2)'!B:D,3,FALSE)</f>
        <v>0</v>
      </c>
      <c r="G14574" s="946">
        <f>F14574-(F14574/1.18)</f>
        <v>0</v>
      </c>
      <c r="H14574" s="1039"/>
      <c r="I14574" s="955">
        <f>D14574*F14574</f>
        <v>0</v>
      </c>
    </row>
    <row r="14575" spans="2:9" ht="15.75">
      <c r="C14575" s="951" t="s">
        <v>918</v>
      </c>
      <c r="D14575" s="946"/>
      <c r="E14575" s="947"/>
      <c r="F14575" s="1054"/>
      <c r="G14575" s="946"/>
      <c r="H14575" s="1031"/>
      <c r="I14575" s="952">
        <f>SUM(I14574:I14574)</f>
        <v>0</v>
      </c>
    </row>
    <row r="14576" spans="2:9" ht="15.75">
      <c r="C14576" s="949"/>
      <c r="D14576" s="946"/>
      <c r="E14576" s="947"/>
      <c r="F14576" s="1054"/>
      <c r="G14576" s="946"/>
      <c r="H14576" s="1031"/>
      <c r="I14576" s="948"/>
    </row>
    <row r="14577" spans="2:9" ht="15.75">
      <c r="C14577" s="945" t="s">
        <v>925</v>
      </c>
      <c r="D14577" s="946"/>
      <c r="E14577" s="947"/>
      <c r="F14577" s="1054"/>
      <c r="G14577" s="946"/>
      <c r="H14577" s="1031"/>
      <c r="I14577" s="948"/>
    </row>
    <row r="14578" spans="2:9" ht="15.75">
      <c r="C14578" s="949" t="s">
        <v>924</v>
      </c>
      <c r="D14578" s="946"/>
      <c r="E14578" s="947" t="str">
        <f>+VLOOKUP(C14578,'Basic (equilibrio) (2)'!B:D,2,FALSE)</f>
        <v>n/a</v>
      </c>
      <c r="F14578" s="1054">
        <f>+VLOOKUP(C14578,'Basic (equilibrio) (2)'!B:D,3,FALSE)</f>
        <v>0</v>
      </c>
      <c r="G14578" s="946"/>
      <c r="H14578" s="1031"/>
      <c r="I14578" s="948">
        <f>D14578*F14578</f>
        <v>0</v>
      </c>
    </row>
    <row r="14579" spans="2:9" ht="15.75">
      <c r="C14579" s="951" t="s">
        <v>918</v>
      </c>
      <c r="D14579" s="946"/>
      <c r="E14579" s="947"/>
      <c r="F14579" s="1054"/>
      <c r="G14579" s="946"/>
      <c r="H14579" s="1031"/>
      <c r="I14579" s="952">
        <f>SUM(I14578)</f>
        <v>0</v>
      </c>
    </row>
    <row r="14580" spans="2:9" ht="15.75">
      <c r="C14580" s="951"/>
      <c r="D14580" s="946"/>
      <c r="E14580" s="947"/>
      <c r="F14580" s="1054"/>
      <c r="G14580" s="946"/>
      <c r="H14580" s="1031"/>
      <c r="I14580" s="952"/>
    </row>
    <row r="14581" spans="2:9" ht="15.75">
      <c r="C14581" s="956" t="s">
        <v>926</v>
      </c>
      <c r="D14581" s="957"/>
      <c r="E14581" s="958"/>
      <c r="F14581" s="1069"/>
      <c r="G14581" s="957"/>
      <c r="H14581" s="1032"/>
      <c r="I14581" s="959">
        <f>+I14567</f>
        <v>1907</v>
      </c>
    </row>
    <row r="14582" spans="2:9" ht="15.75">
      <c r="C14582" s="956" t="s">
        <v>927</v>
      </c>
      <c r="D14582" s="957"/>
      <c r="E14582" s="958"/>
      <c r="F14582" s="1069"/>
      <c r="G14582" s="957"/>
      <c r="H14582" s="1032"/>
      <c r="I14582" s="959">
        <f>+I14571</f>
        <v>0</v>
      </c>
    </row>
    <row r="14583" spans="2:9" ht="15.75">
      <c r="C14583" s="956" t="s">
        <v>928</v>
      </c>
      <c r="D14583" s="957"/>
      <c r="E14583" s="958"/>
      <c r="F14583" s="1069"/>
      <c r="G14583" s="957"/>
      <c r="H14583" s="1032"/>
      <c r="I14583" s="959">
        <f>+I14575</f>
        <v>0</v>
      </c>
    </row>
    <row r="14584" spans="2:9" ht="15.75">
      <c r="C14584" s="956" t="s">
        <v>929</v>
      </c>
      <c r="D14584" s="957"/>
      <c r="E14584" s="958"/>
      <c r="F14584" s="1069"/>
      <c r="G14584" s="957"/>
      <c r="H14584" s="1032"/>
      <c r="I14584" s="959">
        <f>+I14579</f>
        <v>0</v>
      </c>
    </row>
    <row r="14585" spans="2:9" ht="15.75">
      <c r="C14585" s="949"/>
      <c r="D14585" s="946"/>
      <c r="E14585" s="947"/>
      <c r="F14585" s="1054"/>
      <c r="G14585" s="946"/>
      <c r="H14585" s="1031"/>
      <c r="I14585" s="948"/>
    </row>
    <row r="14586" spans="2:9" ht="15.75">
      <c r="C14586" s="951" t="s">
        <v>930</v>
      </c>
      <c r="D14586" s="960"/>
      <c r="E14586" s="975" t="str">
        <f>+E14563</f>
        <v>ud</v>
      </c>
      <c r="F14586" s="1070"/>
      <c r="G14586" s="960"/>
      <c r="H14586" s="1033"/>
      <c r="I14586" s="952">
        <f>SUM(I14581:I14584)</f>
        <v>1907</v>
      </c>
    </row>
    <row r="14587" spans="2:9" ht="15.75">
      <c r="C14587" s="951"/>
      <c r="D14587" s="960"/>
      <c r="E14587" s="943"/>
      <c r="F14587" s="1070"/>
      <c r="G14587" s="960"/>
      <c r="H14587" s="1033"/>
      <c r="I14587" s="952"/>
    </row>
    <row r="14588" spans="2:9" ht="15.75">
      <c r="B14588" s="1026">
        <v>4.2</v>
      </c>
      <c r="C14588" s="937" t="str">
        <f>+Presupuesto!B831</f>
        <v>Salidas para tomacorrientes dobles 120V</v>
      </c>
      <c r="D14588" s="938"/>
      <c r="E14588" s="962" t="s">
        <v>1056</v>
      </c>
      <c r="F14588" s="1066"/>
      <c r="G14588" s="938"/>
      <c r="H14588" s="1029"/>
      <c r="I14588" s="940">
        <f>+I14611</f>
        <v>2133</v>
      </c>
    </row>
    <row r="14589" spans="2:9" ht="15.75">
      <c r="C14589" s="941" t="s">
        <v>908</v>
      </c>
      <c r="D14589" s="942" t="s">
        <v>9</v>
      </c>
      <c r="E14589" s="943" t="s">
        <v>10</v>
      </c>
      <c r="F14589" s="1067" t="s">
        <v>909</v>
      </c>
      <c r="G14589" s="942" t="s">
        <v>910</v>
      </c>
      <c r="H14589" s="1030" t="s">
        <v>911</v>
      </c>
      <c r="I14589" s="944" t="s">
        <v>912</v>
      </c>
    </row>
    <row r="14590" spans="2:9" ht="15.75">
      <c r="C14590" s="945" t="s">
        <v>913</v>
      </c>
      <c r="D14590" s="946"/>
      <c r="E14590" s="947"/>
      <c r="F14590" s="1054"/>
      <c r="G14590" s="946"/>
      <c r="H14590" s="1031"/>
      <c r="I14590" s="948"/>
    </row>
    <row r="14591" spans="2:9" ht="15.75">
      <c r="C14591" s="949" t="s">
        <v>1622</v>
      </c>
      <c r="D14591" s="946">
        <v>1</v>
      </c>
      <c r="E14591" s="947" t="str">
        <f>+VLOOKUP(C14591,'Basic (equilibrio) (2)'!B:D,2,FALSE)</f>
        <v>ud</v>
      </c>
      <c r="F14591" s="1068">
        <f>'Basic (equilibrio) (2)'!$D$237</f>
        <v>2133</v>
      </c>
      <c r="G14591" s="946">
        <f>F14591-(F14591/1.18)</f>
        <v>325.37</v>
      </c>
      <c r="H14591" s="1031"/>
      <c r="I14591" s="948">
        <f>D14591*F14591</f>
        <v>2133</v>
      </c>
    </row>
    <row r="14592" spans="2:9" ht="15.75">
      <c r="C14592" s="951" t="s">
        <v>918</v>
      </c>
      <c r="D14592" s="946"/>
      <c r="E14592" s="947"/>
      <c r="F14592" s="1068"/>
      <c r="G14592" s="946"/>
      <c r="H14592" s="1031"/>
      <c r="I14592" s="952">
        <f>SUM(I14591:I14591)</f>
        <v>2133</v>
      </c>
    </row>
    <row r="14593" spans="3:9" ht="15.75">
      <c r="C14593" s="949"/>
      <c r="D14593" s="946"/>
      <c r="E14593" s="947"/>
      <c r="F14593" s="1068"/>
      <c r="G14593" s="946"/>
      <c r="H14593" s="1031"/>
      <c r="I14593" s="948"/>
    </row>
    <row r="14594" spans="3:9" ht="15.75">
      <c r="C14594" s="945" t="s">
        <v>919</v>
      </c>
      <c r="D14594" s="946"/>
      <c r="E14594" s="947"/>
      <c r="F14594" s="1068"/>
      <c r="G14594" s="946"/>
      <c r="H14594" s="1031"/>
      <c r="I14594" s="948"/>
    </row>
    <row r="14595" spans="3:9" ht="15.75">
      <c r="C14595" s="949" t="s">
        <v>924</v>
      </c>
      <c r="D14595" s="953">
        <v>8.33</v>
      </c>
      <c r="E14595" s="954" t="str">
        <f>+VLOOKUP(C14595,'Basic (equilibrio) (2)'!B:D,2,FALSE)</f>
        <v>n/a</v>
      </c>
      <c r="F14595" s="1068">
        <f>+VLOOKUP(C14595,'Basic (equilibrio) (2)'!B:D,3,FALSE)</f>
        <v>0</v>
      </c>
      <c r="G14595" s="946">
        <v>0</v>
      </c>
      <c r="H14595" s="1031"/>
      <c r="I14595" s="948">
        <f>(D14595*F14595)</f>
        <v>0</v>
      </c>
    </row>
    <row r="14596" spans="3:9" ht="15.75">
      <c r="C14596" s="951" t="s">
        <v>918</v>
      </c>
      <c r="D14596" s="946"/>
      <c r="E14596" s="947"/>
      <c r="F14596" s="1054"/>
      <c r="G14596" s="946"/>
      <c r="H14596" s="1031"/>
      <c r="I14596" s="952">
        <f>SUM(I14595:I14595)</f>
        <v>0</v>
      </c>
    </row>
    <row r="14597" spans="3:9" ht="15.75">
      <c r="C14597" s="949"/>
      <c r="D14597" s="946"/>
      <c r="E14597" s="947"/>
      <c r="F14597" s="1054"/>
      <c r="G14597" s="946"/>
      <c r="H14597" s="1031"/>
      <c r="I14597" s="948"/>
    </row>
    <row r="14598" spans="3:9" ht="15.75">
      <c r="C14598" s="945" t="s">
        <v>923</v>
      </c>
      <c r="D14598" s="946"/>
      <c r="E14598" s="947"/>
      <c r="F14598" s="1054"/>
      <c r="G14598" s="946"/>
      <c r="H14598" s="1031"/>
      <c r="I14598" s="948"/>
    </row>
    <row r="14599" spans="3:9" ht="15.75">
      <c r="C14599" s="949" t="s">
        <v>924</v>
      </c>
      <c r="D14599" s="946"/>
      <c r="E14599" s="947" t="str">
        <f>+VLOOKUP(C14599,'Basic (equilibrio) (2)'!B:D,2,FALSE)</f>
        <v>n/a</v>
      </c>
      <c r="F14599" s="1054">
        <f>+VLOOKUP(C14599,'Basic (equilibrio) (2)'!B:D,3,FALSE)</f>
        <v>0</v>
      </c>
      <c r="G14599" s="946">
        <f>F14599-(F14599/1.18)</f>
        <v>0</v>
      </c>
      <c r="H14599" s="1039"/>
      <c r="I14599" s="955">
        <f>D14599*F14599</f>
        <v>0</v>
      </c>
    </row>
    <row r="14600" spans="3:9" ht="15.75">
      <c r="C14600" s="951" t="s">
        <v>918</v>
      </c>
      <c r="D14600" s="946"/>
      <c r="E14600" s="947"/>
      <c r="F14600" s="1054"/>
      <c r="G14600" s="946"/>
      <c r="H14600" s="1031"/>
      <c r="I14600" s="952">
        <f>SUM(I14599:I14599)</f>
        <v>0</v>
      </c>
    </row>
    <row r="14601" spans="3:9" ht="15.75">
      <c r="C14601" s="949"/>
      <c r="D14601" s="946"/>
      <c r="E14601" s="947"/>
      <c r="F14601" s="1054"/>
      <c r="G14601" s="946"/>
      <c r="H14601" s="1031"/>
      <c r="I14601" s="948"/>
    </row>
    <row r="14602" spans="3:9" ht="15.75">
      <c r="C14602" s="945" t="s">
        <v>925</v>
      </c>
      <c r="D14602" s="946"/>
      <c r="E14602" s="947"/>
      <c r="F14602" s="1054"/>
      <c r="G14602" s="946"/>
      <c r="H14602" s="1031"/>
      <c r="I14602" s="948"/>
    </row>
    <row r="14603" spans="3:9" ht="15.75">
      <c r="C14603" s="949" t="s">
        <v>924</v>
      </c>
      <c r="D14603" s="946"/>
      <c r="E14603" s="947" t="str">
        <f>+VLOOKUP(C14603,'Basic (equilibrio) (2)'!B:D,2,FALSE)</f>
        <v>n/a</v>
      </c>
      <c r="F14603" s="1054">
        <f>+VLOOKUP(C14603,'Basic (equilibrio) (2)'!B:D,3,FALSE)</f>
        <v>0</v>
      </c>
      <c r="G14603" s="946"/>
      <c r="H14603" s="1031"/>
      <c r="I14603" s="948">
        <f>D14603*F14603</f>
        <v>0</v>
      </c>
    </row>
    <row r="14604" spans="3:9" ht="15.75">
      <c r="C14604" s="951" t="s">
        <v>918</v>
      </c>
      <c r="D14604" s="946"/>
      <c r="E14604" s="947"/>
      <c r="F14604" s="1054"/>
      <c r="G14604" s="946"/>
      <c r="H14604" s="1031"/>
      <c r="I14604" s="952">
        <f>SUM(I14603)</f>
        <v>0</v>
      </c>
    </row>
    <row r="14605" spans="3:9" ht="15.75">
      <c r="C14605" s="951"/>
      <c r="D14605" s="946"/>
      <c r="E14605" s="947"/>
      <c r="F14605" s="1054"/>
      <c r="G14605" s="946"/>
      <c r="H14605" s="1031"/>
      <c r="I14605" s="952"/>
    </row>
    <row r="14606" spans="3:9" ht="15.75">
      <c r="C14606" s="956" t="s">
        <v>926</v>
      </c>
      <c r="D14606" s="957"/>
      <c r="E14606" s="958"/>
      <c r="F14606" s="1069"/>
      <c r="G14606" s="957"/>
      <c r="H14606" s="1032"/>
      <c r="I14606" s="959">
        <f>+I14592</f>
        <v>2133</v>
      </c>
    </row>
    <row r="14607" spans="3:9" ht="15.75">
      <c r="C14607" s="956" t="s">
        <v>927</v>
      </c>
      <c r="D14607" s="957"/>
      <c r="E14607" s="958"/>
      <c r="F14607" s="1069"/>
      <c r="G14607" s="957"/>
      <c r="H14607" s="1032"/>
      <c r="I14607" s="959">
        <f>+I14596</f>
        <v>0</v>
      </c>
    </row>
    <row r="14608" spans="3:9" ht="15.75">
      <c r="C14608" s="956" t="s">
        <v>928</v>
      </c>
      <c r="D14608" s="957"/>
      <c r="E14608" s="958"/>
      <c r="F14608" s="1069"/>
      <c r="G14608" s="957"/>
      <c r="H14608" s="1032"/>
      <c r="I14608" s="959">
        <f>+I14600</f>
        <v>0</v>
      </c>
    </row>
    <row r="14609" spans="2:9" ht="15.75">
      <c r="C14609" s="956" t="s">
        <v>929</v>
      </c>
      <c r="D14609" s="957"/>
      <c r="E14609" s="958"/>
      <c r="F14609" s="1069"/>
      <c r="G14609" s="957"/>
      <c r="H14609" s="1032"/>
      <c r="I14609" s="959">
        <f>+I14604</f>
        <v>0</v>
      </c>
    </row>
    <row r="14610" spans="2:9" ht="15.75">
      <c r="C14610" s="949"/>
      <c r="D14610" s="946"/>
      <c r="E14610" s="947"/>
      <c r="F14610" s="1054"/>
      <c r="G14610" s="946"/>
      <c r="H14610" s="1031"/>
      <c r="I14610" s="948"/>
    </row>
    <row r="14611" spans="2:9" ht="15.75">
      <c r="C14611" s="951" t="s">
        <v>930</v>
      </c>
      <c r="D14611" s="960"/>
      <c r="E14611" s="975" t="str">
        <f>+E14588</f>
        <v>ud</v>
      </c>
      <c r="F14611" s="1070"/>
      <c r="G14611" s="960"/>
      <c r="H14611" s="1033"/>
      <c r="I14611" s="952">
        <f>SUM(I14606:I14609)</f>
        <v>2133</v>
      </c>
    </row>
    <row r="14612" spans="2:9" ht="15.75">
      <c r="C14612" s="951"/>
      <c r="D14612" s="960"/>
      <c r="E14612" s="943"/>
      <c r="F14612" s="1070"/>
      <c r="G14612" s="960"/>
      <c r="H14612" s="1033"/>
      <c r="I14612" s="952"/>
    </row>
    <row r="14613" spans="2:9" ht="15.75">
      <c r="B14613" s="1026">
        <v>4.3</v>
      </c>
      <c r="C14613" s="937" t="str">
        <f>+Presupuesto!B832</f>
        <v>Salida interruptor sencillo</v>
      </c>
      <c r="D14613" s="938"/>
      <c r="E14613" s="962" t="s">
        <v>1056</v>
      </c>
      <c r="F14613" s="1066"/>
      <c r="G14613" s="938"/>
      <c r="H14613" s="1029"/>
      <c r="I14613" s="940">
        <f>+I14636</f>
        <v>1936</v>
      </c>
    </row>
    <row r="14614" spans="2:9" ht="15.75">
      <c r="C14614" s="941" t="s">
        <v>908</v>
      </c>
      <c r="D14614" s="942" t="s">
        <v>9</v>
      </c>
      <c r="E14614" s="943" t="s">
        <v>10</v>
      </c>
      <c r="F14614" s="1067" t="s">
        <v>909</v>
      </c>
      <c r="G14614" s="942" t="s">
        <v>910</v>
      </c>
      <c r="H14614" s="1030" t="s">
        <v>911</v>
      </c>
      <c r="I14614" s="944" t="s">
        <v>912</v>
      </c>
    </row>
    <row r="14615" spans="2:9" ht="15.75">
      <c r="C14615" s="945" t="s">
        <v>913</v>
      </c>
      <c r="D14615" s="946"/>
      <c r="E14615" s="947"/>
      <c r="F14615" s="1054"/>
      <c r="G14615" s="946"/>
      <c r="H14615" s="1031"/>
      <c r="I14615" s="948"/>
    </row>
    <row r="14616" spans="2:9" ht="15.75">
      <c r="C14616" s="949" t="s">
        <v>1621</v>
      </c>
      <c r="D14616" s="946">
        <v>1</v>
      </c>
      <c r="E14616" s="947" t="str">
        <f>+VLOOKUP(C14616,'Basic (equilibrio) (2)'!B:D,2,FALSE)</f>
        <v>ud</v>
      </c>
      <c r="F14616" s="1068">
        <f>'Basic (equilibrio) (2)'!$D$235</f>
        <v>1936</v>
      </c>
      <c r="G14616" s="946">
        <f>F14616-(F14616/1.18)</f>
        <v>295.32</v>
      </c>
      <c r="H14616" s="1031"/>
      <c r="I14616" s="948">
        <f>D14616*F14616</f>
        <v>1936</v>
      </c>
    </row>
    <row r="14617" spans="2:9" ht="15.75">
      <c r="C14617" s="951" t="s">
        <v>918</v>
      </c>
      <c r="D14617" s="946"/>
      <c r="E14617" s="947"/>
      <c r="F14617" s="1068"/>
      <c r="G14617" s="946"/>
      <c r="H14617" s="1031"/>
      <c r="I14617" s="952">
        <f>SUM(I14616:I14616)</f>
        <v>1936</v>
      </c>
    </row>
    <row r="14618" spans="2:9" ht="15.75">
      <c r="C14618" s="949"/>
      <c r="D14618" s="946"/>
      <c r="E14618" s="947"/>
      <c r="F14618" s="1068"/>
      <c r="G14618" s="946"/>
      <c r="H14618" s="1031"/>
      <c r="I14618" s="948"/>
    </row>
    <row r="14619" spans="2:9" ht="15.75">
      <c r="C14619" s="945" t="s">
        <v>919</v>
      </c>
      <c r="D14619" s="946"/>
      <c r="E14619" s="947"/>
      <c r="F14619" s="1068"/>
      <c r="G14619" s="946"/>
      <c r="H14619" s="1031"/>
      <c r="I14619" s="948"/>
    </row>
    <row r="14620" spans="2:9" ht="15.75">
      <c r="C14620" s="949" t="s">
        <v>924</v>
      </c>
      <c r="D14620" s="953">
        <v>8.33</v>
      </c>
      <c r="E14620" s="954" t="str">
        <f>+VLOOKUP(C14620,'Basic (equilibrio) (2)'!B:D,2,FALSE)</f>
        <v>n/a</v>
      </c>
      <c r="F14620" s="1068">
        <f>+VLOOKUP(C14620,'Basic (equilibrio) (2)'!B:D,3,FALSE)</f>
        <v>0</v>
      </c>
      <c r="G14620" s="946">
        <v>0</v>
      </c>
      <c r="H14620" s="1031"/>
      <c r="I14620" s="948">
        <f>(D14620*F14620)</f>
        <v>0</v>
      </c>
    </row>
    <row r="14621" spans="2:9" ht="15.75">
      <c r="C14621" s="951" t="s">
        <v>918</v>
      </c>
      <c r="D14621" s="946"/>
      <c r="E14621" s="947"/>
      <c r="F14621" s="1054"/>
      <c r="G14621" s="946"/>
      <c r="H14621" s="1031"/>
      <c r="I14621" s="952">
        <f>SUM(I14620:I14620)</f>
        <v>0</v>
      </c>
    </row>
    <row r="14622" spans="2:9" ht="15.75">
      <c r="C14622" s="949"/>
      <c r="D14622" s="946"/>
      <c r="E14622" s="947"/>
      <c r="F14622" s="1054"/>
      <c r="G14622" s="946"/>
      <c r="H14622" s="1031"/>
      <c r="I14622" s="948"/>
    </row>
    <row r="14623" spans="2:9" ht="15.75">
      <c r="C14623" s="945" t="s">
        <v>923</v>
      </c>
      <c r="D14623" s="946"/>
      <c r="E14623" s="947"/>
      <c r="F14623" s="1054"/>
      <c r="G14623" s="946"/>
      <c r="H14623" s="1031"/>
      <c r="I14623" s="948"/>
    </row>
    <row r="14624" spans="2:9" ht="15.75">
      <c r="C14624" s="949" t="s">
        <v>924</v>
      </c>
      <c r="D14624" s="946"/>
      <c r="E14624" s="947" t="str">
        <f>+VLOOKUP(C14624,'Basic (equilibrio) (2)'!B:D,2,FALSE)</f>
        <v>n/a</v>
      </c>
      <c r="F14624" s="1054">
        <f>+VLOOKUP(C14624,'Basic (equilibrio) (2)'!B:D,3,FALSE)</f>
        <v>0</v>
      </c>
      <c r="G14624" s="946">
        <f>F14624-(F14624/1.18)</f>
        <v>0</v>
      </c>
      <c r="H14624" s="1039"/>
      <c r="I14624" s="955">
        <f>D14624*F14624</f>
        <v>0</v>
      </c>
    </row>
    <row r="14625" spans="2:9" ht="15.75">
      <c r="C14625" s="951" t="s">
        <v>918</v>
      </c>
      <c r="D14625" s="946"/>
      <c r="E14625" s="947"/>
      <c r="F14625" s="1054"/>
      <c r="G14625" s="946"/>
      <c r="H14625" s="1031"/>
      <c r="I14625" s="952">
        <f>SUM(I14624:I14624)</f>
        <v>0</v>
      </c>
    </row>
    <row r="14626" spans="2:9" ht="15.75">
      <c r="C14626" s="949"/>
      <c r="D14626" s="946"/>
      <c r="E14626" s="947"/>
      <c r="F14626" s="1054"/>
      <c r="G14626" s="946"/>
      <c r="H14626" s="1031"/>
      <c r="I14626" s="948"/>
    </row>
    <row r="14627" spans="2:9" ht="15.75">
      <c r="C14627" s="945" t="s">
        <v>925</v>
      </c>
      <c r="D14627" s="946"/>
      <c r="E14627" s="947"/>
      <c r="F14627" s="1054"/>
      <c r="G14627" s="946"/>
      <c r="H14627" s="1031"/>
      <c r="I14627" s="948"/>
    </row>
    <row r="14628" spans="2:9" ht="15.75">
      <c r="C14628" s="949" t="s">
        <v>924</v>
      </c>
      <c r="D14628" s="946"/>
      <c r="E14628" s="947" t="str">
        <f>+VLOOKUP(C14628,'Basic (equilibrio) (2)'!B:D,2,FALSE)</f>
        <v>n/a</v>
      </c>
      <c r="F14628" s="1054">
        <f>+VLOOKUP(C14628,'Basic (equilibrio) (2)'!B:D,3,FALSE)</f>
        <v>0</v>
      </c>
      <c r="G14628" s="946"/>
      <c r="H14628" s="1031"/>
      <c r="I14628" s="948">
        <f>D14628*F14628</f>
        <v>0</v>
      </c>
    </row>
    <row r="14629" spans="2:9" ht="15.75">
      <c r="C14629" s="951" t="s">
        <v>918</v>
      </c>
      <c r="D14629" s="946"/>
      <c r="E14629" s="947"/>
      <c r="F14629" s="1054"/>
      <c r="G14629" s="946"/>
      <c r="H14629" s="1031"/>
      <c r="I14629" s="952">
        <f>SUM(I14628)</f>
        <v>0</v>
      </c>
    </row>
    <row r="14630" spans="2:9" ht="15.75">
      <c r="C14630" s="951"/>
      <c r="D14630" s="946"/>
      <c r="E14630" s="947"/>
      <c r="F14630" s="1054"/>
      <c r="G14630" s="946"/>
      <c r="H14630" s="1031"/>
      <c r="I14630" s="952"/>
    </row>
    <row r="14631" spans="2:9" ht="15.75">
      <c r="C14631" s="956" t="s">
        <v>926</v>
      </c>
      <c r="D14631" s="957"/>
      <c r="E14631" s="958"/>
      <c r="F14631" s="1069"/>
      <c r="G14631" s="957"/>
      <c r="H14631" s="1032"/>
      <c r="I14631" s="959">
        <f>+I14617</f>
        <v>1936</v>
      </c>
    </row>
    <row r="14632" spans="2:9" ht="15.75">
      <c r="C14632" s="956" t="s">
        <v>927</v>
      </c>
      <c r="D14632" s="957"/>
      <c r="E14632" s="958"/>
      <c r="F14632" s="1069"/>
      <c r="G14632" s="957"/>
      <c r="H14632" s="1032"/>
      <c r="I14632" s="959">
        <f>+I14621</f>
        <v>0</v>
      </c>
    </row>
    <row r="14633" spans="2:9" ht="15.75">
      <c r="C14633" s="956" t="s">
        <v>928</v>
      </c>
      <c r="D14633" s="957"/>
      <c r="E14633" s="958"/>
      <c r="F14633" s="1069"/>
      <c r="G14633" s="957"/>
      <c r="H14633" s="1032"/>
      <c r="I14633" s="959">
        <f>+I14625</f>
        <v>0</v>
      </c>
    </row>
    <row r="14634" spans="2:9" ht="15.75">
      <c r="C14634" s="956" t="s">
        <v>929</v>
      </c>
      <c r="D14634" s="957"/>
      <c r="E14634" s="958"/>
      <c r="F14634" s="1069"/>
      <c r="G14634" s="957"/>
      <c r="H14634" s="1032"/>
      <c r="I14634" s="959">
        <f>+I14629</f>
        <v>0</v>
      </c>
    </row>
    <row r="14635" spans="2:9" ht="15.75">
      <c r="C14635" s="949"/>
      <c r="D14635" s="946"/>
      <c r="E14635" s="947"/>
      <c r="F14635" s="1054"/>
      <c r="G14635" s="946"/>
      <c r="H14635" s="1031"/>
      <c r="I14635" s="948"/>
    </row>
    <row r="14636" spans="2:9" ht="15.75">
      <c r="C14636" s="951" t="s">
        <v>930</v>
      </c>
      <c r="D14636" s="960"/>
      <c r="E14636" s="975" t="str">
        <f>+E14613</f>
        <v>ud</v>
      </c>
      <c r="F14636" s="1070"/>
      <c r="G14636" s="960"/>
      <c r="H14636" s="1033"/>
      <c r="I14636" s="952">
        <f>SUM(I14631:I14634)</f>
        <v>1936</v>
      </c>
    </row>
    <row r="14637" spans="2:9" ht="15.75">
      <c r="C14637" s="951"/>
      <c r="D14637" s="960"/>
      <c r="E14637" s="943"/>
      <c r="F14637" s="1070"/>
      <c r="G14637" s="960"/>
      <c r="H14637" s="1033"/>
      <c r="I14637" s="952"/>
    </row>
    <row r="14638" spans="2:9" ht="15.75">
      <c r="B14638" s="1026">
        <v>4.4000000000000004</v>
      </c>
      <c r="C14638" s="937" t="str">
        <f>+Presupuesto!B833</f>
        <v>Salida interruptor doble</v>
      </c>
      <c r="D14638" s="938"/>
      <c r="E14638" s="962" t="s">
        <v>1056</v>
      </c>
      <c r="F14638" s="1066"/>
      <c r="G14638" s="938"/>
      <c r="H14638" s="1029"/>
      <c r="I14638" s="940">
        <f>+I14661</f>
        <v>1996</v>
      </c>
    </row>
    <row r="14639" spans="2:9" ht="15.75">
      <c r="C14639" s="941" t="s">
        <v>908</v>
      </c>
      <c r="D14639" s="942" t="s">
        <v>9</v>
      </c>
      <c r="E14639" s="943" t="s">
        <v>10</v>
      </c>
      <c r="F14639" s="1067" t="s">
        <v>909</v>
      </c>
      <c r="G14639" s="942" t="s">
        <v>910</v>
      </c>
      <c r="H14639" s="1030" t="s">
        <v>911</v>
      </c>
      <c r="I14639" s="944" t="s">
        <v>912</v>
      </c>
    </row>
    <row r="14640" spans="2:9" ht="15.75">
      <c r="C14640" s="945" t="s">
        <v>913</v>
      </c>
      <c r="D14640" s="946"/>
      <c r="E14640" s="947"/>
      <c r="F14640" s="1054"/>
      <c r="G14640" s="946"/>
      <c r="H14640" s="1031"/>
      <c r="I14640" s="948"/>
    </row>
    <row r="14641" spans="3:9" ht="15.75">
      <c r="C14641" s="949" t="s">
        <v>1623</v>
      </c>
      <c r="D14641" s="946">
        <v>1</v>
      </c>
      <c r="E14641" s="947" t="str">
        <f>+VLOOKUP(C14641,'Basic (equilibrio) (2)'!B:D,2,FALSE)</f>
        <v>ud</v>
      </c>
      <c r="F14641" s="1068">
        <f>'Basic (equilibrio) (2)'!$D$236</f>
        <v>1996</v>
      </c>
      <c r="G14641" s="946">
        <f>F14641-(F14641/1.18)</f>
        <v>304.47000000000003</v>
      </c>
      <c r="H14641" s="1031"/>
      <c r="I14641" s="948">
        <f>D14641*F14641</f>
        <v>1996</v>
      </c>
    </row>
    <row r="14642" spans="3:9" ht="15.75">
      <c r="C14642" s="951" t="s">
        <v>918</v>
      </c>
      <c r="D14642" s="946"/>
      <c r="E14642" s="947"/>
      <c r="F14642" s="1068"/>
      <c r="G14642" s="946"/>
      <c r="H14642" s="1031"/>
      <c r="I14642" s="952">
        <f>SUM(I14641:I14641)</f>
        <v>1996</v>
      </c>
    </row>
    <row r="14643" spans="3:9" ht="15.75">
      <c r="C14643" s="949"/>
      <c r="D14643" s="946"/>
      <c r="E14643" s="947"/>
      <c r="F14643" s="1068"/>
      <c r="G14643" s="946"/>
      <c r="H14643" s="1031"/>
      <c r="I14643" s="948"/>
    </row>
    <row r="14644" spans="3:9" ht="15.75">
      <c r="C14644" s="945" t="s">
        <v>919</v>
      </c>
      <c r="D14644" s="946"/>
      <c r="E14644" s="947"/>
      <c r="F14644" s="1068"/>
      <c r="G14644" s="946"/>
      <c r="H14644" s="1031"/>
      <c r="I14644" s="948"/>
    </row>
    <row r="14645" spans="3:9" ht="15.75">
      <c r="C14645" s="949" t="s">
        <v>924</v>
      </c>
      <c r="D14645" s="953">
        <v>8.33</v>
      </c>
      <c r="E14645" s="954" t="str">
        <f>+VLOOKUP(C14645,'Basic (equilibrio) (2)'!B:D,2,FALSE)</f>
        <v>n/a</v>
      </c>
      <c r="F14645" s="1068">
        <f>+VLOOKUP(C14645,'Basic (equilibrio) (2)'!B:D,3,FALSE)</f>
        <v>0</v>
      </c>
      <c r="G14645" s="946">
        <v>0</v>
      </c>
      <c r="H14645" s="1031"/>
      <c r="I14645" s="948">
        <f>(D14645*F14645)</f>
        <v>0</v>
      </c>
    </row>
    <row r="14646" spans="3:9" ht="15.75">
      <c r="C14646" s="951" t="s">
        <v>918</v>
      </c>
      <c r="D14646" s="946"/>
      <c r="E14646" s="947"/>
      <c r="F14646" s="1054"/>
      <c r="G14646" s="946"/>
      <c r="H14646" s="1031"/>
      <c r="I14646" s="952">
        <f>SUM(I14645:I14645)</f>
        <v>0</v>
      </c>
    </row>
    <row r="14647" spans="3:9" ht="15.75">
      <c r="C14647" s="949"/>
      <c r="D14647" s="946"/>
      <c r="E14647" s="947"/>
      <c r="F14647" s="1054"/>
      <c r="G14647" s="946"/>
      <c r="H14647" s="1031"/>
      <c r="I14647" s="948"/>
    </row>
    <row r="14648" spans="3:9" ht="15.75">
      <c r="C14648" s="945" t="s">
        <v>923</v>
      </c>
      <c r="D14648" s="946"/>
      <c r="E14648" s="947"/>
      <c r="F14648" s="1054"/>
      <c r="G14648" s="946"/>
      <c r="H14648" s="1031"/>
      <c r="I14648" s="948"/>
    </row>
    <row r="14649" spans="3:9" ht="15.75">
      <c r="C14649" s="949" t="s">
        <v>924</v>
      </c>
      <c r="D14649" s="946"/>
      <c r="E14649" s="947" t="str">
        <f>+VLOOKUP(C14649,'Basic (equilibrio) (2)'!B:D,2,FALSE)</f>
        <v>n/a</v>
      </c>
      <c r="F14649" s="1054">
        <f>+VLOOKUP(C14649,'Basic (equilibrio) (2)'!B:D,3,FALSE)</f>
        <v>0</v>
      </c>
      <c r="G14649" s="946">
        <f>F14649-(F14649/1.18)</f>
        <v>0</v>
      </c>
      <c r="H14649" s="1039"/>
      <c r="I14649" s="955">
        <f>D14649*F14649</f>
        <v>0</v>
      </c>
    </row>
    <row r="14650" spans="3:9" ht="15.75">
      <c r="C14650" s="951" t="s">
        <v>918</v>
      </c>
      <c r="D14650" s="946"/>
      <c r="E14650" s="947"/>
      <c r="F14650" s="1054"/>
      <c r="G14650" s="946"/>
      <c r="H14650" s="1031"/>
      <c r="I14650" s="952">
        <f>SUM(I14649:I14649)</f>
        <v>0</v>
      </c>
    </row>
    <row r="14651" spans="3:9" ht="15.75">
      <c r="C14651" s="949"/>
      <c r="D14651" s="946"/>
      <c r="E14651" s="947"/>
      <c r="F14651" s="1054"/>
      <c r="G14651" s="946"/>
      <c r="H14651" s="1031"/>
      <c r="I14651" s="948"/>
    </row>
    <row r="14652" spans="3:9" ht="15.75">
      <c r="C14652" s="945" t="s">
        <v>925</v>
      </c>
      <c r="D14652" s="946"/>
      <c r="E14652" s="947"/>
      <c r="F14652" s="1054"/>
      <c r="G14652" s="946"/>
      <c r="H14652" s="1031"/>
      <c r="I14652" s="948"/>
    </row>
    <row r="14653" spans="3:9" ht="15.75">
      <c r="C14653" s="949" t="s">
        <v>924</v>
      </c>
      <c r="D14653" s="946"/>
      <c r="E14653" s="947" t="str">
        <f>+VLOOKUP(C14653,'Basic (equilibrio) (2)'!B:D,2,FALSE)</f>
        <v>n/a</v>
      </c>
      <c r="F14653" s="1054">
        <f>+VLOOKUP(C14653,'Basic (equilibrio) (2)'!B:D,3,FALSE)</f>
        <v>0</v>
      </c>
      <c r="G14653" s="946"/>
      <c r="H14653" s="1031"/>
      <c r="I14653" s="948">
        <f>D14653*F14653</f>
        <v>0</v>
      </c>
    </row>
    <row r="14654" spans="3:9" ht="15.75">
      <c r="C14654" s="951" t="s">
        <v>918</v>
      </c>
      <c r="D14654" s="946"/>
      <c r="E14654" s="947"/>
      <c r="F14654" s="1054"/>
      <c r="G14654" s="946"/>
      <c r="H14654" s="1031"/>
      <c r="I14654" s="952">
        <f>SUM(I14653)</f>
        <v>0</v>
      </c>
    </row>
    <row r="14655" spans="3:9" ht="15.75">
      <c r="C14655" s="951"/>
      <c r="D14655" s="946"/>
      <c r="E14655" s="947"/>
      <c r="F14655" s="1054"/>
      <c r="G14655" s="946"/>
      <c r="H14655" s="1031"/>
      <c r="I14655" s="952"/>
    </row>
    <row r="14656" spans="3:9" ht="15.75">
      <c r="C14656" s="956" t="s">
        <v>926</v>
      </c>
      <c r="D14656" s="957"/>
      <c r="E14656" s="958"/>
      <c r="F14656" s="1069"/>
      <c r="G14656" s="957"/>
      <c r="H14656" s="1032"/>
      <c r="I14656" s="959">
        <f>+I14642</f>
        <v>1996</v>
      </c>
    </row>
    <row r="14657" spans="2:9" ht="15.75">
      <c r="C14657" s="956" t="s">
        <v>927</v>
      </c>
      <c r="D14657" s="957"/>
      <c r="E14657" s="958"/>
      <c r="F14657" s="1069"/>
      <c r="G14657" s="957"/>
      <c r="H14657" s="1032"/>
      <c r="I14657" s="959">
        <f>+I14646</f>
        <v>0</v>
      </c>
    </row>
    <row r="14658" spans="2:9" ht="15.75">
      <c r="C14658" s="956" t="s">
        <v>928</v>
      </c>
      <c r="D14658" s="957"/>
      <c r="E14658" s="958"/>
      <c r="F14658" s="1069"/>
      <c r="G14658" s="957"/>
      <c r="H14658" s="1032"/>
      <c r="I14658" s="959">
        <f>+I14650</f>
        <v>0</v>
      </c>
    </row>
    <row r="14659" spans="2:9" ht="15.75">
      <c r="C14659" s="956" t="s">
        <v>929</v>
      </c>
      <c r="D14659" s="957"/>
      <c r="E14659" s="958"/>
      <c r="F14659" s="1069"/>
      <c r="G14659" s="957"/>
      <c r="H14659" s="1032"/>
      <c r="I14659" s="959">
        <f>+I14654</f>
        <v>0</v>
      </c>
    </row>
    <row r="14660" spans="2:9" ht="15.75">
      <c r="C14660" s="949"/>
      <c r="D14660" s="946"/>
      <c r="E14660" s="947"/>
      <c r="F14660" s="1054"/>
      <c r="G14660" s="946"/>
      <c r="H14660" s="1031"/>
      <c r="I14660" s="948"/>
    </row>
    <row r="14661" spans="2:9" ht="15.75">
      <c r="C14661" s="951" t="s">
        <v>930</v>
      </c>
      <c r="D14661" s="960"/>
      <c r="E14661" s="975" t="str">
        <f>+E14638</f>
        <v>ud</v>
      </c>
      <c r="F14661" s="1070"/>
      <c r="G14661" s="960"/>
      <c r="H14661" s="1033"/>
      <c r="I14661" s="952">
        <f>SUM(I14656:I14659)</f>
        <v>1996</v>
      </c>
    </row>
    <row r="14662" spans="2:9" ht="15.75">
      <c r="C14662" s="951"/>
      <c r="D14662" s="960"/>
      <c r="E14662" s="943"/>
      <c r="F14662" s="1070"/>
      <c r="G14662" s="960"/>
      <c r="H14662" s="1033"/>
      <c r="I14662" s="952"/>
    </row>
    <row r="14663" spans="2:9" ht="15.75">
      <c r="B14663" s="1026">
        <v>4.5</v>
      </c>
      <c r="C14663" s="937" t="str">
        <f>+Presupuesto!B834</f>
        <v>Salida interruptor triple</v>
      </c>
      <c r="D14663" s="938"/>
      <c r="E14663" s="962" t="s">
        <v>1056</v>
      </c>
      <c r="F14663" s="1066"/>
      <c r="G14663" s="938"/>
      <c r="H14663" s="1029"/>
      <c r="I14663" s="940">
        <f>+I14686</f>
        <v>1846</v>
      </c>
    </row>
    <row r="14664" spans="2:9" ht="15.75">
      <c r="C14664" s="941" t="s">
        <v>908</v>
      </c>
      <c r="D14664" s="942" t="s">
        <v>9</v>
      </c>
      <c r="E14664" s="943" t="s">
        <v>10</v>
      </c>
      <c r="F14664" s="1067" t="s">
        <v>909</v>
      </c>
      <c r="G14664" s="942" t="s">
        <v>910</v>
      </c>
      <c r="H14664" s="1030" t="s">
        <v>911</v>
      </c>
      <c r="I14664" s="944" t="s">
        <v>912</v>
      </c>
    </row>
    <row r="14665" spans="2:9" ht="15.75">
      <c r="C14665" s="945" t="s">
        <v>913</v>
      </c>
      <c r="D14665" s="946"/>
      <c r="E14665" s="947"/>
      <c r="F14665" s="1054"/>
      <c r="G14665" s="946"/>
      <c r="H14665" s="1031"/>
      <c r="I14665" s="948"/>
    </row>
    <row r="14666" spans="2:9" ht="15.75">
      <c r="C14666" s="949" t="s">
        <v>1674</v>
      </c>
      <c r="D14666" s="946">
        <v>1</v>
      </c>
      <c r="E14666" s="947" t="str">
        <f>+VLOOKUP(C14666,'Basic (equilibrio) (2)'!B:D,2,FALSE)</f>
        <v>ud</v>
      </c>
      <c r="F14666" s="1068">
        <f>'Basic (equilibrio) (2)'!$D$278</f>
        <v>1846</v>
      </c>
      <c r="G14666" s="946">
        <f>F14666-(F14666/1.18)</f>
        <v>281.58999999999997</v>
      </c>
      <c r="H14666" s="1031"/>
      <c r="I14666" s="948">
        <f>D14666*F14666</f>
        <v>1846</v>
      </c>
    </row>
    <row r="14667" spans="2:9" ht="15.75">
      <c r="C14667" s="951" t="s">
        <v>918</v>
      </c>
      <c r="D14667" s="946"/>
      <c r="E14667" s="947"/>
      <c r="F14667" s="1068"/>
      <c r="G14667" s="946"/>
      <c r="H14667" s="1031"/>
      <c r="I14667" s="952">
        <f>SUM(I14666:I14666)</f>
        <v>1846</v>
      </c>
    </row>
    <row r="14668" spans="2:9" ht="15.75">
      <c r="C14668" s="949"/>
      <c r="D14668" s="946"/>
      <c r="E14668" s="947"/>
      <c r="F14668" s="1068"/>
      <c r="G14668" s="946"/>
      <c r="H14668" s="1031"/>
      <c r="I14668" s="948"/>
    </row>
    <row r="14669" spans="2:9" ht="15.75">
      <c r="C14669" s="945" t="s">
        <v>919</v>
      </c>
      <c r="D14669" s="946"/>
      <c r="E14669" s="947"/>
      <c r="F14669" s="1068"/>
      <c r="G14669" s="946"/>
      <c r="H14669" s="1031"/>
      <c r="I14669" s="948"/>
    </row>
    <row r="14670" spans="2:9" ht="15.75">
      <c r="C14670" s="949" t="s">
        <v>924</v>
      </c>
      <c r="D14670" s="953">
        <v>8.33</v>
      </c>
      <c r="E14670" s="954" t="str">
        <f>+VLOOKUP(C14670,'Basic (equilibrio) (2)'!B:D,2,FALSE)</f>
        <v>n/a</v>
      </c>
      <c r="F14670" s="1068">
        <f>+VLOOKUP(C14670,'Basic (equilibrio) (2)'!B:D,3,FALSE)</f>
        <v>0</v>
      </c>
      <c r="G14670" s="946">
        <v>0</v>
      </c>
      <c r="H14670" s="1031"/>
      <c r="I14670" s="948">
        <f>(D14670*F14670)</f>
        <v>0</v>
      </c>
    </row>
    <row r="14671" spans="2:9" ht="15.75">
      <c r="C14671" s="951" t="s">
        <v>918</v>
      </c>
      <c r="D14671" s="946"/>
      <c r="E14671" s="947"/>
      <c r="F14671" s="1054"/>
      <c r="G14671" s="946"/>
      <c r="H14671" s="1031"/>
      <c r="I14671" s="952">
        <f>SUM(I14670:I14670)</f>
        <v>0</v>
      </c>
    </row>
    <row r="14672" spans="2:9" ht="15.75">
      <c r="C14672" s="949"/>
      <c r="D14672" s="946"/>
      <c r="E14672" s="947"/>
      <c r="F14672" s="1054"/>
      <c r="G14672" s="946"/>
      <c r="H14672" s="1031"/>
      <c r="I14672" s="948"/>
    </row>
    <row r="14673" spans="2:9" ht="15.75">
      <c r="C14673" s="945" t="s">
        <v>923</v>
      </c>
      <c r="D14673" s="946"/>
      <c r="E14673" s="947"/>
      <c r="F14673" s="1054"/>
      <c r="G14673" s="946"/>
      <c r="H14673" s="1031"/>
      <c r="I14673" s="948"/>
    </row>
    <row r="14674" spans="2:9" ht="15.75">
      <c r="C14674" s="949" t="s">
        <v>924</v>
      </c>
      <c r="D14674" s="946"/>
      <c r="E14674" s="947" t="str">
        <f>+VLOOKUP(C14674,'Basic (equilibrio) (2)'!B:D,2,FALSE)</f>
        <v>n/a</v>
      </c>
      <c r="F14674" s="1054">
        <f>+VLOOKUP(C14674,'Basic (equilibrio) (2)'!B:D,3,FALSE)</f>
        <v>0</v>
      </c>
      <c r="G14674" s="946">
        <f>F14674-(F14674/1.18)</f>
        <v>0</v>
      </c>
      <c r="H14674" s="1039"/>
      <c r="I14674" s="955">
        <f>D14674*F14674</f>
        <v>0</v>
      </c>
    </row>
    <row r="14675" spans="2:9" ht="15.75">
      <c r="C14675" s="951" t="s">
        <v>918</v>
      </c>
      <c r="D14675" s="946"/>
      <c r="E14675" s="947"/>
      <c r="F14675" s="1054"/>
      <c r="G14675" s="946"/>
      <c r="H14675" s="1031"/>
      <c r="I14675" s="952">
        <f>SUM(I14674:I14674)</f>
        <v>0</v>
      </c>
    </row>
    <row r="14676" spans="2:9" ht="15.75">
      <c r="C14676" s="949"/>
      <c r="D14676" s="946"/>
      <c r="E14676" s="947"/>
      <c r="F14676" s="1054"/>
      <c r="G14676" s="946"/>
      <c r="H14676" s="1031"/>
      <c r="I14676" s="948"/>
    </row>
    <row r="14677" spans="2:9" ht="15.75">
      <c r="C14677" s="945" t="s">
        <v>925</v>
      </c>
      <c r="D14677" s="946"/>
      <c r="E14677" s="947"/>
      <c r="F14677" s="1054"/>
      <c r="G14677" s="946"/>
      <c r="H14677" s="1031"/>
      <c r="I14677" s="948"/>
    </row>
    <row r="14678" spans="2:9" ht="15.75">
      <c r="C14678" s="949" t="s">
        <v>924</v>
      </c>
      <c r="D14678" s="946"/>
      <c r="E14678" s="947" t="str">
        <f>+VLOOKUP(C14678,'Basic (equilibrio) (2)'!B:D,2,FALSE)</f>
        <v>n/a</v>
      </c>
      <c r="F14678" s="1054">
        <f>+VLOOKUP(C14678,'Basic (equilibrio) (2)'!B:D,3,FALSE)</f>
        <v>0</v>
      </c>
      <c r="G14678" s="946"/>
      <c r="H14678" s="1031"/>
      <c r="I14678" s="948">
        <f>D14678*F14678</f>
        <v>0</v>
      </c>
    </row>
    <row r="14679" spans="2:9" ht="15.75">
      <c r="C14679" s="951" t="s">
        <v>918</v>
      </c>
      <c r="D14679" s="946"/>
      <c r="E14679" s="947"/>
      <c r="F14679" s="1054"/>
      <c r="G14679" s="946"/>
      <c r="H14679" s="1031"/>
      <c r="I14679" s="952">
        <f>SUM(I14678)</f>
        <v>0</v>
      </c>
    </row>
    <row r="14680" spans="2:9" ht="15.75">
      <c r="C14680" s="951"/>
      <c r="D14680" s="946"/>
      <c r="E14680" s="947"/>
      <c r="F14680" s="1054"/>
      <c r="G14680" s="946"/>
      <c r="H14680" s="1031"/>
      <c r="I14680" s="952"/>
    </row>
    <row r="14681" spans="2:9" ht="15.75">
      <c r="C14681" s="956" t="s">
        <v>926</v>
      </c>
      <c r="D14681" s="957"/>
      <c r="E14681" s="958"/>
      <c r="F14681" s="1069"/>
      <c r="G14681" s="957"/>
      <c r="H14681" s="1032"/>
      <c r="I14681" s="959">
        <f>+I14667</f>
        <v>1846</v>
      </c>
    </row>
    <row r="14682" spans="2:9" ht="15.75">
      <c r="C14682" s="956" t="s">
        <v>927</v>
      </c>
      <c r="D14682" s="957"/>
      <c r="E14682" s="958"/>
      <c r="F14682" s="1069"/>
      <c r="G14682" s="957"/>
      <c r="H14682" s="1032"/>
      <c r="I14682" s="959">
        <f>+I14671</f>
        <v>0</v>
      </c>
    </row>
    <row r="14683" spans="2:9" ht="15.75">
      <c r="C14683" s="956" t="s">
        <v>928</v>
      </c>
      <c r="D14683" s="957"/>
      <c r="E14683" s="958"/>
      <c r="F14683" s="1069"/>
      <c r="G14683" s="957"/>
      <c r="H14683" s="1032"/>
      <c r="I14683" s="959">
        <f>+I14675</f>
        <v>0</v>
      </c>
    </row>
    <row r="14684" spans="2:9" ht="15.75">
      <c r="C14684" s="956" t="s">
        <v>929</v>
      </c>
      <c r="D14684" s="957"/>
      <c r="E14684" s="958"/>
      <c r="F14684" s="1069"/>
      <c r="G14684" s="957"/>
      <c r="H14684" s="1032"/>
      <c r="I14684" s="959">
        <f>+I14679</f>
        <v>0</v>
      </c>
    </row>
    <row r="14685" spans="2:9" ht="15.75">
      <c r="C14685" s="949"/>
      <c r="D14685" s="946"/>
      <c r="E14685" s="947"/>
      <c r="F14685" s="1054"/>
      <c r="G14685" s="946"/>
      <c r="H14685" s="1031"/>
      <c r="I14685" s="948"/>
    </row>
    <row r="14686" spans="2:9" ht="15.75">
      <c r="C14686" s="951" t="s">
        <v>930</v>
      </c>
      <c r="D14686" s="960"/>
      <c r="E14686" s="975" t="str">
        <f>+E14663</f>
        <v>ud</v>
      </c>
      <c r="F14686" s="1070"/>
      <c r="G14686" s="960"/>
      <c r="H14686" s="1033"/>
      <c r="I14686" s="952">
        <f>SUM(I14681:I14684)</f>
        <v>1846</v>
      </c>
    </row>
    <row r="14687" spans="2:9" ht="15.75">
      <c r="C14687" s="951"/>
      <c r="D14687" s="960"/>
      <c r="E14687" s="943"/>
      <c r="F14687" s="1070"/>
      <c r="G14687" s="960"/>
      <c r="H14687" s="1033"/>
      <c r="I14687" s="952"/>
    </row>
    <row r="14688" spans="2:9" ht="15.75">
      <c r="B14688" s="1026">
        <v>4.5999999999999996</v>
      </c>
      <c r="C14688" s="937" t="str">
        <f>+Presupuesto!B835</f>
        <v>Salidas para tomacorrientes dobles 120V</v>
      </c>
      <c r="D14688" s="938"/>
      <c r="E14688" s="962" t="s">
        <v>1056</v>
      </c>
      <c r="F14688" s="1066"/>
      <c r="G14688" s="938"/>
      <c r="H14688" s="1029"/>
      <c r="I14688" s="940">
        <f>+I14711</f>
        <v>2133</v>
      </c>
    </row>
    <row r="14689" spans="3:9" ht="15.75">
      <c r="C14689" s="941" t="s">
        <v>908</v>
      </c>
      <c r="D14689" s="942" t="s">
        <v>9</v>
      </c>
      <c r="E14689" s="943" t="s">
        <v>10</v>
      </c>
      <c r="F14689" s="1067" t="s">
        <v>909</v>
      </c>
      <c r="G14689" s="942" t="s">
        <v>910</v>
      </c>
      <c r="H14689" s="1030" t="s">
        <v>911</v>
      </c>
      <c r="I14689" s="944" t="s">
        <v>912</v>
      </c>
    </row>
    <row r="14690" spans="3:9" ht="15.75">
      <c r="C14690" s="945" t="s">
        <v>913</v>
      </c>
      <c r="D14690" s="946"/>
      <c r="E14690" s="947"/>
      <c r="F14690" s="1054"/>
      <c r="G14690" s="946"/>
      <c r="H14690" s="1031"/>
      <c r="I14690" s="948"/>
    </row>
    <row r="14691" spans="3:9" ht="15.75">
      <c r="C14691" s="949" t="s">
        <v>1622</v>
      </c>
      <c r="D14691" s="946">
        <v>1</v>
      </c>
      <c r="E14691" s="947" t="str">
        <f>+VLOOKUP(C14691,'Basic (equilibrio) (2)'!B:D,2,FALSE)</f>
        <v>ud</v>
      </c>
      <c r="F14691" s="1068">
        <f>+VLOOKUP(C14691,'Basic (equilibrio) (2)'!B:D,3,FALSE)</f>
        <v>2133</v>
      </c>
      <c r="G14691" s="946">
        <f>F14691-(F14691/1.18)</f>
        <v>325.37</v>
      </c>
      <c r="H14691" s="1031"/>
      <c r="I14691" s="948">
        <f>D14691*F14691</f>
        <v>2133</v>
      </c>
    </row>
    <row r="14692" spans="3:9" ht="15.75">
      <c r="C14692" s="951" t="s">
        <v>918</v>
      </c>
      <c r="D14692" s="946"/>
      <c r="E14692" s="947"/>
      <c r="F14692" s="1068"/>
      <c r="G14692" s="946"/>
      <c r="H14692" s="1031"/>
      <c r="I14692" s="952">
        <f>SUM(I14691:I14691)</f>
        <v>2133</v>
      </c>
    </row>
    <row r="14693" spans="3:9" ht="15.75">
      <c r="C14693" s="949"/>
      <c r="D14693" s="946"/>
      <c r="E14693" s="947"/>
      <c r="F14693" s="1068"/>
      <c r="G14693" s="946"/>
      <c r="H14693" s="1031"/>
      <c r="I14693" s="948"/>
    </row>
    <row r="14694" spans="3:9" ht="15.75">
      <c r="C14694" s="945" t="s">
        <v>919</v>
      </c>
      <c r="D14694" s="946"/>
      <c r="E14694" s="947"/>
      <c r="F14694" s="1068"/>
      <c r="G14694" s="946"/>
      <c r="H14694" s="1031"/>
      <c r="I14694" s="948"/>
    </row>
    <row r="14695" spans="3:9" ht="15.75">
      <c r="C14695" s="949" t="s">
        <v>924</v>
      </c>
      <c r="D14695" s="953">
        <v>8.33</v>
      </c>
      <c r="E14695" s="954" t="str">
        <f>+VLOOKUP(C14695,'Basic (equilibrio) (2)'!B:D,2,FALSE)</f>
        <v>n/a</v>
      </c>
      <c r="F14695" s="1068">
        <f>+VLOOKUP(C14695,'Basic (equilibrio) (2)'!B:D,3,FALSE)</f>
        <v>0</v>
      </c>
      <c r="G14695" s="946">
        <v>0</v>
      </c>
      <c r="H14695" s="1031"/>
      <c r="I14695" s="948">
        <f>(D14695*F14695)</f>
        <v>0</v>
      </c>
    </row>
    <row r="14696" spans="3:9" ht="15.75">
      <c r="C14696" s="951" t="s">
        <v>918</v>
      </c>
      <c r="D14696" s="946"/>
      <c r="E14696" s="947"/>
      <c r="F14696" s="1054"/>
      <c r="G14696" s="946"/>
      <c r="H14696" s="1031"/>
      <c r="I14696" s="952">
        <f>SUM(I14695:I14695)</f>
        <v>0</v>
      </c>
    </row>
    <row r="14697" spans="3:9" ht="15.75">
      <c r="C14697" s="949"/>
      <c r="D14697" s="946"/>
      <c r="E14697" s="947"/>
      <c r="F14697" s="1054"/>
      <c r="G14697" s="946"/>
      <c r="H14697" s="1031"/>
      <c r="I14697" s="948"/>
    </row>
    <row r="14698" spans="3:9" ht="15.75">
      <c r="C14698" s="945" t="s">
        <v>923</v>
      </c>
      <c r="D14698" s="946"/>
      <c r="E14698" s="947"/>
      <c r="F14698" s="1054"/>
      <c r="G14698" s="946"/>
      <c r="H14698" s="1031"/>
      <c r="I14698" s="948"/>
    </row>
    <row r="14699" spans="3:9" ht="15.75">
      <c r="C14699" s="949" t="s">
        <v>924</v>
      </c>
      <c r="D14699" s="946"/>
      <c r="E14699" s="947" t="str">
        <f>+VLOOKUP(C14699,'Basic (equilibrio) (2)'!B:D,2,FALSE)</f>
        <v>n/a</v>
      </c>
      <c r="F14699" s="1054">
        <f>+VLOOKUP(C14699,'Basic (equilibrio) (2)'!B:D,3,FALSE)</f>
        <v>0</v>
      </c>
      <c r="G14699" s="946">
        <f>F14699-(F14699/1.18)</f>
        <v>0</v>
      </c>
      <c r="H14699" s="1039"/>
      <c r="I14699" s="955">
        <f>D14699*F14699</f>
        <v>0</v>
      </c>
    </row>
    <row r="14700" spans="3:9" ht="15.75">
      <c r="C14700" s="951" t="s">
        <v>918</v>
      </c>
      <c r="D14700" s="946"/>
      <c r="E14700" s="947"/>
      <c r="F14700" s="1054"/>
      <c r="G14700" s="946"/>
      <c r="H14700" s="1031"/>
      <c r="I14700" s="952">
        <f>SUM(I14699:I14699)</f>
        <v>0</v>
      </c>
    </row>
    <row r="14701" spans="3:9" ht="15.75">
      <c r="C14701" s="949"/>
      <c r="D14701" s="946"/>
      <c r="E14701" s="947"/>
      <c r="F14701" s="1054"/>
      <c r="G14701" s="946"/>
      <c r="H14701" s="1031"/>
      <c r="I14701" s="948"/>
    </row>
    <row r="14702" spans="3:9" ht="15.75">
      <c r="C14702" s="945" t="s">
        <v>925</v>
      </c>
      <c r="D14702" s="946"/>
      <c r="E14702" s="947"/>
      <c r="F14702" s="1054"/>
      <c r="G14702" s="946"/>
      <c r="H14702" s="1031"/>
      <c r="I14702" s="948"/>
    </row>
    <row r="14703" spans="3:9" ht="15.75">
      <c r="C14703" s="949" t="s">
        <v>924</v>
      </c>
      <c r="D14703" s="946"/>
      <c r="E14703" s="947" t="str">
        <f>+VLOOKUP(C14703,'Basic (equilibrio) (2)'!B:D,2,FALSE)</f>
        <v>n/a</v>
      </c>
      <c r="F14703" s="1054">
        <f>+VLOOKUP(C14703,'Basic (equilibrio) (2)'!B:D,3,FALSE)</f>
        <v>0</v>
      </c>
      <c r="G14703" s="946"/>
      <c r="H14703" s="1031"/>
      <c r="I14703" s="948">
        <f>D14703*F14703</f>
        <v>0</v>
      </c>
    </row>
    <row r="14704" spans="3:9" ht="15.75">
      <c r="C14704" s="951" t="s">
        <v>918</v>
      </c>
      <c r="D14704" s="946"/>
      <c r="E14704" s="947"/>
      <c r="F14704" s="1054"/>
      <c r="G14704" s="946"/>
      <c r="H14704" s="1031"/>
      <c r="I14704" s="952">
        <f>SUM(I14703)</f>
        <v>0</v>
      </c>
    </row>
    <row r="14705" spans="2:9" ht="15.75">
      <c r="C14705" s="951"/>
      <c r="D14705" s="946"/>
      <c r="E14705" s="947"/>
      <c r="F14705" s="1054"/>
      <c r="G14705" s="946"/>
      <c r="H14705" s="1031"/>
      <c r="I14705" s="952"/>
    </row>
    <row r="14706" spans="2:9" ht="15.75">
      <c r="C14706" s="956" t="s">
        <v>926</v>
      </c>
      <c r="D14706" s="957"/>
      <c r="E14706" s="958"/>
      <c r="F14706" s="1069"/>
      <c r="G14706" s="957"/>
      <c r="H14706" s="1032"/>
      <c r="I14706" s="959">
        <f>+I14692</f>
        <v>2133</v>
      </c>
    </row>
    <row r="14707" spans="2:9" ht="15.75">
      <c r="C14707" s="956" t="s">
        <v>927</v>
      </c>
      <c r="D14707" s="957"/>
      <c r="E14707" s="958"/>
      <c r="F14707" s="1069"/>
      <c r="G14707" s="957"/>
      <c r="H14707" s="1032"/>
      <c r="I14707" s="959">
        <f>+I14696</f>
        <v>0</v>
      </c>
    </row>
    <row r="14708" spans="2:9" ht="15.75">
      <c r="C14708" s="956" t="s">
        <v>928</v>
      </c>
      <c r="D14708" s="957"/>
      <c r="E14708" s="958"/>
      <c r="F14708" s="1069"/>
      <c r="G14708" s="957"/>
      <c r="H14708" s="1032"/>
      <c r="I14708" s="959">
        <f>+I14700</f>
        <v>0</v>
      </c>
    </row>
    <row r="14709" spans="2:9" ht="15.75">
      <c r="C14709" s="956" t="s">
        <v>929</v>
      </c>
      <c r="D14709" s="957"/>
      <c r="E14709" s="958"/>
      <c r="F14709" s="1069"/>
      <c r="G14709" s="957"/>
      <c r="H14709" s="1032"/>
      <c r="I14709" s="959">
        <f>+I14704</f>
        <v>0</v>
      </c>
    </row>
    <row r="14710" spans="2:9" ht="15.75">
      <c r="C14710" s="949"/>
      <c r="D14710" s="946"/>
      <c r="E14710" s="947"/>
      <c r="F14710" s="1054"/>
      <c r="G14710" s="946"/>
      <c r="H14710" s="1031"/>
      <c r="I14710" s="948"/>
    </row>
    <row r="14711" spans="2:9" ht="15.75">
      <c r="C14711" s="951" t="s">
        <v>930</v>
      </c>
      <c r="D14711" s="960"/>
      <c r="E14711" s="975" t="str">
        <f>+E14688</f>
        <v>ud</v>
      </c>
      <c r="F14711" s="1070"/>
      <c r="G14711" s="960"/>
      <c r="H14711" s="1033"/>
      <c r="I14711" s="952">
        <f>SUM(I14706:I14709)</f>
        <v>2133</v>
      </c>
    </row>
    <row r="14712" spans="2:9" ht="15.75">
      <c r="C14712" s="951"/>
      <c r="D14712" s="960"/>
      <c r="E14712" s="943"/>
      <c r="F14712" s="1070"/>
      <c r="G14712" s="960"/>
      <c r="H14712" s="1033"/>
      <c r="I14712" s="952"/>
    </row>
    <row r="14713" spans="2:9" ht="15.75">
      <c r="B14713" s="1026">
        <v>4.7</v>
      </c>
      <c r="C14713" s="937" t="str">
        <f>+Presupuesto!B836</f>
        <v>Salidas Panel de Breakers 6/12 circuitos</v>
      </c>
      <c r="D14713" s="938"/>
      <c r="E14713" s="962" t="s">
        <v>1056</v>
      </c>
      <c r="F14713" s="1066"/>
      <c r="G14713" s="938"/>
      <c r="H14713" s="1029"/>
      <c r="I14713" s="940">
        <f>+I14736</f>
        <v>9247.7999999999993</v>
      </c>
    </row>
    <row r="14714" spans="2:9" ht="15.75">
      <c r="C14714" s="941" t="s">
        <v>908</v>
      </c>
      <c r="D14714" s="942" t="s">
        <v>9</v>
      </c>
      <c r="E14714" s="943" t="s">
        <v>10</v>
      </c>
      <c r="F14714" s="1067" t="s">
        <v>909</v>
      </c>
      <c r="G14714" s="942" t="s">
        <v>910</v>
      </c>
      <c r="H14714" s="1030" t="s">
        <v>911</v>
      </c>
      <c r="I14714" s="944" t="s">
        <v>912</v>
      </c>
    </row>
    <row r="14715" spans="2:9" ht="15.75">
      <c r="C14715" s="945" t="s">
        <v>913</v>
      </c>
      <c r="D14715" s="946"/>
      <c r="E14715" s="947"/>
      <c r="F14715" s="1054"/>
      <c r="G14715" s="946"/>
      <c r="H14715" s="1031"/>
      <c r="I14715" s="948"/>
    </row>
    <row r="14716" spans="2:9" ht="15.75">
      <c r="C14716" s="949" t="s">
        <v>1715</v>
      </c>
      <c r="D14716" s="946">
        <v>1</v>
      </c>
      <c r="E14716" s="947" t="str">
        <f>+VLOOKUP(C14716,'Basic (equilibrio) (2)'!B:D,2,FALSE)</f>
        <v>und</v>
      </c>
      <c r="F14716" s="1068">
        <f>+VLOOKUP(C14716,'Basic (equilibrio) (2)'!B:D,3,FALSE)</f>
        <v>9247.7999999999993</v>
      </c>
      <c r="G14716" s="946">
        <f>F14716-(F14716/1.18)</f>
        <v>1410.68</v>
      </c>
      <c r="H14716" s="1031"/>
      <c r="I14716" s="948">
        <f>D14716*F14716</f>
        <v>9247.7999999999993</v>
      </c>
    </row>
    <row r="14717" spans="2:9" ht="15.75">
      <c r="C14717" s="951" t="s">
        <v>918</v>
      </c>
      <c r="D14717" s="946"/>
      <c r="E14717" s="947"/>
      <c r="F14717" s="1068"/>
      <c r="G14717" s="946"/>
      <c r="H14717" s="1031"/>
      <c r="I14717" s="952">
        <f>SUM(I14716:I14716)</f>
        <v>9247.7999999999993</v>
      </c>
    </row>
    <row r="14718" spans="2:9" ht="15.75">
      <c r="C14718" s="949"/>
      <c r="D14718" s="946"/>
      <c r="E14718" s="947"/>
      <c r="F14718" s="1068"/>
      <c r="G14718" s="946"/>
      <c r="H14718" s="1031"/>
      <c r="I14718" s="948"/>
    </row>
    <row r="14719" spans="2:9" ht="15.75">
      <c r="C14719" s="945" t="s">
        <v>919</v>
      </c>
      <c r="D14719" s="946"/>
      <c r="E14719" s="947"/>
      <c r="F14719" s="1068"/>
      <c r="G14719" s="946"/>
      <c r="H14719" s="1031"/>
      <c r="I14719" s="948"/>
    </row>
    <row r="14720" spans="2:9" ht="15.75">
      <c r="C14720" s="949" t="s">
        <v>924</v>
      </c>
      <c r="D14720" s="953">
        <v>8.33</v>
      </c>
      <c r="E14720" s="954" t="str">
        <f>+VLOOKUP(C14720,'Basic (equilibrio) (2)'!B:D,2,FALSE)</f>
        <v>n/a</v>
      </c>
      <c r="F14720" s="1068">
        <f>+VLOOKUP(C14720,'Basic (equilibrio) (2)'!B:D,3,FALSE)</f>
        <v>0</v>
      </c>
      <c r="G14720" s="946">
        <v>0</v>
      </c>
      <c r="H14720" s="1031"/>
      <c r="I14720" s="948">
        <f>(D14720*F14720)</f>
        <v>0</v>
      </c>
    </row>
    <row r="14721" spans="3:9" ht="15.75">
      <c r="C14721" s="951" t="s">
        <v>918</v>
      </c>
      <c r="D14721" s="946"/>
      <c r="E14721" s="947"/>
      <c r="F14721" s="1054"/>
      <c r="G14721" s="946"/>
      <c r="H14721" s="1031"/>
      <c r="I14721" s="952">
        <f>SUM(I14720:I14720)</f>
        <v>0</v>
      </c>
    </row>
    <row r="14722" spans="3:9" ht="15.75">
      <c r="C14722" s="949"/>
      <c r="D14722" s="946"/>
      <c r="E14722" s="947"/>
      <c r="F14722" s="1054"/>
      <c r="G14722" s="946"/>
      <c r="H14722" s="1031"/>
      <c r="I14722" s="948"/>
    </row>
    <row r="14723" spans="3:9" ht="15.75">
      <c r="C14723" s="945" t="s">
        <v>923</v>
      </c>
      <c r="D14723" s="946"/>
      <c r="E14723" s="947"/>
      <c r="F14723" s="1054"/>
      <c r="G14723" s="946"/>
      <c r="H14723" s="1031"/>
      <c r="I14723" s="948"/>
    </row>
    <row r="14724" spans="3:9" ht="15.75">
      <c r="C14724" s="949" t="s">
        <v>924</v>
      </c>
      <c r="D14724" s="946"/>
      <c r="E14724" s="947" t="str">
        <f>+VLOOKUP(C14724,'Basic (equilibrio) (2)'!B:D,2,FALSE)</f>
        <v>n/a</v>
      </c>
      <c r="F14724" s="1054">
        <f>+VLOOKUP(C14724,'Basic (equilibrio) (2)'!B:D,3,FALSE)</f>
        <v>0</v>
      </c>
      <c r="G14724" s="946">
        <f>F14724-(F14724/1.18)</f>
        <v>0</v>
      </c>
      <c r="H14724" s="1039"/>
      <c r="I14724" s="955">
        <f>D14724*F14724</f>
        <v>0</v>
      </c>
    </row>
    <row r="14725" spans="3:9" ht="15.75">
      <c r="C14725" s="951" t="s">
        <v>918</v>
      </c>
      <c r="D14725" s="946"/>
      <c r="E14725" s="947"/>
      <c r="F14725" s="1054"/>
      <c r="G14725" s="946"/>
      <c r="H14725" s="1031"/>
      <c r="I14725" s="952">
        <f>SUM(I14724:I14724)</f>
        <v>0</v>
      </c>
    </row>
    <row r="14726" spans="3:9" ht="15.75">
      <c r="C14726" s="949"/>
      <c r="D14726" s="946"/>
      <c r="E14726" s="947"/>
      <c r="F14726" s="1054"/>
      <c r="G14726" s="946"/>
      <c r="H14726" s="1031"/>
      <c r="I14726" s="948"/>
    </row>
    <row r="14727" spans="3:9" ht="15.75">
      <c r="C14727" s="945" t="s">
        <v>925</v>
      </c>
      <c r="D14727" s="946"/>
      <c r="E14727" s="947"/>
      <c r="F14727" s="1054"/>
      <c r="G14727" s="946"/>
      <c r="H14727" s="1031"/>
      <c r="I14727" s="948"/>
    </row>
    <row r="14728" spans="3:9" ht="15.75">
      <c r="C14728" s="949" t="s">
        <v>924</v>
      </c>
      <c r="D14728" s="946"/>
      <c r="E14728" s="947" t="str">
        <f>+VLOOKUP(C14728,'Basic (equilibrio) (2)'!B:D,2,FALSE)</f>
        <v>n/a</v>
      </c>
      <c r="F14728" s="1054">
        <f>+VLOOKUP(C14728,'Basic (equilibrio) (2)'!B:D,3,FALSE)</f>
        <v>0</v>
      </c>
      <c r="G14728" s="946"/>
      <c r="H14728" s="1031"/>
      <c r="I14728" s="948">
        <f>D14728*F14728</f>
        <v>0</v>
      </c>
    </row>
    <row r="14729" spans="3:9" ht="15.75">
      <c r="C14729" s="951" t="s">
        <v>918</v>
      </c>
      <c r="D14729" s="946"/>
      <c r="E14729" s="947"/>
      <c r="F14729" s="1054"/>
      <c r="G14729" s="946"/>
      <c r="H14729" s="1031"/>
      <c r="I14729" s="952">
        <f>SUM(I14728)</f>
        <v>0</v>
      </c>
    </row>
    <row r="14730" spans="3:9" ht="15.75">
      <c r="C14730" s="951"/>
      <c r="D14730" s="946"/>
      <c r="E14730" s="947"/>
      <c r="F14730" s="1054"/>
      <c r="G14730" s="946"/>
      <c r="H14730" s="1031"/>
      <c r="I14730" s="952"/>
    </row>
    <row r="14731" spans="3:9" ht="15.75">
      <c r="C14731" s="956" t="s">
        <v>926</v>
      </c>
      <c r="D14731" s="957"/>
      <c r="E14731" s="958"/>
      <c r="F14731" s="1069"/>
      <c r="G14731" s="957"/>
      <c r="H14731" s="1032"/>
      <c r="I14731" s="959">
        <f>+I14717</f>
        <v>9247.7999999999993</v>
      </c>
    </row>
    <row r="14732" spans="3:9" ht="15.75">
      <c r="C14732" s="956" t="s">
        <v>927</v>
      </c>
      <c r="D14732" s="957"/>
      <c r="E14732" s="958"/>
      <c r="F14732" s="1069"/>
      <c r="G14732" s="957"/>
      <c r="H14732" s="1032"/>
      <c r="I14732" s="959">
        <f>+I14721</f>
        <v>0</v>
      </c>
    </row>
    <row r="14733" spans="3:9" ht="15.75">
      <c r="C14733" s="956" t="s">
        <v>928</v>
      </c>
      <c r="D14733" s="957"/>
      <c r="E14733" s="958"/>
      <c r="F14733" s="1069"/>
      <c r="G14733" s="957"/>
      <c r="H14733" s="1032"/>
      <c r="I14733" s="959">
        <f>+I14725</f>
        <v>0</v>
      </c>
    </row>
    <row r="14734" spans="3:9" ht="15.75">
      <c r="C14734" s="956" t="s">
        <v>929</v>
      </c>
      <c r="D14734" s="957"/>
      <c r="E14734" s="958"/>
      <c r="F14734" s="1069"/>
      <c r="G14734" s="957"/>
      <c r="H14734" s="1032"/>
      <c r="I14734" s="959">
        <f>+I14729</f>
        <v>0</v>
      </c>
    </row>
    <row r="14735" spans="3:9" ht="15.75">
      <c r="C14735" s="949"/>
      <c r="D14735" s="946"/>
      <c r="E14735" s="947"/>
      <c r="F14735" s="1054"/>
      <c r="G14735" s="946"/>
      <c r="H14735" s="1031"/>
      <c r="I14735" s="948"/>
    </row>
    <row r="14736" spans="3:9" ht="15.75">
      <c r="C14736" s="951" t="s">
        <v>930</v>
      </c>
      <c r="D14736" s="960"/>
      <c r="E14736" s="975" t="str">
        <f>+E14713</f>
        <v>ud</v>
      </c>
      <c r="F14736" s="1070"/>
      <c r="G14736" s="960"/>
      <c r="H14736" s="1033"/>
      <c r="I14736" s="952">
        <f>SUM(I14731:I14734)</f>
        <v>9247.7999999999993</v>
      </c>
    </row>
    <row r="14737" spans="2:9" ht="15.75">
      <c r="C14737" s="951"/>
      <c r="D14737" s="960"/>
      <c r="E14737" s="943"/>
      <c r="F14737" s="1070"/>
      <c r="G14737" s="960"/>
      <c r="H14737" s="1033"/>
      <c r="I14737" s="952"/>
    </row>
    <row r="14738" spans="2:9" ht="15.75">
      <c r="B14738" s="1026">
        <v>4.8</v>
      </c>
      <c r="C14738" s="937" t="str">
        <f>+Presupuesto!B837</f>
        <v>Registro metálico N-1R, 6" X 6" X 4"</v>
      </c>
      <c r="D14738" s="938"/>
      <c r="E14738" s="962" t="s">
        <v>1056</v>
      </c>
      <c r="F14738" s="1066"/>
      <c r="G14738" s="938"/>
      <c r="H14738" s="1029"/>
      <c r="I14738" s="940">
        <f>+I14761</f>
        <v>986.6</v>
      </c>
    </row>
    <row r="14739" spans="2:9" ht="15.75">
      <c r="C14739" s="941" t="s">
        <v>908</v>
      </c>
      <c r="D14739" s="942" t="s">
        <v>9</v>
      </c>
      <c r="E14739" s="943" t="s">
        <v>10</v>
      </c>
      <c r="F14739" s="1067" t="s">
        <v>909</v>
      </c>
      <c r="G14739" s="942" t="s">
        <v>910</v>
      </c>
      <c r="H14739" s="1030" t="s">
        <v>911</v>
      </c>
      <c r="I14739" s="944" t="s">
        <v>912</v>
      </c>
    </row>
    <row r="14740" spans="2:9" ht="15.75">
      <c r="C14740" s="945" t="s">
        <v>913</v>
      </c>
      <c r="D14740" s="946"/>
      <c r="E14740" s="947"/>
      <c r="F14740" s="1054"/>
      <c r="G14740" s="946"/>
      <c r="H14740" s="1031"/>
      <c r="I14740" s="948"/>
    </row>
    <row r="14741" spans="2:9" ht="15.75">
      <c r="C14741" s="949" t="s">
        <v>1716</v>
      </c>
      <c r="D14741" s="946">
        <v>1</v>
      </c>
      <c r="E14741" s="947" t="str">
        <f>+VLOOKUP(C14741,'Basic (equilibrio) (2)'!B:D,2,FALSE)</f>
        <v>und</v>
      </c>
      <c r="F14741" s="1068">
        <f>+VLOOKUP(C14741,'Basic (equilibrio) (2)'!B:D,3,FALSE)</f>
        <v>986.6</v>
      </c>
      <c r="G14741" s="946">
        <f>F14741-(F14741/1.18)</f>
        <v>150.5</v>
      </c>
      <c r="H14741" s="1031"/>
      <c r="I14741" s="948">
        <f>D14741*F14741</f>
        <v>986.6</v>
      </c>
    </row>
    <row r="14742" spans="2:9" ht="15.75">
      <c r="C14742" s="951" t="s">
        <v>918</v>
      </c>
      <c r="D14742" s="946"/>
      <c r="E14742" s="947"/>
      <c r="F14742" s="1068"/>
      <c r="G14742" s="946"/>
      <c r="H14742" s="1031"/>
      <c r="I14742" s="952">
        <f>SUM(I14741:I14741)</f>
        <v>986.6</v>
      </c>
    </row>
    <row r="14743" spans="2:9" ht="15.75">
      <c r="C14743" s="949"/>
      <c r="D14743" s="946"/>
      <c r="E14743" s="947"/>
      <c r="F14743" s="1068"/>
      <c r="G14743" s="946"/>
      <c r="H14743" s="1031"/>
      <c r="I14743" s="948"/>
    </row>
    <row r="14744" spans="2:9" ht="15.75">
      <c r="C14744" s="945" t="s">
        <v>919</v>
      </c>
      <c r="D14744" s="946"/>
      <c r="E14744" s="947"/>
      <c r="F14744" s="1068"/>
      <c r="G14744" s="946"/>
      <c r="H14744" s="1031"/>
      <c r="I14744" s="948"/>
    </row>
    <row r="14745" spans="2:9" ht="15.75">
      <c r="C14745" s="949" t="s">
        <v>924</v>
      </c>
      <c r="D14745" s="953">
        <v>8.33</v>
      </c>
      <c r="E14745" s="954" t="str">
        <f>+VLOOKUP(C14745,'Basic (equilibrio) (2)'!B:D,2,FALSE)</f>
        <v>n/a</v>
      </c>
      <c r="F14745" s="1068">
        <f>+VLOOKUP(C14745,'Basic (equilibrio) (2)'!B:D,3,FALSE)</f>
        <v>0</v>
      </c>
      <c r="G14745" s="946">
        <v>0</v>
      </c>
      <c r="H14745" s="1031"/>
      <c r="I14745" s="948">
        <f>(D14745*F14745)</f>
        <v>0</v>
      </c>
    </row>
    <row r="14746" spans="2:9" ht="15.75">
      <c r="C14746" s="951" t="s">
        <v>918</v>
      </c>
      <c r="D14746" s="946"/>
      <c r="E14746" s="947"/>
      <c r="F14746" s="1054"/>
      <c r="G14746" s="946"/>
      <c r="H14746" s="1031"/>
      <c r="I14746" s="952">
        <f>SUM(I14745:I14745)</f>
        <v>0</v>
      </c>
    </row>
    <row r="14747" spans="2:9" ht="15.75">
      <c r="C14747" s="949"/>
      <c r="D14747" s="946"/>
      <c r="E14747" s="947"/>
      <c r="F14747" s="1054"/>
      <c r="G14747" s="946"/>
      <c r="H14747" s="1031"/>
      <c r="I14747" s="948"/>
    </row>
    <row r="14748" spans="2:9" ht="15.75">
      <c r="C14748" s="945" t="s">
        <v>923</v>
      </c>
      <c r="D14748" s="946"/>
      <c r="E14748" s="947"/>
      <c r="F14748" s="1054"/>
      <c r="G14748" s="946"/>
      <c r="H14748" s="1031"/>
      <c r="I14748" s="948"/>
    </row>
    <row r="14749" spans="2:9" ht="15.75">
      <c r="C14749" s="949" t="s">
        <v>924</v>
      </c>
      <c r="D14749" s="946"/>
      <c r="E14749" s="947" t="str">
        <f>+VLOOKUP(C14749,'Basic (equilibrio) (2)'!B:D,2,FALSE)</f>
        <v>n/a</v>
      </c>
      <c r="F14749" s="1054">
        <f>+VLOOKUP(C14749,'Basic (equilibrio) (2)'!B:D,3,FALSE)</f>
        <v>0</v>
      </c>
      <c r="G14749" s="946">
        <f>F14749-(F14749/1.18)</f>
        <v>0</v>
      </c>
      <c r="H14749" s="1039"/>
      <c r="I14749" s="955">
        <f>D14749*F14749</f>
        <v>0</v>
      </c>
    </row>
    <row r="14750" spans="2:9" ht="15.75">
      <c r="C14750" s="951" t="s">
        <v>918</v>
      </c>
      <c r="D14750" s="946"/>
      <c r="E14750" s="947"/>
      <c r="F14750" s="1054"/>
      <c r="G14750" s="946"/>
      <c r="H14750" s="1031"/>
      <c r="I14750" s="952">
        <f>SUM(I14749:I14749)</f>
        <v>0</v>
      </c>
    </row>
    <row r="14751" spans="2:9" ht="15.75">
      <c r="C14751" s="949"/>
      <c r="D14751" s="946"/>
      <c r="E14751" s="947"/>
      <c r="F14751" s="1054"/>
      <c r="G14751" s="946"/>
      <c r="H14751" s="1031"/>
      <c r="I14751" s="948"/>
    </row>
    <row r="14752" spans="2:9" ht="15.75">
      <c r="C14752" s="945" t="s">
        <v>925</v>
      </c>
      <c r="D14752" s="946"/>
      <c r="E14752" s="947"/>
      <c r="F14752" s="1054"/>
      <c r="G14752" s="946"/>
      <c r="H14752" s="1031"/>
      <c r="I14752" s="948"/>
    </row>
    <row r="14753" spans="2:9" ht="15.75">
      <c r="C14753" s="949" t="s">
        <v>924</v>
      </c>
      <c r="D14753" s="946"/>
      <c r="E14753" s="947" t="str">
        <f>+VLOOKUP(C14753,'Basic (equilibrio) (2)'!B:D,2,FALSE)</f>
        <v>n/a</v>
      </c>
      <c r="F14753" s="1054">
        <f>+VLOOKUP(C14753,'Basic (equilibrio) (2)'!B:D,3,FALSE)</f>
        <v>0</v>
      </c>
      <c r="G14753" s="946"/>
      <c r="H14753" s="1031"/>
      <c r="I14753" s="948">
        <f>D14753*F14753</f>
        <v>0</v>
      </c>
    </row>
    <row r="14754" spans="2:9" ht="15.75">
      <c r="C14754" s="951" t="s">
        <v>918</v>
      </c>
      <c r="D14754" s="946"/>
      <c r="E14754" s="947"/>
      <c r="F14754" s="1054"/>
      <c r="G14754" s="946"/>
      <c r="H14754" s="1031"/>
      <c r="I14754" s="952">
        <f>SUM(I14753)</f>
        <v>0</v>
      </c>
    </row>
    <row r="14755" spans="2:9" ht="15.75">
      <c r="C14755" s="951"/>
      <c r="D14755" s="946"/>
      <c r="E14755" s="947"/>
      <c r="F14755" s="1054"/>
      <c r="G14755" s="946"/>
      <c r="H14755" s="1031"/>
      <c r="I14755" s="952"/>
    </row>
    <row r="14756" spans="2:9" ht="15.75">
      <c r="C14756" s="956" t="s">
        <v>926</v>
      </c>
      <c r="D14756" s="957"/>
      <c r="E14756" s="958"/>
      <c r="F14756" s="1069"/>
      <c r="G14756" s="957"/>
      <c r="H14756" s="1032"/>
      <c r="I14756" s="959">
        <f>+I14742</f>
        <v>986.6</v>
      </c>
    </row>
    <row r="14757" spans="2:9" ht="15.75">
      <c r="C14757" s="956" t="s">
        <v>927</v>
      </c>
      <c r="D14757" s="957"/>
      <c r="E14757" s="958"/>
      <c r="F14757" s="1069"/>
      <c r="G14757" s="957"/>
      <c r="H14757" s="1032"/>
      <c r="I14757" s="959">
        <f>+I14746</f>
        <v>0</v>
      </c>
    </row>
    <row r="14758" spans="2:9" ht="15.75">
      <c r="C14758" s="956" t="s">
        <v>928</v>
      </c>
      <c r="D14758" s="957"/>
      <c r="E14758" s="958"/>
      <c r="F14758" s="1069"/>
      <c r="G14758" s="957"/>
      <c r="H14758" s="1032"/>
      <c r="I14758" s="959">
        <f>+I14750</f>
        <v>0</v>
      </c>
    </row>
    <row r="14759" spans="2:9" ht="15.75">
      <c r="C14759" s="956" t="s">
        <v>929</v>
      </c>
      <c r="D14759" s="957"/>
      <c r="E14759" s="958"/>
      <c r="F14759" s="1069"/>
      <c r="G14759" s="957"/>
      <c r="H14759" s="1032"/>
      <c r="I14759" s="959">
        <f>+I14754</f>
        <v>0</v>
      </c>
    </row>
    <row r="14760" spans="2:9" ht="15.75">
      <c r="C14760" s="949"/>
      <c r="D14760" s="946"/>
      <c r="E14760" s="947"/>
      <c r="F14760" s="1054"/>
      <c r="G14760" s="946"/>
      <c r="H14760" s="1031"/>
      <c r="I14760" s="948"/>
    </row>
    <row r="14761" spans="2:9" ht="15.75">
      <c r="C14761" s="951" t="s">
        <v>930</v>
      </c>
      <c r="D14761" s="960"/>
      <c r="E14761" s="975" t="str">
        <f>+E14738</f>
        <v>ud</v>
      </c>
      <c r="F14761" s="1070"/>
      <c r="G14761" s="960"/>
      <c r="H14761" s="1033"/>
      <c r="I14761" s="952">
        <f>SUM(I14756:I14759)</f>
        <v>986.6</v>
      </c>
    </row>
    <row r="14762" spans="2:9" ht="15.75">
      <c r="C14762" s="951"/>
      <c r="D14762" s="960"/>
      <c r="E14762" s="943"/>
      <c r="F14762" s="1070"/>
      <c r="G14762" s="960"/>
      <c r="H14762" s="1033"/>
      <c r="I14762" s="952"/>
    </row>
    <row r="14763" spans="2:9" ht="15.75">
      <c r="B14763" s="1026">
        <v>4.9000000000000004</v>
      </c>
      <c r="C14763" s="937" t="str">
        <f>+Presupuesto!B838</f>
        <v>Registro metálico N-1R, 12" X 12" X 6"</v>
      </c>
      <c r="D14763" s="938"/>
      <c r="E14763" s="962" t="s">
        <v>1056</v>
      </c>
      <c r="F14763" s="1066"/>
      <c r="G14763" s="938"/>
      <c r="H14763" s="1029"/>
      <c r="I14763" s="940">
        <f>+I14786</f>
        <v>1169</v>
      </c>
    </row>
    <row r="14764" spans="2:9" ht="15.75">
      <c r="C14764" s="941" t="s">
        <v>908</v>
      </c>
      <c r="D14764" s="942" t="s">
        <v>9</v>
      </c>
      <c r="E14764" s="943" t="s">
        <v>10</v>
      </c>
      <c r="F14764" s="1067" t="s">
        <v>909</v>
      </c>
      <c r="G14764" s="942" t="s">
        <v>910</v>
      </c>
      <c r="H14764" s="1030" t="s">
        <v>911</v>
      </c>
      <c r="I14764" s="944" t="s">
        <v>912</v>
      </c>
    </row>
    <row r="14765" spans="2:9" ht="15.75">
      <c r="C14765" s="945" t="s">
        <v>913</v>
      </c>
      <c r="D14765" s="946"/>
      <c r="E14765" s="947"/>
      <c r="F14765" s="1054"/>
      <c r="G14765" s="946"/>
      <c r="H14765" s="1031"/>
      <c r="I14765" s="948"/>
    </row>
    <row r="14766" spans="2:9" ht="15.75">
      <c r="C14766" s="949" t="s">
        <v>879</v>
      </c>
      <c r="D14766" s="946">
        <v>1</v>
      </c>
      <c r="E14766" s="947" t="str">
        <f>+VLOOKUP(C14766,'Basic (equilibrio) (2)'!B:D,2,FALSE)</f>
        <v>und</v>
      </c>
      <c r="F14766" s="1068">
        <f>+VLOOKUP(C14766,'Basic (equilibrio) (2)'!B:D,3,FALSE)</f>
        <v>1169</v>
      </c>
      <c r="G14766" s="946">
        <f>F14766-(F14766/1.18)</f>
        <v>178.32</v>
      </c>
      <c r="H14766" s="1031"/>
      <c r="I14766" s="948">
        <f>D14766*F14766</f>
        <v>1169</v>
      </c>
    </row>
    <row r="14767" spans="2:9" ht="15.75">
      <c r="C14767" s="951" t="s">
        <v>918</v>
      </c>
      <c r="D14767" s="946"/>
      <c r="E14767" s="947"/>
      <c r="F14767" s="1068"/>
      <c r="G14767" s="946"/>
      <c r="H14767" s="1031"/>
      <c r="I14767" s="952">
        <f>SUM(I14766:I14766)</f>
        <v>1169</v>
      </c>
    </row>
    <row r="14768" spans="2:9" ht="15.75">
      <c r="C14768" s="949"/>
      <c r="D14768" s="946"/>
      <c r="E14768" s="947"/>
      <c r="F14768" s="1068"/>
      <c r="G14768" s="946"/>
      <c r="H14768" s="1031"/>
      <c r="I14768" s="948"/>
    </row>
    <row r="14769" spans="3:9" ht="15.75">
      <c r="C14769" s="945" t="s">
        <v>919</v>
      </c>
      <c r="D14769" s="946"/>
      <c r="E14769" s="947"/>
      <c r="F14769" s="1068"/>
      <c r="G14769" s="946"/>
      <c r="H14769" s="1031"/>
      <c r="I14769" s="948"/>
    </row>
    <row r="14770" spans="3:9" ht="15.75">
      <c r="C14770" s="949" t="s">
        <v>924</v>
      </c>
      <c r="D14770" s="953">
        <v>8.33</v>
      </c>
      <c r="E14770" s="954" t="str">
        <f>+VLOOKUP(C14770,'Basic (equilibrio) (2)'!B:D,2,FALSE)</f>
        <v>n/a</v>
      </c>
      <c r="F14770" s="1068">
        <f>+VLOOKUP(C14770,'Basic (equilibrio) (2)'!B:D,3,FALSE)</f>
        <v>0</v>
      </c>
      <c r="G14770" s="946">
        <v>0</v>
      </c>
      <c r="H14770" s="1031"/>
      <c r="I14770" s="948">
        <f>(D14770*F14770)</f>
        <v>0</v>
      </c>
    </row>
    <row r="14771" spans="3:9" ht="15.75">
      <c r="C14771" s="951" t="s">
        <v>918</v>
      </c>
      <c r="D14771" s="946"/>
      <c r="E14771" s="947"/>
      <c r="F14771" s="1054"/>
      <c r="G14771" s="946"/>
      <c r="H14771" s="1031"/>
      <c r="I14771" s="952">
        <f>SUM(I14770:I14770)</f>
        <v>0</v>
      </c>
    </row>
    <row r="14772" spans="3:9" ht="15.75">
      <c r="C14772" s="949"/>
      <c r="D14772" s="946"/>
      <c r="E14772" s="947"/>
      <c r="F14772" s="1054"/>
      <c r="G14772" s="946"/>
      <c r="H14772" s="1031"/>
      <c r="I14772" s="948"/>
    </row>
    <row r="14773" spans="3:9" ht="15.75">
      <c r="C14773" s="945" t="s">
        <v>923</v>
      </c>
      <c r="D14773" s="946"/>
      <c r="E14773" s="947"/>
      <c r="F14773" s="1054"/>
      <c r="G14773" s="946"/>
      <c r="H14773" s="1031"/>
      <c r="I14773" s="948"/>
    </row>
    <row r="14774" spans="3:9" ht="15.75">
      <c r="C14774" s="949" t="s">
        <v>924</v>
      </c>
      <c r="D14774" s="946"/>
      <c r="E14774" s="947" t="str">
        <f>+VLOOKUP(C14774,'Basic (equilibrio) (2)'!B:D,2,FALSE)</f>
        <v>n/a</v>
      </c>
      <c r="F14774" s="1054">
        <f>+VLOOKUP(C14774,'Basic (equilibrio) (2)'!B:D,3,FALSE)</f>
        <v>0</v>
      </c>
      <c r="G14774" s="946">
        <f>F14774-(F14774/1.18)</f>
        <v>0</v>
      </c>
      <c r="H14774" s="1039"/>
      <c r="I14774" s="955">
        <f>D14774*F14774</f>
        <v>0</v>
      </c>
    </row>
    <row r="14775" spans="3:9" ht="15.75">
      <c r="C14775" s="951" t="s">
        <v>918</v>
      </c>
      <c r="D14775" s="946"/>
      <c r="E14775" s="947"/>
      <c r="F14775" s="1054"/>
      <c r="G14775" s="946"/>
      <c r="H14775" s="1031"/>
      <c r="I14775" s="952">
        <f>SUM(I14774:I14774)</f>
        <v>0</v>
      </c>
    </row>
    <row r="14776" spans="3:9" ht="15.75">
      <c r="C14776" s="949"/>
      <c r="D14776" s="946"/>
      <c r="E14776" s="947"/>
      <c r="F14776" s="1054"/>
      <c r="G14776" s="946"/>
      <c r="H14776" s="1031"/>
      <c r="I14776" s="948"/>
    </row>
    <row r="14777" spans="3:9" ht="15.75">
      <c r="C14777" s="945" t="s">
        <v>925</v>
      </c>
      <c r="D14777" s="946"/>
      <c r="E14777" s="947"/>
      <c r="F14777" s="1054"/>
      <c r="G14777" s="946"/>
      <c r="H14777" s="1031"/>
      <c r="I14777" s="948"/>
    </row>
    <row r="14778" spans="3:9" ht="15.75">
      <c r="C14778" s="949" t="s">
        <v>924</v>
      </c>
      <c r="D14778" s="946"/>
      <c r="E14778" s="947" t="str">
        <f>+VLOOKUP(C14778,'Basic (equilibrio) (2)'!B:D,2,FALSE)</f>
        <v>n/a</v>
      </c>
      <c r="F14778" s="1054">
        <f>+VLOOKUP(C14778,'Basic (equilibrio) (2)'!B:D,3,FALSE)</f>
        <v>0</v>
      </c>
      <c r="G14778" s="946"/>
      <c r="H14778" s="1031"/>
      <c r="I14778" s="948">
        <f>D14778*F14778</f>
        <v>0</v>
      </c>
    </row>
    <row r="14779" spans="3:9" ht="15.75">
      <c r="C14779" s="951" t="s">
        <v>918</v>
      </c>
      <c r="D14779" s="946"/>
      <c r="E14779" s="947"/>
      <c r="F14779" s="1054"/>
      <c r="G14779" s="946"/>
      <c r="H14779" s="1031"/>
      <c r="I14779" s="952">
        <f>SUM(I14778)</f>
        <v>0</v>
      </c>
    </row>
    <row r="14780" spans="3:9" ht="15.75">
      <c r="C14780" s="951"/>
      <c r="D14780" s="946"/>
      <c r="E14780" s="947"/>
      <c r="F14780" s="1054"/>
      <c r="G14780" s="946"/>
      <c r="H14780" s="1031"/>
      <c r="I14780" s="952"/>
    </row>
    <row r="14781" spans="3:9" ht="15.75">
      <c r="C14781" s="956" t="s">
        <v>926</v>
      </c>
      <c r="D14781" s="957"/>
      <c r="E14781" s="958"/>
      <c r="F14781" s="1069"/>
      <c r="G14781" s="957"/>
      <c r="H14781" s="1032"/>
      <c r="I14781" s="959">
        <f>+I14767</f>
        <v>1169</v>
      </c>
    </row>
    <row r="14782" spans="3:9" ht="15.75">
      <c r="C14782" s="956" t="s">
        <v>927</v>
      </c>
      <c r="D14782" s="957"/>
      <c r="E14782" s="958"/>
      <c r="F14782" s="1069"/>
      <c r="G14782" s="957"/>
      <c r="H14782" s="1032"/>
      <c r="I14782" s="959">
        <f>+I14771</f>
        <v>0</v>
      </c>
    </row>
    <row r="14783" spans="3:9" ht="15.75">
      <c r="C14783" s="956" t="s">
        <v>928</v>
      </c>
      <c r="D14783" s="957"/>
      <c r="E14783" s="958"/>
      <c r="F14783" s="1069"/>
      <c r="G14783" s="957"/>
      <c r="H14783" s="1032"/>
      <c r="I14783" s="959">
        <f>+I14775</f>
        <v>0</v>
      </c>
    </row>
    <row r="14784" spans="3:9" ht="15.75">
      <c r="C14784" s="956" t="s">
        <v>929</v>
      </c>
      <c r="D14784" s="957"/>
      <c r="E14784" s="958"/>
      <c r="F14784" s="1069"/>
      <c r="G14784" s="957"/>
      <c r="H14784" s="1032"/>
      <c r="I14784" s="959">
        <f>+I14779</f>
        <v>0</v>
      </c>
    </row>
    <row r="14785" spans="2:9" ht="15.75">
      <c r="C14785" s="949"/>
      <c r="D14785" s="946"/>
      <c r="E14785" s="947"/>
      <c r="F14785" s="1054"/>
      <c r="G14785" s="946"/>
      <c r="H14785" s="1031"/>
      <c r="I14785" s="948"/>
    </row>
    <row r="14786" spans="2:9" ht="15.75">
      <c r="C14786" s="951" t="s">
        <v>930</v>
      </c>
      <c r="D14786" s="960"/>
      <c r="E14786" s="975" t="str">
        <f>+E14763</f>
        <v>ud</v>
      </c>
      <c r="F14786" s="1070"/>
      <c r="G14786" s="960"/>
      <c r="H14786" s="1033"/>
      <c r="I14786" s="952">
        <f>SUM(I14781:I14784)</f>
        <v>1169</v>
      </c>
    </row>
    <row r="14787" spans="2:9" ht="15.75">
      <c r="C14787" s="951"/>
      <c r="D14787" s="960"/>
      <c r="E14787" s="943"/>
      <c r="F14787" s="1070"/>
      <c r="G14787" s="960"/>
      <c r="H14787" s="1033"/>
      <c r="I14787" s="952"/>
    </row>
    <row r="14788" spans="2:9" ht="15.75">
      <c r="B14788" s="1062">
        <v>4.0999999999999996</v>
      </c>
      <c r="C14788" s="937" t="str">
        <f>+Presupuesto!B839</f>
        <v>Conductor eléctrico THW No.8</v>
      </c>
      <c r="D14788" s="938"/>
      <c r="E14788" s="962" t="s">
        <v>1056</v>
      </c>
      <c r="F14788" s="1066"/>
      <c r="G14788" s="938"/>
      <c r="H14788" s="1029"/>
      <c r="I14788" s="940">
        <f>+I14811</f>
        <v>65</v>
      </c>
    </row>
    <row r="14789" spans="2:9" ht="15.75">
      <c r="C14789" s="941" t="s">
        <v>908</v>
      </c>
      <c r="D14789" s="942" t="s">
        <v>9</v>
      </c>
      <c r="E14789" s="943" t="s">
        <v>10</v>
      </c>
      <c r="F14789" s="1067" t="s">
        <v>909</v>
      </c>
      <c r="G14789" s="942" t="s">
        <v>910</v>
      </c>
      <c r="H14789" s="1030" t="s">
        <v>911</v>
      </c>
      <c r="I14789" s="944" t="s">
        <v>912</v>
      </c>
    </row>
    <row r="14790" spans="2:9" ht="15.75">
      <c r="C14790" s="945" t="s">
        <v>913</v>
      </c>
      <c r="D14790" s="946"/>
      <c r="E14790" s="947"/>
      <c r="F14790" s="1054"/>
      <c r="G14790" s="946"/>
      <c r="H14790" s="1031"/>
      <c r="I14790" s="948"/>
    </row>
    <row r="14791" spans="2:9" ht="15.75">
      <c r="C14791" s="949" t="s">
        <v>880</v>
      </c>
      <c r="D14791" s="946">
        <v>1</v>
      </c>
      <c r="E14791" s="947" t="str">
        <f>+VLOOKUP(C14791,'Basic (equilibrio) (2)'!B:D,2,FALSE)</f>
        <v>m</v>
      </c>
      <c r="F14791" s="1068">
        <f>+VLOOKUP(C14791,'Basic (equilibrio) (2)'!B:D,3,FALSE)</f>
        <v>65</v>
      </c>
      <c r="G14791" s="946">
        <f>F14791-(F14791/1.18)</f>
        <v>9.92</v>
      </c>
      <c r="H14791" s="1031"/>
      <c r="I14791" s="948">
        <f>D14791*F14791</f>
        <v>65</v>
      </c>
    </row>
    <row r="14792" spans="2:9" ht="15.75">
      <c r="C14792" s="951" t="s">
        <v>918</v>
      </c>
      <c r="D14792" s="946"/>
      <c r="E14792" s="947"/>
      <c r="F14792" s="1068"/>
      <c r="G14792" s="946"/>
      <c r="H14792" s="1031"/>
      <c r="I14792" s="952">
        <f>SUM(I14791:I14791)</f>
        <v>65</v>
      </c>
    </row>
    <row r="14793" spans="2:9" ht="15.75">
      <c r="C14793" s="949"/>
      <c r="D14793" s="946"/>
      <c r="E14793" s="947"/>
      <c r="F14793" s="1068"/>
      <c r="G14793" s="946"/>
      <c r="H14793" s="1031"/>
      <c r="I14793" s="948"/>
    </row>
    <row r="14794" spans="2:9" ht="15.75">
      <c r="C14794" s="945" t="s">
        <v>919</v>
      </c>
      <c r="D14794" s="946"/>
      <c r="E14794" s="947"/>
      <c r="F14794" s="1068"/>
      <c r="G14794" s="946"/>
      <c r="H14794" s="1031"/>
      <c r="I14794" s="948"/>
    </row>
    <row r="14795" spans="2:9" ht="15.75">
      <c r="C14795" s="949" t="s">
        <v>924</v>
      </c>
      <c r="D14795" s="953">
        <v>8.33</v>
      </c>
      <c r="E14795" s="954" t="str">
        <f>+VLOOKUP(C14795,'Basic (equilibrio) (2)'!B:D,2,FALSE)</f>
        <v>n/a</v>
      </c>
      <c r="F14795" s="1068">
        <f>+VLOOKUP(C14795,'Basic (equilibrio) (2)'!B:D,3,FALSE)</f>
        <v>0</v>
      </c>
      <c r="G14795" s="946">
        <v>0</v>
      </c>
      <c r="H14795" s="1031"/>
      <c r="I14795" s="948">
        <f>(D14795*F14795)</f>
        <v>0</v>
      </c>
    </row>
    <row r="14796" spans="2:9" ht="15.75">
      <c r="C14796" s="951" t="s">
        <v>918</v>
      </c>
      <c r="D14796" s="946"/>
      <c r="E14796" s="947"/>
      <c r="F14796" s="1054"/>
      <c r="G14796" s="946"/>
      <c r="H14796" s="1031"/>
      <c r="I14796" s="952">
        <f>SUM(I14795:I14795)</f>
        <v>0</v>
      </c>
    </row>
    <row r="14797" spans="2:9" ht="15.75">
      <c r="C14797" s="949"/>
      <c r="D14797" s="946"/>
      <c r="E14797" s="947"/>
      <c r="F14797" s="1054"/>
      <c r="G14797" s="946"/>
      <c r="H14797" s="1031"/>
      <c r="I14797" s="948"/>
    </row>
    <row r="14798" spans="2:9" ht="15.75">
      <c r="C14798" s="945" t="s">
        <v>923</v>
      </c>
      <c r="D14798" s="946"/>
      <c r="E14798" s="947"/>
      <c r="F14798" s="1054"/>
      <c r="G14798" s="946"/>
      <c r="H14798" s="1031"/>
      <c r="I14798" s="948"/>
    </row>
    <row r="14799" spans="2:9" ht="15.75">
      <c r="C14799" s="949" t="s">
        <v>924</v>
      </c>
      <c r="D14799" s="946"/>
      <c r="E14799" s="947" t="str">
        <f>+VLOOKUP(C14799,'Basic (equilibrio) (2)'!B:D,2,FALSE)</f>
        <v>n/a</v>
      </c>
      <c r="F14799" s="1054">
        <f>+VLOOKUP(C14799,'Basic (equilibrio) (2)'!B:D,3,FALSE)</f>
        <v>0</v>
      </c>
      <c r="G14799" s="946">
        <f>F14799-(F14799/1.18)</f>
        <v>0</v>
      </c>
      <c r="H14799" s="1039"/>
      <c r="I14799" s="955">
        <f>D14799*F14799</f>
        <v>0</v>
      </c>
    </row>
    <row r="14800" spans="2:9" ht="15.75">
      <c r="C14800" s="951" t="s">
        <v>918</v>
      </c>
      <c r="D14800" s="946"/>
      <c r="E14800" s="947"/>
      <c r="F14800" s="1054"/>
      <c r="G14800" s="946"/>
      <c r="H14800" s="1031"/>
      <c r="I14800" s="952">
        <f>SUM(I14799:I14799)</f>
        <v>0</v>
      </c>
    </row>
    <row r="14801" spans="2:9" ht="15.75">
      <c r="C14801" s="949"/>
      <c r="D14801" s="946"/>
      <c r="E14801" s="947"/>
      <c r="F14801" s="1054"/>
      <c r="G14801" s="946"/>
      <c r="H14801" s="1031"/>
      <c r="I14801" s="948"/>
    </row>
    <row r="14802" spans="2:9" ht="15.75">
      <c r="C14802" s="945" t="s">
        <v>925</v>
      </c>
      <c r="D14802" s="946"/>
      <c r="E14802" s="947"/>
      <c r="F14802" s="1054"/>
      <c r="G14802" s="946"/>
      <c r="H14802" s="1031"/>
      <c r="I14802" s="948"/>
    </row>
    <row r="14803" spans="2:9" ht="15.75">
      <c r="C14803" s="949" t="s">
        <v>924</v>
      </c>
      <c r="D14803" s="946"/>
      <c r="E14803" s="947" t="str">
        <f>+VLOOKUP(C14803,'Basic (equilibrio) (2)'!B:D,2,FALSE)</f>
        <v>n/a</v>
      </c>
      <c r="F14803" s="1054">
        <f>+VLOOKUP(C14803,'Basic (equilibrio) (2)'!B:D,3,FALSE)</f>
        <v>0</v>
      </c>
      <c r="G14803" s="946"/>
      <c r="H14803" s="1031"/>
      <c r="I14803" s="948">
        <f>D14803*F14803</f>
        <v>0</v>
      </c>
    </row>
    <row r="14804" spans="2:9" ht="15.75">
      <c r="C14804" s="951" t="s">
        <v>918</v>
      </c>
      <c r="D14804" s="946"/>
      <c r="E14804" s="947"/>
      <c r="F14804" s="1054"/>
      <c r="G14804" s="946"/>
      <c r="H14804" s="1031"/>
      <c r="I14804" s="952">
        <f>SUM(I14803)</f>
        <v>0</v>
      </c>
    </row>
    <row r="14805" spans="2:9" ht="15.75">
      <c r="C14805" s="951"/>
      <c r="D14805" s="946"/>
      <c r="E14805" s="947"/>
      <c r="F14805" s="1054"/>
      <c r="G14805" s="946"/>
      <c r="H14805" s="1031"/>
      <c r="I14805" s="952"/>
    </row>
    <row r="14806" spans="2:9" ht="15.75">
      <c r="C14806" s="956" t="s">
        <v>926</v>
      </c>
      <c r="D14806" s="957"/>
      <c r="E14806" s="958"/>
      <c r="F14806" s="1069"/>
      <c r="G14806" s="957"/>
      <c r="H14806" s="1032"/>
      <c r="I14806" s="959">
        <f>+I14792</f>
        <v>65</v>
      </c>
    </row>
    <row r="14807" spans="2:9" ht="15.75">
      <c r="C14807" s="956" t="s">
        <v>927</v>
      </c>
      <c r="D14807" s="957"/>
      <c r="E14807" s="958"/>
      <c r="F14807" s="1069"/>
      <c r="G14807" s="957"/>
      <c r="H14807" s="1032"/>
      <c r="I14807" s="959">
        <f>+I14796</f>
        <v>0</v>
      </c>
    </row>
    <row r="14808" spans="2:9" ht="15.75">
      <c r="C14808" s="956" t="s">
        <v>928</v>
      </c>
      <c r="D14808" s="957"/>
      <c r="E14808" s="958"/>
      <c r="F14808" s="1069"/>
      <c r="G14808" s="957"/>
      <c r="H14808" s="1032"/>
      <c r="I14808" s="959">
        <f>+I14800</f>
        <v>0</v>
      </c>
    </row>
    <row r="14809" spans="2:9" ht="15.75">
      <c r="C14809" s="956" t="s">
        <v>929</v>
      </c>
      <c r="D14809" s="957"/>
      <c r="E14809" s="958"/>
      <c r="F14809" s="1069"/>
      <c r="G14809" s="957"/>
      <c r="H14809" s="1032"/>
      <c r="I14809" s="959">
        <f>+I14804</f>
        <v>0</v>
      </c>
    </row>
    <row r="14810" spans="2:9" ht="15.75">
      <c r="C14810" s="949"/>
      <c r="D14810" s="946"/>
      <c r="E14810" s="947"/>
      <c r="F14810" s="1054"/>
      <c r="G14810" s="946"/>
      <c r="H14810" s="1031"/>
      <c r="I14810" s="948"/>
    </row>
    <row r="14811" spans="2:9" ht="15.75">
      <c r="C14811" s="951" t="s">
        <v>930</v>
      </c>
      <c r="D14811" s="960"/>
      <c r="E14811" s="975" t="str">
        <f>+E14788</f>
        <v>ud</v>
      </c>
      <c r="F14811" s="1070"/>
      <c r="G14811" s="960"/>
      <c r="H14811" s="1033"/>
      <c r="I14811" s="952">
        <f>SUM(I14806:I14809)</f>
        <v>65</v>
      </c>
    </row>
    <row r="14812" spans="2:9" ht="15.75">
      <c r="C14812" s="951"/>
      <c r="D14812" s="960"/>
      <c r="E14812" s="943"/>
      <c r="F14812" s="1070"/>
      <c r="G14812" s="960"/>
      <c r="H14812" s="1033"/>
      <c r="I14812" s="952"/>
    </row>
    <row r="14813" spans="2:9" ht="15.75">
      <c r="B14813" s="1062">
        <v>4.1100000000000003</v>
      </c>
      <c r="C14813" s="937" t="str">
        <f>+Presupuesto!B840</f>
        <v>Conductor eléctrico THW No.10</v>
      </c>
      <c r="D14813" s="938"/>
      <c r="E14813" s="962" t="s">
        <v>1056</v>
      </c>
      <c r="F14813" s="1066"/>
      <c r="G14813" s="938"/>
      <c r="H14813" s="1029"/>
      <c r="I14813" s="940">
        <f>+I14836</f>
        <v>73.099999999999994</v>
      </c>
    </row>
    <row r="14814" spans="2:9" ht="15.75">
      <c r="C14814" s="941" t="s">
        <v>908</v>
      </c>
      <c r="D14814" s="942" t="s">
        <v>9</v>
      </c>
      <c r="E14814" s="943" t="s">
        <v>10</v>
      </c>
      <c r="F14814" s="1067" t="s">
        <v>909</v>
      </c>
      <c r="G14814" s="942" t="s">
        <v>910</v>
      </c>
      <c r="H14814" s="1030" t="s">
        <v>911</v>
      </c>
      <c r="I14814" s="944" t="s">
        <v>912</v>
      </c>
    </row>
    <row r="14815" spans="2:9" ht="15.75">
      <c r="C14815" s="945" t="s">
        <v>913</v>
      </c>
      <c r="D14815" s="946"/>
      <c r="E14815" s="947"/>
      <c r="F14815" s="1054"/>
      <c r="G14815" s="946"/>
      <c r="H14815" s="1031"/>
      <c r="I14815" s="948"/>
    </row>
    <row r="14816" spans="2:9" ht="15.75">
      <c r="C14816" s="949" t="s">
        <v>873</v>
      </c>
      <c r="D14816" s="946">
        <v>1</v>
      </c>
      <c r="E14816" s="947" t="str">
        <f>+VLOOKUP(C14816,'Basic (equilibrio) (2)'!B:D,2,FALSE)</f>
        <v>m</v>
      </c>
      <c r="F14816" s="1068">
        <f>+VLOOKUP(C14816,'Basic (equilibrio) (2)'!B:D,3,FALSE)</f>
        <v>73.099999999999994</v>
      </c>
      <c r="G14816" s="946">
        <f>F14816-(F14816/1.18)</f>
        <v>11.15</v>
      </c>
      <c r="H14816" s="1031"/>
      <c r="I14816" s="948">
        <f>D14816*F14816</f>
        <v>73.099999999999994</v>
      </c>
    </row>
    <row r="14817" spans="3:9" ht="15.75">
      <c r="C14817" s="951" t="s">
        <v>918</v>
      </c>
      <c r="D14817" s="946"/>
      <c r="E14817" s="947"/>
      <c r="F14817" s="1068"/>
      <c r="G14817" s="946"/>
      <c r="H14817" s="1031"/>
      <c r="I14817" s="952">
        <f>SUM(I14816:I14816)</f>
        <v>73.099999999999994</v>
      </c>
    </row>
    <row r="14818" spans="3:9" ht="15.75">
      <c r="C14818" s="949"/>
      <c r="D14818" s="946"/>
      <c r="E14818" s="947"/>
      <c r="F14818" s="1068"/>
      <c r="G14818" s="946"/>
      <c r="H14818" s="1031"/>
      <c r="I14818" s="948"/>
    </row>
    <row r="14819" spans="3:9" ht="15.75">
      <c r="C14819" s="945" t="s">
        <v>919</v>
      </c>
      <c r="D14819" s="946"/>
      <c r="E14819" s="947"/>
      <c r="F14819" s="1068"/>
      <c r="G14819" s="946"/>
      <c r="H14819" s="1031"/>
      <c r="I14819" s="948"/>
    </row>
    <row r="14820" spans="3:9" ht="15.75">
      <c r="C14820" s="949" t="s">
        <v>924</v>
      </c>
      <c r="D14820" s="953">
        <v>8.33</v>
      </c>
      <c r="E14820" s="954" t="str">
        <f>+VLOOKUP(C14820,'Basic (equilibrio) (2)'!B:D,2,FALSE)</f>
        <v>n/a</v>
      </c>
      <c r="F14820" s="1068">
        <f>+VLOOKUP(C14820,'Basic (equilibrio) (2)'!B:D,3,FALSE)</f>
        <v>0</v>
      </c>
      <c r="G14820" s="946">
        <v>0</v>
      </c>
      <c r="H14820" s="1031"/>
      <c r="I14820" s="948">
        <f>(D14820*F14820)</f>
        <v>0</v>
      </c>
    </row>
    <row r="14821" spans="3:9" ht="15.75">
      <c r="C14821" s="951" t="s">
        <v>918</v>
      </c>
      <c r="D14821" s="946"/>
      <c r="E14821" s="947"/>
      <c r="F14821" s="1054"/>
      <c r="G14821" s="946"/>
      <c r="H14821" s="1031"/>
      <c r="I14821" s="952">
        <f>SUM(I14820:I14820)</f>
        <v>0</v>
      </c>
    </row>
    <row r="14822" spans="3:9" ht="15.75">
      <c r="C14822" s="949"/>
      <c r="D14822" s="946"/>
      <c r="E14822" s="947"/>
      <c r="F14822" s="1054"/>
      <c r="G14822" s="946"/>
      <c r="H14822" s="1031"/>
      <c r="I14822" s="948"/>
    </row>
    <row r="14823" spans="3:9" ht="15.75">
      <c r="C14823" s="945" t="s">
        <v>923</v>
      </c>
      <c r="D14823" s="946"/>
      <c r="E14823" s="947"/>
      <c r="F14823" s="1054"/>
      <c r="G14823" s="946"/>
      <c r="H14823" s="1031"/>
      <c r="I14823" s="948"/>
    </row>
    <row r="14824" spans="3:9" ht="15.75">
      <c r="C14824" s="949" t="s">
        <v>924</v>
      </c>
      <c r="D14824" s="946"/>
      <c r="E14824" s="947" t="str">
        <f>+VLOOKUP(C14824,'Basic (equilibrio) (2)'!B:D,2,FALSE)</f>
        <v>n/a</v>
      </c>
      <c r="F14824" s="1054">
        <f>+VLOOKUP(C14824,'Basic (equilibrio) (2)'!B:D,3,FALSE)</f>
        <v>0</v>
      </c>
      <c r="G14824" s="946">
        <f>F14824-(F14824/1.18)</f>
        <v>0</v>
      </c>
      <c r="H14824" s="1039"/>
      <c r="I14824" s="955">
        <f>D14824*F14824</f>
        <v>0</v>
      </c>
    </row>
    <row r="14825" spans="3:9" ht="15.75">
      <c r="C14825" s="951" t="s">
        <v>918</v>
      </c>
      <c r="D14825" s="946"/>
      <c r="E14825" s="947"/>
      <c r="F14825" s="1054"/>
      <c r="G14825" s="946"/>
      <c r="H14825" s="1031"/>
      <c r="I14825" s="952">
        <f>SUM(I14824:I14824)</f>
        <v>0</v>
      </c>
    </row>
    <row r="14826" spans="3:9" ht="15.75">
      <c r="C14826" s="949"/>
      <c r="D14826" s="946"/>
      <c r="E14826" s="947"/>
      <c r="F14826" s="1054"/>
      <c r="G14826" s="946"/>
      <c r="H14826" s="1031"/>
      <c r="I14826" s="948"/>
    </row>
    <row r="14827" spans="3:9" ht="15.75">
      <c r="C14827" s="945" t="s">
        <v>925</v>
      </c>
      <c r="D14827" s="946"/>
      <c r="E14827" s="947"/>
      <c r="F14827" s="1054"/>
      <c r="G14827" s="946"/>
      <c r="H14827" s="1031"/>
      <c r="I14827" s="948"/>
    </row>
    <row r="14828" spans="3:9" ht="15.75">
      <c r="C14828" s="949" t="s">
        <v>924</v>
      </c>
      <c r="D14828" s="946"/>
      <c r="E14828" s="947" t="str">
        <f>+VLOOKUP(C14828,'Basic (equilibrio) (2)'!B:D,2,FALSE)</f>
        <v>n/a</v>
      </c>
      <c r="F14828" s="1054">
        <f>+VLOOKUP(C14828,'Basic (equilibrio) (2)'!B:D,3,FALSE)</f>
        <v>0</v>
      </c>
      <c r="G14828" s="946"/>
      <c r="H14828" s="1031"/>
      <c r="I14828" s="948">
        <f>D14828*F14828</f>
        <v>0</v>
      </c>
    </row>
    <row r="14829" spans="3:9" ht="15.75">
      <c r="C14829" s="951" t="s">
        <v>918</v>
      </c>
      <c r="D14829" s="946"/>
      <c r="E14829" s="947"/>
      <c r="F14829" s="1054"/>
      <c r="G14829" s="946"/>
      <c r="H14829" s="1031"/>
      <c r="I14829" s="952">
        <f>SUM(I14828)</f>
        <v>0</v>
      </c>
    </row>
    <row r="14830" spans="3:9" ht="15.75">
      <c r="C14830" s="951"/>
      <c r="D14830" s="946"/>
      <c r="E14830" s="947"/>
      <c r="F14830" s="1054"/>
      <c r="G14830" s="946"/>
      <c r="H14830" s="1031"/>
      <c r="I14830" s="952"/>
    </row>
    <row r="14831" spans="3:9" ht="15.75">
      <c r="C14831" s="956" t="s">
        <v>926</v>
      </c>
      <c r="D14831" s="957"/>
      <c r="E14831" s="958"/>
      <c r="F14831" s="1069"/>
      <c r="G14831" s="957"/>
      <c r="H14831" s="1032"/>
      <c r="I14831" s="959">
        <f>+I14817</f>
        <v>73.099999999999994</v>
      </c>
    </row>
    <row r="14832" spans="3:9" ht="15.75">
      <c r="C14832" s="956" t="s">
        <v>927</v>
      </c>
      <c r="D14832" s="957"/>
      <c r="E14832" s="958"/>
      <c r="F14832" s="1069"/>
      <c r="G14832" s="957"/>
      <c r="H14832" s="1032"/>
      <c r="I14832" s="959">
        <f>+I14821</f>
        <v>0</v>
      </c>
    </row>
    <row r="14833" spans="2:9" ht="15.75">
      <c r="C14833" s="956" t="s">
        <v>928</v>
      </c>
      <c r="D14833" s="957"/>
      <c r="E14833" s="958"/>
      <c r="F14833" s="1069"/>
      <c r="G14833" s="957"/>
      <c r="H14833" s="1032"/>
      <c r="I14833" s="959">
        <f>+I14825</f>
        <v>0</v>
      </c>
    </row>
    <row r="14834" spans="2:9" ht="15.75">
      <c r="C14834" s="956" t="s">
        <v>929</v>
      </c>
      <c r="D14834" s="957"/>
      <c r="E14834" s="958"/>
      <c r="F14834" s="1069"/>
      <c r="G14834" s="957"/>
      <c r="H14834" s="1032"/>
      <c r="I14834" s="959">
        <f>+I14829</f>
        <v>0</v>
      </c>
    </row>
    <row r="14835" spans="2:9" ht="15.75">
      <c r="C14835" s="949"/>
      <c r="D14835" s="946"/>
      <c r="E14835" s="947"/>
      <c r="F14835" s="1054"/>
      <c r="G14835" s="946"/>
      <c r="H14835" s="1031"/>
      <c r="I14835" s="948"/>
    </row>
    <row r="14836" spans="2:9" ht="15.75">
      <c r="C14836" s="951" t="s">
        <v>930</v>
      </c>
      <c r="D14836" s="960"/>
      <c r="E14836" s="975" t="str">
        <f>+E14813</f>
        <v>ud</v>
      </c>
      <c r="F14836" s="1070"/>
      <c r="G14836" s="960"/>
      <c r="H14836" s="1033"/>
      <c r="I14836" s="952">
        <f>SUM(I14831:I14834)</f>
        <v>73.099999999999994</v>
      </c>
    </row>
    <row r="14837" spans="2:9" ht="15.75">
      <c r="C14837" s="951"/>
      <c r="D14837" s="960"/>
      <c r="E14837" s="943"/>
      <c r="F14837" s="1070"/>
      <c r="G14837" s="960"/>
      <c r="H14837" s="1033"/>
      <c r="I14837" s="952"/>
    </row>
    <row r="14838" spans="2:9" ht="15.75">
      <c r="B14838" s="1062">
        <v>4.12</v>
      </c>
      <c r="C14838" s="937" t="str">
        <f>+Presupuesto!B841</f>
        <v>Mano de obra eléctrica</v>
      </c>
      <c r="D14838" s="938"/>
      <c r="E14838" s="962" t="s">
        <v>1056</v>
      </c>
      <c r="F14838" s="1066"/>
      <c r="G14838" s="938"/>
      <c r="H14838" s="1029"/>
      <c r="I14838" s="940">
        <f>+I14861</f>
        <v>45000</v>
      </c>
    </row>
    <row r="14839" spans="2:9" ht="15.75">
      <c r="C14839" s="941" t="s">
        <v>908</v>
      </c>
      <c r="D14839" s="942" t="s">
        <v>9</v>
      </c>
      <c r="E14839" s="943" t="s">
        <v>10</v>
      </c>
      <c r="F14839" s="1067" t="s">
        <v>909</v>
      </c>
      <c r="G14839" s="942" t="s">
        <v>910</v>
      </c>
      <c r="H14839" s="1030" t="s">
        <v>911</v>
      </c>
      <c r="I14839" s="944" t="s">
        <v>912</v>
      </c>
    </row>
    <row r="14840" spans="2:9" ht="15.75">
      <c r="C14840" s="945" t="s">
        <v>913</v>
      </c>
      <c r="D14840" s="946"/>
      <c r="E14840" s="947"/>
      <c r="F14840" s="1054"/>
      <c r="G14840" s="946"/>
      <c r="H14840" s="1031"/>
      <c r="I14840" s="948"/>
    </row>
    <row r="14841" spans="2:9" ht="15.75">
      <c r="C14841" s="949" t="s">
        <v>1704</v>
      </c>
      <c r="D14841" s="946">
        <v>1</v>
      </c>
      <c r="E14841" s="947" t="str">
        <f>+VLOOKUP(C14841,'Basic (equilibrio) (2)'!B:D,2,FALSE)</f>
        <v>P.a</v>
      </c>
      <c r="F14841" s="1068">
        <f>+VLOOKUP(C14841,'Basic (equilibrio) (2)'!B:D,3,FALSE)</f>
        <v>45000</v>
      </c>
      <c r="G14841" s="946">
        <f>F14841-(F14841/1.18)</f>
        <v>6864.41</v>
      </c>
      <c r="H14841" s="1031"/>
      <c r="I14841" s="948">
        <f>D14841*F14841</f>
        <v>45000</v>
      </c>
    </row>
    <row r="14842" spans="2:9" ht="15.75">
      <c r="C14842" s="951" t="s">
        <v>918</v>
      </c>
      <c r="D14842" s="946"/>
      <c r="E14842" s="947"/>
      <c r="F14842" s="1068"/>
      <c r="G14842" s="946"/>
      <c r="H14842" s="1031"/>
      <c r="I14842" s="952">
        <f>SUM(I14841:I14841)</f>
        <v>45000</v>
      </c>
    </row>
    <row r="14843" spans="2:9" ht="15.75">
      <c r="C14843" s="949"/>
      <c r="D14843" s="946"/>
      <c r="E14843" s="947"/>
      <c r="F14843" s="1068"/>
      <c r="G14843" s="946"/>
      <c r="H14843" s="1031"/>
      <c r="I14843" s="948"/>
    </row>
    <row r="14844" spans="2:9" ht="15.75">
      <c r="C14844" s="945" t="s">
        <v>919</v>
      </c>
      <c r="D14844" s="946"/>
      <c r="E14844" s="947"/>
      <c r="F14844" s="1068"/>
      <c r="G14844" s="946"/>
      <c r="H14844" s="1031"/>
      <c r="I14844" s="948"/>
    </row>
    <row r="14845" spans="2:9" ht="15.75">
      <c r="C14845" s="949" t="s">
        <v>924</v>
      </c>
      <c r="D14845" s="953">
        <v>8.33</v>
      </c>
      <c r="E14845" s="954" t="str">
        <f>+VLOOKUP(C14845,'Basic (equilibrio) (2)'!B:D,2,FALSE)</f>
        <v>n/a</v>
      </c>
      <c r="F14845" s="1068">
        <f>+VLOOKUP(C14845,'Basic (equilibrio) (2)'!B:D,3,FALSE)</f>
        <v>0</v>
      </c>
      <c r="G14845" s="946">
        <v>0</v>
      </c>
      <c r="H14845" s="1031"/>
      <c r="I14845" s="948">
        <f>(D14845*F14845)</f>
        <v>0</v>
      </c>
    </row>
    <row r="14846" spans="2:9" ht="15.75">
      <c r="C14846" s="951" t="s">
        <v>918</v>
      </c>
      <c r="D14846" s="946"/>
      <c r="E14846" s="947"/>
      <c r="F14846" s="1054"/>
      <c r="G14846" s="946"/>
      <c r="H14846" s="1031"/>
      <c r="I14846" s="952">
        <f>SUM(I14845:I14845)</f>
        <v>0</v>
      </c>
    </row>
    <row r="14847" spans="2:9" ht="15.75">
      <c r="C14847" s="949"/>
      <c r="D14847" s="946"/>
      <c r="E14847" s="947"/>
      <c r="F14847" s="1054"/>
      <c r="G14847" s="946"/>
      <c r="H14847" s="1031"/>
      <c r="I14847" s="948"/>
    </row>
    <row r="14848" spans="2:9" ht="15.75">
      <c r="C14848" s="945" t="s">
        <v>923</v>
      </c>
      <c r="D14848" s="946"/>
      <c r="E14848" s="947"/>
      <c r="F14848" s="1054"/>
      <c r="G14848" s="946"/>
      <c r="H14848" s="1031"/>
      <c r="I14848" s="948"/>
    </row>
    <row r="14849" spans="2:9" ht="15.75">
      <c r="C14849" s="949" t="s">
        <v>924</v>
      </c>
      <c r="D14849" s="946"/>
      <c r="E14849" s="947" t="str">
        <f>+VLOOKUP(C14849,'Basic (equilibrio) (2)'!B:D,2,FALSE)</f>
        <v>n/a</v>
      </c>
      <c r="F14849" s="1054">
        <f>+VLOOKUP(C14849,'Basic (equilibrio) (2)'!B:D,3,FALSE)</f>
        <v>0</v>
      </c>
      <c r="G14849" s="946">
        <f>F14849-(F14849/1.18)</f>
        <v>0</v>
      </c>
      <c r="H14849" s="1039"/>
      <c r="I14849" s="955">
        <f>D14849*F14849</f>
        <v>0</v>
      </c>
    </row>
    <row r="14850" spans="2:9" ht="15.75">
      <c r="C14850" s="951" t="s">
        <v>918</v>
      </c>
      <c r="D14850" s="946"/>
      <c r="E14850" s="947"/>
      <c r="F14850" s="1054"/>
      <c r="G14850" s="946"/>
      <c r="H14850" s="1031"/>
      <c r="I14850" s="952">
        <f>SUM(I14849:I14849)</f>
        <v>0</v>
      </c>
    </row>
    <row r="14851" spans="2:9" ht="15.75">
      <c r="C14851" s="949"/>
      <c r="D14851" s="946"/>
      <c r="E14851" s="947"/>
      <c r="F14851" s="1054"/>
      <c r="G14851" s="946"/>
      <c r="H14851" s="1031"/>
      <c r="I14851" s="948"/>
    </row>
    <row r="14852" spans="2:9" ht="15.75">
      <c r="C14852" s="945" t="s">
        <v>925</v>
      </c>
      <c r="D14852" s="946"/>
      <c r="E14852" s="947"/>
      <c r="F14852" s="1054"/>
      <c r="G14852" s="946"/>
      <c r="H14852" s="1031"/>
      <c r="I14852" s="948"/>
    </row>
    <row r="14853" spans="2:9" ht="15.75">
      <c r="C14853" s="949" t="s">
        <v>924</v>
      </c>
      <c r="D14853" s="946"/>
      <c r="E14853" s="947" t="str">
        <f>+VLOOKUP(C14853,'Basic (equilibrio) (2)'!B:D,2,FALSE)</f>
        <v>n/a</v>
      </c>
      <c r="F14853" s="1054">
        <f>+VLOOKUP(C14853,'Basic (equilibrio) (2)'!B:D,3,FALSE)</f>
        <v>0</v>
      </c>
      <c r="G14853" s="946"/>
      <c r="H14853" s="1031"/>
      <c r="I14853" s="948">
        <f>D14853*F14853</f>
        <v>0</v>
      </c>
    </row>
    <row r="14854" spans="2:9" ht="15.75">
      <c r="C14854" s="951" t="s">
        <v>918</v>
      </c>
      <c r="D14854" s="946"/>
      <c r="E14854" s="947"/>
      <c r="F14854" s="1054"/>
      <c r="G14854" s="946"/>
      <c r="H14854" s="1031"/>
      <c r="I14854" s="952">
        <f>SUM(I14853)</f>
        <v>0</v>
      </c>
    </row>
    <row r="14855" spans="2:9" ht="15.75">
      <c r="C14855" s="951"/>
      <c r="D14855" s="946"/>
      <c r="E14855" s="947"/>
      <c r="F14855" s="1054"/>
      <c r="G14855" s="946"/>
      <c r="H14855" s="1031"/>
      <c r="I14855" s="952"/>
    </row>
    <row r="14856" spans="2:9" ht="15.75">
      <c r="C14856" s="956" t="s">
        <v>926</v>
      </c>
      <c r="D14856" s="957"/>
      <c r="E14856" s="958"/>
      <c r="F14856" s="1069"/>
      <c r="G14856" s="957"/>
      <c r="H14856" s="1032"/>
      <c r="I14856" s="959">
        <f>+I14842</f>
        <v>45000</v>
      </c>
    </row>
    <row r="14857" spans="2:9" ht="15.75">
      <c r="C14857" s="956" t="s">
        <v>927</v>
      </c>
      <c r="D14857" s="957"/>
      <c r="E14857" s="958"/>
      <c r="F14857" s="1069"/>
      <c r="G14857" s="957"/>
      <c r="H14857" s="1032"/>
      <c r="I14857" s="959">
        <f>+I14846</f>
        <v>0</v>
      </c>
    </row>
    <row r="14858" spans="2:9" ht="15.75">
      <c r="C14858" s="956" t="s">
        <v>928</v>
      </c>
      <c r="D14858" s="957"/>
      <c r="E14858" s="958"/>
      <c r="F14858" s="1069"/>
      <c r="G14858" s="957"/>
      <c r="H14858" s="1032"/>
      <c r="I14858" s="959">
        <f>+I14850</f>
        <v>0</v>
      </c>
    </row>
    <row r="14859" spans="2:9" ht="15.75">
      <c r="C14859" s="956" t="s">
        <v>929</v>
      </c>
      <c r="D14859" s="957"/>
      <c r="E14859" s="958"/>
      <c r="F14859" s="1069"/>
      <c r="G14859" s="957"/>
      <c r="H14859" s="1032"/>
      <c r="I14859" s="959">
        <f>+I14854</f>
        <v>0</v>
      </c>
    </row>
    <row r="14860" spans="2:9" ht="15.75">
      <c r="C14860" s="949"/>
      <c r="D14860" s="946"/>
      <c r="E14860" s="947"/>
      <c r="F14860" s="1054"/>
      <c r="G14860" s="946"/>
      <c r="H14860" s="1031"/>
      <c r="I14860" s="948"/>
    </row>
    <row r="14861" spans="2:9" ht="15.75">
      <c r="C14861" s="951" t="s">
        <v>930</v>
      </c>
      <c r="D14861" s="960"/>
      <c r="E14861" s="975" t="str">
        <f>+E14838</f>
        <v>ud</v>
      </c>
      <c r="F14861" s="1070"/>
      <c r="G14861" s="960"/>
      <c r="H14861" s="1033"/>
      <c r="I14861" s="952">
        <f>SUM(I14856:I14859)</f>
        <v>45000</v>
      </c>
    </row>
    <row r="14862" spans="2:9" ht="15.75">
      <c r="C14862" s="951"/>
      <c r="D14862" s="960"/>
      <c r="E14862" s="943"/>
      <c r="F14862" s="1070"/>
      <c r="G14862" s="960"/>
      <c r="H14862" s="1033"/>
      <c r="I14862" s="952"/>
    </row>
    <row r="14863" spans="2:9" ht="31.5">
      <c r="B14863" s="1062">
        <v>5.0999999999999996</v>
      </c>
      <c r="C14863" s="937" t="str">
        <f>+Presupuesto!B844</f>
        <v xml:space="preserve">Reflector LED de 150 Watts, 100-240 Volts, 60 HZ,  52,000 LM, IP 65 </v>
      </c>
      <c r="D14863" s="938"/>
      <c r="E14863" s="962" t="s">
        <v>1056</v>
      </c>
      <c r="F14863" s="1066"/>
      <c r="G14863" s="938"/>
      <c r="H14863" s="1029"/>
      <c r="I14863" s="940">
        <f>+I14886</f>
        <v>12000</v>
      </c>
    </row>
    <row r="14864" spans="2:9" ht="15.75">
      <c r="C14864" s="941" t="s">
        <v>908</v>
      </c>
      <c r="D14864" s="942" t="s">
        <v>9</v>
      </c>
      <c r="E14864" s="943" t="s">
        <v>10</v>
      </c>
      <c r="F14864" s="1067" t="s">
        <v>909</v>
      </c>
      <c r="G14864" s="942" t="s">
        <v>910</v>
      </c>
      <c r="H14864" s="1030" t="s">
        <v>911</v>
      </c>
      <c r="I14864" s="944" t="s">
        <v>912</v>
      </c>
    </row>
    <row r="14865" spans="3:9" ht="15.75">
      <c r="C14865" s="945" t="s">
        <v>913</v>
      </c>
      <c r="D14865" s="946"/>
      <c r="E14865" s="947"/>
      <c r="F14865" s="1054"/>
      <c r="G14865" s="946"/>
      <c r="H14865" s="1031"/>
      <c r="I14865" s="948"/>
    </row>
    <row r="14866" spans="3:9" ht="15.75">
      <c r="C14866" s="949" t="s">
        <v>1706</v>
      </c>
      <c r="D14866" s="946">
        <v>1</v>
      </c>
      <c r="E14866" s="947" t="str">
        <f>+VLOOKUP(C14866,'Basic (equilibrio) (2)'!B:D,2,FALSE)</f>
        <v>und</v>
      </c>
      <c r="F14866" s="1068">
        <f>+VLOOKUP(C14866,'Basic (equilibrio) (2)'!B:D,3,FALSE)</f>
        <v>12000</v>
      </c>
      <c r="G14866" s="946">
        <f>F14866-(F14866/1.18)</f>
        <v>1830.51</v>
      </c>
      <c r="H14866" s="1031"/>
      <c r="I14866" s="948">
        <f>D14866*F14866</f>
        <v>12000</v>
      </c>
    </row>
    <row r="14867" spans="3:9" ht="15.75">
      <c r="C14867" s="951" t="s">
        <v>918</v>
      </c>
      <c r="D14867" s="946"/>
      <c r="E14867" s="947"/>
      <c r="F14867" s="1068"/>
      <c r="G14867" s="946"/>
      <c r="H14867" s="1031"/>
      <c r="I14867" s="952">
        <f>SUM(I14866:I14866)</f>
        <v>12000</v>
      </c>
    </row>
    <row r="14868" spans="3:9" ht="15.75">
      <c r="C14868" s="949"/>
      <c r="D14868" s="946"/>
      <c r="E14868" s="947"/>
      <c r="F14868" s="1068"/>
      <c r="G14868" s="946"/>
      <c r="H14868" s="1031"/>
      <c r="I14868" s="948"/>
    </row>
    <row r="14869" spans="3:9" ht="15.75">
      <c r="C14869" s="945" t="s">
        <v>919</v>
      </c>
      <c r="D14869" s="946"/>
      <c r="E14869" s="947"/>
      <c r="F14869" s="1068"/>
      <c r="G14869" s="946"/>
      <c r="H14869" s="1031"/>
      <c r="I14869" s="948"/>
    </row>
    <row r="14870" spans="3:9" ht="15.75">
      <c r="C14870" s="949" t="s">
        <v>924</v>
      </c>
      <c r="D14870" s="953">
        <v>8.33</v>
      </c>
      <c r="E14870" s="954" t="str">
        <f>+VLOOKUP(C14870,'Basic (equilibrio) (2)'!B:D,2,FALSE)</f>
        <v>n/a</v>
      </c>
      <c r="F14870" s="1068">
        <f>+VLOOKUP(C14870,'Basic (equilibrio) (2)'!B:D,3,FALSE)</f>
        <v>0</v>
      </c>
      <c r="G14870" s="946">
        <v>0</v>
      </c>
      <c r="H14870" s="1031"/>
      <c r="I14870" s="948">
        <f>(D14870*F14870)</f>
        <v>0</v>
      </c>
    </row>
    <row r="14871" spans="3:9" ht="15.75">
      <c r="C14871" s="951" t="s">
        <v>918</v>
      </c>
      <c r="D14871" s="946"/>
      <c r="E14871" s="947"/>
      <c r="F14871" s="1054"/>
      <c r="G14871" s="946"/>
      <c r="H14871" s="1031"/>
      <c r="I14871" s="952">
        <f>SUM(I14870:I14870)</f>
        <v>0</v>
      </c>
    </row>
    <row r="14872" spans="3:9" ht="15.75">
      <c r="C14872" s="949"/>
      <c r="D14872" s="946"/>
      <c r="E14872" s="947"/>
      <c r="F14872" s="1054"/>
      <c r="G14872" s="946"/>
      <c r="H14872" s="1031"/>
      <c r="I14872" s="948"/>
    </row>
    <row r="14873" spans="3:9" ht="15.75">
      <c r="C14873" s="945" t="s">
        <v>923</v>
      </c>
      <c r="D14873" s="946"/>
      <c r="E14873" s="947"/>
      <c r="F14873" s="1054"/>
      <c r="G14873" s="946"/>
      <c r="H14873" s="1031"/>
      <c r="I14873" s="948"/>
    </row>
    <row r="14874" spans="3:9" ht="15.75">
      <c r="C14874" s="949" t="s">
        <v>924</v>
      </c>
      <c r="D14874" s="946"/>
      <c r="E14874" s="947" t="str">
        <f>+VLOOKUP(C14874,'Basic (equilibrio) (2)'!B:D,2,FALSE)</f>
        <v>n/a</v>
      </c>
      <c r="F14874" s="1054">
        <f>+VLOOKUP(C14874,'Basic (equilibrio) (2)'!B:D,3,FALSE)</f>
        <v>0</v>
      </c>
      <c r="G14874" s="946">
        <f>F14874-(F14874/1.18)</f>
        <v>0</v>
      </c>
      <c r="H14874" s="1039"/>
      <c r="I14874" s="955">
        <f>D14874*F14874</f>
        <v>0</v>
      </c>
    </row>
    <row r="14875" spans="3:9" ht="15.75">
      <c r="C14875" s="951" t="s">
        <v>918</v>
      </c>
      <c r="D14875" s="946"/>
      <c r="E14875" s="947"/>
      <c r="F14875" s="1054"/>
      <c r="G14875" s="946"/>
      <c r="H14875" s="1031"/>
      <c r="I14875" s="952">
        <f>SUM(I14874:I14874)</f>
        <v>0</v>
      </c>
    </row>
    <row r="14876" spans="3:9" ht="15.75">
      <c r="C14876" s="949"/>
      <c r="D14876" s="946"/>
      <c r="E14876" s="947"/>
      <c r="F14876" s="1054"/>
      <c r="G14876" s="946"/>
      <c r="H14876" s="1031"/>
      <c r="I14876" s="948"/>
    </row>
    <row r="14877" spans="3:9" ht="15.75">
      <c r="C14877" s="945" t="s">
        <v>925</v>
      </c>
      <c r="D14877" s="946"/>
      <c r="E14877" s="947"/>
      <c r="F14877" s="1054"/>
      <c r="G14877" s="946"/>
      <c r="H14877" s="1031"/>
      <c r="I14877" s="948"/>
    </row>
    <row r="14878" spans="3:9" ht="15.75">
      <c r="C14878" s="949" t="s">
        <v>924</v>
      </c>
      <c r="D14878" s="946"/>
      <c r="E14878" s="947" t="str">
        <f>+VLOOKUP(C14878,'Basic (equilibrio) (2)'!B:D,2,FALSE)</f>
        <v>n/a</v>
      </c>
      <c r="F14878" s="1054">
        <f>+VLOOKUP(C14878,'Basic (equilibrio) (2)'!B:D,3,FALSE)</f>
        <v>0</v>
      </c>
      <c r="G14878" s="946"/>
      <c r="H14878" s="1031"/>
      <c r="I14878" s="948">
        <f>D14878*F14878</f>
        <v>0</v>
      </c>
    </row>
    <row r="14879" spans="3:9" ht="15.75">
      <c r="C14879" s="951" t="s">
        <v>918</v>
      </c>
      <c r="D14879" s="946"/>
      <c r="E14879" s="947"/>
      <c r="F14879" s="1054"/>
      <c r="G14879" s="946"/>
      <c r="H14879" s="1031"/>
      <c r="I14879" s="952">
        <f>SUM(I14878)</f>
        <v>0</v>
      </c>
    </row>
    <row r="14880" spans="3:9" ht="15.75">
      <c r="C14880" s="951"/>
      <c r="D14880" s="946"/>
      <c r="E14880" s="947"/>
      <c r="F14880" s="1054"/>
      <c r="G14880" s="946"/>
      <c r="H14880" s="1031"/>
      <c r="I14880" s="952"/>
    </row>
    <row r="14881" spans="2:9" ht="15.75">
      <c r="C14881" s="956" t="s">
        <v>926</v>
      </c>
      <c r="D14881" s="957"/>
      <c r="E14881" s="958"/>
      <c r="F14881" s="1069"/>
      <c r="G14881" s="957"/>
      <c r="H14881" s="1032"/>
      <c r="I14881" s="959">
        <f>+I14867</f>
        <v>12000</v>
      </c>
    </row>
    <row r="14882" spans="2:9" ht="15.75">
      <c r="C14882" s="956" t="s">
        <v>927</v>
      </c>
      <c r="D14882" s="957"/>
      <c r="E14882" s="958"/>
      <c r="F14882" s="1069"/>
      <c r="G14882" s="957"/>
      <c r="H14882" s="1032"/>
      <c r="I14882" s="959">
        <f>+I14871</f>
        <v>0</v>
      </c>
    </row>
    <row r="14883" spans="2:9" ht="15.75">
      <c r="C14883" s="956" t="s">
        <v>928</v>
      </c>
      <c r="D14883" s="957"/>
      <c r="E14883" s="958"/>
      <c r="F14883" s="1069"/>
      <c r="G14883" s="957"/>
      <c r="H14883" s="1032"/>
      <c r="I14883" s="959">
        <f>+I14875</f>
        <v>0</v>
      </c>
    </row>
    <row r="14884" spans="2:9" ht="15.75">
      <c r="C14884" s="956" t="s">
        <v>929</v>
      </c>
      <c r="D14884" s="957"/>
      <c r="E14884" s="958"/>
      <c r="F14884" s="1069"/>
      <c r="G14884" s="957"/>
      <c r="H14884" s="1032"/>
      <c r="I14884" s="959">
        <f>+I14879</f>
        <v>0</v>
      </c>
    </row>
    <row r="14885" spans="2:9" ht="15.75">
      <c r="C14885" s="949"/>
      <c r="D14885" s="946"/>
      <c r="E14885" s="947"/>
      <c r="F14885" s="1054"/>
      <c r="G14885" s="946"/>
      <c r="H14885" s="1031"/>
      <c r="I14885" s="948"/>
    </row>
    <row r="14886" spans="2:9" ht="15.75">
      <c r="C14886" s="951" t="s">
        <v>930</v>
      </c>
      <c r="D14886" s="960"/>
      <c r="E14886" s="975" t="str">
        <f>+E14863</f>
        <v>ud</v>
      </c>
      <c r="F14886" s="1070"/>
      <c r="G14886" s="960"/>
      <c r="H14886" s="1033"/>
      <c r="I14886" s="952">
        <f>SUM(I14881:I14884)</f>
        <v>12000</v>
      </c>
    </row>
    <row r="14887" spans="2:9" ht="15.75">
      <c r="C14887" s="951"/>
      <c r="D14887" s="960"/>
      <c r="E14887" s="943"/>
      <c r="F14887" s="1070"/>
      <c r="G14887" s="960"/>
      <c r="H14887" s="1033"/>
      <c r="I14887" s="952"/>
    </row>
    <row r="14888" spans="2:9" ht="15.75">
      <c r="B14888" s="1063">
        <v>5.2</v>
      </c>
      <c r="C14888" s="937" t="str">
        <f>+Presupuesto!B845</f>
        <v>Poste H.A.V 30', 300 DAM</v>
      </c>
      <c r="D14888" s="938"/>
      <c r="E14888" s="962" t="s">
        <v>1056</v>
      </c>
      <c r="F14888" s="1066"/>
      <c r="G14888" s="938"/>
      <c r="H14888" s="1029"/>
      <c r="I14888" s="940">
        <f>+I14911</f>
        <v>0</v>
      </c>
    </row>
    <row r="14889" spans="2:9" ht="15.75">
      <c r="C14889" s="941" t="s">
        <v>908</v>
      </c>
      <c r="D14889" s="942" t="s">
        <v>9</v>
      </c>
      <c r="E14889" s="943" t="s">
        <v>10</v>
      </c>
      <c r="F14889" s="1067" t="s">
        <v>909</v>
      </c>
      <c r="G14889" s="942" t="s">
        <v>910</v>
      </c>
      <c r="H14889" s="1030" t="s">
        <v>911</v>
      </c>
      <c r="I14889" s="944" t="s">
        <v>912</v>
      </c>
    </row>
    <row r="14890" spans="2:9" ht="15.75">
      <c r="C14890" s="945" t="s">
        <v>913</v>
      </c>
      <c r="D14890" s="946"/>
      <c r="E14890" s="947"/>
      <c r="F14890" s="1054"/>
      <c r="G14890" s="946"/>
      <c r="H14890" s="1031"/>
      <c r="I14890" s="948"/>
    </row>
    <row r="14891" spans="2:9" ht="15.75">
      <c r="C14891" s="949" t="s">
        <v>1707</v>
      </c>
      <c r="D14891" s="946">
        <v>1</v>
      </c>
      <c r="E14891" s="947" t="str">
        <f>+VLOOKUP(C14891,'Basic (equilibrio) (2)'!B:D,2,FALSE)</f>
        <v>und</v>
      </c>
      <c r="F14891" s="1068">
        <f>+VLOOKUP(C14891,'Basic (equilibrio) (2)'!B:D,3,FALSE)</f>
        <v>0</v>
      </c>
      <c r="G14891" s="946">
        <f>F14891-(F14891/1.18)</f>
        <v>0</v>
      </c>
      <c r="H14891" s="1031"/>
      <c r="I14891" s="948">
        <f>D14891*F14891</f>
        <v>0</v>
      </c>
    </row>
    <row r="14892" spans="2:9" ht="15.75">
      <c r="C14892" s="951" t="s">
        <v>918</v>
      </c>
      <c r="D14892" s="946"/>
      <c r="E14892" s="947"/>
      <c r="F14892" s="1068"/>
      <c r="G14892" s="946"/>
      <c r="H14892" s="1031"/>
      <c r="I14892" s="952">
        <f>SUM(I14891:I14891)</f>
        <v>0</v>
      </c>
    </row>
    <row r="14893" spans="2:9" ht="15.75">
      <c r="C14893" s="949"/>
      <c r="D14893" s="946"/>
      <c r="E14893" s="947"/>
      <c r="F14893" s="1068"/>
      <c r="G14893" s="946"/>
      <c r="H14893" s="1031"/>
      <c r="I14893" s="948"/>
    </row>
    <row r="14894" spans="2:9" ht="15.75">
      <c r="C14894" s="945" t="s">
        <v>919</v>
      </c>
      <c r="D14894" s="946"/>
      <c r="E14894" s="947"/>
      <c r="F14894" s="1068"/>
      <c r="G14894" s="946"/>
      <c r="H14894" s="1031"/>
      <c r="I14894" s="948"/>
    </row>
    <row r="14895" spans="2:9" ht="15.75">
      <c r="C14895" s="949" t="s">
        <v>924</v>
      </c>
      <c r="D14895" s="953">
        <v>8.33</v>
      </c>
      <c r="E14895" s="954" t="str">
        <f>+VLOOKUP(C14895,'Basic (equilibrio) (2)'!B:D,2,FALSE)</f>
        <v>n/a</v>
      </c>
      <c r="F14895" s="1068">
        <f>+VLOOKUP(C14895,'Basic (equilibrio) (2)'!B:D,3,FALSE)</f>
        <v>0</v>
      </c>
      <c r="G14895" s="946">
        <v>0</v>
      </c>
      <c r="H14895" s="1031"/>
      <c r="I14895" s="948">
        <f>(D14895*F14895)</f>
        <v>0</v>
      </c>
    </row>
    <row r="14896" spans="2:9" ht="15.75">
      <c r="C14896" s="951" t="s">
        <v>918</v>
      </c>
      <c r="D14896" s="946"/>
      <c r="E14896" s="947"/>
      <c r="F14896" s="1054"/>
      <c r="G14896" s="946"/>
      <c r="H14896" s="1031"/>
      <c r="I14896" s="952">
        <f>SUM(I14895:I14895)</f>
        <v>0</v>
      </c>
    </row>
    <row r="14897" spans="3:9" ht="15.75">
      <c r="C14897" s="949"/>
      <c r="D14897" s="946"/>
      <c r="E14897" s="947"/>
      <c r="F14897" s="1054"/>
      <c r="G14897" s="946"/>
      <c r="H14897" s="1031"/>
      <c r="I14897" s="948"/>
    </row>
    <row r="14898" spans="3:9" ht="15.75">
      <c r="C14898" s="945" t="s">
        <v>923</v>
      </c>
      <c r="D14898" s="946"/>
      <c r="E14898" s="947"/>
      <c r="F14898" s="1054"/>
      <c r="G14898" s="946"/>
      <c r="H14898" s="1031"/>
      <c r="I14898" s="948"/>
    </row>
    <row r="14899" spans="3:9" ht="15.75">
      <c r="C14899" s="949" t="s">
        <v>924</v>
      </c>
      <c r="D14899" s="946"/>
      <c r="E14899" s="947" t="str">
        <f>+VLOOKUP(C14899,'Basic (equilibrio) (2)'!B:D,2,FALSE)</f>
        <v>n/a</v>
      </c>
      <c r="F14899" s="1054">
        <f>+VLOOKUP(C14899,'Basic (equilibrio) (2)'!B:D,3,FALSE)</f>
        <v>0</v>
      </c>
      <c r="G14899" s="946">
        <f>F14899-(F14899/1.18)</f>
        <v>0</v>
      </c>
      <c r="H14899" s="1039"/>
      <c r="I14899" s="955">
        <f>D14899*F14899</f>
        <v>0</v>
      </c>
    </row>
    <row r="14900" spans="3:9" ht="15.75">
      <c r="C14900" s="951" t="s">
        <v>918</v>
      </c>
      <c r="D14900" s="946"/>
      <c r="E14900" s="947"/>
      <c r="F14900" s="1054"/>
      <c r="G14900" s="946"/>
      <c r="H14900" s="1031"/>
      <c r="I14900" s="952">
        <f>SUM(I14899:I14899)</f>
        <v>0</v>
      </c>
    </row>
    <row r="14901" spans="3:9" ht="15.75">
      <c r="C14901" s="949"/>
      <c r="D14901" s="946"/>
      <c r="E14901" s="947"/>
      <c r="F14901" s="1054"/>
      <c r="G14901" s="946"/>
      <c r="H14901" s="1031"/>
      <c r="I14901" s="948"/>
    </row>
    <row r="14902" spans="3:9" ht="15.75">
      <c r="C14902" s="945" t="s">
        <v>925</v>
      </c>
      <c r="D14902" s="946"/>
      <c r="E14902" s="947"/>
      <c r="F14902" s="1054"/>
      <c r="G14902" s="946"/>
      <c r="H14902" s="1031"/>
      <c r="I14902" s="948"/>
    </row>
    <row r="14903" spans="3:9" ht="15.75">
      <c r="C14903" s="949" t="s">
        <v>924</v>
      </c>
      <c r="D14903" s="946"/>
      <c r="E14903" s="947" t="str">
        <f>+VLOOKUP(C14903,'Basic (equilibrio) (2)'!B:D,2,FALSE)</f>
        <v>n/a</v>
      </c>
      <c r="F14903" s="1054">
        <f>+VLOOKUP(C14903,'Basic (equilibrio) (2)'!B:D,3,FALSE)</f>
        <v>0</v>
      </c>
      <c r="G14903" s="946"/>
      <c r="H14903" s="1031"/>
      <c r="I14903" s="948">
        <f>D14903*F14903</f>
        <v>0</v>
      </c>
    </row>
    <row r="14904" spans="3:9" ht="15.75">
      <c r="C14904" s="951" t="s">
        <v>918</v>
      </c>
      <c r="D14904" s="946"/>
      <c r="E14904" s="947"/>
      <c r="F14904" s="1054"/>
      <c r="G14904" s="946"/>
      <c r="H14904" s="1031"/>
      <c r="I14904" s="952">
        <f>SUM(I14903)</f>
        <v>0</v>
      </c>
    </row>
    <row r="14905" spans="3:9" ht="15.75">
      <c r="C14905" s="951"/>
      <c r="D14905" s="946"/>
      <c r="E14905" s="947"/>
      <c r="F14905" s="1054"/>
      <c r="G14905" s="946"/>
      <c r="H14905" s="1031"/>
      <c r="I14905" s="952"/>
    </row>
    <row r="14906" spans="3:9" ht="15.75">
      <c r="C14906" s="956" t="s">
        <v>926</v>
      </c>
      <c r="D14906" s="957"/>
      <c r="E14906" s="958"/>
      <c r="F14906" s="1069"/>
      <c r="G14906" s="957"/>
      <c r="H14906" s="1032"/>
      <c r="I14906" s="959">
        <f>+I14892</f>
        <v>0</v>
      </c>
    </row>
    <row r="14907" spans="3:9" ht="15.75">
      <c r="C14907" s="956" t="s">
        <v>927</v>
      </c>
      <c r="D14907" s="957"/>
      <c r="E14907" s="958"/>
      <c r="F14907" s="1069"/>
      <c r="G14907" s="957"/>
      <c r="H14907" s="1032"/>
      <c r="I14907" s="959">
        <f>+I14896</f>
        <v>0</v>
      </c>
    </row>
    <row r="14908" spans="3:9" ht="15.75">
      <c r="C14908" s="956" t="s">
        <v>928</v>
      </c>
      <c r="D14908" s="957"/>
      <c r="E14908" s="958"/>
      <c r="F14908" s="1069"/>
      <c r="G14908" s="957"/>
      <c r="H14908" s="1032"/>
      <c r="I14908" s="959">
        <f>+I14900</f>
        <v>0</v>
      </c>
    </row>
    <row r="14909" spans="3:9" ht="15.75">
      <c r="C14909" s="956" t="s">
        <v>929</v>
      </c>
      <c r="D14909" s="957"/>
      <c r="E14909" s="958"/>
      <c r="F14909" s="1069"/>
      <c r="G14909" s="957"/>
      <c r="H14909" s="1032"/>
      <c r="I14909" s="959">
        <f>+I14904</f>
        <v>0</v>
      </c>
    </row>
    <row r="14910" spans="3:9" ht="15.75">
      <c r="C14910" s="949"/>
      <c r="D14910" s="946"/>
      <c r="E14910" s="947"/>
      <c r="F14910" s="1054"/>
      <c r="G14910" s="946"/>
      <c r="H14910" s="1031"/>
      <c r="I14910" s="948"/>
    </row>
    <row r="14911" spans="3:9" ht="15.75">
      <c r="C14911" s="951" t="s">
        <v>930</v>
      </c>
      <c r="D14911" s="960"/>
      <c r="E14911" s="975" t="str">
        <f>+E14888</f>
        <v>ud</v>
      </c>
      <c r="F14911" s="1070"/>
      <c r="G14911" s="960"/>
      <c r="H14911" s="1033"/>
      <c r="I14911" s="952">
        <f>SUM(I14906:I14909)</f>
        <v>0</v>
      </c>
    </row>
    <row r="14912" spans="3:9" ht="15.75">
      <c r="C14912" s="951"/>
      <c r="D14912" s="960"/>
      <c r="E14912" s="943"/>
      <c r="F14912" s="1070"/>
      <c r="G14912" s="960"/>
      <c r="H14912" s="1033"/>
      <c r="I14912" s="952"/>
    </row>
    <row r="14913" spans="2:9" ht="15.75">
      <c r="B14913" s="1063">
        <v>5.3</v>
      </c>
      <c r="C14913" s="937" t="str">
        <f>+Presupuesto!B846</f>
        <v xml:space="preserve">Conductor eléctrico de goma No. 6/3 </v>
      </c>
      <c r="D14913" s="938"/>
      <c r="E14913" s="962" t="s">
        <v>1088</v>
      </c>
      <c r="F14913" s="1066"/>
      <c r="G14913" s="938"/>
      <c r="H14913" s="1029"/>
      <c r="I14913" s="940">
        <f>+I14936</f>
        <v>555.6</v>
      </c>
    </row>
    <row r="14914" spans="2:9" ht="15.75">
      <c r="C14914" s="941" t="s">
        <v>908</v>
      </c>
      <c r="D14914" s="942" t="s">
        <v>9</v>
      </c>
      <c r="E14914" s="943" t="s">
        <v>10</v>
      </c>
      <c r="F14914" s="1067" t="s">
        <v>909</v>
      </c>
      <c r="G14914" s="942" t="s">
        <v>910</v>
      </c>
      <c r="H14914" s="1030" t="s">
        <v>911</v>
      </c>
      <c r="I14914" s="944" t="s">
        <v>912</v>
      </c>
    </row>
    <row r="14915" spans="2:9" ht="15.75">
      <c r="C14915" s="945" t="s">
        <v>913</v>
      </c>
      <c r="D14915" s="946"/>
      <c r="E14915" s="947"/>
      <c r="F14915" s="1054"/>
      <c r="G14915" s="946"/>
      <c r="H14915" s="1031"/>
      <c r="I14915" s="948"/>
    </row>
    <row r="14916" spans="2:9" ht="15.75">
      <c r="C14916" s="949" t="s">
        <v>1708</v>
      </c>
      <c r="D14916" s="946">
        <v>1</v>
      </c>
      <c r="E14916" s="947" t="str">
        <f>+VLOOKUP(C14916,'Basic (equilibrio) (2)'!B:D,2,FALSE)</f>
        <v>m</v>
      </c>
      <c r="F14916" s="1068">
        <f>+VLOOKUP(C14916,'Basic (equilibrio) (2)'!B:D,3,FALSE)</f>
        <v>555.6</v>
      </c>
      <c r="G14916" s="946">
        <f>F14916-(F14916/1.18)</f>
        <v>84.75</v>
      </c>
      <c r="H14916" s="1031"/>
      <c r="I14916" s="948">
        <f>D14916*F14916</f>
        <v>555.6</v>
      </c>
    </row>
    <row r="14917" spans="2:9" ht="15.75">
      <c r="C14917" s="951" t="s">
        <v>918</v>
      </c>
      <c r="D14917" s="946"/>
      <c r="E14917" s="947"/>
      <c r="F14917" s="1068"/>
      <c r="G14917" s="946"/>
      <c r="H14917" s="1031"/>
      <c r="I14917" s="952">
        <f>SUM(I14916:I14916)</f>
        <v>555.6</v>
      </c>
    </row>
    <row r="14918" spans="2:9" ht="15.75">
      <c r="C14918" s="949"/>
      <c r="D14918" s="946"/>
      <c r="E14918" s="947"/>
      <c r="F14918" s="1068"/>
      <c r="G14918" s="946"/>
      <c r="H14918" s="1031"/>
      <c r="I14918" s="948"/>
    </row>
    <row r="14919" spans="2:9" ht="15.75">
      <c r="C14919" s="945" t="s">
        <v>919</v>
      </c>
      <c r="D14919" s="946"/>
      <c r="E14919" s="947"/>
      <c r="F14919" s="1068"/>
      <c r="G14919" s="946"/>
      <c r="H14919" s="1031"/>
      <c r="I14919" s="948"/>
    </row>
    <row r="14920" spans="2:9" ht="15.75">
      <c r="C14920" s="949" t="s">
        <v>924</v>
      </c>
      <c r="D14920" s="953">
        <v>8.33</v>
      </c>
      <c r="E14920" s="954" t="str">
        <f>+VLOOKUP(C14920,'Basic (equilibrio) (2)'!B:D,2,FALSE)</f>
        <v>n/a</v>
      </c>
      <c r="F14920" s="1068">
        <f>+VLOOKUP(C14920,'Basic (equilibrio) (2)'!B:D,3,FALSE)</f>
        <v>0</v>
      </c>
      <c r="G14920" s="946">
        <v>0</v>
      </c>
      <c r="H14920" s="1031"/>
      <c r="I14920" s="948">
        <f>(D14920*F14920)</f>
        <v>0</v>
      </c>
    </row>
    <row r="14921" spans="2:9" ht="15.75">
      <c r="C14921" s="951" t="s">
        <v>918</v>
      </c>
      <c r="D14921" s="946"/>
      <c r="E14921" s="947"/>
      <c r="F14921" s="1054"/>
      <c r="G14921" s="946"/>
      <c r="H14921" s="1031"/>
      <c r="I14921" s="952">
        <f>SUM(I14920:I14920)</f>
        <v>0</v>
      </c>
    </row>
    <row r="14922" spans="2:9" ht="15.75">
      <c r="C14922" s="949"/>
      <c r="D14922" s="946"/>
      <c r="E14922" s="947"/>
      <c r="F14922" s="1054"/>
      <c r="G14922" s="946"/>
      <c r="H14922" s="1031"/>
      <c r="I14922" s="948"/>
    </row>
    <row r="14923" spans="2:9" ht="15.75">
      <c r="C14923" s="945" t="s">
        <v>923</v>
      </c>
      <c r="D14923" s="946"/>
      <c r="E14923" s="947"/>
      <c r="F14923" s="1054"/>
      <c r="G14923" s="946"/>
      <c r="H14923" s="1031"/>
      <c r="I14923" s="948"/>
    </row>
    <row r="14924" spans="2:9" ht="15.75">
      <c r="C14924" s="949" t="s">
        <v>924</v>
      </c>
      <c r="D14924" s="946"/>
      <c r="E14924" s="947" t="str">
        <f>+VLOOKUP(C14924,'Basic (equilibrio) (2)'!B:D,2,FALSE)</f>
        <v>n/a</v>
      </c>
      <c r="F14924" s="1054">
        <f>+VLOOKUP(C14924,'Basic (equilibrio) (2)'!B:D,3,FALSE)</f>
        <v>0</v>
      </c>
      <c r="G14924" s="946">
        <f>F14924-(F14924/1.18)</f>
        <v>0</v>
      </c>
      <c r="H14924" s="1039"/>
      <c r="I14924" s="955">
        <f>D14924*F14924</f>
        <v>0</v>
      </c>
    </row>
    <row r="14925" spans="2:9" ht="15.75">
      <c r="C14925" s="951" t="s">
        <v>918</v>
      </c>
      <c r="D14925" s="946"/>
      <c r="E14925" s="947"/>
      <c r="F14925" s="1054"/>
      <c r="G14925" s="946"/>
      <c r="H14925" s="1031"/>
      <c r="I14925" s="952">
        <f>SUM(I14924:I14924)</f>
        <v>0</v>
      </c>
    </row>
    <row r="14926" spans="2:9" ht="15.75">
      <c r="C14926" s="949"/>
      <c r="D14926" s="946"/>
      <c r="E14926" s="947"/>
      <c r="F14926" s="1054"/>
      <c r="G14926" s="946"/>
      <c r="H14926" s="1031"/>
      <c r="I14926" s="948"/>
    </row>
    <row r="14927" spans="2:9" ht="15.75">
      <c r="C14927" s="945" t="s">
        <v>925</v>
      </c>
      <c r="D14927" s="946"/>
      <c r="E14927" s="947"/>
      <c r="F14927" s="1054"/>
      <c r="G14927" s="946"/>
      <c r="H14927" s="1031"/>
      <c r="I14927" s="948"/>
    </row>
    <row r="14928" spans="2:9" ht="15.75">
      <c r="C14928" s="949" t="s">
        <v>924</v>
      </c>
      <c r="D14928" s="946"/>
      <c r="E14928" s="947" t="str">
        <f>+VLOOKUP(C14928,'Basic (equilibrio) (2)'!B:D,2,FALSE)</f>
        <v>n/a</v>
      </c>
      <c r="F14928" s="1054">
        <f>+VLOOKUP(C14928,'Basic (equilibrio) (2)'!B:D,3,FALSE)</f>
        <v>0</v>
      </c>
      <c r="G14928" s="946"/>
      <c r="H14928" s="1031"/>
      <c r="I14928" s="948">
        <f>D14928*F14928</f>
        <v>0</v>
      </c>
    </row>
    <row r="14929" spans="2:9" ht="15.75">
      <c r="C14929" s="951" t="s">
        <v>918</v>
      </c>
      <c r="D14929" s="946"/>
      <c r="E14929" s="947"/>
      <c r="F14929" s="1054"/>
      <c r="G14929" s="946"/>
      <c r="H14929" s="1031"/>
      <c r="I14929" s="952">
        <f>SUM(I14928)</f>
        <v>0</v>
      </c>
    </row>
    <row r="14930" spans="2:9" ht="15.75">
      <c r="C14930" s="951"/>
      <c r="D14930" s="946"/>
      <c r="E14930" s="947"/>
      <c r="F14930" s="1054"/>
      <c r="G14930" s="946"/>
      <c r="H14930" s="1031"/>
      <c r="I14930" s="952"/>
    </row>
    <row r="14931" spans="2:9" ht="15.75">
      <c r="C14931" s="956" t="s">
        <v>926</v>
      </c>
      <c r="D14931" s="957"/>
      <c r="E14931" s="958"/>
      <c r="F14931" s="1069"/>
      <c r="G14931" s="957"/>
      <c r="H14931" s="1032"/>
      <c r="I14931" s="959">
        <f>+I14917</f>
        <v>555.6</v>
      </c>
    </row>
    <row r="14932" spans="2:9" ht="15.75">
      <c r="C14932" s="956" t="s">
        <v>927</v>
      </c>
      <c r="D14932" s="957"/>
      <c r="E14932" s="958"/>
      <c r="F14932" s="1069"/>
      <c r="G14932" s="957"/>
      <c r="H14932" s="1032"/>
      <c r="I14932" s="959">
        <f>+I14921</f>
        <v>0</v>
      </c>
    </row>
    <row r="14933" spans="2:9" ht="15.75">
      <c r="C14933" s="956" t="s">
        <v>928</v>
      </c>
      <c r="D14933" s="957"/>
      <c r="E14933" s="958"/>
      <c r="F14933" s="1069"/>
      <c r="G14933" s="957"/>
      <c r="H14933" s="1032"/>
      <c r="I14933" s="959">
        <f>+I14925</f>
        <v>0</v>
      </c>
    </row>
    <row r="14934" spans="2:9" ht="15.75">
      <c r="C14934" s="956" t="s">
        <v>929</v>
      </c>
      <c r="D14934" s="957"/>
      <c r="E14934" s="958"/>
      <c r="F14934" s="1069"/>
      <c r="G14934" s="957"/>
      <c r="H14934" s="1032"/>
      <c r="I14934" s="959">
        <f>+I14929</f>
        <v>0</v>
      </c>
    </row>
    <row r="14935" spans="2:9" ht="15.75">
      <c r="C14935" s="949"/>
      <c r="D14935" s="946"/>
      <c r="E14935" s="947"/>
      <c r="F14935" s="1054"/>
      <c r="G14935" s="946"/>
      <c r="H14935" s="1031"/>
      <c r="I14935" s="948"/>
    </row>
    <row r="14936" spans="2:9" ht="15.75">
      <c r="C14936" s="951" t="s">
        <v>930</v>
      </c>
      <c r="D14936" s="960"/>
      <c r="E14936" s="975" t="str">
        <f>+E14913</f>
        <v>m</v>
      </c>
      <c r="F14936" s="1070"/>
      <c r="G14936" s="960"/>
      <c r="H14936" s="1033"/>
      <c r="I14936" s="952">
        <f>SUM(I14931:I14934)</f>
        <v>555.6</v>
      </c>
    </row>
    <row r="14937" spans="2:9" ht="15.75">
      <c r="C14937" s="951"/>
      <c r="D14937" s="960"/>
      <c r="E14937" s="943"/>
      <c r="F14937" s="1070"/>
      <c r="G14937" s="960"/>
      <c r="H14937" s="1033"/>
      <c r="I14937" s="952"/>
    </row>
    <row r="14938" spans="2:9" ht="15.75">
      <c r="B14938" s="1063">
        <v>5.4</v>
      </c>
      <c r="C14938" s="937" t="str">
        <f>+Presupuesto!B847</f>
        <v>Tubería PVC de Ø3/4" x 19'</v>
      </c>
      <c r="D14938" s="938"/>
      <c r="E14938" s="962" t="s">
        <v>1088</v>
      </c>
      <c r="F14938" s="1066"/>
      <c r="G14938" s="938"/>
      <c r="H14938" s="1029"/>
      <c r="I14938" s="940">
        <f>+I14961</f>
        <v>566.4</v>
      </c>
    </row>
    <row r="14939" spans="2:9" ht="15.75">
      <c r="C14939" s="941" t="s">
        <v>908</v>
      </c>
      <c r="D14939" s="942" t="s">
        <v>9</v>
      </c>
      <c r="E14939" s="943" t="s">
        <v>10</v>
      </c>
      <c r="F14939" s="1067" t="s">
        <v>909</v>
      </c>
      <c r="G14939" s="942" t="s">
        <v>910</v>
      </c>
      <c r="H14939" s="1030" t="s">
        <v>911</v>
      </c>
      <c r="I14939" s="944" t="s">
        <v>912</v>
      </c>
    </row>
    <row r="14940" spans="2:9" ht="15.75">
      <c r="C14940" s="945" t="s">
        <v>913</v>
      </c>
      <c r="D14940" s="946"/>
      <c r="E14940" s="947"/>
      <c r="F14940" s="1054"/>
      <c r="G14940" s="946"/>
      <c r="H14940" s="1031"/>
      <c r="I14940" s="948"/>
    </row>
    <row r="14941" spans="2:9" ht="15.75">
      <c r="C14941" s="949" t="s">
        <v>1710</v>
      </c>
      <c r="D14941" s="946">
        <v>1</v>
      </c>
      <c r="E14941" s="947" t="str">
        <f>+VLOOKUP(C14941,'Basic (equilibrio) (2)'!B:D,2,FALSE)</f>
        <v>und</v>
      </c>
      <c r="F14941" s="1068">
        <f>+VLOOKUP(C14941,'Basic (equilibrio) (2)'!B:D,3,FALSE)</f>
        <v>566.4</v>
      </c>
      <c r="G14941" s="946">
        <f>F14941-(F14941/1.18)</f>
        <v>86.4</v>
      </c>
      <c r="H14941" s="1031"/>
      <c r="I14941" s="948">
        <f>D14941*F14941</f>
        <v>566.4</v>
      </c>
    </row>
    <row r="14942" spans="2:9" ht="15.75">
      <c r="C14942" s="951" t="s">
        <v>918</v>
      </c>
      <c r="D14942" s="946"/>
      <c r="E14942" s="947"/>
      <c r="F14942" s="1068"/>
      <c r="G14942" s="946"/>
      <c r="H14942" s="1031"/>
      <c r="I14942" s="952">
        <f>SUM(I14941:I14941)</f>
        <v>566.4</v>
      </c>
    </row>
    <row r="14943" spans="2:9" ht="15.75">
      <c r="C14943" s="949"/>
      <c r="D14943" s="946"/>
      <c r="E14943" s="947"/>
      <c r="F14943" s="1068"/>
      <c r="G14943" s="946"/>
      <c r="H14943" s="1031"/>
      <c r="I14943" s="948"/>
    </row>
    <row r="14944" spans="2:9" ht="15.75">
      <c r="C14944" s="945" t="s">
        <v>919</v>
      </c>
      <c r="D14944" s="946"/>
      <c r="E14944" s="947"/>
      <c r="F14944" s="1068"/>
      <c r="G14944" s="946"/>
      <c r="H14944" s="1031"/>
      <c r="I14944" s="948"/>
    </row>
    <row r="14945" spans="3:9" ht="15.75">
      <c r="C14945" s="949" t="s">
        <v>924</v>
      </c>
      <c r="D14945" s="953">
        <v>8.33</v>
      </c>
      <c r="E14945" s="954" t="str">
        <f>+VLOOKUP(C14945,'Basic (equilibrio) (2)'!B:D,2,FALSE)</f>
        <v>n/a</v>
      </c>
      <c r="F14945" s="1068">
        <f>+VLOOKUP(C14945,'Basic (equilibrio) (2)'!B:D,3,FALSE)</f>
        <v>0</v>
      </c>
      <c r="G14945" s="946">
        <v>0</v>
      </c>
      <c r="H14945" s="1031"/>
      <c r="I14945" s="948">
        <f>(D14945*F14945)</f>
        <v>0</v>
      </c>
    </row>
    <row r="14946" spans="3:9" ht="15.75">
      <c r="C14946" s="951" t="s">
        <v>918</v>
      </c>
      <c r="D14946" s="946"/>
      <c r="E14946" s="947"/>
      <c r="F14946" s="1054"/>
      <c r="G14946" s="946"/>
      <c r="H14946" s="1031"/>
      <c r="I14946" s="952">
        <f>SUM(I14945:I14945)</f>
        <v>0</v>
      </c>
    </row>
    <row r="14947" spans="3:9" ht="15.75">
      <c r="C14947" s="949"/>
      <c r="D14947" s="946"/>
      <c r="E14947" s="947"/>
      <c r="F14947" s="1054"/>
      <c r="G14947" s="946"/>
      <c r="H14947" s="1031"/>
      <c r="I14947" s="948"/>
    </row>
    <row r="14948" spans="3:9" ht="15.75">
      <c r="C14948" s="945" t="s">
        <v>923</v>
      </c>
      <c r="D14948" s="946"/>
      <c r="E14948" s="947"/>
      <c r="F14948" s="1054"/>
      <c r="G14948" s="946"/>
      <c r="H14948" s="1031"/>
      <c r="I14948" s="948"/>
    </row>
    <row r="14949" spans="3:9" ht="15.75">
      <c r="C14949" s="949" t="s">
        <v>924</v>
      </c>
      <c r="D14949" s="946"/>
      <c r="E14949" s="947" t="str">
        <f>+VLOOKUP(C14949,'Basic (equilibrio) (2)'!B:D,2,FALSE)</f>
        <v>n/a</v>
      </c>
      <c r="F14949" s="1054">
        <f>+VLOOKUP(C14949,'Basic (equilibrio) (2)'!B:D,3,FALSE)</f>
        <v>0</v>
      </c>
      <c r="G14949" s="946">
        <f>F14949-(F14949/1.18)</f>
        <v>0</v>
      </c>
      <c r="H14949" s="1039"/>
      <c r="I14949" s="955">
        <f>D14949*F14949</f>
        <v>0</v>
      </c>
    </row>
    <row r="14950" spans="3:9" ht="15.75">
      <c r="C14950" s="951" t="s">
        <v>918</v>
      </c>
      <c r="D14950" s="946"/>
      <c r="E14950" s="947"/>
      <c r="F14950" s="1054"/>
      <c r="G14950" s="946"/>
      <c r="H14950" s="1031"/>
      <c r="I14950" s="952">
        <f>SUM(I14949:I14949)</f>
        <v>0</v>
      </c>
    </row>
    <row r="14951" spans="3:9" ht="15.75">
      <c r="C14951" s="949"/>
      <c r="D14951" s="946"/>
      <c r="E14951" s="947"/>
      <c r="F14951" s="1054"/>
      <c r="G14951" s="946"/>
      <c r="H14951" s="1031"/>
      <c r="I14951" s="948"/>
    </row>
    <row r="14952" spans="3:9" ht="15.75">
      <c r="C14952" s="945" t="s">
        <v>925</v>
      </c>
      <c r="D14952" s="946"/>
      <c r="E14952" s="947"/>
      <c r="F14952" s="1054"/>
      <c r="G14952" s="946"/>
      <c r="H14952" s="1031"/>
      <c r="I14952" s="948"/>
    </row>
    <row r="14953" spans="3:9" ht="15.75">
      <c r="C14953" s="949" t="s">
        <v>924</v>
      </c>
      <c r="D14953" s="946"/>
      <c r="E14953" s="947" t="str">
        <f>+VLOOKUP(C14953,'Basic (equilibrio) (2)'!B:D,2,FALSE)</f>
        <v>n/a</v>
      </c>
      <c r="F14953" s="1054">
        <f>+VLOOKUP(C14953,'Basic (equilibrio) (2)'!B:D,3,FALSE)</f>
        <v>0</v>
      </c>
      <c r="G14953" s="946"/>
      <c r="H14953" s="1031"/>
      <c r="I14953" s="948">
        <f>D14953*F14953</f>
        <v>0</v>
      </c>
    </row>
    <row r="14954" spans="3:9" ht="15.75">
      <c r="C14954" s="951" t="s">
        <v>918</v>
      </c>
      <c r="D14954" s="946"/>
      <c r="E14954" s="947"/>
      <c r="F14954" s="1054"/>
      <c r="G14954" s="946"/>
      <c r="H14954" s="1031"/>
      <c r="I14954" s="952">
        <f>SUM(I14953)</f>
        <v>0</v>
      </c>
    </row>
    <row r="14955" spans="3:9" ht="15.75">
      <c r="C14955" s="951"/>
      <c r="D14955" s="946"/>
      <c r="E14955" s="947"/>
      <c r="F14955" s="1054"/>
      <c r="G14955" s="946"/>
      <c r="H14955" s="1031"/>
      <c r="I14955" s="952"/>
    </row>
    <row r="14956" spans="3:9" ht="15.75">
      <c r="C14956" s="956" t="s">
        <v>926</v>
      </c>
      <c r="D14956" s="957"/>
      <c r="E14956" s="958"/>
      <c r="F14956" s="1069"/>
      <c r="G14956" s="957"/>
      <c r="H14956" s="1032"/>
      <c r="I14956" s="959">
        <f>+I14942</f>
        <v>566.4</v>
      </c>
    </row>
    <row r="14957" spans="3:9" ht="15.75">
      <c r="C14957" s="956" t="s">
        <v>927</v>
      </c>
      <c r="D14957" s="957"/>
      <c r="E14957" s="958"/>
      <c r="F14957" s="1069"/>
      <c r="G14957" s="957"/>
      <c r="H14957" s="1032"/>
      <c r="I14957" s="959">
        <f>+I14946</f>
        <v>0</v>
      </c>
    </row>
    <row r="14958" spans="3:9" ht="15.75">
      <c r="C14958" s="956" t="s">
        <v>928</v>
      </c>
      <c r="D14958" s="957"/>
      <c r="E14958" s="958"/>
      <c r="F14958" s="1069"/>
      <c r="G14958" s="957"/>
      <c r="H14958" s="1032"/>
      <c r="I14958" s="959">
        <f>+I14950</f>
        <v>0</v>
      </c>
    </row>
    <row r="14959" spans="3:9" ht="15.75">
      <c r="C14959" s="956" t="s">
        <v>929</v>
      </c>
      <c r="D14959" s="957"/>
      <c r="E14959" s="958"/>
      <c r="F14959" s="1069"/>
      <c r="G14959" s="957"/>
      <c r="H14959" s="1032"/>
      <c r="I14959" s="959">
        <f>+I14954</f>
        <v>0</v>
      </c>
    </row>
    <row r="14960" spans="3:9" ht="15.75">
      <c r="C14960" s="949"/>
      <c r="D14960" s="946"/>
      <c r="E14960" s="947"/>
      <c r="F14960" s="1054"/>
      <c r="G14960" s="946"/>
      <c r="H14960" s="1031"/>
      <c r="I14960" s="948"/>
    </row>
    <row r="14961" spans="2:9" ht="15.75">
      <c r="C14961" s="951" t="s">
        <v>930</v>
      </c>
      <c r="D14961" s="960"/>
      <c r="E14961" s="975" t="str">
        <f>+E14938</f>
        <v>m</v>
      </c>
      <c r="F14961" s="1070"/>
      <c r="G14961" s="960"/>
      <c r="H14961" s="1033"/>
      <c r="I14961" s="952">
        <f>SUM(I14956:I14959)</f>
        <v>566.4</v>
      </c>
    </row>
    <row r="14962" spans="2:9" ht="15.75">
      <c r="C14962" s="951"/>
      <c r="D14962" s="960"/>
      <c r="E14962" s="975"/>
      <c r="F14962" s="1070"/>
      <c r="G14962" s="960"/>
      <c r="H14962" s="1033"/>
      <c r="I14962" s="952"/>
    </row>
    <row r="14963" spans="2:9" ht="15.75">
      <c r="B14963" s="1063">
        <v>5.5</v>
      </c>
      <c r="C14963" s="937" t="str">
        <f>+Presupuesto!B848</f>
        <v>Instalación de postes</v>
      </c>
      <c r="D14963" s="938"/>
      <c r="E14963" s="962" t="s">
        <v>1056</v>
      </c>
      <c r="F14963" s="1066"/>
      <c r="G14963" s="938"/>
      <c r="H14963" s="1029"/>
      <c r="I14963" s="940">
        <f>+I14986</f>
        <v>3500</v>
      </c>
    </row>
    <row r="14964" spans="2:9" ht="15.75">
      <c r="C14964" s="941" t="s">
        <v>908</v>
      </c>
      <c r="D14964" s="942" t="s">
        <v>9</v>
      </c>
      <c r="E14964" s="943" t="s">
        <v>10</v>
      </c>
      <c r="F14964" s="1067" t="s">
        <v>909</v>
      </c>
      <c r="G14964" s="942" t="s">
        <v>910</v>
      </c>
      <c r="H14964" s="1030" t="s">
        <v>911</v>
      </c>
      <c r="I14964" s="944" t="s">
        <v>912</v>
      </c>
    </row>
    <row r="14965" spans="2:9" ht="15.75">
      <c r="C14965" s="945" t="s">
        <v>913</v>
      </c>
      <c r="D14965" s="946"/>
      <c r="E14965" s="947"/>
      <c r="F14965" s="1054"/>
      <c r="G14965" s="946"/>
      <c r="H14965" s="1031"/>
      <c r="I14965" s="948"/>
    </row>
    <row r="14966" spans="2:9" ht="15.75">
      <c r="C14966" s="949" t="s">
        <v>1711</v>
      </c>
      <c r="D14966" s="946">
        <v>1</v>
      </c>
      <c r="E14966" s="947" t="str">
        <f>+VLOOKUP(C14966,'Basic (equilibrio) (2)'!B:D,2,FALSE)</f>
        <v>und</v>
      </c>
      <c r="F14966" s="1082">
        <f>+VLOOKUP(C14966,'Basic (equilibrio) (2)'!B:D,3,FALSE)</f>
        <v>3500</v>
      </c>
      <c r="G14966" s="946">
        <f>F14966-(F14966/1.18)</f>
        <v>533.9</v>
      </c>
      <c r="H14966" s="1031"/>
      <c r="I14966" s="948">
        <f>D14966*F14966</f>
        <v>3500</v>
      </c>
    </row>
    <row r="14967" spans="2:9" ht="15.75">
      <c r="C14967" s="951" t="s">
        <v>918</v>
      </c>
      <c r="D14967" s="946"/>
      <c r="E14967" s="947"/>
      <c r="F14967" s="1068"/>
      <c r="G14967" s="946"/>
      <c r="H14967" s="1031"/>
      <c r="I14967" s="952">
        <f>SUM(I14966:I14966)</f>
        <v>3500</v>
      </c>
    </row>
    <row r="14968" spans="2:9" ht="15.75">
      <c r="C14968" s="949"/>
      <c r="D14968" s="946"/>
      <c r="E14968" s="947"/>
      <c r="F14968" s="1068"/>
      <c r="G14968" s="946"/>
      <c r="H14968" s="1031"/>
      <c r="I14968" s="948"/>
    </row>
    <row r="14969" spans="2:9" ht="15.75">
      <c r="C14969" s="945" t="s">
        <v>919</v>
      </c>
      <c r="D14969" s="946"/>
      <c r="E14969" s="947"/>
      <c r="F14969" s="1068"/>
      <c r="G14969" s="946"/>
      <c r="H14969" s="1031"/>
      <c r="I14969" s="948"/>
    </row>
    <row r="14970" spans="2:9" ht="15.75">
      <c r="C14970" s="949" t="s">
        <v>924</v>
      </c>
      <c r="D14970" s="953">
        <v>8.33</v>
      </c>
      <c r="E14970" s="954" t="str">
        <f>+VLOOKUP(C14970,'Basic (equilibrio) (2)'!B:D,2,FALSE)</f>
        <v>n/a</v>
      </c>
      <c r="F14970" s="1068">
        <f>+VLOOKUP(C14970,'Basic (equilibrio) (2)'!B:D,3,FALSE)</f>
        <v>0</v>
      </c>
      <c r="G14970" s="946">
        <v>0</v>
      </c>
      <c r="H14970" s="1031"/>
      <c r="I14970" s="948">
        <f>(D14970*F14970)</f>
        <v>0</v>
      </c>
    </row>
    <row r="14971" spans="2:9" ht="15.75">
      <c r="C14971" s="951" t="s">
        <v>918</v>
      </c>
      <c r="D14971" s="946"/>
      <c r="E14971" s="947"/>
      <c r="F14971" s="1054"/>
      <c r="G14971" s="946"/>
      <c r="H14971" s="1031"/>
      <c r="I14971" s="952">
        <f>SUM(I14970:I14970)</f>
        <v>0</v>
      </c>
    </row>
    <row r="14972" spans="2:9" ht="15.75">
      <c r="C14972" s="949"/>
      <c r="D14972" s="946"/>
      <c r="E14972" s="947"/>
      <c r="F14972" s="1054"/>
      <c r="G14972" s="946"/>
      <c r="H14972" s="1031"/>
      <c r="I14972" s="948"/>
    </row>
    <row r="14973" spans="2:9" ht="15.75">
      <c r="C14973" s="945" t="s">
        <v>923</v>
      </c>
      <c r="D14973" s="946"/>
      <c r="E14973" s="947"/>
      <c r="F14973" s="1054"/>
      <c r="G14973" s="946"/>
      <c r="H14973" s="1031"/>
      <c r="I14973" s="948"/>
    </row>
    <row r="14974" spans="2:9" ht="15.75">
      <c r="C14974" s="949" t="s">
        <v>924</v>
      </c>
      <c r="D14974" s="946"/>
      <c r="E14974" s="947" t="str">
        <f>+VLOOKUP(C14974,'Basic (equilibrio) (2)'!B:D,2,FALSE)</f>
        <v>n/a</v>
      </c>
      <c r="F14974" s="1054">
        <f>+VLOOKUP(C14974,'Basic (equilibrio) (2)'!B:D,3,FALSE)</f>
        <v>0</v>
      </c>
      <c r="G14974" s="946">
        <f>F14974-(F14974/1.18)</f>
        <v>0</v>
      </c>
      <c r="H14974" s="1039"/>
      <c r="I14974" s="955">
        <f>D14974*F14974</f>
        <v>0</v>
      </c>
    </row>
    <row r="14975" spans="2:9" ht="15.75">
      <c r="C14975" s="951" t="s">
        <v>918</v>
      </c>
      <c r="D14975" s="946"/>
      <c r="E14975" s="947"/>
      <c r="F14975" s="1054"/>
      <c r="G14975" s="946"/>
      <c r="H14975" s="1031"/>
      <c r="I14975" s="952">
        <f>SUM(I14974:I14974)</f>
        <v>0</v>
      </c>
    </row>
    <row r="14976" spans="2:9" ht="15.75">
      <c r="C14976" s="949"/>
      <c r="D14976" s="946"/>
      <c r="E14976" s="947"/>
      <c r="F14976" s="1054"/>
      <c r="G14976" s="946"/>
      <c r="H14976" s="1031"/>
      <c r="I14976" s="948"/>
    </row>
    <row r="14977" spans="2:9" ht="15.75">
      <c r="C14977" s="945" t="s">
        <v>925</v>
      </c>
      <c r="D14977" s="946"/>
      <c r="E14977" s="947"/>
      <c r="F14977" s="1054"/>
      <c r="G14977" s="946"/>
      <c r="H14977" s="1031"/>
      <c r="I14977" s="948"/>
    </row>
    <row r="14978" spans="2:9" ht="15.75">
      <c r="C14978" s="949" t="s">
        <v>924</v>
      </c>
      <c r="D14978" s="946"/>
      <c r="E14978" s="947" t="str">
        <f>+VLOOKUP(C14978,'Basic (equilibrio) (2)'!B:D,2,FALSE)</f>
        <v>n/a</v>
      </c>
      <c r="F14978" s="1054">
        <f>+VLOOKUP(C14978,'Basic (equilibrio) (2)'!B:D,3,FALSE)</f>
        <v>0</v>
      </c>
      <c r="G14978" s="946"/>
      <c r="H14978" s="1031"/>
      <c r="I14978" s="948">
        <f>D14978*F14978</f>
        <v>0</v>
      </c>
    </row>
    <row r="14979" spans="2:9" ht="15.75">
      <c r="C14979" s="951" t="s">
        <v>918</v>
      </c>
      <c r="D14979" s="946"/>
      <c r="E14979" s="947"/>
      <c r="F14979" s="1054"/>
      <c r="G14979" s="946"/>
      <c r="H14979" s="1031"/>
      <c r="I14979" s="952">
        <f>SUM(I14978)</f>
        <v>0</v>
      </c>
    </row>
    <row r="14980" spans="2:9" ht="15.75">
      <c r="C14980" s="951"/>
      <c r="D14980" s="946"/>
      <c r="E14980" s="947"/>
      <c r="F14980" s="1054"/>
      <c r="G14980" s="946"/>
      <c r="H14980" s="1031"/>
      <c r="I14980" s="952"/>
    </row>
    <row r="14981" spans="2:9" ht="15.75">
      <c r="C14981" s="956" t="s">
        <v>926</v>
      </c>
      <c r="D14981" s="957"/>
      <c r="E14981" s="958"/>
      <c r="F14981" s="1069"/>
      <c r="G14981" s="957"/>
      <c r="H14981" s="1032"/>
      <c r="I14981" s="959">
        <f>+I14967</f>
        <v>3500</v>
      </c>
    </row>
    <row r="14982" spans="2:9" ht="15.75">
      <c r="C14982" s="956" t="s">
        <v>927</v>
      </c>
      <c r="D14982" s="957"/>
      <c r="E14982" s="958"/>
      <c r="F14982" s="1069"/>
      <c r="G14982" s="957"/>
      <c r="H14982" s="1032"/>
      <c r="I14982" s="959">
        <f>+I14971</f>
        <v>0</v>
      </c>
    </row>
    <row r="14983" spans="2:9" ht="15.75">
      <c r="C14983" s="956" t="s">
        <v>928</v>
      </c>
      <c r="D14983" s="957"/>
      <c r="E14983" s="958"/>
      <c r="F14983" s="1069"/>
      <c r="G14983" s="957"/>
      <c r="H14983" s="1032"/>
      <c r="I14983" s="959">
        <f>+I14975</f>
        <v>0</v>
      </c>
    </row>
    <row r="14984" spans="2:9" ht="15.75">
      <c r="C14984" s="956" t="s">
        <v>929</v>
      </c>
      <c r="D14984" s="957"/>
      <c r="E14984" s="958"/>
      <c r="F14984" s="1069"/>
      <c r="G14984" s="957"/>
      <c r="H14984" s="1032"/>
      <c r="I14984" s="959">
        <f>+I14979</f>
        <v>0</v>
      </c>
    </row>
    <row r="14985" spans="2:9" ht="15.75">
      <c r="C14985" s="949"/>
      <c r="D14985" s="946"/>
      <c r="E14985" s="947"/>
      <c r="F14985" s="1054"/>
      <c r="G14985" s="946"/>
      <c r="H14985" s="1031"/>
      <c r="I14985" s="948"/>
    </row>
    <row r="14986" spans="2:9" ht="15.75">
      <c r="C14986" s="951" t="s">
        <v>930</v>
      </c>
      <c r="D14986" s="960"/>
      <c r="E14986" s="975" t="str">
        <f>+E14963</f>
        <v>ud</v>
      </c>
      <c r="F14986" s="1070"/>
      <c r="G14986" s="960"/>
      <c r="H14986" s="1033"/>
      <c r="I14986" s="952">
        <f>SUM(I14981:I14984)</f>
        <v>3500</v>
      </c>
    </row>
    <row r="14987" spans="2:9" ht="15.75">
      <c r="C14987" s="951"/>
      <c r="D14987" s="960"/>
      <c r="E14987" s="943"/>
      <c r="F14987" s="1070"/>
      <c r="G14987" s="960"/>
      <c r="H14987" s="1033"/>
      <c r="I14987" s="952"/>
    </row>
    <row r="14988" spans="2:9" ht="15.75">
      <c r="B14988" s="1063">
        <v>5.6</v>
      </c>
      <c r="C14988" s="937" t="str">
        <f>+Presupuesto!B849</f>
        <v>Mano de obra eléctrica</v>
      </c>
      <c r="D14988" s="938"/>
      <c r="E14988" s="962" t="s">
        <v>1056</v>
      </c>
      <c r="F14988" s="1066"/>
      <c r="G14988" s="938"/>
      <c r="H14988" s="1029"/>
      <c r="I14988" s="940">
        <f>+I15011</f>
        <v>35000</v>
      </c>
    </row>
    <row r="14989" spans="2:9" ht="15.75">
      <c r="C14989" s="941" t="s">
        <v>908</v>
      </c>
      <c r="D14989" s="942" t="s">
        <v>9</v>
      </c>
      <c r="E14989" s="943" t="s">
        <v>10</v>
      </c>
      <c r="F14989" s="1067" t="s">
        <v>909</v>
      </c>
      <c r="G14989" s="942" t="s">
        <v>910</v>
      </c>
      <c r="H14989" s="1030" t="s">
        <v>911</v>
      </c>
      <c r="I14989" s="944" t="s">
        <v>912</v>
      </c>
    </row>
    <row r="14990" spans="2:9" ht="15.75">
      <c r="C14990" s="945" t="s">
        <v>913</v>
      </c>
      <c r="D14990" s="946"/>
      <c r="E14990" s="947"/>
      <c r="F14990" s="1054"/>
      <c r="G14990" s="946"/>
      <c r="H14990" s="1031"/>
      <c r="I14990" s="948"/>
    </row>
    <row r="14991" spans="2:9" ht="15.75">
      <c r="C14991" s="949" t="s">
        <v>1704</v>
      </c>
      <c r="D14991" s="946">
        <v>1</v>
      </c>
      <c r="E14991" s="947" t="str">
        <f>+VLOOKUP(C14991,'Basic (equilibrio) (2)'!B:D,2,FALSE)</f>
        <v>P.a</v>
      </c>
      <c r="F14991" s="1082">
        <f>'Basic (equilibrio) (2)'!$D$247</f>
        <v>35000</v>
      </c>
      <c r="G14991" s="946">
        <f>F14991-(F14991/1.18)</f>
        <v>5338.98</v>
      </c>
      <c r="H14991" s="1031"/>
      <c r="I14991" s="948">
        <f>D14991*F14991</f>
        <v>35000</v>
      </c>
    </row>
    <row r="14992" spans="2:9" ht="15.75">
      <c r="C14992" s="951" t="s">
        <v>918</v>
      </c>
      <c r="D14992" s="946"/>
      <c r="E14992" s="947"/>
      <c r="F14992" s="1068"/>
      <c r="G14992" s="946"/>
      <c r="H14992" s="1031"/>
      <c r="I14992" s="952">
        <f>SUM(I14991:I14991)</f>
        <v>35000</v>
      </c>
    </row>
    <row r="14993" spans="3:9" ht="15.75">
      <c r="C14993" s="949"/>
      <c r="D14993" s="946"/>
      <c r="E14993" s="947"/>
      <c r="F14993" s="1068"/>
      <c r="G14993" s="946"/>
      <c r="H14993" s="1031"/>
      <c r="I14993" s="948"/>
    </row>
    <row r="14994" spans="3:9" ht="15.75">
      <c r="C14994" s="945" t="s">
        <v>919</v>
      </c>
      <c r="D14994" s="946"/>
      <c r="E14994" s="947"/>
      <c r="F14994" s="1068"/>
      <c r="G14994" s="946"/>
      <c r="H14994" s="1031"/>
      <c r="I14994" s="948"/>
    </row>
    <row r="14995" spans="3:9" ht="15.75">
      <c r="C14995" s="949" t="s">
        <v>924</v>
      </c>
      <c r="D14995" s="953">
        <v>8.33</v>
      </c>
      <c r="E14995" s="954" t="str">
        <f>+VLOOKUP(C14995,'Basic (equilibrio) (2)'!B:D,2,FALSE)</f>
        <v>n/a</v>
      </c>
      <c r="F14995" s="1068">
        <f>+VLOOKUP(C14995,'Basic (equilibrio) (2)'!B:D,3,FALSE)</f>
        <v>0</v>
      </c>
      <c r="G14995" s="946">
        <v>0</v>
      </c>
      <c r="H14995" s="1031"/>
      <c r="I14995" s="948">
        <f>(D14995*F14995)</f>
        <v>0</v>
      </c>
    </row>
    <row r="14996" spans="3:9" ht="15.75">
      <c r="C14996" s="951" t="s">
        <v>918</v>
      </c>
      <c r="D14996" s="946"/>
      <c r="E14996" s="947"/>
      <c r="F14996" s="1054"/>
      <c r="G14996" s="946"/>
      <c r="H14996" s="1031"/>
      <c r="I14996" s="952">
        <f>SUM(I14995:I14995)</f>
        <v>0</v>
      </c>
    </row>
    <row r="14997" spans="3:9" ht="15.75">
      <c r="C14997" s="949"/>
      <c r="D14997" s="946"/>
      <c r="E14997" s="947"/>
      <c r="F14997" s="1054"/>
      <c r="G14997" s="946"/>
      <c r="H14997" s="1031"/>
      <c r="I14997" s="948"/>
    </row>
    <row r="14998" spans="3:9" ht="15.75">
      <c r="C14998" s="945" t="s">
        <v>923</v>
      </c>
      <c r="D14998" s="946"/>
      <c r="E14998" s="947"/>
      <c r="F14998" s="1054"/>
      <c r="G14998" s="946"/>
      <c r="H14998" s="1031"/>
      <c r="I14998" s="948"/>
    </row>
    <row r="14999" spans="3:9" ht="15.75">
      <c r="C14999" s="949" t="s">
        <v>924</v>
      </c>
      <c r="D14999" s="946"/>
      <c r="E14999" s="947" t="str">
        <f>+VLOOKUP(C14999,'Basic (equilibrio) (2)'!B:D,2,FALSE)</f>
        <v>n/a</v>
      </c>
      <c r="F14999" s="1054">
        <f>+VLOOKUP(C14999,'Basic (equilibrio) (2)'!B:D,3,FALSE)</f>
        <v>0</v>
      </c>
      <c r="G14999" s="946">
        <f>F14999-(F14999/1.18)</f>
        <v>0</v>
      </c>
      <c r="H14999" s="1039"/>
      <c r="I14999" s="955">
        <f>D14999*F14999</f>
        <v>0</v>
      </c>
    </row>
    <row r="15000" spans="3:9" ht="15.75">
      <c r="C15000" s="951" t="s">
        <v>918</v>
      </c>
      <c r="D15000" s="946"/>
      <c r="E15000" s="947"/>
      <c r="F15000" s="1054"/>
      <c r="G15000" s="946"/>
      <c r="H15000" s="1031"/>
      <c r="I15000" s="952">
        <f>SUM(I14999:I14999)</f>
        <v>0</v>
      </c>
    </row>
    <row r="15001" spans="3:9" ht="15.75">
      <c r="C15001" s="949"/>
      <c r="D15001" s="946"/>
      <c r="E15001" s="947"/>
      <c r="F15001" s="1054"/>
      <c r="G15001" s="946"/>
      <c r="H15001" s="1031"/>
      <c r="I15001" s="948"/>
    </row>
    <row r="15002" spans="3:9" ht="15.75">
      <c r="C15002" s="945" t="s">
        <v>925</v>
      </c>
      <c r="D15002" s="946"/>
      <c r="E15002" s="947"/>
      <c r="F15002" s="1054"/>
      <c r="G15002" s="946"/>
      <c r="H15002" s="1031"/>
      <c r="I15002" s="948"/>
    </row>
    <row r="15003" spans="3:9" ht="15.75">
      <c r="C15003" s="949" t="s">
        <v>924</v>
      </c>
      <c r="D15003" s="946"/>
      <c r="E15003" s="947" t="str">
        <f>+VLOOKUP(C15003,'Basic (equilibrio) (2)'!B:D,2,FALSE)</f>
        <v>n/a</v>
      </c>
      <c r="F15003" s="1054">
        <f>+VLOOKUP(C15003,'Basic (equilibrio) (2)'!B:D,3,FALSE)</f>
        <v>0</v>
      </c>
      <c r="G15003" s="946"/>
      <c r="H15003" s="1031"/>
      <c r="I15003" s="948">
        <f>D15003*F15003</f>
        <v>0</v>
      </c>
    </row>
    <row r="15004" spans="3:9" ht="15.75">
      <c r="C15004" s="951" t="s">
        <v>918</v>
      </c>
      <c r="D15004" s="946"/>
      <c r="E15004" s="947"/>
      <c r="F15004" s="1054"/>
      <c r="G15004" s="946"/>
      <c r="H15004" s="1031"/>
      <c r="I15004" s="952">
        <f>SUM(I15003)</f>
        <v>0</v>
      </c>
    </row>
    <row r="15005" spans="3:9" ht="15.75">
      <c r="C15005" s="951"/>
      <c r="D15005" s="946"/>
      <c r="E15005" s="947"/>
      <c r="F15005" s="1054"/>
      <c r="G15005" s="946"/>
      <c r="H15005" s="1031"/>
      <c r="I15005" s="952"/>
    </row>
    <row r="15006" spans="3:9" ht="15.75">
      <c r="C15006" s="956" t="s">
        <v>926</v>
      </c>
      <c r="D15006" s="957"/>
      <c r="E15006" s="958"/>
      <c r="F15006" s="1069"/>
      <c r="G15006" s="957"/>
      <c r="H15006" s="1032"/>
      <c r="I15006" s="959">
        <f>+I14992</f>
        <v>35000</v>
      </c>
    </row>
    <row r="15007" spans="3:9" ht="15.75">
      <c r="C15007" s="956" t="s">
        <v>927</v>
      </c>
      <c r="D15007" s="957"/>
      <c r="E15007" s="958"/>
      <c r="F15007" s="1069"/>
      <c r="G15007" s="957"/>
      <c r="H15007" s="1032"/>
      <c r="I15007" s="959">
        <f>+I14996</f>
        <v>0</v>
      </c>
    </row>
    <row r="15008" spans="3:9" ht="15.75">
      <c r="C15008" s="956" t="s">
        <v>928</v>
      </c>
      <c r="D15008" s="957"/>
      <c r="E15008" s="958"/>
      <c r="F15008" s="1069"/>
      <c r="G15008" s="957"/>
      <c r="H15008" s="1032"/>
      <c r="I15008" s="959">
        <f>+I15000</f>
        <v>0</v>
      </c>
    </row>
    <row r="15009" spans="2:9" ht="15.75">
      <c r="C15009" s="956" t="s">
        <v>929</v>
      </c>
      <c r="D15009" s="957"/>
      <c r="E15009" s="958"/>
      <c r="F15009" s="1069"/>
      <c r="G15009" s="957"/>
      <c r="H15009" s="1032"/>
      <c r="I15009" s="959">
        <f>+I15004</f>
        <v>0</v>
      </c>
    </row>
    <row r="15010" spans="2:9" ht="15.75">
      <c r="C15010" s="949"/>
      <c r="D15010" s="946"/>
      <c r="E15010" s="947"/>
      <c r="F15010" s="1054"/>
      <c r="G15010" s="946"/>
      <c r="H15010" s="1031"/>
      <c r="I15010" s="948"/>
    </row>
    <row r="15011" spans="2:9" ht="15.75">
      <c r="C15011" s="951" t="s">
        <v>930</v>
      </c>
      <c r="D15011" s="960"/>
      <c r="E15011" s="975" t="str">
        <f>+E14988</f>
        <v>ud</v>
      </c>
      <c r="F15011" s="1070"/>
      <c r="G15011" s="960"/>
      <c r="H15011" s="1033"/>
      <c r="I15011" s="952">
        <f>SUM(I15006:I15009)</f>
        <v>35000</v>
      </c>
    </row>
    <row r="15013" spans="2:9" ht="15.75">
      <c r="B15013" s="1099"/>
      <c r="C15013" s="1090" t="str">
        <f>+'[49]LISTA VIAS Y PAISAJISMO'!B102</f>
        <v>Señalización vertical y horizontal en Vias y Ciclovias</v>
      </c>
      <c r="D15013" s="1091"/>
      <c r="E15013" s="1092" t="str">
        <f>+'[49]LISTA VIAS Y PAISAJISMO'!D102</f>
        <v>P.A.</v>
      </c>
      <c r="F15013" s="1093"/>
      <c r="G15013" s="1091"/>
      <c r="H15013" s="1094"/>
      <c r="I15013" s="1095">
        <f>I15037</f>
        <v>95500</v>
      </c>
    </row>
    <row r="15014" spans="2:9" ht="15.75">
      <c r="C15014" s="941" t="s">
        <v>908</v>
      </c>
      <c r="D15014" s="942" t="s">
        <v>9</v>
      </c>
      <c r="E15014" s="943" t="s">
        <v>10</v>
      </c>
      <c r="F15014" s="1067" t="s">
        <v>909</v>
      </c>
      <c r="G15014" s="942" t="s">
        <v>910</v>
      </c>
      <c r="H15014" s="1030" t="s">
        <v>911</v>
      </c>
      <c r="I15014" s="944" t="s">
        <v>912</v>
      </c>
    </row>
    <row r="15015" spans="2:9" ht="15.75">
      <c r="C15015" s="945" t="s">
        <v>913</v>
      </c>
      <c r="D15015" s="946"/>
      <c r="E15015" s="947"/>
      <c r="F15015" s="1054"/>
      <c r="G15015" s="946"/>
      <c r="H15015" s="1031"/>
      <c r="I15015" s="948"/>
    </row>
    <row r="15016" spans="2:9" ht="15.75">
      <c r="C15016" s="949" t="s">
        <v>1011</v>
      </c>
      <c r="D15016" s="946">
        <v>1</v>
      </c>
      <c r="E15016" s="947" t="str">
        <f>+VLOOKUP(C15016,[49]BASICS!B:E,2,FALSE)</f>
        <v>P.A</v>
      </c>
      <c r="F15016" s="1068">
        <f>'Basic (equilibrio) (2)'!$D$351</f>
        <v>95500</v>
      </c>
      <c r="G15016" s="946">
        <f>F15016-(F15016/1.18)</f>
        <v>14567.8</v>
      </c>
      <c r="H15016" s="1031"/>
      <c r="I15016" s="948">
        <f>D15016*F15016</f>
        <v>95500</v>
      </c>
    </row>
    <row r="15017" spans="2:9" ht="15.75">
      <c r="C15017" s="951" t="s">
        <v>918</v>
      </c>
      <c r="D15017" s="946"/>
      <c r="E15017" s="947"/>
      <c r="F15017" s="1068"/>
      <c r="G15017" s="946"/>
      <c r="H15017" s="1031"/>
      <c r="I15017" s="952">
        <f>SUM(I15016:I15016)</f>
        <v>95500</v>
      </c>
    </row>
    <row r="15018" spans="2:9" ht="15.75">
      <c r="C15018" s="949"/>
      <c r="D15018" s="946"/>
      <c r="E15018" s="947"/>
      <c r="F15018" s="1068"/>
      <c r="G15018" s="946"/>
      <c r="H15018" s="1031"/>
      <c r="I15018" s="948"/>
    </row>
    <row r="15019" spans="2:9" ht="15.75">
      <c r="C15019" s="945" t="s">
        <v>919</v>
      </c>
      <c r="D15019" s="946"/>
      <c r="E15019" s="947"/>
      <c r="F15019" s="1068"/>
      <c r="G15019" s="946"/>
      <c r="H15019" s="1031"/>
      <c r="I15019" s="948"/>
    </row>
    <row r="15020" spans="2:9" ht="15.75">
      <c r="C15020" s="949" t="s">
        <v>924</v>
      </c>
      <c r="D15020" s="953"/>
      <c r="E15020" s="954" t="str">
        <f>+VLOOKUP(C15020,[49]BASICS!B:E,2,FALSE)</f>
        <v>n/a</v>
      </c>
      <c r="F15020" s="1068">
        <f>+VLOOKUP(C15020,[49]BASICS!B:E,3,FALSE)</f>
        <v>0</v>
      </c>
      <c r="G15020" s="946">
        <f>F15020-(F15020/1.18)</f>
        <v>0</v>
      </c>
      <c r="H15020" s="1031"/>
      <c r="I15020" s="948">
        <f>(D15020*F15020)</f>
        <v>0</v>
      </c>
    </row>
    <row r="15021" spans="2:9" ht="15.75">
      <c r="C15021" s="951" t="s">
        <v>918</v>
      </c>
      <c r="D15021" s="946"/>
      <c r="E15021" s="947"/>
      <c r="F15021" s="1054"/>
      <c r="G15021" s="946"/>
      <c r="H15021" s="1031"/>
      <c r="I15021" s="952">
        <f>SUM(I15020:I15020)</f>
        <v>0</v>
      </c>
    </row>
    <row r="15022" spans="2:9" ht="15.75">
      <c r="C15022" s="949"/>
      <c r="D15022" s="946"/>
      <c r="E15022" s="947"/>
      <c r="F15022" s="1054"/>
      <c r="G15022" s="946"/>
      <c r="H15022" s="1031"/>
      <c r="I15022" s="948"/>
    </row>
    <row r="15023" spans="2:9" ht="15.75">
      <c r="C15023" s="945" t="s">
        <v>923</v>
      </c>
      <c r="D15023" s="946"/>
      <c r="E15023" s="947"/>
      <c r="F15023" s="1054"/>
      <c r="G15023" s="946"/>
      <c r="H15023" s="1031"/>
      <c r="I15023" s="948"/>
    </row>
    <row r="15024" spans="2:9" ht="15.75">
      <c r="C15024" s="949" t="s">
        <v>924</v>
      </c>
      <c r="D15024" s="946"/>
      <c r="E15024" s="947" t="str">
        <f>+VLOOKUP(C15024,[49]BASICS!B:E,2,FALSE)</f>
        <v>n/a</v>
      </c>
      <c r="F15024" s="1054">
        <f>+VLOOKUP(C15024,[49]BASICS!B:E,3,FALSE)</f>
        <v>0</v>
      </c>
      <c r="G15024" s="946">
        <f>F15024-(F15024/1.18)</f>
        <v>0</v>
      </c>
      <c r="H15024" s="1039"/>
      <c r="I15024" s="955">
        <f>D15024*F15024</f>
        <v>0</v>
      </c>
    </row>
    <row r="15025" spans="3:9" ht="15.75">
      <c r="C15025" s="951" t="s">
        <v>918</v>
      </c>
      <c r="D15025" s="946"/>
      <c r="E15025" s="947"/>
      <c r="F15025" s="1054"/>
      <c r="G15025" s="946"/>
      <c r="H15025" s="1031"/>
      <c r="I15025" s="952">
        <f>SUM(I15024:I15024)</f>
        <v>0</v>
      </c>
    </row>
    <row r="15026" spans="3:9" ht="15.75">
      <c r="C15026" s="949"/>
      <c r="D15026" s="946"/>
      <c r="E15026" s="947"/>
      <c r="F15026" s="1054"/>
      <c r="G15026" s="946"/>
      <c r="H15026" s="1031"/>
      <c r="I15026" s="948"/>
    </row>
    <row r="15027" spans="3:9" ht="15.75">
      <c r="C15027" s="945" t="s">
        <v>925</v>
      </c>
      <c r="D15027" s="946"/>
      <c r="E15027" s="947"/>
      <c r="F15027" s="1054"/>
      <c r="G15027" s="946"/>
      <c r="H15027" s="1031"/>
      <c r="I15027" s="948"/>
    </row>
    <row r="15028" spans="3:9" ht="15.75">
      <c r="C15028" s="949" t="s">
        <v>924</v>
      </c>
      <c r="D15028" s="946"/>
      <c r="E15028" s="947" t="str">
        <f>VLOOKUP(C15028,[50]BASICS!B:D,2,FALSE)</f>
        <v>n/a</v>
      </c>
      <c r="F15028" s="1054">
        <f>+VLOOKUP(C15028,[49]BASICS!B:E,3,FALSE)</f>
        <v>0</v>
      </c>
      <c r="G15028" s="946"/>
      <c r="H15028" s="1031"/>
      <c r="I15028" s="948">
        <f>D15028*F15028</f>
        <v>0</v>
      </c>
    </row>
    <row r="15029" spans="3:9" ht="15.75">
      <c r="C15029" s="951" t="s">
        <v>918</v>
      </c>
      <c r="D15029" s="946"/>
      <c r="E15029" s="947"/>
      <c r="F15029" s="1054"/>
      <c r="G15029" s="946"/>
      <c r="H15029" s="1031"/>
      <c r="I15029" s="952">
        <f>SUM(I15028)</f>
        <v>0</v>
      </c>
    </row>
    <row r="15030" spans="3:9" ht="15.75">
      <c r="C15030" s="951"/>
      <c r="D15030" s="946"/>
      <c r="E15030" s="947"/>
      <c r="F15030" s="1054"/>
      <c r="G15030" s="946"/>
      <c r="H15030" s="1031"/>
      <c r="I15030" s="952"/>
    </row>
    <row r="15031" spans="3:9" ht="15.75">
      <c r="C15031" s="956" t="s">
        <v>926</v>
      </c>
      <c r="D15031" s="957"/>
      <c r="E15031" s="958"/>
      <c r="F15031" s="1069"/>
      <c r="G15031" s="957"/>
      <c r="H15031" s="1032"/>
      <c r="I15031" s="959">
        <f>+I15017</f>
        <v>95500</v>
      </c>
    </row>
    <row r="15032" spans="3:9" ht="15.75">
      <c r="C15032" s="956" t="s">
        <v>927</v>
      </c>
      <c r="D15032" s="957"/>
      <c r="E15032" s="958"/>
      <c r="F15032" s="1069"/>
      <c r="G15032" s="957"/>
      <c r="H15032" s="1032"/>
      <c r="I15032" s="959">
        <f>+I15021</f>
        <v>0</v>
      </c>
    </row>
    <row r="15033" spans="3:9" ht="15.75">
      <c r="C15033" s="956" t="s">
        <v>928</v>
      </c>
      <c r="D15033" s="957"/>
      <c r="E15033" s="958"/>
      <c r="F15033" s="1069"/>
      <c r="G15033" s="957"/>
      <c r="H15033" s="1032"/>
      <c r="I15033" s="959">
        <f>+I15025</f>
        <v>0</v>
      </c>
    </row>
    <row r="15034" spans="3:9" ht="15.75">
      <c r="C15034" s="956" t="s">
        <v>929</v>
      </c>
      <c r="D15034" s="957"/>
      <c r="E15034" s="958"/>
      <c r="F15034" s="1069"/>
      <c r="G15034" s="957"/>
      <c r="H15034" s="1032"/>
      <c r="I15034" s="959">
        <f>+I15029</f>
        <v>0</v>
      </c>
    </row>
    <row r="15035" spans="3:9" ht="15.75">
      <c r="C15035" s="949"/>
      <c r="D15035" s="946"/>
      <c r="E15035" s="947"/>
      <c r="F15035" s="1054"/>
      <c r="G15035" s="946"/>
      <c r="H15035" s="1031"/>
      <c r="I15035" s="948"/>
    </row>
    <row r="15036" spans="3:9" ht="15.75">
      <c r="C15036" s="949"/>
      <c r="D15036" s="946"/>
      <c r="E15036" s="947"/>
      <c r="F15036" s="1054"/>
      <c r="G15036" s="946"/>
      <c r="H15036" s="1031"/>
      <c r="I15036" s="948"/>
    </row>
    <row r="15037" spans="3:9" ht="15.75">
      <c r="C15037" s="951" t="s">
        <v>930</v>
      </c>
      <c r="D15037" s="960"/>
      <c r="E15037" s="943" t="str">
        <f>+E15013</f>
        <v>P.A.</v>
      </c>
      <c r="F15037" s="1070"/>
      <c r="G15037" s="960"/>
      <c r="H15037" s="1033"/>
      <c r="I15037" s="952">
        <f>SUM(I15031:I15034)</f>
        <v>95500</v>
      </c>
    </row>
    <row r="15038" spans="3:9" ht="15.75">
      <c r="C15038" s="949"/>
      <c r="D15038" s="946"/>
      <c r="E15038" s="947"/>
      <c r="F15038" s="1054"/>
      <c r="G15038" s="946"/>
      <c r="H15038" s="1031"/>
      <c r="I15038" s="948"/>
    </row>
    <row r="15040" spans="3:9" ht="18.75">
      <c r="C15040" s="1435"/>
      <c r="D15040" s="1435"/>
      <c r="E15040" s="1435"/>
      <c r="F15040" s="1435"/>
      <c r="G15040" s="1435"/>
      <c r="H15040" s="1435"/>
      <c r="I15040" s="1436"/>
    </row>
    <row r="15042" spans="3:9" ht="63">
      <c r="C15042" s="937" t="str">
        <f>+'[49]LISTA VIAS Y PAISAJISMO'!B106</f>
        <v>Valla anunciando obra 16' x 8' impresión Full Color conteniendo logo de INAPA, nombre de proyecto y contratista. estructura en tubos galvanizados 1.1/2" x 1.1/2" y soportes en tubo cuadrado 4" x 4".</v>
      </c>
      <c r="D15042" s="938"/>
      <c r="E15042" s="962" t="str">
        <f>+'[49]LISTA VIAS Y PAISAJISMO'!D106</f>
        <v>Ud</v>
      </c>
      <c r="F15042" s="1066"/>
      <c r="G15042" s="938"/>
      <c r="H15042" s="1029"/>
      <c r="I15042" s="940">
        <f>I15066</f>
        <v>93000</v>
      </c>
    </row>
    <row r="15043" spans="3:9" ht="15.75">
      <c r="C15043" s="941" t="s">
        <v>908</v>
      </c>
      <c r="D15043" s="942" t="s">
        <v>9</v>
      </c>
      <c r="E15043" s="943" t="s">
        <v>10</v>
      </c>
      <c r="F15043" s="1067" t="s">
        <v>909</v>
      </c>
      <c r="G15043" s="942" t="s">
        <v>910</v>
      </c>
      <c r="H15043" s="1030" t="s">
        <v>911</v>
      </c>
      <c r="I15043" s="944" t="s">
        <v>912</v>
      </c>
    </row>
    <row r="15044" spans="3:9" ht="15.75">
      <c r="C15044" s="945" t="s">
        <v>913</v>
      </c>
      <c r="D15044" s="946"/>
      <c r="E15044" s="947"/>
      <c r="F15044" s="1054"/>
      <c r="G15044" s="946"/>
      <c r="H15044" s="1031"/>
      <c r="I15044" s="948"/>
    </row>
    <row r="15045" spans="3:9" ht="31.5">
      <c r="C15045" s="949" t="s">
        <v>1012</v>
      </c>
      <c r="D15045" s="946">
        <v>1</v>
      </c>
      <c r="E15045" s="947" t="str">
        <f>+VLOOKUP(C15045,[49]BASICS!B:E,2,FALSE)</f>
        <v>und</v>
      </c>
      <c r="F15045" s="1068">
        <f>'Basic (equilibrio) (2)'!$D$162</f>
        <v>93000</v>
      </c>
      <c r="G15045" s="946">
        <f>F15045-(F15045/1.18)</f>
        <v>14186.44</v>
      </c>
      <c r="H15045" s="1031"/>
      <c r="I15045" s="948">
        <f>D15045*F15045</f>
        <v>93000</v>
      </c>
    </row>
    <row r="15046" spans="3:9" ht="15.75">
      <c r="C15046" s="951" t="s">
        <v>918</v>
      </c>
      <c r="D15046" s="946"/>
      <c r="E15046" s="947"/>
      <c r="F15046" s="1068"/>
      <c r="G15046" s="946"/>
      <c r="H15046" s="1031"/>
      <c r="I15046" s="952">
        <f>SUM(I15045:I15045)</f>
        <v>93000</v>
      </c>
    </row>
    <row r="15047" spans="3:9" ht="15.75">
      <c r="C15047" s="949"/>
      <c r="D15047" s="946"/>
      <c r="E15047" s="947"/>
      <c r="F15047" s="1068"/>
      <c r="G15047" s="946"/>
      <c r="H15047" s="1031"/>
      <c r="I15047" s="948"/>
    </row>
    <row r="15048" spans="3:9" ht="15.75">
      <c r="C15048" s="945" t="s">
        <v>919</v>
      </c>
      <c r="D15048" s="946"/>
      <c r="E15048" s="947"/>
      <c r="F15048" s="1068"/>
      <c r="G15048" s="946"/>
      <c r="H15048" s="1031"/>
      <c r="I15048" s="948"/>
    </row>
    <row r="15049" spans="3:9" ht="15.75">
      <c r="C15049" s="949" t="s">
        <v>924</v>
      </c>
      <c r="D15049" s="953"/>
      <c r="E15049" s="954" t="str">
        <f>+VLOOKUP(C15049,[49]BASICS!B:E,2,FALSE)</f>
        <v>n/a</v>
      </c>
      <c r="F15049" s="1068">
        <f>+VLOOKUP(C15049,[49]BASICS!B:E,3,FALSE)</f>
        <v>0</v>
      </c>
      <c r="G15049" s="946">
        <f>F15049-(F15049/1.18)</f>
        <v>0</v>
      </c>
      <c r="H15049" s="1031"/>
      <c r="I15049" s="948">
        <f>(D15049*F15049)</f>
        <v>0</v>
      </c>
    </row>
    <row r="15050" spans="3:9" ht="15.75">
      <c r="C15050" s="951" t="s">
        <v>918</v>
      </c>
      <c r="D15050" s="946"/>
      <c r="E15050" s="947"/>
      <c r="F15050" s="1054"/>
      <c r="G15050" s="946"/>
      <c r="H15050" s="1031"/>
      <c r="I15050" s="952">
        <f>SUM(I15049:I15049)</f>
        <v>0</v>
      </c>
    </row>
    <row r="15051" spans="3:9" ht="15.75">
      <c r="C15051" s="949"/>
      <c r="D15051" s="946"/>
      <c r="E15051" s="947"/>
      <c r="F15051" s="1054"/>
      <c r="G15051" s="946"/>
      <c r="H15051" s="1031"/>
      <c r="I15051" s="948"/>
    </row>
    <row r="15052" spans="3:9" ht="15.75">
      <c r="C15052" s="945" t="s">
        <v>923</v>
      </c>
      <c r="D15052" s="946"/>
      <c r="E15052" s="947"/>
      <c r="F15052" s="1054"/>
      <c r="G15052" s="946"/>
      <c r="H15052" s="1031"/>
      <c r="I15052" s="948"/>
    </row>
    <row r="15053" spans="3:9" ht="15.75">
      <c r="C15053" s="949" t="s">
        <v>924</v>
      </c>
      <c r="D15053" s="946"/>
      <c r="E15053" s="947" t="str">
        <f>+VLOOKUP(C15053,[49]BASICS!B:E,2,FALSE)</f>
        <v>n/a</v>
      </c>
      <c r="F15053" s="1054">
        <f>+VLOOKUP(C15053,[49]BASICS!B:E,3,FALSE)</f>
        <v>0</v>
      </c>
      <c r="G15053" s="946">
        <f>F15053-(F15053/1.18)</f>
        <v>0</v>
      </c>
      <c r="H15053" s="1039"/>
      <c r="I15053" s="955">
        <f>D15053*F15053</f>
        <v>0</v>
      </c>
    </row>
    <row r="15054" spans="3:9" ht="15.75">
      <c r="C15054" s="951" t="s">
        <v>918</v>
      </c>
      <c r="D15054" s="946"/>
      <c r="E15054" s="947"/>
      <c r="F15054" s="1054"/>
      <c r="G15054" s="946"/>
      <c r="H15054" s="1031"/>
      <c r="I15054" s="952">
        <f>SUM(I15053:I15053)</f>
        <v>0</v>
      </c>
    </row>
    <row r="15055" spans="3:9" ht="15.75">
      <c r="C15055" s="949"/>
      <c r="D15055" s="946"/>
      <c r="E15055" s="947"/>
      <c r="F15055" s="1054"/>
      <c r="G15055" s="946"/>
      <c r="H15055" s="1031"/>
      <c r="I15055" s="948"/>
    </row>
    <row r="15056" spans="3:9" ht="15.75">
      <c r="C15056" s="945" t="s">
        <v>925</v>
      </c>
      <c r="D15056" s="946"/>
      <c r="E15056" s="947"/>
      <c r="F15056" s="1054"/>
      <c r="G15056" s="946"/>
      <c r="H15056" s="1031"/>
      <c r="I15056" s="948"/>
    </row>
    <row r="15057" spans="3:9" ht="15.75">
      <c r="C15057" s="949" t="s">
        <v>924</v>
      </c>
      <c r="D15057" s="946"/>
      <c r="E15057" s="947" t="str">
        <f>VLOOKUP(C15057,[50]BASICS!B:D,2,FALSE)</f>
        <v>n/a</v>
      </c>
      <c r="F15057" s="1054">
        <f>+VLOOKUP(C15057,[49]BASICS!B:E,3,FALSE)</f>
        <v>0</v>
      </c>
      <c r="G15057" s="946"/>
      <c r="H15057" s="1031"/>
      <c r="I15057" s="948">
        <f>D15057*F15057</f>
        <v>0</v>
      </c>
    </row>
    <row r="15058" spans="3:9" ht="15.75">
      <c r="C15058" s="951" t="s">
        <v>918</v>
      </c>
      <c r="D15058" s="946"/>
      <c r="E15058" s="947"/>
      <c r="F15058" s="1054"/>
      <c r="G15058" s="946"/>
      <c r="H15058" s="1031"/>
      <c r="I15058" s="952">
        <f>SUM(I15057)</f>
        <v>0</v>
      </c>
    </row>
    <row r="15059" spans="3:9" ht="15.75">
      <c r="C15059" s="951"/>
      <c r="D15059" s="946"/>
      <c r="E15059" s="947"/>
      <c r="F15059" s="1054"/>
      <c r="G15059" s="946"/>
      <c r="H15059" s="1031"/>
      <c r="I15059" s="952"/>
    </row>
    <row r="15060" spans="3:9" ht="15.75">
      <c r="C15060" s="956" t="s">
        <v>926</v>
      </c>
      <c r="D15060" s="957"/>
      <c r="E15060" s="958"/>
      <c r="F15060" s="1069"/>
      <c r="G15060" s="957"/>
      <c r="H15060" s="1032"/>
      <c r="I15060" s="959">
        <f>+I15046</f>
        <v>93000</v>
      </c>
    </row>
    <row r="15061" spans="3:9" ht="15.75">
      <c r="C15061" s="956" t="s">
        <v>927</v>
      </c>
      <c r="D15061" s="957"/>
      <c r="E15061" s="958"/>
      <c r="F15061" s="1069"/>
      <c r="G15061" s="957"/>
      <c r="H15061" s="1032"/>
      <c r="I15061" s="959">
        <f>+I15050</f>
        <v>0</v>
      </c>
    </row>
    <row r="15062" spans="3:9" ht="15.75">
      <c r="C15062" s="956" t="s">
        <v>928</v>
      </c>
      <c r="D15062" s="957"/>
      <c r="E15062" s="958"/>
      <c r="F15062" s="1069"/>
      <c r="G15062" s="957"/>
      <c r="H15062" s="1032"/>
      <c r="I15062" s="959">
        <f>+I15054</f>
        <v>0</v>
      </c>
    </row>
    <row r="15063" spans="3:9" ht="15.75">
      <c r="C15063" s="956" t="s">
        <v>929</v>
      </c>
      <c r="D15063" s="957"/>
      <c r="E15063" s="958"/>
      <c r="F15063" s="1069"/>
      <c r="G15063" s="957"/>
      <c r="H15063" s="1032"/>
      <c r="I15063" s="959">
        <f>+I15058</f>
        <v>0</v>
      </c>
    </row>
    <row r="15064" spans="3:9" ht="15.75">
      <c r="C15064" s="949"/>
      <c r="D15064" s="946"/>
      <c r="E15064" s="947"/>
      <c r="F15064" s="1054"/>
      <c r="G15064" s="946"/>
      <c r="H15064" s="1031"/>
      <c r="I15064" s="948"/>
    </row>
    <row r="15065" spans="3:9" ht="15.75">
      <c r="C15065" s="949"/>
      <c r="D15065" s="946"/>
      <c r="E15065" s="947"/>
      <c r="F15065" s="1054"/>
      <c r="G15065" s="946"/>
      <c r="H15065" s="1031"/>
      <c r="I15065" s="948"/>
    </row>
    <row r="15066" spans="3:9" ht="15.75">
      <c r="C15066" s="951" t="s">
        <v>930</v>
      </c>
      <c r="D15066" s="960"/>
      <c r="E15066" s="943" t="str">
        <f>+E15042</f>
        <v>Ud</v>
      </c>
      <c r="F15066" s="1070"/>
      <c r="G15066" s="960"/>
      <c r="H15066" s="1033"/>
      <c r="I15066" s="952">
        <f>SUM(I15060:I15063)</f>
        <v>93000</v>
      </c>
    </row>
    <row r="15067" spans="3:9" ht="15.75">
      <c r="C15067" s="949"/>
      <c r="D15067" s="946"/>
      <c r="E15067" s="947"/>
      <c r="F15067" s="1054"/>
      <c r="G15067" s="946"/>
      <c r="H15067" s="1031"/>
      <c r="I15067" s="948"/>
    </row>
    <row r="15069" spans="3:9" ht="47.25">
      <c r="C15069" s="937" t="str">
        <f>+'[49]LISTA VIAS Y PAISAJISMO'!B107</f>
        <v>Campamento (Incluye oficinas, almacenes, talleres y unidades baños móviles). Sujeto a aprobación de la Supervisión</v>
      </c>
      <c r="D15069" s="938"/>
      <c r="E15069" s="962" t="str">
        <f>+'[49]LISTA VIAS Y PAISAJISMO'!D107</f>
        <v>PA</v>
      </c>
      <c r="F15069" s="1066"/>
      <c r="G15069" s="938"/>
      <c r="H15069" s="1029"/>
      <c r="I15069" s="940">
        <f>I15099</f>
        <v>1408296.35</v>
      </c>
    </row>
    <row r="15070" spans="3:9" ht="15.75">
      <c r="C15070" s="941" t="s">
        <v>908</v>
      </c>
      <c r="D15070" s="942" t="s">
        <v>9</v>
      </c>
      <c r="E15070" s="943" t="s">
        <v>10</v>
      </c>
      <c r="F15070" s="1067" t="s">
        <v>909</v>
      </c>
      <c r="G15070" s="942" t="s">
        <v>910</v>
      </c>
      <c r="H15070" s="1030" t="s">
        <v>911</v>
      </c>
      <c r="I15070" s="944" t="s">
        <v>912</v>
      </c>
    </row>
    <row r="15071" spans="3:9" ht="15.75">
      <c r="C15071" s="945" t="s">
        <v>913</v>
      </c>
      <c r="D15071" s="946"/>
      <c r="E15071" s="947"/>
      <c r="F15071" s="1054"/>
      <c r="G15071" s="946"/>
      <c r="H15071" s="1031"/>
      <c r="I15071" s="948"/>
    </row>
    <row r="15072" spans="3:9" ht="15.75">
      <c r="C15072" s="949" t="s">
        <v>1013</v>
      </c>
      <c r="D15072" s="946">
        <v>1</v>
      </c>
      <c r="E15072" s="947" t="str">
        <f>+VLOOKUP(C15072,[49]BASICS!B:E,2,FALSE)</f>
        <v>ud</v>
      </c>
      <c r="F15072" s="1068">
        <f>'Basic (equilibrio) (2)'!$D$170</f>
        <v>25000</v>
      </c>
      <c r="G15072" s="946">
        <f>F15072-(F15072/1.18)</f>
        <v>3813.56</v>
      </c>
      <c r="H15072" s="1031"/>
      <c r="I15072" s="948">
        <f>D15072*F15072</f>
        <v>25000</v>
      </c>
    </row>
    <row r="15073" spans="3:9" ht="15.75">
      <c r="C15073" s="949" t="s">
        <v>1014</v>
      </c>
      <c r="D15073" s="946">
        <v>1</v>
      </c>
      <c r="E15073" s="947" t="str">
        <f>+VLOOKUP(C15073,[49]BASICS!B:E,2,FALSE)</f>
        <v>ud</v>
      </c>
      <c r="F15073" s="1068">
        <f>'Basic (equilibrio) (2)'!$D$171</f>
        <v>26500</v>
      </c>
      <c r="G15073" s="946">
        <f>F15073-(F15073/1.18)</f>
        <v>4042.37</v>
      </c>
      <c r="H15073" s="1031"/>
      <c r="I15073" s="948">
        <f>D15073*F15073</f>
        <v>26500</v>
      </c>
    </row>
    <row r="15074" spans="3:9" ht="15.75">
      <c r="C15074" s="949" t="s">
        <v>1015</v>
      </c>
      <c r="D15074" s="946">
        <v>2</v>
      </c>
      <c r="E15074" s="947" t="str">
        <f>+VLOOKUP(C15074,[49]BASICS!B:E,2,FALSE)</f>
        <v>ud</v>
      </c>
      <c r="F15074" s="1068">
        <f>'Basic (equilibrio) (2)'!$D$172</f>
        <v>180000</v>
      </c>
      <c r="G15074" s="946">
        <f>F15074-(F15074/1.18)</f>
        <v>27457.63</v>
      </c>
      <c r="H15074" s="1031"/>
      <c r="I15074" s="948">
        <f>D15074*F15074</f>
        <v>360000</v>
      </c>
    </row>
    <row r="15075" spans="3:9" ht="15.75">
      <c r="C15075" s="949" t="s">
        <v>1016</v>
      </c>
      <c r="D15075" s="946">
        <v>1</v>
      </c>
      <c r="E15075" s="947" t="str">
        <f>+VLOOKUP(C15075,[49]BASICS!B:E,2,FALSE)</f>
        <v>Pa</v>
      </c>
      <c r="F15075" s="1068">
        <f>'Basic (equilibrio) (2)'!$D$173</f>
        <v>50000</v>
      </c>
      <c r="G15075" s="946">
        <f>F15075-(F15075/1.18)</f>
        <v>7627.12</v>
      </c>
      <c r="H15075" s="1031"/>
      <c r="I15075" s="948">
        <f>D15075*F15075</f>
        <v>50000</v>
      </c>
    </row>
    <row r="15076" spans="3:9" ht="15.75">
      <c r="C15076" s="951" t="s">
        <v>918</v>
      </c>
      <c r="D15076" s="946"/>
      <c r="E15076" s="947"/>
      <c r="F15076" s="1068"/>
      <c r="G15076" s="946"/>
      <c r="H15076" s="1031"/>
      <c r="I15076" s="952">
        <f>SUM(I15072:I15075)</f>
        <v>461500</v>
      </c>
    </row>
    <row r="15077" spans="3:9" ht="15.75">
      <c r="C15077" s="949"/>
      <c r="D15077" s="946"/>
      <c r="E15077" s="947"/>
      <c r="F15077" s="1068"/>
      <c r="G15077" s="946"/>
      <c r="H15077" s="1031"/>
      <c r="I15077" s="948"/>
    </row>
    <row r="15078" spans="3:9" ht="15.75">
      <c r="C15078" s="945" t="s">
        <v>919</v>
      </c>
      <c r="D15078" s="946"/>
      <c r="E15078" s="947"/>
      <c r="F15078" s="1068"/>
      <c r="G15078" s="946"/>
      <c r="H15078" s="1031"/>
      <c r="I15078" s="948"/>
    </row>
    <row r="15079" spans="3:9" ht="15.75">
      <c r="C15079" s="949" t="s">
        <v>1017</v>
      </c>
      <c r="D15079" s="953">
        <v>1</v>
      </c>
      <c r="E15079" s="954" t="str">
        <f>+VLOOKUP(C15079,[49]BASICS!B:E,2,FALSE)</f>
        <v>Pa</v>
      </c>
      <c r="F15079" s="1068">
        <f>'Basic (equilibrio) (2)'!$D$7</f>
        <v>7000</v>
      </c>
      <c r="G15079" s="946">
        <f>F15079-(F15079/1.18)</f>
        <v>1067.8</v>
      </c>
      <c r="H15079" s="1031"/>
      <c r="I15079" s="948">
        <f>(D15079*F15079)</f>
        <v>7000</v>
      </c>
    </row>
    <row r="15080" spans="3:9" ht="15.75">
      <c r="C15080" s="949" t="s">
        <v>1018</v>
      </c>
      <c r="D15080" s="953">
        <v>14.5</v>
      </c>
      <c r="E15080" s="954" t="str">
        <f>+VLOOKUP(C15080,[49]BASICS!B:E,2,FALSE)</f>
        <v>mes</v>
      </c>
      <c r="F15080" s="1068">
        <f>'Basic (equilibrio) (2)'!$D$8</f>
        <v>15489.5</v>
      </c>
      <c r="G15080" s="946">
        <f>F15080-(F15080/1.18)</f>
        <v>2362.81</v>
      </c>
      <c r="H15080" s="1031"/>
      <c r="I15080" s="948">
        <f>(D15080*F15080)</f>
        <v>224597.75</v>
      </c>
    </row>
    <row r="15081" spans="3:9" ht="15.75">
      <c r="C15081" s="949" t="s">
        <v>1019</v>
      </c>
      <c r="D15081" s="953">
        <v>1</v>
      </c>
      <c r="E15081" s="954" t="str">
        <f>+VLOOKUP(C15081,[49]BASICS!B:E,2,FALSE)</f>
        <v>mes</v>
      </c>
      <c r="F15081" s="1068">
        <f>'Basic (equilibrio) (2)'!$D$9</f>
        <v>15489.5</v>
      </c>
      <c r="G15081" s="946">
        <f>F15081-(F15081/1.18)</f>
        <v>2362.81</v>
      </c>
      <c r="H15081" s="1031"/>
      <c r="I15081" s="948">
        <f>(D15081*F15081)</f>
        <v>15489.5</v>
      </c>
    </row>
    <row r="15082" spans="3:9" ht="15.75">
      <c r="C15082" s="951" t="s">
        <v>918</v>
      </c>
      <c r="D15082" s="946"/>
      <c r="E15082" s="947"/>
      <c r="F15082" s="1054"/>
      <c r="G15082" s="946"/>
      <c r="H15082" s="1031"/>
      <c r="I15082" s="952">
        <f>SUM(I15079:I15081)</f>
        <v>247087.25</v>
      </c>
    </row>
    <row r="15083" spans="3:9" ht="15.75">
      <c r="C15083" s="949"/>
      <c r="D15083" s="946"/>
      <c r="E15083" s="947"/>
      <c r="F15083" s="1054"/>
      <c r="G15083" s="946"/>
      <c r="H15083" s="1031"/>
      <c r="I15083" s="948"/>
    </row>
    <row r="15084" spans="3:9" ht="15.75">
      <c r="C15084" s="945" t="s">
        <v>923</v>
      </c>
      <c r="D15084" s="946"/>
      <c r="E15084" s="947"/>
      <c r="F15084" s="1054"/>
      <c r="G15084" s="946"/>
      <c r="H15084" s="1031"/>
      <c r="I15084" s="948"/>
    </row>
    <row r="15085" spans="3:9" ht="15.75">
      <c r="C15085" s="949" t="s">
        <v>1020</v>
      </c>
      <c r="D15085" s="946">
        <v>14.5</v>
      </c>
      <c r="E15085" s="947" t="str">
        <f>+VLOOKUP(C15085,[49]BASICS!B:E,2,FALSE)</f>
        <v>mes</v>
      </c>
      <c r="F15085" s="1054">
        <f>'Basic (equilibrio) (2)'!$D$680</f>
        <v>21447</v>
      </c>
      <c r="G15085" s="946">
        <f>F15085-(F15085/1.18)</f>
        <v>3271.58</v>
      </c>
      <c r="H15085" s="1039"/>
      <c r="I15085" s="955">
        <f>D15085*F15085</f>
        <v>310981.5</v>
      </c>
    </row>
    <row r="15086" spans="3:9" ht="15.75">
      <c r="C15086" s="949" t="s">
        <v>1021</v>
      </c>
      <c r="D15086" s="946">
        <v>14.5</v>
      </c>
      <c r="E15086" s="947" t="str">
        <f>+VLOOKUP(C15086,[49]BASICS!B:E,2,FALSE)</f>
        <v>mes</v>
      </c>
      <c r="F15086" s="1054">
        <f>'Basic (equilibrio) (2)'!$D$681</f>
        <v>26808.799999999999</v>
      </c>
      <c r="G15086" s="946">
        <f>F15086-(F15086/1.18)</f>
        <v>4089.48</v>
      </c>
      <c r="H15086" s="1039"/>
      <c r="I15086" s="955">
        <f>D15086*F15086</f>
        <v>388727.6</v>
      </c>
    </row>
    <row r="15087" spans="3:9" ht="15.75">
      <c r="C15087" s="951" t="s">
        <v>918</v>
      </c>
      <c r="D15087" s="946"/>
      <c r="E15087" s="947"/>
      <c r="F15087" s="1054"/>
      <c r="G15087" s="946"/>
      <c r="H15087" s="1031"/>
      <c r="I15087" s="952">
        <f>SUM(I15085:I15086)</f>
        <v>699709.1</v>
      </c>
    </row>
    <row r="15088" spans="3:9" ht="15.75">
      <c r="C15088" s="949"/>
      <c r="D15088" s="946"/>
      <c r="E15088" s="947"/>
      <c r="F15088" s="1054"/>
      <c r="G15088" s="946"/>
      <c r="H15088" s="1031"/>
      <c r="I15088" s="948"/>
    </row>
    <row r="15089" spans="3:9" ht="15.75">
      <c r="C15089" s="945" t="s">
        <v>925</v>
      </c>
      <c r="D15089" s="946"/>
      <c r="E15089" s="947"/>
      <c r="F15089" s="1054"/>
      <c r="G15089" s="946"/>
      <c r="H15089" s="1031"/>
      <c r="I15089" s="948"/>
    </row>
    <row r="15090" spans="3:9" ht="15.75">
      <c r="C15090" s="949" t="s">
        <v>924</v>
      </c>
      <c r="D15090" s="946"/>
      <c r="E15090" s="947" t="str">
        <f>VLOOKUP(C15090,[50]BASICS!B:D,2,FALSE)</f>
        <v>n/a</v>
      </c>
      <c r="F15090" s="1054">
        <f>+VLOOKUP(C15090,[49]BASICS!B:E,3,FALSE)</f>
        <v>0</v>
      </c>
      <c r="G15090" s="946"/>
      <c r="H15090" s="1031"/>
      <c r="I15090" s="948">
        <f>D15090*F15090</f>
        <v>0</v>
      </c>
    </row>
    <row r="15091" spans="3:9" ht="15.75">
      <c r="C15091" s="951" t="s">
        <v>918</v>
      </c>
      <c r="D15091" s="946"/>
      <c r="E15091" s="947"/>
      <c r="F15091" s="1054"/>
      <c r="G15091" s="946"/>
      <c r="H15091" s="1031"/>
      <c r="I15091" s="952">
        <f>SUM(I15090)</f>
        <v>0</v>
      </c>
    </row>
    <row r="15092" spans="3:9" ht="15.75">
      <c r="C15092" s="951"/>
      <c r="D15092" s="946"/>
      <c r="E15092" s="947"/>
      <c r="F15092" s="1054"/>
      <c r="G15092" s="946"/>
      <c r="H15092" s="1031"/>
      <c r="I15092" s="952"/>
    </row>
    <row r="15093" spans="3:9" ht="15.75">
      <c r="C15093" s="956" t="s">
        <v>926</v>
      </c>
      <c r="D15093" s="957"/>
      <c r="E15093" s="958"/>
      <c r="F15093" s="1069"/>
      <c r="G15093" s="957"/>
      <c r="H15093" s="1032"/>
      <c r="I15093" s="959">
        <f>+I15076</f>
        <v>461500</v>
      </c>
    </row>
    <row r="15094" spans="3:9" ht="15.75">
      <c r="C15094" s="956" t="s">
        <v>927</v>
      </c>
      <c r="D15094" s="957"/>
      <c r="E15094" s="958"/>
      <c r="F15094" s="1069"/>
      <c r="G15094" s="957"/>
      <c r="H15094" s="1032"/>
      <c r="I15094" s="959">
        <f>+I15082</f>
        <v>247087.25</v>
      </c>
    </row>
    <row r="15095" spans="3:9" ht="15.75">
      <c r="C15095" s="956" t="s">
        <v>928</v>
      </c>
      <c r="D15095" s="957"/>
      <c r="E15095" s="958"/>
      <c r="F15095" s="1069"/>
      <c r="G15095" s="957"/>
      <c r="H15095" s="1032"/>
      <c r="I15095" s="959">
        <f>+I15087</f>
        <v>699709.1</v>
      </c>
    </row>
    <row r="15096" spans="3:9" ht="15.75">
      <c r="C15096" s="956" t="s">
        <v>929</v>
      </c>
      <c r="D15096" s="957"/>
      <c r="E15096" s="958"/>
      <c r="F15096" s="1069"/>
      <c r="G15096" s="957"/>
      <c r="H15096" s="1032"/>
      <c r="I15096" s="959">
        <f>+I15091</f>
        <v>0</v>
      </c>
    </row>
    <row r="15097" spans="3:9" ht="15.75">
      <c r="C15097" s="949"/>
      <c r="D15097" s="946"/>
      <c r="E15097" s="947"/>
      <c r="F15097" s="1054"/>
      <c r="G15097" s="946"/>
      <c r="H15097" s="1031"/>
      <c r="I15097" s="948"/>
    </row>
    <row r="15098" spans="3:9" ht="15.75">
      <c r="C15098" s="949"/>
      <c r="D15098" s="946"/>
      <c r="E15098" s="947"/>
      <c r="F15098" s="1054"/>
      <c r="G15098" s="946"/>
      <c r="H15098" s="1031"/>
      <c r="I15098" s="948"/>
    </row>
    <row r="15099" spans="3:9" ht="15.75">
      <c r="C15099" s="951" t="s">
        <v>930</v>
      </c>
      <c r="D15099" s="960"/>
      <c r="E15099" s="943" t="str">
        <f>+E15069</f>
        <v>PA</v>
      </c>
      <c r="F15099" s="1070"/>
      <c r="G15099" s="960"/>
      <c r="H15099" s="1033"/>
      <c r="I15099" s="952">
        <f>SUM(I15093:I15096)</f>
        <v>1408296.35</v>
      </c>
    </row>
    <row r="15100" spans="3:9" ht="15.75">
      <c r="C15100" s="949"/>
      <c r="D15100" s="946"/>
      <c r="E15100" s="947"/>
      <c r="F15100" s="1054"/>
      <c r="G15100" s="946"/>
      <c r="H15100" s="1031"/>
      <c r="I15100" s="948"/>
    </row>
    <row r="15102" spans="3:9" ht="15.75">
      <c r="C15102" s="937" t="str">
        <f>+'[49]LISTA VIAS Y PAISAJISMO'!B108</f>
        <v>Limpieza final y continua</v>
      </c>
      <c r="D15102" s="938"/>
      <c r="E15102" s="962" t="str">
        <f>+'[49]LISTA VIAS Y PAISAJISMO'!D108</f>
        <v>Meses</v>
      </c>
      <c r="F15102" s="1066"/>
      <c r="G15102" s="938"/>
      <c r="H15102" s="1029"/>
      <c r="I15102" s="940">
        <f>I15127</f>
        <v>283000</v>
      </c>
    </row>
    <row r="15103" spans="3:9" ht="15.75">
      <c r="C15103" s="941" t="s">
        <v>908</v>
      </c>
      <c r="D15103" s="942" t="s">
        <v>9</v>
      </c>
      <c r="E15103" s="943" t="s">
        <v>10</v>
      </c>
      <c r="F15103" s="1067" t="s">
        <v>909</v>
      </c>
      <c r="G15103" s="942" t="s">
        <v>910</v>
      </c>
      <c r="H15103" s="1030" t="s">
        <v>911</v>
      </c>
      <c r="I15103" s="944" t="s">
        <v>912</v>
      </c>
    </row>
    <row r="15104" spans="3:9" ht="15.75">
      <c r="C15104" s="945" t="s">
        <v>913</v>
      </c>
      <c r="D15104" s="946"/>
      <c r="E15104" s="947"/>
      <c r="F15104" s="1054"/>
      <c r="G15104" s="946"/>
      <c r="H15104" s="1031"/>
      <c r="I15104" s="948"/>
    </row>
    <row r="15105" spans="3:9" ht="15.75">
      <c r="C15105" s="949" t="s">
        <v>924</v>
      </c>
      <c r="D15105" s="946">
        <v>1</v>
      </c>
      <c r="E15105" s="947" t="str">
        <f>+VLOOKUP(C15105,[49]BASICS!B:E,2,FALSE)</f>
        <v>n/a</v>
      </c>
      <c r="F15105" s="1068">
        <f>+VLOOKUP(C15105,[49]BASICS!B:E,3,FALSE)</f>
        <v>0</v>
      </c>
      <c r="G15105" s="946">
        <f>F15105-(F15105/1.18)</f>
        <v>0</v>
      </c>
      <c r="H15105" s="1031"/>
      <c r="I15105" s="948">
        <f>D15105*F15105</f>
        <v>0</v>
      </c>
    </row>
    <row r="15106" spans="3:9" ht="15.75">
      <c r="C15106" s="951" t="s">
        <v>918</v>
      </c>
      <c r="D15106" s="946"/>
      <c r="E15106" s="947"/>
      <c r="F15106" s="1068"/>
      <c r="G15106" s="946"/>
      <c r="H15106" s="1031"/>
      <c r="I15106" s="952">
        <f>SUM(I15105:I15105)</f>
        <v>0</v>
      </c>
    </row>
    <row r="15107" spans="3:9" ht="15.75">
      <c r="C15107" s="949"/>
      <c r="D15107" s="946"/>
      <c r="E15107" s="947"/>
      <c r="F15107" s="1068"/>
      <c r="G15107" s="946"/>
      <c r="H15107" s="1031"/>
      <c r="I15107" s="948"/>
    </row>
    <row r="15108" spans="3:9" ht="15.75">
      <c r="C15108" s="945" t="s">
        <v>919</v>
      </c>
      <c r="D15108" s="946"/>
      <c r="E15108" s="947"/>
      <c r="F15108" s="1068"/>
      <c r="G15108" s="946"/>
      <c r="H15108" s="1031"/>
      <c r="I15108" s="948"/>
    </row>
    <row r="15109" spans="3:9" ht="15.75">
      <c r="C15109" s="949" t="s">
        <v>1029</v>
      </c>
      <c r="D15109" s="953">
        <f>25*5</f>
        <v>125</v>
      </c>
      <c r="E15109" s="954" t="str">
        <f>+VLOOKUP(C15109,[49]BASICS!B:E,2,FALSE)</f>
        <v>dia</v>
      </c>
      <c r="F15109" s="1068">
        <f>'Basic (equilibrio) (2)'!$D$14</f>
        <v>900</v>
      </c>
      <c r="G15109" s="946">
        <f>F15109-(F15109/1.18)</f>
        <v>137.29</v>
      </c>
      <c r="H15109" s="1031"/>
      <c r="I15109" s="948">
        <f>(D15109*F15109)</f>
        <v>112500</v>
      </c>
    </row>
    <row r="15110" spans="3:9" ht="15.75">
      <c r="C15110" s="949" t="s">
        <v>973</v>
      </c>
      <c r="D15110" s="953">
        <f>25*5</f>
        <v>125</v>
      </c>
      <c r="E15110" s="954" t="s">
        <v>1027</v>
      </c>
      <c r="F15110" s="1068">
        <f>'Basic (equilibrio) (2)'!$D$11</f>
        <v>1364</v>
      </c>
      <c r="G15110" s="946">
        <f>F15110-(F15110/1.18)</f>
        <v>208.07</v>
      </c>
      <c r="H15110" s="1031"/>
      <c r="I15110" s="948">
        <f>(D15110*F15110)</f>
        <v>170500</v>
      </c>
    </row>
    <row r="15111" spans="3:9" ht="15.75">
      <c r="C15111" s="951" t="s">
        <v>918</v>
      </c>
      <c r="D15111" s="946"/>
      <c r="E15111" s="947"/>
      <c r="F15111" s="1054"/>
      <c r="G15111" s="946"/>
      <c r="H15111" s="1031"/>
      <c r="I15111" s="952">
        <f>SUM(I15109:I15110)</f>
        <v>283000</v>
      </c>
    </row>
    <row r="15112" spans="3:9" ht="15.75">
      <c r="C15112" s="949"/>
      <c r="D15112" s="946"/>
      <c r="E15112" s="947"/>
      <c r="F15112" s="1054"/>
      <c r="G15112" s="946"/>
      <c r="H15112" s="1031"/>
      <c r="I15112" s="948"/>
    </row>
    <row r="15113" spans="3:9" ht="15.75">
      <c r="C15113" s="945" t="s">
        <v>923</v>
      </c>
      <c r="D15113" s="946"/>
      <c r="E15113" s="947"/>
      <c r="F15113" s="1054"/>
      <c r="G15113" s="946"/>
      <c r="H15113" s="1031"/>
      <c r="I15113" s="948"/>
    </row>
    <row r="15114" spans="3:9" ht="15.75">
      <c r="C15114" s="949" t="s">
        <v>924</v>
      </c>
      <c r="D15114" s="946"/>
      <c r="E15114" s="947" t="str">
        <f>+VLOOKUP(C15114,[49]BASICS!B:E,2,FALSE)</f>
        <v>n/a</v>
      </c>
      <c r="F15114" s="1054">
        <f>+VLOOKUP(C15114,[49]BASICS!B:E,3,FALSE)</f>
        <v>0</v>
      </c>
      <c r="G15114" s="946">
        <f>F15114-(F15114/1.18)</f>
        <v>0</v>
      </c>
      <c r="H15114" s="1039"/>
      <c r="I15114" s="955">
        <f>D15114*F15114</f>
        <v>0</v>
      </c>
    </row>
    <row r="15115" spans="3:9" ht="15.75">
      <c r="C15115" s="951" t="s">
        <v>918</v>
      </c>
      <c r="D15115" s="946"/>
      <c r="E15115" s="947"/>
      <c r="F15115" s="1054"/>
      <c r="G15115" s="946"/>
      <c r="H15115" s="1031"/>
      <c r="I15115" s="952">
        <f>SUM(I15114:I15114)</f>
        <v>0</v>
      </c>
    </row>
    <row r="15116" spans="3:9" ht="15.75">
      <c r="C15116" s="949"/>
      <c r="D15116" s="946"/>
      <c r="E15116" s="947"/>
      <c r="F15116" s="1054"/>
      <c r="G15116" s="946"/>
      <c r="H15116" s="1031"/>
      <c r="I15116" s="948"/>
    </row>
    <row r="15117" spans="3:9" ht="15.75">
      <c r="C15117" s="945" t="s">
        <v>925</v>
      </c>
      <c r="D15117" s="946"/>
      <c r="E15117" s="947"/>
      <c r="F15117" s="1054"/>
      <c r="G15117" s="946"/>
      <c r="H15117" s="1031"/>
      <c r="I15117" s="948"/>
    </row>
    <row r="15118" spans="3:9" ht="15.75">
      <c r="C15118" s="949" t="s">
        <v>925</v>
      </c>
      <c r="D15118" s="946">
        <f>+I15111</f>
        <v>283000</v>
      </c>
      <c r="E15118" s="947" t="str">
        <f>VLOOKUP(C15118,[50]BASICS!B:D,2,FALSE)</f>
        <v>Pa</v>
      </c>
      <c r="F15118" s="1054">
        <f>+VLOOKUP(C15118,[49]BASICS!B:E,3,FALSE)</f>
        <v>0</v>
      </c>
      <c r="G15118" s="946"/>
      <c r="H15118" s="1031"/>
      <c r="I15118" s="948">
        <f>D15118*F15118</f>
        <v>0</v>
      </c>
    </row>
    <row r="15119" spans="3:9" ht="15.75">
      <c r="C15119" s="951" t="s">
        <v>918</v>
      </c>
      <c r="D15119" s="946"/>
      <c r="E15119" s="947"/>
      <c r="F15119" s="1054"/>
      <c r="G15119" s="946"/>
      <c r="H15119" s="1031"/>
      <c r="I15119" s="952">
        <f>SUM(I15118)</f>
        <v>0</v>
      </c>
    </row>
    <row r="15120" spans="3:9" ht="15.75">
      <c r="C15120" s="951"/>
      <c r="D15120" s="946"/>
      <c r="E15120" s="947"/>
      <c r="F15120" s="1054"/>
      <c r="G15120" s="946"/>
      <c r="H15120" s="1031"/>
      <c r="I15120" s="952"/>
    </row>
    <row r="15121" spans="3:9" ht="15.75">
      <c r="C15121" s="956" t="s">
        <v>926</v>
      </c>
      <c r="D15121" s="957"/>
      <c r="E15121" s="958"/>
      <c r="F15121" s="1069"/>
      <c r="G15121" s="957"/>
      <c r="H15121" s="1032"/>
      <c r="I15121" s="959">
        <f>+I15106</f>
        <v>0</v>
      </c>
    </row>
    <row r="15122" spans="3:9" ht="15.75">
      <c r="C15122" s="956" t="s">
        <v>927</v>
      </c>
      <c r="D15122" s="957"/>
      <c r="E15122" s="958"/>
      <c r="F15122" s="1069"/>
      <c r="G15122" s="957"/>
      <c r="H15122" s="1032"/>
      <c r="I15122" s="959">
        <f>+I15111</f>
        <v>283000</v>
      </c>
    </row>
    <row r="15123" spans="3:9" ht="15.75">
      <c r="C15123" s="956" t="s">
        <v>928</v>
      </c>
      <c r="D15123" s="957"/>
      <c r="E15123" s="958"/>
      <c r="F15123" s="1069"/>
      <c r="G15123" s="957"/>
      <c r="H15123" s="1032"/>
      <c r="I15123" s="959">
        <f>+I15115</f>
        <v>0</v>
      </c>
    </row>
    <row r="15124" spans="3:9" ht="15.75">
      <c r="C15124" s="956" t="s">
        <v>929</v>
      </c>
      <c r="D15124" s="957"/>
      <c r="E15124" s="958"/>
      <c r="F15124" s="1069"/>
      <c r="G15124" s="957"/>
      <c r="H15124" s="1032"/>
      <c r="I15124" s="959">
        <f>+I15119</f>
        <v>0</v>
      </c>
    </row>
    <row r="15125" spans="3:9" ht="15.75">
      <c r="C15125" s="949"/>
      <c r="D15125" s="946"/>
      <c r="E15125" s="947"/>
      <c r="F15125" s="1054"/>
      <c r="G15125" s="946"/>
      <c r="H15125" s="1031"/>
      <c r="I15125" s="948"/>
    </row>
    <row r="15126" spans="3:9" ht="15.75">
      <c r="C15126" s="949"/>
      <c r="D15126" s="946"/>
      <c r="E15126" s="947"/>
      <c r="F15126" s="1054"/>
      <c r="G15126" s="946"/>
      <c r="H15126" s="1031"/>
      <c r="I15126" s="948"/>
    </row>
    <row r="15127" spans="3:9" ht="15.75">
      <c r="C15127" s="951" t="s">
        <v>930</v>
      </c>
      <c r="D15127" s="960"/>
      <c r="E15127" s="943" t="str">
        <f>+E15102</f>
        <v>Meses</v>
      </c>
      <c r="F15127" s="1070"/>
      <c r="G15127" s="960"/>
      <c r="H15127" s="1033"/>
      <c r="I15127" s="952">
        <f>SUM(I15121:I15124)</f>
        <v>283000</v>
      </c>
    </row>
    <row r="15128" spans="3:9" ht="15.75">
      <c r="C15128" s="949"/>
      <c r="D15128" s="946"/>
      <c r="E15128" s="947"/>
      <c r="F15128" s="1054"/>
      <c r="G15128" s="946"/>
      <c r="H15128" s="1031"/>
      <c r="I15128" s="948"/>
    </row>
  </sheetData>
  <mergeCells count="18">
    <mergeCell ref="C15040:I15040"/>
    <mergeCell ref="B2809:I2809"/>
    <mergeCell ref="B3428:I3428"/>
    <mergeCell ref="B3944:I3944"/>
    <mergeCell ref="B4414:I4414"/>
    <mergeCell ref="B4929:I4929"/>
    <mergeCell ref="B5588:I5588"/>
    <mergeCell ref="B8506:I8506"/>
    <mergeCell ref="C9787:I9787"/>
    <mergeCell ref="C11503:I11503"/>
    <mergeCell ref="B12846:I12846"/>
    <mergeCell ref="B14036:I14036"/>
    <mergeCell ref="B1479:I1479"/>
    <mergeCell ref="B2:I2"/>
    <mergeCell ref="B5:I5"/>
    <mergeCell ref="B650:I650"/>
    <mergeCell ref="B1009:I1009"/>
    <mergeCell ref="B1213:I1213"/>
  </mergeCells>
  <pageMargins left="0.7" right="0.7" top="0.75" bottom="0.75" header="0.3" footer="0.3"/>
  <pageSetup scale="47" orientation="portrait" r:id="rId1"/>
  <rowBreaks count="178" manualBreakCount="178">
    <brk id="67" min="1" max="8" man="1"/>
    <brk id="156" min="1" max="8" man="1"/>
    <brk id="224" min="1" max="8" man="1"/>
    <brk id="317" min="1" max="8" man="1"/>
    <brk id="403" min="1" max="8" man="1"/>
    <brk id="472" min="1" max="8" man="1"/>
    <brk id="564" min="1" max="8" man="1"/>
    <brk id="648" min="1" max="8" man="1"/>
    <brk id="732" min="1" max="8" man="1"/>
    <brk id="812" min="1" max="8" man="1"/>
    <brk id="894" min="1" max="8" man="1"/>
    <brk id="974" min="1" max="8" man="1"/>
    <brk id="1041" min="1" max="8" man="1"/>
    <brk id="1125" min="1" max="8" man="1"/>
    <brk id="1210" min="1" max="8" man="1"/>
    <brk id="1388" min="1" max="8" man="1"/>
    <brk id="1477" min="1" max="8" man="1"/>
    <brk id="1570" min="1" max="8" man="1"/>
    <brk id="1651" min="1" max="8" man="1"/>
    <brk id="1732" min="1" max="8" man="1"/>
    <brk id="1814" min="1" max="8" man="1"/>
    <brk id="1895" min="1" max="8" man="1"/>
    <brk id="1976" min="1" max="8" man="1"/>
    <brk id="2058" min="1" max="8" man="1"/>
    <brk id="2138" min="1" max="8" man="1"/>
    <brk id="2219" min="1" max="8" man="1"/>
    <brk id="2300" min="1" max="8" man="1"/>
    <brk id="2378" min="1" max="8" man="1"/>
    <brk id="2460" min="1" max="8" man="1"/>
    <brk id="2540" min="1" max="8" man="1"/>
    <brk id="2620" min="1" max="8" man="1"/>
    <brk id="2700" min="1" max="8" man="1"/>
    <brk id="2782" min="1" max="8" man="1"/>
    <brk id="2868" min="1" max="8" man="1"/>
    <brk id="2952" min="1" max="8" man="1"/>
    <brk id="3131" min="1" max="8" man="1"/>
    <brk id="3215" min="1" max="8" man="1"/>
    <brk id="3293" min="1" max="8" man="1"/>
    <brk id="3374" min="1" max="8" man="1"/>
    <brk id="3460" min="1" max="8" man="1"/>
    <brk id="3543" min="1" max="8" man="1"/>
    <brk id="3629" min="1" max="8" man="1"/>
    <brk id="3722" min="1" max="8" man="1"/>
    <brk id="3804" min="1" max="8" man="1"/>
    <brk id="3885" min="1" max="8" man="1"/>
    <brk id="4059" min="1" max="8" man="1"/>
    <brk id="4145" min="1" max="8" man="1"/>
    <brk id="4226" min="1" max="8" man="1"/>
    <brk id="4309" min="1" max="8" man="1"/>
    <brk id="4387" min="1" max="8" man="1"/>
    <brk id="4473" min="1" max="8" man="1"/>
    <brk id="4556" min="1" max="8" man="1"/>
    <brk id="4648" min="1" max="8" man="1"/>
    <brk id="4735" min="1" max="8" man="1"/>
    <brk id="4816" min="1" max="8" man="1"/>
    <brk id="4897" min="1" max="8" man="1"/>
    <brk id="4988" min="1" max="8" man="1"/>
    <brk id="5072" min="1" max="8" man="1"/>
    <brk id="5244" min="1" max="8" man="1"/>
    <brk id="5322" min="1" max="8" man="1"/>
    <brk id="5402" min="1" max="8" man="1"/>
    <brk id="5478" min="1" max="8" man="1"/>
    <brk id="5559" min="1" max="8" man="1"/>
    <brk id="5641" min="1" max="8" man="1"/>
    <brk id="5725" min="1" max="8" man="1"/>
    <brk id="5804" min="1" max="8" man="1"/>
    <brk id="5890" min="1" max="8" man="1"/>
    <brk id="5953" min="1" max="8" man="1"/>
    <brk id="6015" min="1" max="8" man="1"/>
    <brk id="6099" min="1" max="8" man="1"/>
    <brk id="6187" min="1" max="8" man="1"/>
    <brk id="6456" min="1" max="8" man="1"/>
    <brk id="6533" min="1" max="8" man="1"/>
    <brk id="6610" min="1" max="8" man="1"/>
    <brk id="6688" min="1" max="8" man="1"/>
    <brk id="6765" min="1" max="8" man="1"/>
    <brk id="6841" min="1" max="8" man="1"/>
    <brk id="6921" min="1" max="8" man="1"/>
    <brk id="7007" min="1" max="8" man="1"/>
    <brk id="7083" min="1" max="8" man="1"/>
    <brk id="7159" min="1" max="8" man="1"/>
    <brk id="7233" min="1" max="8" man="1"/>
    <brk id="7309" min="1" max="8" man="1"/>
    <brk id="7384" min="1" max="8" man="1"/>
    <brk id="7458" min="1" max="8" man="1"/>
    <brk id="7534" min="1" max="8" man="1"/>
    <brk id="7610" min="1" max="8" man="1"/>
    <brk id="7685" min="1" max="8" man="1"/>
    <brk id="7760" min="1" max="8" man="1"/>
    <brk id="7835" min="1" max="8" man="1"/>
    <brk id="7910" min="1" max="8" man="1"/>
    <brk id="7985" min="1" max="8" man="1"/>
    <brk id="8073" min="1" max="8" man="1"/>
    <brk id="8149" min="1" max="8" man="1"/>
    <brk id="8226" min="1" max="8" man="1"/>
    <brk id="8305" min="1" max="8" man="1"/>
    <brk id="8380" min="1" max="8" man="1"/>
    <brk id="8455" min="1" max="8" man="1"/>
    <brk id="8538" min="1" max="8" man="1"/>
    <brk id="8620" min="1" max="8" man="1"/>
    <brk id="8708" min="1" max="8" man="1"/>
    <brk id="8776" min="1" max="8" man="1"/>
    <brk id="8868" min="1" max="8" man="1"/>
    <brk id="8952" min="1" max="8" man="1"/>
    <brk id="9043" min="1" max="8" man="1"/>
    <brk id="9120" min="1" max="8" man="1"/>
    <brk id="9208" min="1" max="8" man="1"/>
    <brk id="9284" min="1" max="8" man="1"/>
    <brk id="9359" min="1" max="8" man="1"/>
    <brk id="9435" min="1" max="8" man="1"/>
    <brk id="9511" min="1" max="8" man="1"/>
    <brk id="9586" min="1" max="8" man="1"/>
    <brk id="9660" min="1" max="8" man="1"/>
    <brk id="9736" min="1" max="8" man="1"/>
    <brk id="9820" min="1" max="8" man="1"/>
    <brk id="9903" min="1" max="8" man="1"/>
    <brk id="9993" min="1" max="8" man="1"/>
    <brk id="10177" min="1" max="8" man="1"/>
    <brk id="10259" min="1" max="8" man="1"/>
    <brk id="10334" min="1" max="8" man="1"/>
    <brk id="10409" min="1" max="8" man="1"/>
    <brk id="10484" min="1" max="8" man="1"/>
    <brk id="10559" min="1" max="8" man="1"/>
    <brk id="10633" min="1" max="8" man="1"/>
    <brk id="10709" min="1" max="8" man="1"/>
    <brk id="10784" min="1" max="8" man="1"/>
    <brk id="10859" min="1" max="8" man="1"/>
    <brk id="10934" min="1" max="8" man="1"/>
    <brk id="11009" min="1" max="8" man="1"/>
    <brk id="11085" min="1" max="8" man="1"/>
    <brk id="11160" min="1" max="8" man="1"/>
    <brk id="11239" min="1" max="8" man="1"/>
    <brk id="11315" min="1" max="8" man="1"/>
    <brk id="11391" min="1" max="8" man="1"/>
    <brk id="11477" min="1" max="8" man="1"/>
    <brk id="11562" min="1" max="8" man="1"/>
    <brk id="11645" min="1" max="8" man="1"/>
    <brk id="11801" min="1" max="8" man="1"/>
    <brk id="11864" min="1" max="8" man="1"/>
    <brk id="12038" min="1" max="8" man="1"/>
    <brk id="12130" min="1" max="8" man="1"/>
    <brk id="12206" min="1" max="8" man="1"/>
    <brk id="12293" min="1" max="8" man="1"/>
    <brk id="12368" min="1" max="8" man="1"/>
    <brk id="12443" min="1" max="8" man="1"/>
    <brk id="12518" min="1" max="8" man="1"/>
    <brk id="12594" min="1" max="8" man="1"/>
    <brk id="12669" min="1" max="8" man="1"/>
    <brk id="12744" min="1" max="8" man="1"/>
    <brk id="12820" min="1" max="8" man="1"/>
    <brk id="12905" min="1" max="8" man="1"/>
    <brk id="12989" min="1" max="8" man="1"/>
    <brk id="13173" min="1" max="8" man="1"/>
    <brk id="13259" min="1" max="8" man="1"/>
    <brk id="13339" min="1" max="8" man="1"/>
    <brk id="13430" min="1" max="8" man="1"/>
    <brk id="13506" min="1" max="8" man="1"/>
    <brk id="13580" min="1" max="8" man="1"/>
    <brk id="13656" min="1" max="8" man="1"/>
    <brk id="13731" min="1" max="8" man="1"/>
    <brk id="13808" min="1" max="8" man="1"/>
    <brk id="13883" min="1" max="8" man="1"/>
    <brk id="13958" min="1" max="8" man="1"/>
    <brk id="14035" min="1" max="8" man="1"/>
    <brk id="14112" min="1" max="8" man="1"/>
    <brk id="14187" min="1" max="8" man="1"/>
    <brk id="14263" min="1" max="8" man="1"/>
    <brk id="14336" min="1" max="8" man="1"/>
    <brk id="14412" min="1" max="8" man="1"/>
    <brk id="14487" min="1" max="8" man="1"/>
    <brk id="14562" min="1" max="8" man="1"/>
    <brk id="14637" min="1" max="8" man="1"/>
    <brk id="14711" min="1" max="8" man="1"/>
    <brk id="14787" min="1" max="8" man="1"/>
    <brk id="14862" min="1" max="8" man="1"/>
    <brk id="14936" min="1" max="8" man="1"/>
    <brk id="15012" min="1" max="8" man="1"/>
    <brk id="15068" min="1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7"/>
  <sheetViews>
    <sheetView view="pageBreakPreview" topLeftCell="A166" zoomScaleNormal="100" zoomScaleSheetLayoutView="100" workbookViewId="0">
      <selection activeCell="I176" sqref="I176"/>
    </sheetView>
  </sheetViews>
  <sheetFormatPr baseColWidth="10" defaultRowHeight="15.75"/>
  <cols>
    <col min="2" max="2" width="56.140625" style="949" customWidth="1"/>
    <col min="3" max="3" width="9.140625" style="947" bestFit="1" customWidth="1"/>
    <col min="4" max="4" width="20" style="1046" bestFit="1" customWidth="1"/>
  </cols>
  <sheetData>
    <row r="1" spans="2:4" ht="18.75">
      <c r="C1" s="976" t="s">
        <v>289</v>
      </c>
      <c r="D1" s="1042" t="s">
        <v>1022</v>
      </c>
    </row>
    <row r="2" spans="2:4">
      <c r="B2" s="1151" t="s">
        <v>1024</v>
      </c>
      <c r="C2" s="1152"/>
      <c r="D2" s="1153"/>
    </row>
    <row r="4" spans="2:4">
      <c r="B4" s="949" t="s">
        <v>1580</v>
      </c>
      <c r="C4" s="947" t="s">
        <v>1000</v>
      </c>
      <c r="D4" s="1046">
        <v>112.95</v>
      </c>
    </row>
    <row r="5" spans="2:4">
      <c r="B5" s="949" t="s">
        <v>1581</v>
      </c>
      <c r="C5" s="947" t="s">
        <v>1088</v>
      </c>
      <c r="D5" s="1046">
        <v>115.32</v>
      </c>
    </row>
    <row r="6" spans="2:4">
      <c r="B6" s="949" t="s">
        <v>1582</v>
      </c>
      <c r="C6" s="947" t="s">
        <v>1088</v>
      </c>
      <c r="D6" s="1046">
        <v>45</v>
      </c>
    </row>
    <row r="7" spans="2:4">
      <c r="B7" s="949" t="s">
        <v>1017</v>
      </c>
      <c r="C7" s="947" t="s">
        <v>1025</v>
      </c>
      <c r="D7" s="1046">
        <v>7000</v>
      </c>
    </row>
    <row r="8" spans="2:4">
      <c r="B8" s="949" t="s">
        <v>1018</v>
      </c>
      <c r="C8" s="947" t="s">
        <v>1026</v>
      </c>
      <c r="D8" s="1046">
        <f>D101*23.83</f>
        <v>15489.5</v>
      </c>
    </row>
    <row r="9" spans="2:4">
      <c r="B9" s="949" t="s">
        <v>1019</v>
      </c>
      <c r="C9" s="947" t="s">
        <v>1026</v>
      </c>
      <c r="D9" s="1046">
        <f>D102*23.83</f>
        <v>15489.5</v>
      </c>
    </row>
    <row r="10" spans="2:4">
      <c r="B10" s="949" t="s">
        <v>943</v>
      </c>
      <c r="C10" s="947" t="s">
        <v>1027</v>
      </c>
      <c r="D10" s="1046">
        <v>900</v>
      </c>
    </row>
    <row r="11" spans="2:4">
      <c r="B11" s="949" t="s">
        <v>944</v>
      </c>
      <c r="C11" s="947" t="s">
        <v>1027</v>
      </c>
      <c r="D11" s="1046">
        <v>1364</v>
      </c>
    </row>
    <row r="12" spans="2:4">
      <c r="B12" s="949" t="s">
        <v>1735</v>
      </c>
      <c r="C12" s="947" t="s">
        <v>1027</v>
      </c>
      <c r="D12" s="1046">
        <v>1900</v>
      </c>
    </row>
    <row r="13" spans="2:4">
      <c r="B13" s="949" t="s">
        <v>922</v>
      </c>
      <c r="C13" s="947" t="s">
        <v>1027</v>
      </c>
      <c r="D13" s="1046">
        <v>1200</v>
      </c>
    </row>
    <row r="14" spans="2:4">
      <c r="B14" s="949" t="s">
        <v>1736</v>
      </c>
      <c r="C14" s="947" t="s">
        <v>1027</v>
      </c>
      <c r="D14" s="1046">
        <v>900</v>
      </c>
    </row>
    <row r="15" spans="2:4">
      <c r="B15" s="949" t="s">
        <v>973</v>
      </c>
      <c r="C15" s="947" t="s">
        <v>1000</v>
      </c>
      <c r="D15" s="1046">
        <v>120</v>
      </c>
    </row>
    <row r="16" spans="2:4">
      <c r="B16" s="949" t="s">
        <v>1029</v>
      </c>
      <c r="C16" s="947" t="s">
        <v>1027</v>
      </c>
      <c r="D16" s="1046">
        <v>900</v>
      </c>
    </row>
    <row r="17" spans="2:4">
      <c r="B17" s="949" t="s">
        <v>1052</v>
      </c>
      <c r="C17" s="947" t="s">
        <v>1000</v>
      </c>
      <c r="D17" s="1046">
        <v>50</v>
      </c>
    </row>
    <row r="18" spans="2:4">
      <c r="B18" s="949" t="s">
        <v>920</v>
      </c>
      <c r="C18" s="947" t="s">
        <v>1027</v>
      </c>
      <c r="D18" s="1046">
        <f>680000/23.83</f>
        <v>28535.46</v>
      </c>
    </row>
    <row r="19" spans="2:4">
      <c r="B19" s="949" t="s">
        <v>1064</v>
      </c>
      <c r="C19" s="947" t="s">
        <v>1000</v>
      </c>
      <c r="D19" s="1046">
        <v>114</v>
      </c>
    </row>
    <row r="20" spans="2:4">
      <c r="B20" s="949" t="s">
        <v>1066</v>
      </c>
      <c r="C20" s="947" t="s">
        <v>1045</v>
      </c>
      <c r="D20" s="1046">
        <v>144</v>
      </c>
    </row>
    <row r="21" spans="2:4">
      <c r="B21" s="949" t="s">
        <v>1067</v>
      </c>
      <c r="C21" s="947" t="s">
        <v>1045</v>
      </c>
      <c r="D21" s="1046">
        <v>125</v>
      </c>
    </row>
    <row r="22" spans="2:4">
      <c r="B22" s="949" t="s">
        <v>1072</v>
      </c>
      <c r="C22" s="947" t="s">
        <v>1045</v>
      </c>
      <c r="D22" s="1046">
        <v>351</v>
      </c>
    </row>
    <row r="23" spans="2:4">
      <c r="B23" s="949" t="s">
        <v>959</v>
      </c>
      <c r="C23" s="947" t="s">
        <v>1000</v>
      </c>
      <c r="D23" s="1046">
        <v>50</v>
      </c>
    </row>
    <row r="24" spans="2:4" ht="31.5">
      <c r="B24" s="949" t="s">
        <v>960</v>
      </c>
      <c r="C24" s="947" t="s">
        <v>1000</v>
      </c>
      <c r="D24" s="1046">
        <v>196</v>
      </c>
    </row>
    <row r="25" spans="2:4">
      <c r="B25" s="949" t="s">
        <v>1073</v>
      </c>
      <c r="C25" s="947" t="s">
        <v>1045</v>
      </c>
      <c r="D25" s="1046">
        <v>125</v>
      </c>
    </row>
    <row r="26" spans="2:4">
      <c r="B26" s="949" t="s">
        <v>1074</v>
      </c>
      <c r="C26" s="947" t="s">
        <v>1056</v>
      </c>
      <c r="D26" s="1046">
        <v>1</v>
      </c>
    </row>
    <row r="27" spans="2:4">
      <c r="B27" s="949" t="s">
        <v>1075</v>
      </c>
      <c r="C27" s="947" t="s">
        <v>1056</v>
      </c>
      <c r="D27" s="1046">
        <v>3</v>
      </c>
    </row>
    <row r="28" spans="2:4">
      <c r="B28" s="949" t="s">
        <v>1076</v>
      </c>
      <c r="C28" s="947" t="s">
        <v>1056</v>
      </c>
      <c r="D28" s="1046">
        <v>24</v>
      </c>
    </row>
    <row r="29" spans="2:4">
      <c r="B29" s="949" t="s">
        <v>1077</v>
      </c>
      <c r="C29" s="947" t="s">
        <v>1056</v>
      </c>
      <c r="D29" s="1046">
        <v>22</v>
      </c>
    </row>
    <row r="30" spans="2:4">
      <c r="B30" s="949" t="s">
        <v>1078</v>
      </c>
      <c r="C30" s="947" t="s">
        <v>1000</v>
      </c>
      <c r="D30" s="1046">
        <v>190</v>
      </c>
    </row>
    <row r="31" spans="2:4">
      <c r="B31" s="949" t="s">
        <v>1079</v>
      </c>
      <c r="C31" s="947" t="s">
        <v>1000</v>
      </c>
      <c r="D31" s="1046">
        <v>52</v>
      </c>
    </row>
    <row r="32" spans="2:4">
      <c r="B32" s="949" t="s">
        <v>1080</v>
      </c>
      <c r="C32" s="947" t="s">
        <v>1000</v>
      </c>
      <c r="D32" s="1046">
        <v>26</v>
      </c>
    </row>
    <row r="33" spans="1:4">
      <c r="B33" s="949" t="s">
        <v>1081</v>
      </c>
      <c r="C33" s="947" t="s">
        <v>1045</v>
      </c>
      <c r="D33" s="1046">
        <v>65</v>
      </c>
    </row>
    <row r="34" spans="1:4">
      <c r="B34" s="949" t="s">
        <v>1083</v>
      </c>
      <c r="C34" s="947" t="s">
        <v>1000</v>
      </c>
      <c r="D34" s="1046">
        <v>10</v>
      </c>
    </row>
    <row r="35" spans="1:4">
      <c r="B35" s="949" t="s">
        <v>1084</v>
      </c>
      <c r="C35" s="947" t="s">
        <v>1000</v>
      </c>
      <c r="D35" s="1046">
        <v>65</v>
      </c>
    </row>
    <row r="36" spans="1:4">
      <c r="B36" s="949" t="s">
        <v>1086</v>
      </c>
      <c r="C36" s="947" t="s">
        <v>1045</v>
      </c>
      <c r="D36" s="1046">
        <v>49</v>
      </c>
    </row>
    <row r="37" spans="1:4">
      <c r="B37" s="949" t="s">
        <v>1101</v>
      </c>
      <c r="C37" s="947" t="s">
        <v>1000</v>
      </c>
      <c r="D37" s="1046">
        <f>32.09+18.87</f>
        <v>50.96</v>
      </c>
    </row>
    <row r="38" spans="1:4">
      <c r="B38" s="949" t="s">
        <v>1107</v>
      </c>
      <c r="C38" s="947" t="s">
        <v>1000</v>
      </c>
      <c r="D38" s="1046">
        <v>103</v>
      </c>
    </row>
    <row r="39" spans="1:4">
      <c r="B39" s="949" t="s">
        <v>1108</v>
      </c>
      <c r="C39" s="947" t="s">
        <v>1109</v>
      </c>
      <c r="D39" s="1046">
        <v>12</v>
      </c>
    </row>
    <row r="40" spans="1:4">
      <c r="B40" s="949" t="s">
        <v>1112</v>
      </c>
      <c r="C40" s="947" t="s">
        <v>1045</v>
      </c>
      <c r="D40" s="1046">
        <v>55</v>
      </c>
    </row>
    <row r="41" spans="1:4">
      <c r="B41" s="949" t="s">
        <v>1117</v>
      </c>
      <c r="C41" s="947" t="s">
        <v>1000</v>
      </c>
      <c r="D41" s="1046">
        <v>25</v>
      </c>
    </row>
    <row r="42" spans="1:4">
      <c r="B42" s="949" t="s">
        <v>1118</v>
      </c>
      <c r="C42" s="947" t="s">
        <v>1088</v>
      </c>
      <c r="D42" s="1046">
        <v>95</v>
      </c>
    </row>
    <row r="43" spans="1:4" ht="31.5">
      <c r="B43" s="979" t="s">
        <v>1119</v>
      </c>
      <c r="C43" s="947" t="s">
        <v>1000</v>
      </c>
      <c r="D43" s="1046">
        <v>143</v>
      </c>
    </row>
    <row r="44" spans="1:4" ht="31.5">
      <c r="B44" s="979" t="s">
        <v>1120</v>
      </c>
      <c r="C44" s="947" t="s">
        <v>1000</v>
      </c>
      <c r="D44" s="1046">
        <v>30</v>
      </c>
    </row>
    <row r="45" spans="1:4">
      <c r="B45" s="979" t="s">
        <v>1121</v>
      </c>
      <c r="C45" s="947" t="s">
        <v>1062</v>
      </c>
      <c r="D45" s="1046">
        <v>420</v>
      </c>
    </row>
    <row r="46" spans="1:4">
      <c r="B46" s="1154" t="s">
        <v>1123</v>
      </c>
      <c r="C46" s="1155" t="s">
        <v>1042</v>
      </c>
      <c r="D46" s="1156">
        <v>400</v>
      </c>
    </row>
    <row r="47" spans="1:4">
      <c r="A47" s="119" t="s">
        <v>1742</v>
      </c>
      <c r="B47" s="979" t="s">
        <v>961</v>
      </c>
      <c r="C47" s="947" t="s">
        <v>1000</v>
      </c>
      <c r="D47" s="1046">
        <f>603.26/7</f>
        <v>86.18</v>
      </c>
    </row>
    <row r="48" spans="1:4" ht="31.5">
      <c r="B48" s="979" t="s">
        <v>1131</v>
      </c>
      <c r="C48" s="947" t="s">
        <v>1045</v>
      </c>
      <c r="D48" s="1046">
        <v>400</v>
      </c>
    </row>
    <row r="49" spans="2:4" ht="31.5">
      <c r="B49" s="979" t="s">
        <v>1132</v>
      </c>
      <c r="C49" s="947" t="s">
        <v>1045</v>
      </c>
      <c r="D49" s="1046">
        <v>211</v>
      </c>
    </row>
    <row r="50" spans="2:4">
      <c r="B50" s="979" t="s">
        <v>1140</v>
      </c>
      <c r="C50" s="947" t="s">
        <v>1000</v>
      </c>
      <c r="D50" s="1046">
        <f>47.18+39.65</f>
        <v>86.83</v>
      </c>
    </row>
    <row r="51" spans="2:4">
      <c r="B51" s="949" t="s">
        <v>1160</v>
      </c>
      <c r="C51" s="947" t="s">
        <v>1042</v>
      </c>
      <c r="D51" s="1046">
        <v>3833</v>
      </c>
    </row>
    <row r="52" spans="2:4">
      <c r="B52" s="949" t="s">
        <v>963</v>
      </c>
      <c r="C52" s="947" t="s">
        <v>1045</v>
      </c>
      <c r="D52" s="1046">
        <v>150</v>
      </c>
    </row>
    <row r="53" spans="2:4">
      <c r="B53" s="949" t="s">
        <v>964</v>
      </c>
      <c r="C53" s="947" t="s">
        <v>1045</v>
      </c>
      <c r="D53" s="1046">
        <v>25</v>
      </c>
    </row>
    <row r="54" spans="2:4">
      <c r="B54" s="949" t="s">
        <v>1555</v>
      </c>
      <c r="C54" s="947" t="s">
        <v>1000</v>
      </c>
      <c r="D54" s="1046">
        <v>50</v>
      </c>
    </row>
    <row r="55" spans="2:4">
      <c r="B55" s="949" t="s">
        <v>984</v>
      </c>
      <c r="C55" s="947" t="s">
        <v>1106</v>
      </c>
      <c r="D55" s="1046">
        <v>3000</v>
      </c>
    </row>
    <row r="56" spans="2:4">
      <c r="B56" s="949" t="s">
        <v>996</v>
      </c>
      <c r="C56" s="947" t="s">
        <v>1164</v>
      </c>
      <c r="D56" s="1046">
        <v>350</v>
      </c>
    </row>
    <row r="57" spans="2:4">
      <c r="B57" s="949" t="s">
        <v>1564</v>
      </c>
      <c r="C57" s="947" t="s">
        <v>1088</v>
      </c>
      <c r="D57" s="1046">
        <v>65</v>
      </c>
    </row>
    <row r="58" spans="2:4">
      <c r="B58" s="949" t="s">
        <v>1571</v>
      </c>
      <c r="C58" s="947" t="s">
        <v>1050</v>
      </c>
      <c r="D58" s="1046">
        <v>1195.48</v>
      </c>
    </row>
    <row r="59" spans="2:4">
      <c r="B59" s="949" t="s">
        <v>1732</v>
      </c>
      <c r="C59" s="947" t="s">
        <v>1225</v>
      </c>
      <c r="D59" s="1046">
        <v>90</v>
      </c>
    </row>
    <row r="60" spans="2:4">
      <c r="B60" s="949" t="s">
        <v>1110</v>
      </c>
      <c r="C60" s="947" t="s">
        <v>1000</v>
      </c>
      <c r="D60" s="1046">
        <v>154</v>
      </c>
    </row>
    <row r="61" spans="2:4">
      <c r="B61" s="949" t="s">
        <v>1111</v>
      </c>
      <c r="C61" s="947" t="s">
        <v>1045</v>
      </c>
      <c r="D61" s="1046">
        <v>52</v>
      </c>
    </row>
    <row r="62" spans="2:4">
      <c r="B62" s="949" t="s">
        <v>1113</v>
      </c>
      <c r="C62" s="947" t="s">
        <v>1000</v>
      </c>
      <c r="D62" s="1046">
        <v>103</v>
      </c>
    </row>
    <row r="63" spans="2:4">
      <c r="B63" s="949" t="s">
        <v>1114</v>
      </c>
      <c r="C63" s="947" t="s">
        <v>1000</v>
      </c>
      <c r="D63" s="1046">
        <v>130</v>
      </c>
    </row>
    <row r="64" spans="2:4">
      <c r="B64" s="949" t="s">
        <v>1115</v>
      </c>
      <c r="C64" s="947" t="s">
        <v>1000</v>
      </c>
      <c r="D64" s="1046">
        <v>143</v>
      </c>
    </row>
    <row r="65" spans="2:4">
      <c r="B65" s="949" t="s">
        <v>1116</v>
      </c>
      <c r="C65" s="947" t="s">
        <v>1000</v>
      </c>
      <c r="D65" s="1046">
        <v>164</v>
      </c>
    </row>
    <row r="66" spans="2:4">
      <c r="B66" s="979" t="s">
        <v>1122</v>
      </c>
    </row>
    <row r="67" spans="2:4">
      <c r="B67" s="979" t="s">
        <v>1124</v>
      </c>
      <c r="C67" s="947" t="s">
        <v>1000</v>
      </c>
      <c r="D67" s="1046">
        <f>1.5*58.7</f>
        <v>88.05</v>
      </c>
    </row>
    <row r="68" spans="2:4">
      <c r="B68" s="979" t="s">
        <v>1125</v>
      </c>
      <c r="C68" s="947" t="s">
        <v>1106</v>
      </c>
      <c r="D68" s="1046">
        <v>1065</v>
      </c>
    </row>
    <row r="69" spans="2:4">
      <c r="B69" s="979" t="s">
        <v>1126</v>
      </c>
      <c r="C69" s="947" t="s">
        <v>1106</v>
      </c>
      <c r="D69" s="1046">
        <v>1065</v>
      </c>
    </row>
    <row r="70" spans="2:4">
      <c r="B70" s="979" t="s">
        <v>1127</v>
      </c>
      <c r="C70" s="947" t="s">
        <v>1106</v>
      </c>
      <c r="D70" s="1046">
        <v>530</v>
      </c>
    </row>
    <row r="71" spans="2:4">
      <c r="B71" s="979" t="s">
        <v>1128</v>
      </c>
      <c r="C71" s="947" t="s">
        <v>1106</v>
      </c>
      <c r="D71" s="1046">
        <v>1700</v>
      </c>
    </row>
    <row r="72" spans="2:4">
      <c r="B72" s="979" t="s">
        <v>1129</v>
      </c>
      <c r="C72" s="947" t="s">
        <v>1106</v>
      </c>
      <c r="D72" s="1046">
        <v>1450</v>
      </c>
    </row>
    <row r="73" spans="2:4">
      <c r="B73" s="979" t="s">
        <v>1130</v>
      </c>
      <c r="C73" s="947" t="s">
        <v>1106</v>
      </c>
      <c r="D73" s="1046">
        <v>1460</v>
      </c>
    </row>
    <row r="74" spans="2:4">
      <c r="B74" s="979" t="s">
        <v>1133</v>
      </c>
      <c r="C74" s="947" t="s">
        <v>1045</v>
      </c>
      <c r="D74" s="1046">
        <v>171</v>
      </c>
    </row>
    <row r="75" spans="2:4" ht="31.5">
      <c r="B75" s="979" t="s">
        <v>1134</v>
      </c>
      <c r="C75" s="947" t="s">
        <v>1000</v>
      </c>
      <c r="D75" s="1046">
        <v>25</v>
      </c>
    </row>
    <row r="76" spans="2:4">
      <c r="B76" s="979" t="s">
        <v>1135</v>
      </c>
      <c r="C76" s="947" t="s">
        <v>1045</v>
      </c>
      <c r="D76" s="1046">
        <v>171</v>
      </c>
    </row>
    <row r="77" spans="2:4">
      <c r="B77" s="979" t="s">
        <v>1136</v>
      </c>
      <c r="C77" s="947" t="s">
        <v>1000</v>
      </c>
      <c r="D77" s="1046">
        <v>30</v>
      </c>
    </row>
    <row r="78" spans="2:4">
      <c r="B78" s="979" t="s">
        <v>1137</v>
      </c>
      <c r="C78" s="947" t="s">
        <v>1062</v>
      </c>
      <c r="D78" s="1046">
        <v>420</v>
      </c>
    </row>
    <row r="79" spans="2:4" ht="47.25">
      <c r="B79" s="979" t="s">
        <v>1138</v>
      </c>
      <c r="C79" s="947" t="s">
        <v>1139</v>
      </c>
      <c r="D79" s="1046">
        <v>171</v>
      </c>
    </row>
    <row r="80" spans="2:4">
      <c r="B80" s="949" t="s">
        <v>1141</v>
      </c>
      <c r="C80" s="947" t="s">
        <v>1045</v>
      </c>
      <c r="D80" s="1046">
        <v>71</v>
      </c>
    </row>
    <row r="81" spans="2:4">
      <c r="B81" s="949" t="s">
        <v>1142</v>
      </c>
      <c r="C81" s="947" t="s">
        <v>1045</v>
      </c>
      <c r="D81" s="1046">
        <v>71</v>
      </c>
    </row>
    <row r="82" spans="2:4">
      <c r="B82" s="949" t="s">
        <v>1143</v>
      </c>
      <c r="C82" s="947" t="s">
        <v>1045</v>
      </c>
      <c r="D82" s="1046">
        <v>71</v>
      </c>
    </row>
    <row r="83" spans="2:4">
      <c r="B83" s="949" t="s">
        <v>1144</v>
      </c>
      <c r="C83" s="947" t="s">
        <v>10</v>
      </c>
      <c r="D83" s="1046">
        <v>45</v>
      </c>
    </row>
    <row r="84" spans="2:4">
      <c r="B84" s="949" t="s">
        <v>1145</v>
      </c>
      <c r="C84" s="947" t="s">
        <v>1000</v>
      </c>
      <c r="D84" s="1046">
        <v>35</v>
      </c>
    </row>
    <row r="85" spans="2:4">
      <c r="B85" s="949" t="s">
        <v>1146</v>
      </c>
      <c r="C85" s="947" t="s">
        <v>1025</v>
      </c>
      <c r="D85" s="1046">
        <v>0</v>
      </c>
    </row>
    <row r="86" spans="2:4">
      <c r="B86" s="949" t="s">
        <v>1147</v>
      </c>
      <c r="C86" s="947" t="s">
        <v>1026</v>
      </c>
      <c r="D86" s="1046">
        <f>100000*1.2</f>
        <v>120000</v>
      </c>
    </row>
    <row r="87" spans="2:4">
      <c r="B87" s="949" t="s">
        <v>1148</v>
      </c>
      <c r="C87" s="947" t="s">
        <v>1026</v>
      </c>
      <c r="D87" s="1046">
        <f>45000*1.2</f>
        <v>54000</v>
      </c>
    </row>
    <row r="88" spans="2:4">
      <c r="B88" s="949" t="s">
        <v>1149</v>
      </c>
      <c r="C88" s="947" t="s">
        <v>1026</v>
      </c>
      <c r="D88" s="1046">
        <f>35000*1.2</f>
        <v>42000</v>
      </c>
    </row>
    <row r="89" spans="2:4">
      <c r="B89" s="949" t="s">
        <v>1150</v>
      </c>
      <c r="C89" s="947" t="s">
        <v>1026</v>
      </c>
      <c r="D89" s="1046">
        <f>70000*1.2</f>
        <v>84000</v>
      </c>
    </row>
    <row r="90" spans="2:4">
      <c r="B90" s="949" t="s">
        <v>1151</v>
      </c>
      <c r="C90" s="947" t="s">
        <v>1026</v>
      </c>
      <c r="D90" s="1046">
        <f>+D87</f>
        <v>54000</v>
      </c>
    </row>
    <row r="91" spans="2:4">
      <c r="B91" s="949" t="s">
        <v>1152</v>
      </c>
      <c r="C91" s="947" t="s">
        <v>1026</v>
      </c>
      <c r="D91" s="1046">
        <f>40000*1.2</f>
        <v>48000</v>
      </c>
    </row>
    <row r="92" spans="2:4">
      <c r="B92" s="949" t="s">
        <v>1153</v>
      </c>
      <c r="C92" s="947" t="s">
        <v>1025</v>
      </c>
      <c r="D92" s="1046">
        <v>4000</v>
      </c>
    </row>
    <row r="93" spans="2:4">
      <c r="B93" s="949" t="s">
        <v>1154</v>
      </c>
      <c r="C93" s="947" t="s">
        <v>1025</v>
      </c>
      <c r="D93" s="1046">
        <v>6000</v>
      </c>
    </row>
    <row r="94" spans="2:4">
      <c r="B94" s="949" t="s">
        <v>1155</v>
      </c>
      <c r="C94" s="947" t="s">
        <v>1025</v>
      </c>
      <c r="D94" s="1046">
        <v>1000</v>
      </c>
    </row>
    <row r="95" spans="2:4">
      <c r="B95" s="949" t="s">
        <v>1156</v>
      </c>
      <c r="C95" s="947" t="s">
        <v>1000</v>
      </c>
      <c r="D95" s="1046">
        <v>12</v>
      </c>
    </row>
    <row r="96" spans="2:4">
      <c r="B96" s="949" t="s">
        <v>1157</v>
      </c>
      <c r="C96" s="947" t="s">
        <v>1042</v>
      </c>
      <c r="D96" s="1046">
        <f>20*58.7</f>
        <v>1174</v>
      </c>
    </row>
    <row r="97" spans="2:4">
      <c r="B97" s="949" t="s">
        <v>1158</v>
      </c>
      <c r="C97" s="947" t="s">
        <v>1000</v>
      </c>
      <c r="D97" s="1046">
        <v>650</v>
      </c>
    </row>
    <row r="98" spans="2:4">
      <c r="B98" s="949" t="s">
        <v>1159</v>
      </c>
      <c r="C98" s="947" t="s">
        <v>1042</v>
      </c>
      <c r="D98" s="1046">
        <v>4500</v>
      </c>
    </row>
    <row r="99" spans="2:4">
      <c r="B99" s="949" t="s">
        <v>973</v>
      </c>
      <c r="C99" s="947" t="s">
        <v>1027</v>
      </c>
      <c r="D99" s="1046">
        <v>1364</v>
      </c>
    </row>
    <row r="100" spans="2:4">
      <c r="B100" s="949" t="s">
        <v>1028</v>
      </c>
      <c r="C100" s="947" t="s">
        <v>1000</v>
      </c>
      <c r="D100" s="1046">
        <f>36.05*2</f>
        <v>72.099999999999994</v>
      </c>
    </row>
    <row r="101" spans="2:4">
      <c r="B101" s="949" t="s">
        <v>1030</v>
      </c>
      <c r="C101" s="947" t="s">
        <v>1027</v>
      </c>
      <c r="D101" s="1046">
        <v>650</v>
      </c>
    </row>
    <row r="102" spans="2:4">
      <c r="B102" s="949" t="s">
        <v>1031</v>
      </c>
      <c r="C102" s="947" t="s">
        <v>1027</v>
      </c>
      <c r="D102" s="1046">
        <v>650</v>
      </c>
    </row>
    <row r="103" spans="2:4">
      <c r="B103" s="949" t="s">
        <v>1032</v>
      </c>
      <c r="C103" s="947" t="s">
        <v>1027</v>
      </c>
      <c r="D103" s="1046">
        <v>1100</v>
      </c>
    </row>
    <row r="104" spans="2:4">
      <c r="B104" s="949" t="s">
        <v>1033</v>
      </c>
      <c r="C104" s="947" t="s">
        <v>1027</v>
      </c>
      <c r="D104" s="1046">
        <v>1255</v>
      </c>
    </row>
    <row r="105" spans="2:4">
      <c r="B105" s="949" t="s">
        <v>1034</v>
      </c>
      <c r="C105" s="947" t="s">
        <v>1027</v>
      </c>
      <c r="D105" s="1046">
        <v>1569</v>
      </c>
    </row>
    <row r="106" spans="2:4">
      <c r="B106" s="949" t="s">
        <v>1035</v>
      </c>
      <c r="C106" s="947" t="s">
        <v>1027</v>
      </c>
      <c r="D106" s="1046">
        <v>1977</v>
      </c>
    </row>
    <row r="107" spans="2:4">
      <c r="B107" s="949" t="s">
        <v>924</v>
      </c>
      <c r="C107" s="947" t="s">
        <v>1036</v>
      </c>
      <c r="D107" s="1046">
        <v>0</v>
      </c>
    </row>
    <row r="108" spans="2:4" ht="47.25">
      <c r="B108" s="949" t="s">
        <v>1037</v>
      </c>
      <c r="C108" s="947" t="s">
        <v>1026</v>
      </c>
      <c r="D108" s="1046">
        <f>G26</f>
        <v>0</v>
      </c>
    </row>
    <row r="109" spans="2:4" ht="31.5">
      <c r="B109" s="949" t="s">
        <v>1039</v>
      </c>
      <c r="C109" s="947" t="s">
        <v>1026</v>
      </c>
      <c r="D109" s="1046">
        <f>G27</f>
        <v>0</v>
      </c>
    </row>
    <row r="110" spans="2:4" ht="31.5">
      <c r="B110" s="949" t="s">
        <v>1040</v>
      </c>
      <c r="C110" s="947" t="s">
        <v>1000</v>
      </c>
      <c r="D110" s="1046">
        <f>G28</f>
        <v>0</v>
      </c>
    </row>
    <row r="111" spans="2:4">
      <c r="B111" s="949" t="s">
        <v>1041</v>
      </c>
      <c r="C111" s="947" t="s">
        <v>1042</v>
      </c>
      <c r="D111" s="1046">
        <f>G29</f>
        <v>0</v>
      </c>
    </row>
    <row r="112" spans="2:4">
      <c r="B112" s="949" t="s">
        <v>1043</v>
      </c>
      <c r="C112" s="947" t="s">
        <v>1042</v>
      </c>
      <c r="D112" s="1046">
        <v>1959</v>
      </c>
    </row>
    <row r="113" spans="2:4">
      <c r="B113" s="949" t="s">
        <v>1044</v>
      </c>
      <c r="C113" s="947" t="s">
        <v>1045</v>
      </c>
      <c r="D113" s="1046">
        <v>35</v>
      </c>
    </row>
    <row r="114" spans="2:4">
      <c r="B114" s="949" t="s">
        <v>1046</v>
      </c>
      <c r="C114" s="947" t="s">
        <v>1045</v>
      </c>
      <c r="D114" s="1046">
        <v>25</v>
      </c>
    </row>
    <row r="115" spans="2:4">
      <c r="B115" s="949" t="s">
        <v>1047</v>
      </c>
      <c r="C115" s="947" t="s">
        <v>1045</v>
      </c>
      <c r="D115" s="1046">
        <f>+D114*2</f>
        <v>50</v>
      </c>
    </row>
    <row r="116" spans="2:4">
      <c r="B116" s="949" t="s">
        <v>1048</v>
      </c>
      <c r="C116" s="947" t="s">
        <v>1000</v>
      </c>
      <c r="D116" s="1046">
        <v>10</v>
      </c>
    </row>
    <row r="117" spans="2:4">
      <c r="B117" s="949" t="s">
        <v>1049</v>
      </c>
      <c r="C117" s="947" t="s">
        <v>1050</v>
      </c>
      <c r="D117" s="1046">
        <v>63</v>
      </c>
    </row>
    <row r="118" spans="2:4">
      <c r="B118" s="949" t="s">
        <v>1051</v>
      </c>
      <c r="C118" s="947" t="s">
        <v>1000</v>
      </c>
      <c r="D118" s="1046">
        <v>120</v>
      </c>
    </row>
    <row r="119" spans="2:4">
      <c r="B119" s="949" t="s">
        <v>1053</v>
      </c>
      <c r="C119" s="947" t="s">
        <v>1000</v>
      </c>
    </row>
    <row r="120" spans="2:4">
      <c r="B120" s="949" t="s">
        <v>1054</v>
      </c>
      <c r="C120" s="947" t="s">
        <v>1000</v>
      </c>
    </row>
    <row r="121" spans="2:4">
      <c r="B121" s="949" t="s">
        <v>1055</v>
      </c>
      <c r="C121" s="947" t="s">
        <v>1056</v>
      </c>
      <c r="D121" s="1046">
        <v>600</v>
      </c>
    </row>
    <row r="122" spans="2:4">
      <c r="B122" s="949" t="s">
        <v>1057</v>
      </c>
      <c r="C122" s="947" t="s">
        <v>1000</v>
      </c>
      <c r="D122" s="1046">
        <v>150</v>
      </c>
    </row>
    <row r="123" spans="2:4">
      <c r="B123" s="949" t="s">
        <v>1058</v>
      </c>
      <c r="C123" s="947" t="s">
        <v>1042</v>
      </c>
      <c r="D123" s="1046">
        <v>600</v>
      </c>
    </row>
    <row r="124" spans="2:4">
      <c r="B124" s="949" t="s">
        <v>1059</v>
      </c>
      <c r="C124" s="947" t="s">
        <v>1042</v>
      </c>
      <c r="D124" s="1046">
        <v>200</v>
      </c>
    </row>
    <row r="125" spans="2:4" ht="31.5">
      <c r="B125" s="949" t="s">
        <v>1060</v>
      </c>
      <c r="C125" s="947" t="s">
        <v>1026</v>
      </c>
      <c r="D125" s="1046">
        <v>180000</v>
      </c>
    </row>
    <row r="126" spans="2:4">
      <c r="B126" s="949" t="s">
        <v>1061</v>
      </c>
      <c r="C126" s="947" t="s">
        <v>1062</v>
      </c>
      <c r="D126" s="1046">
        <v>420</v>
      </c>
    </row>
    <row r="127" spans="2:4">
      <c r="B127" s="949" t="s">
        <v>1063</v>
      </c>
      <c r="C127" s="947" t="s">
        <v>1000</v>
      </c>
      <c r="D127" s="1046">
        <v>130</v>
      </c>
    </row>
    <row r="128" spans="2:4">
      <c r="B128" s="949" t="s">
        <v>1085</v>
      </c>
      <c r="C128" s="947" t="s">
        <v>1045</v>
      </c>
      <c r="D128" s="1046">
        <v>352</v>
      </c>
    </row>
    <row r="129" spans="2:4">
      <c r="B129" s="949" t="s">
        <v>1082</v>
      </c>
      <c r="C129" s="947" t="s">
        <v>1045</v>
      </c>
      <c r="D129" s="1046">
        <f>D33</f>
        <v>65</v>
      </c>
    </row>
    <row r="130" spans="2:4">
      <c r="B130" s="949" t="s">
        <v>1087</v>
      </c>
      <c r="C130" s="947" t="s">
        <v>1088</v>
      </c>
      <c r="D130" s="1046">
        <v>200</v>
      </c>
    </row>
    <row r="131" spans="2:4">
      <c r="B131" s="949" t="s">
        <v>1089</v>
      </c>
      <c r="C131" s="947" t="s">
        <v>1088</v>
      </c>
      <c r="D131" s="1046">
        <v>505</v>
      </c>
    </row>
    <row r="132" spans="2:4">
      <c r="B132" s="949" t="s">
        <v>1090</v>
      </c>
      <c r="C132" s="947" t="s">
        <v>1042</v>
      </c>
      <c r="D132" s="1046">
        <v>365</v>
      </c>
    </row>
    <row r="133" spans="2:4">
      <c r="B133" s="949" t="s">
        <v>1091</v>
      </c>
      <c r="C133" s="947" t="s">
        <v>1050</v>
      </c>
      <c r="D133" s="1046">
        <v>8</v>
      </c>
    </row>
    <row r="134" spans="2:4">
      <c r="B134" s="949" t="s">
        <v>1092</v>
      </c>
      <c r="C134" s="947" t="s">
        <v>1050</v>
      </c>
      <c r="D134" s="1046">
        <f>2110.17*1.18</f>
        <v>2490</v>
      </c>
    </row>
    <row r="135" spans="2:4" ht="31.5">
      <c r="B135" s="949" t="s">
        <v>1094</v>
      </c>
      <c r="C135" s="947" t="s">
        <v>1050</v>
      </c>
      <c r="D135" s="1046">
        <f>2817.8*1.18</f>
        <v>3325</v>
      </c>
    </row>
    <row r="136" spans="2:4">
      <c r="B136" s="949" t="s">
        <v>1095</v>
      </c>
      <c r="C136" s="947" t="s">
        <v>1050</v>
      </c>
      <c r="D136" s="1046">
        <v>1800</v>
      </c>
    </row>
    <row r="137" spans="2:4" ht="47.25">
      <c r="B137" s="949" t="s">
        <v>1096</v>
      </c>
      <c r="C137" s="947" t="s">
        <v>10</v>
      </c>
      <c r="D137" s="1046">
        <v>45000</v>
      </c>
    </row>
    <row r="138" spans="2:4">
      <c r="B138" s="949" t="s">
        <v>1097</v>
      </c>
      <c r="C138" s="947" t="s">
        <v>1045</v>
      </c>
      <c r="D138" s="1046">
        <v>35</v>
      </c>
    </row>
    <row r="139" spans="2:4">
      <c r="B139" s="949" t="s">
        <v>921</v>
      </c>
      <c r="C139" s="947" t="s">
        <v>1027</v>
      </c>
      <c r="D139" s="1046">
        <v>1719</v>
      </c>
    </row>
    <row r="140" spans="2:4">
      <c r="B140" s="949" t="s">
        <v>922</v>
      </c>
      <c r="C140" s="947" t="s">
        <v>1027</v>
      </c>
      <c r="D140" s="1046">
        <v>737</v>
      </c>
    </row>
    <row r="141" spans="2:4">
      <c r="B141" s="949" t="s">
        <v>931</v>
      </c>
      <c r="C141" s="947" t="s">
        <v>1027</v>
      </c>
      <c r="D141" s="1046">
        <v>650</v>
      </c>
    </row>
    <row r="142" spans="2:4">
      <c r="B142" s="949" t="s">
        <v>1098</v>
      </c>
      <c r="C142" s="947" t="s">
        <v>1027</v>
      </c>
      <c r="D142" s="1046">
        <v>650</v>
      </c>
    </row>
    <row r="143" spans="2:4">
      <c r="B143" s="949" t="s">
        <v>1099</v>
      </c>
      <c r="C143" s="947" t="s">
        <v>1026</v>
      </c>
      <c r="D143" s="1046">
        <v>650</v>
      </c>
    </row>
    <row r="144" spans="2:4">
      <c r="B144" s="949" t="s">
        <v>1100</v>
      </c>
      <c r="C144" s="947" t="s">
        <v>1000</v>
      </c>
      <c r="D144" s="1046">
        <f>32.09+18.87</f>
        <v>50.96</v>
      </c>
    </row>
    <row r="145" spans="2:4">
      <c r="B145" s="949" t="s">
        <v>1102</v>
      </c>
      <c r="C145" s="947" t="s">
        <v>1000</v>
      </c>
      <c r="D145" s="1046">
        <v>32</v>
      </c>
    </row>
    <row r="146" spans="2:4">
      <c r="B146" s="949" t="s">
        <v>1103</v>
      </c>
      <c r="C146" s="947" t="s">
        <v>1000</v>
      </c>
      <c r="D146" s="1046">
        <f>8.5*56.9</f>
        <v>483.65</v>
      </c>
    </row>
    <row r="147" spans="2:4">
      <c r="B147" s="949" t="s">
        <v>1104</v>
      </c>
      <c r="C147" s="947" t="s">
        <v>1027</v>
      </c>
      <c r="D147" s="1046">
        <v>737</v>
      </c>
    </row>
    <row r="148" spans="2:4">
      <c r="B148" s="949" t="s">
        <v>1065</v>
      </c>
      <c r="C148" s="947" t="s">
        <v>1045</v>
      </c>
      <c r="D148" s="1046">
        <f>115*1.25</f>
        <v>143.75</v>
      </c>
    </row>
    <row r="149" spans="2:4">
      <c r="B149" s="949" t="s">
        <v>1068</v>
      </c>
      <c r="C149" s="947" t="s">
        <v>1042</v>
      </c>
      <c r="D149" s="1046">
        <v>800</v>
      </c>
    </row>
    <row r="150" spans="2:4">
      <c r="B150" s="949" t="s">
        <v>1069</v>
      </c>
      <c r="C150" s="947" t="s">
        <v>1000</v>
      </c>
      <c r="D150" s="1046">
        <v>200</v>
      </c>
    </row>
    <row r="151" spans="2:4">
      <c r="B151" s="949" t="s">
        <v>1070</v>
      </c>
      <c r="C151" s="947" t="s">
        <v>1000</v>
      </c>
      <c r="D151" s="1046">
        <v>235</v>
      </c>
    </row>
    <row r="152" spans="2:4">
      <c r="B152" s="949" t="s">
        <v>1071</v>
      </c>
      <c r="C152" s="947" t="s">
        <v>1000</v>
      </c>
      <c r="D152" s="1046">
        <v>150</v>
      </c>
    </row>
    <row r="153" spans="2:4">
      <c r="B153" s="949" t="s">
        <v>1105</v>
      </c>
      <c r="C153" s="947" t="s">
        <v>1106</v>
      </c>
      <c r="D153" s="1046">
        <v>1700</v>
      </c>
    </row>
    <row r="154" spans="2:4">
      <c r="B154" s="949" t="s">
        <v>1161</v>
      </c>
      <c r="C154" s="947" t="s">
        <v>1045</v>
      </c>
      <c r="D154" s="1046">
        <v>80</v>
      </c>
    </row>
    <row r="155" spans="2:4">
      <c r="B155" s="949" t="s">
        <v>1162</v>
      </c>
      <c r="C155" s="947" t="s">
        <v>1045</v>
      </c>
      <c r="D155" s="1046">
        <v>180</v>
      </c>
    </row>
    <row r="156" spans="2:4">
      <c r="B156" s="949" t="s">
        <v>1163</v>
      </c>
      <c r="C156" s="947" t="s">
        <v>1000</v>
      </c>
      <c r="D156" s="1046">
        <v>150</v>
      </c>
    </row>
    <row r="158" spans="2:4">
      <c r="B158" s="1151" t="s">
        <v>1165</v>
      </c>
      <c r="C158" s="1152"/>
      <c r="D158" s="1153"/>
    </row>
    <row r="160" spans="2:4">
      <c r="B160" s="949" t="s">
        <v>1577</v>
      </c>
      <c r="C160" s="947" t="s">
        <v>1042</v>
      </c>
      <c r="D160" s="1046">
        <v>15000</v>
      </c>
    </row>
    <row r="161" spans="2:4">
      <c r="B161" s="949" t="s">
        <v>1575</v>
      </c>
      <c r="C161" s="947" t="s">
        <v>1000</v>
      </c>
      <c r="D161" s="1046">
        <v>2200</v>
      </c>
    </row>
    <row r="162" spans="2:4" ht="31.5">
      <c r="B162" s="949" t="s">
        <v>1012</v>
      </c>
      <c r="C162" s="947" t="s">
        <v>1106</v>
      </c>
      <c r="D162" s="1046">
        <v>93000</v>
      </c>
    </row>
    <row r="163" spans="2:4" ht="31.5">
      <c r="B163" s="949" t="s">
        <v>967</v>
      </c>
      <c r="C163" s="947" t="s">
        <v>1088</v>
      </c>
      <c r="D163" s="1046">
        <v>95</v>
      </c>
    </row>
    <row r="164" spans="2:4" ht="63">
      <c r="B164" s="980" t="s">
        <v>968</v>
      </c>
      <c r="C164" s="981" t="s">
        <v>1088</v>
      </c>
      <c r="D164" s="1046">
        <v>130</v>
      </c>
    </row>
    <row r="165" spans="2:4">
      <c r="B165" s="949" t="s">
        <v>1521</v>
      </c>
      <c r="C165" s="947" t="s">
        <v>1106</v>
      </c>
      <c r="D165" s="1046">
        <v>900</v>
      </c>
    </row>
    <row r="166" spans="2:4">
      <c r="B166" s="949" t="s">
        <v>942</v>
      </c>
      <c r="C166" s="947" t="s">
        <v>1042</v>
      </c>
      <c r="D166" s="1046">
        <v>1250</v>
      </c>
    </row>
    <row r="167" spans="2:4">
      <c r="B167" s="949" t="s">
        <v>945</v>
      </c>
      <c r="C167" s="947" t="s">
        <v>1167</v>
      </c>
      <c r="D167" s="1046">
        <v>350</v>
      </c>
    </row>
    <row r="168" spans="2:4">
      <c r="B168" s="1106" t="s">
        <v>941</v>
      </c>
      <c r="C168" s="1107" t="s">
        <v>1168</v>
      </c>
      <c r="D168" s="1108">
        <v>330</v>
      </c>
    </row>
    <row r="169" spans="2:4">
      <c r="B169" s="949" t="s">
        <v>946</v>
      </c>
      <c r="C169" s="947" t="s">
        <v>1168</v>
      </c>
      <c r="D169" s="1046">
        <v>6</v>
      </c>
    </row>
    <row r="170" spans="2:4">
      <c r="B170" s="949" t="s">
        <v>1013</v>
      </c>
      <c r="C170" s="947" t="s">
        <v>1056</v>
      </c>
      <c r="D170" s="1046">
        <v>25000</v>
      </c>
    </row>
    <row r="171" spans="2:4">
      <c r="B171" s="949" t="s">
        <v>1014</v>
      </c>
      <c r="C171" s="947" t="s">
        <v>1056</v>
      </c>
      <c r="D171" s="1046">
        <v>26500</v>
      </c>
    </row>
    <row r="172" spans="2:4">
      <c r="B172" s="949" t="s">
        <v>1015</v>
      </c>
      <c r="C172" s="947" t="s">
        <v>1056</v>
      </c>
      <c r="D172" s="1046">
        <v>180000</v>
      </c>
    </row>
    <row r="173" spans="2:4">
      <c r="B173" s="949" t="s">
        <v>1016</v>
      </c>
      <c r="C173" s="947" t="s">
        <v>1025</v>
      </c>
      <c r="D173" s="1046">
        <v>50000</v>
      </c>
    </row>
    <row r="174" spans="2:4">
      <c r="B174" s="949" t="s">
        <v>1173</v>
      </c>
      <c r="C174" s="947" t="s">
        <v>1167</v>
      </c>
      <c r="D174" s="1046">
        <v>300</v>
      </c>
    </row>
    <row r="175" spans="2:4">
      <c r="B175" s="949" t="s">
        <v>1175</v>
      </c>
      <c r="C175" s="947" t="s">
        <v>1167</v>
      </c>
      <c r="D175" s="1046">
        <f>18*19</f>
        <v>342</v>
      </c>
    </row>
    <row r="176" spans="2:4">
      <c r="B176" s="949" t="s">
        <v>1176</v>
      </c>
      <c r="C176" s="947" t="s">
        <v>1167</v>
      </c>
      <c r="D176" s="1046">
        <f>+D174</f>
        <v>300</v>
      </c>
    </row>
    <row r="177" spans="1:4">
      <c r="B177" s="949" t="s">
        <v>1177</v>
      </c>
      <c r="C177" s="947" t="s">
        <v>1167</v>
      </c>
      <c r="D177" s="1046">
        <f>+D175</f>
        <v>342</v>
      </c>
    </row>
    <row r="178" spans="1:4">
      <c r="A178" t="s">
        <v>1741</v>
      </c>
      <c r="B178" s="949" t="s">
        <v>957</v>
      </c>
      <c r="C178" s="947" t="s">
        <v>1042</v>
      </c>
      <c r="D178" s="1105">
        <v>7899.98</v>
      </c>
    </row>
    <row r="179" spans="1:4">
      <c r="A179" t="s">
        <v>1741</v>
      </c>
      <c r="B179" s="949" t="s">
        <v>994</v>
      </c>
      <c r="C179" s="947" t="s">
        <v>1042</v>
      </c>
      <c r="D179" s="1105">
        <v>7599.99</v>
      </c>
    </row>
    <row r="180" spans="1:4">
      <c r="A180" t="s">
        <v>1741</v>
      </c>
      <c r="B180" s="949" t="s">
        <v>1738</v>
      </c>
      <c r="C180" s="947" t="s">
        <v>1042</v>
      </c>
      <c r="D180" s="1105">
        <v>7199.99</v>
      </c>
    </row>
    <row r="181" spans="1:4">
      <c r="B181" s="949" t="s">
        <v>1002</v>
      </c>
      <c r="C181" s="947" t="s">
        <v>1167</v>
      </c>
      <c r="D181" s="1046">
        <v>1800</v>
      </c>
    </row>
    <row r="182" spans="1:4">
      <c r="B182" s="949" t="s">
        <v>1184</v>
      </c>
      <c r="C182" s="947" t="s">
        <v>1167</v>
      </c>
      <c r="D182" s="1046">
        <f>40*18</f>
        <v>720</v>
      </c>
    </row>
    <row r="183" spans="1:4">
      <c r="B183" s="949" t="s">
        <v>1188</v>
      </c>
      <c r="C183" s="947" t="s">
        <v>1062</v>
      </c>
      <c r="D183" s="1046">
        <v>3600</v>
      </c>
    </row>
    <row r="184" spans="1:4">
      <c r="B184" s="949" t="s">
        <v>1191</v>
      </c>
      <c r="C184" s="947" t="s">
        <v>1042</v>
      </c>
      <c r="D184" s="1049">
        <v>1000</v>
      </c>
    </row>
    <row r="185" spans="1:4">
      <c r="B185" s="949" t="s">
        <v>1193</v>
      </c>
      <c r="C185" s="947" t="s">
        <v>1167</v>
      </c>
      <c r="D185" s="1046">
        <f>+D486</f>
        <v>630</v>
      </c>
    </row>
    <row r="186" spans="1:4" ht="15" customHeight="1">
      <c r="B186" s="949" t="s">
        <v>936</v>
      </c>
      <c r="C186" s="947" t="s">
        <v>1042</v>
      </c>
      <c r="D186" s="1046">
        <v>500</v>
      </c>
    </row>
    <row r="187" spans="1:4">
      <c r="B187" s="949" t="s">
        <v>940</v>
      </c>
      <c r="C187" s="947" t="s">
        <v>1042</v>
      </c>
      <c r="D187" s="1046">
        <v>550</v>
      </c>
    </row>
    <row r="188" spans="1:4">
      <c r="B188" s="949" t="s">
        <v>937</v>
      </c>
      <c r="C188" s="947" t="s">
        <v>1167</v>
      </c>
      <c r="D188" s="1049">
        <f>18*19</f>
        <v>342</v>
      </c>
    </row>
    <row r="189" spans="1:4">
      <c r="B189" s="949" t="s">
        <v>990</v>
      </c>
      <c r="C189" s="947" t="s">
        <v>1042</v>
      </c>
      <c r="D189" s="1046">
        <v>200</v>
      </c>
    </row>
    <row r="190" spans="1:4">
      <c r="B190" s="949" t="s">
        <v>991</v>
      </c>
      <c r="C190" s="947" t="s">
        <v>1167</v>
      </c>
      <c r="D190" s="1046">
        <f>25*20</f>
        <v>500</v>
      </c>
    </row>
    <row r="191" spans="1:4">
      <c r="B191" s="949" t="s">
        <v>1004</v>
      </c>
      <c r="C191" s="947" t="s">
        <v>1183</v>
      </c>
      <c r="D191" s="1046">
        <v>1</v>
      </c>
    </row>
    <row r="192" spans="1:4">
      <c r="B192" s="949" t="s">
        <v>1194</v>
      </c>
      <c r="C192" s="947" t="s">
        <v>1190</v>
      </c>
      <c r="D192" s="1046">
        <f>66.25*1.18</f>
        <v>78.180000000000007</v>
      </c>
    </row>
    <row r="193" spans="1:4">
      <c r="B193" s="949" t="s">
        <v>915</v>
      </c>
      <c r="C193" s="947" t="s">
        <v>1196</v>
      </c>
      <c r="D193" s="1046">
        <f>130.2*1.18</f>
        <v>153.63999999999999</v>
      </c>
    </row>
    <row r="194" spans="1:4">
      <c r="B194" s="949" t="s">
        <v>916</v>
      </c>
      <c r="C194" s="947" t="s">
        <v>1197</v>
      </c>
      <c r="D194" s="1046">
        <f>91.24*1.18</f>
        <v>107.66</v>
      </c>
    </row>
    <row r="195" spans="1:4">
      <c r="B195" s="949" t="s">
        <v>1199</v>
      </c>
      <c r="C195" s="947" t="s">
        <v>1056</v>
      </c>
      <c r="D195" s="1046">
        <f>118*1.18</f>
        <v>139.24</v>
      </c>
    </row>
    <row r="196" spans="1:4">
      <c r="B196" s="949" t="s">
        <v>1662</v>
      </c>
      <c r="C196" s="947" t="s">
        <v>1617</v>
      </c>
      <c r="D196" s="1046">
        <v>25000</v>
      </c>
    </row>
    <row r="197" spans="1:4">
      <c r="B197" s="949" t="s">
        <v>1583</v>
      </c>
      <c r="C197" s="947" t="s">
        <v>1557</v>
      </c>
      <c r="D197" s="1046">
        <v>280</v>
      </c>
    </row>
    <row r="198" spans="1:4">
      <c r="B198" s="949" t="s">
        <v>1584</v>
      </c>
      <c r="C198" s="947" t="s">
        <v>1557</v>
      </c>
      <c r="D198" s="1046">
        <v>280</v>
      </c>
    </row>
    <row r="199" spans="1:4">
      <c r="B199" s="949" t="s">
        <v>1686</v>
      </c>
      <c r="C199" s="947" t="s">
        <v>1000</v>
      </c>
      <c r="D199" s="1046">
        <v>1840</v>
      </c>
    </row>
    <row r="200" spans="1:4">
      <c r="B200" s="949" t="s">
        <v>1685</v>
      </c>
      <c r="C200" s="947" t="s">
        <v>1042</v>
      </c>
      <c r="D200" s="1046">
        <v>1350</v>
      </c>
    </row>
    <row r="201" spans="1:4">
      <c r="B201" s="949" t="s">
        <v>1590</v>
      </c>
      <c r="C201" s="947" t="s">
        <v>1000</v>
      </c>
      <c r="D201" s="1046">
        <v>1850</v>
      </c>
    </row>
    <row r="202" spans="1:4">
      <c r="B202" s="949" t="s">
        <v>1595</v>
      </c>
      <c r="C202" s="947" t="s">
        <v>1000</v>
      </c>
      <c r="D202" s="1046">
        <v>1850</v>
      </c>
    </row>
    <row r="203" spans="1:4">
      <c r="B203" s="949" t="s">
        <v>1591</v>
      </c>
      <c r="C203" s="947" t="s">
        <v>1088</v>
      </c>
      <c r="D203" s="1046">
        <v>750</v>
      </c>
    </row>
    <row r="204" spans="1:4">
      <c r="B204" s="949" t="s">
        <v>1592</v>
      </c>
      <c r="C204" s="947" t="s">
        <v>1088</v>
      </c>
      <c r="D204" s="1046">
        <v>750</v>
      </c>
    </row>
    <row r="205" spans="1:4">
      <c r="B205" s="949" t="s">
        <v>1593</v>
      </c>
      <c r="C205" s="947" t="s">
        <v>1000</v>
      </c>
      <c r="D205" s="1046">
        <v>1550</v>
      </c>
    </row>
    <row r="206" spans="1:4">
      <c r="B206" s="949" t="s">
        <v>1594</v>
      </c>
      <c r="C206" s="947" t="s">
        <v>1000</v>
      </c>
      <c r="D206" s="1046">
        <v>1400</v>
      </c>
    </row>
    <row r="207" spans="1:4">
      <c r="A207" s="119" t="s">
        <v>1745</v>
      </c>
      <c r="B207" s="949" t="s">
        <v>1659</v>
      </c>
      <c r="C207" s="947" t="s">
        <v>1056</v>
      </c>
      <c r="D207" s="1046">
        <v>6300.2</v>
      </c>
    </row>
    <row r="208" spans="1:4">
      <c r="B208" s="949" t="s">
        <v>1596</v>
      </c>
      <c r="C208" s="947" t="s">
        <v>1056</v>
      </c>
      <c r="D208" s="1046">
        <v>12800</v>
      </c>
    </row>
    <row r="209" spans="2:4">
      <c r="B209" s="949" t="s">
        <v>1597</v>
      </c>
      <c r="C209" s="947" t="s">
        <v>1056</v>
      </c>
      <c r="D209" s="1046">
        <v>10818.43</v>
      </c>
    </row>
    <row r="210" spans="2:4">
      <c r="B210" s="949" t="s">
        <v>1687</v>
      </c>
      <c r="C210" s="947" t="s">
        <v>1056</v>
      </c>
      <c r="D210" s="1046">
        <v>18850</v>
      </c>
    </row>
    <row r="211" spans="2:4">
      <c r="B211" s="949" t="s">
        <v>1688</v>
      </c>
      <c r="C211" s="947" t="s">
        <v>1000</v>
      </c>
      <c r="D211" s="1046">
        <v>2600</v>
      </c>
    </row>
    <row r="212" spans="2:4">
      <c r="B212" s="949" t="s">
        <v>1598</v>
      </c>
      <c r="C212" s="947" t="s">
        <v>1056</v>
      </c>
      <c r="D212" s="1046">
        <v>12500.36</v>
      </c>
    </row>
    <row r="213" spans="2:4">
      <c r="B213" s="949" t="s">
        <v>1599</v>
      </c>
      <c r="C213" s="947" t="s">
        <v>1056</v>
      </c>
      <c r="D213" s="1046">
        <v>7189.99</v>
      </c>
    </row>
    <row r="214" spans="2:4">
      <c r="B214" s="949" t="s">
        <v>1600</v>
      </c>
      <c r="C214" s="947" t="s">
        <v>1056</v>
      </c>
      <c r="D214" s="1046">
        <v>5360</v>
      </c>
    </row>
    <row r="215" spans="2:4">
      <c r="B215" s="949" t="s">
        <v>1601</v>
      </c>
      <c r="C215" s="947" t="s">
        <v>1056</v>
      </c>
      <c r="D215" s="1046">
        <v>1355.36</v>
      </c>
    </row>
    <row r="216" spans="2:4">
      <c r="B216" s="949" t="s">
        <v>1602</v>
      </c>
      <c r="C216" s="947" t="s">
        <v>1056</v>
      </c>
      <c r="D216" s="1046">
        <v>2530</v>
      </c>
    </row>
    <row r="217" spans="2:4">
      <c r="B217" s="949" t="s">
        <v>1603</v>
      </c>
      <c r="C217" s="947" t="s">
        <v>1056</v>
      </c>
      <c r="D217" s="1046">
        <v>1355.36</v>
      </c>
    </row>
    <row r="218" spans="2:4">
      <c r="B218" s="949" t="s">
        <v>1658</v>
      </c>
      <c r="C218" s="947" t="s">
        <v>1056</v>
      </c>
      <c r="D218" s="1046">
        <v>1759.3</v>
      </c>
    </row>
    <row r="219" spans="2:4">
      <c r="B219" s="949" t="s">
        <v>1604</v>
      </c>
      <c r="C219" s="947" t="s">
        <v>1056</v>
      </c>
      <c r="D219" s="1046">
        <f>+D217*1.5</f>
        <v>2033.04</v>
      </c>
    </row>
    <row r="220" spans="2:4">
      <c r="B220" s="949" t="s">
        <v>1605</v>
      </c>
      <c r="C220" s="947" t="s">
        <v>1056</v>
      </c>
      <c r="D220" s="1046">
        <v>9681.15</v>
      </c>
    </row>
    <row r="221" spans="2:4">
      <c r="B221" s="949" t="s">
        <v>1606</v>
      </c>
      <c r="C221" s="947" t="s">
        <v>1056</v>
      </c>
      <c r="D221" s="1046">
        <v>5056.96</v>
      </c>
    </row>
    <row r="222" spans="2:4">
      <c r="B222" s="949" t="s">
        <v>1607</v>
      </c>
      <c r="C222" s="947" t="s">
        <v>1056</v>
      </c>
      <c r="D222" s="1046">
        <v>134613.47</v>
      </c>
    </row>
    <row r="223" spans="2:4">
      <c r="B223" s="949" t="s">
        <v>1608</v>
      </c>
      <c r="C223" s="947" t="s">
        <v>1056</v>
      </c>
      <c r="D223" s="1046">
        <v>64843.11</v>
      </c>
    </row>
    <row r="224" spans="2:4">
      <c r="B224" s="949" t="s">
        <v>1609</v>
      </c>
      <c r="C224" s="947" t="s">
        <v>1056</v>
      </c>
      <c r="D224" s="1046">
        <v>2360</v>
      </c>
    </row>
    <row r="225" spans="1:4">
      <c r="A225" s="119" t="s">
        <v>1745</v>
      </c>
      <c r="B225" s="949" t="s">
        <v>1610</v>
      </c>
      <c r="C225" s="947" t="s">
        <v>1056</v>
      </c>
      <c r="D225" s="1046">
        <f>9448*1.18</f>
        <v>11148.64</v>
      </c>
    </row>
    <row r="226" spans="1:4">
      <c r="B226" s="949" t="s">
        <v>1612</v>
      </c>
      <c r="C226" s="947" t="s">
        <v>1056</v>
      </c>
      <c r="D226" s="1046">
        <v>340000</v>
      </c>
    </row>
    <row r="227" spans="1:4">
      <c r="B227" s="949" t="s">
        <v>1611</v>
      </c>
      <c r="C227" s="947" t="s">
        <v>1056</v>
      </c>
      <c r="D227" s="1046">
        <v>75500</v>
      </c>
    </row>
    <row r="228" spans="1:4">
      <c r="A228" s="119" t="s">
        <v>1741</v>
      </c>
      <c r="B228" s="949" t="s">
        <v>1613</v>
      </c>
      <c r="C228" s="947" t="s">
        <v>1056</v>
      </c>
      <c r="D228" s="1046">
        <f>23680*1.18</f>
        <v>27942.400000000001</v>
      </c>
    </row>
    <row r="229" spans="1:4">
      <c r="A229" s="119" t="s">
        <v>1741</v>
      </c>
      <c r="B229" s="949" t="s">
        <v>1614</v>
      </c>
      <c r="C229" s="947" t="s">
        <v>1056</v>
      </c>
      <c r="D229" s="1046">
        <f>65020*1.18</f>
        <v>76723.600000000006</v>
      </c>
    </row>
    <row r="230" spans="1:4">
      <c r="A230" s="119" t="s">
        <v>1741</v>
      </c>
      <c r="B230" s="949" t="s">
        <v>1615</v>
      </c>
      <c r="C230" s="947" t="s">
        <v>1000</v>
      </c>
      <c r="D230" s="1046">
        <v>1500</v>
      </c>
    </row>
    <row r="231" spans="1:4">
      <c r="B231" s="949" t="s">
        <v>1616</v>
      </c>
      <c r="C231" s="947" t="s">
        <v>1617</v>
      </c>
      <c r="D231" s="1046">
        <v>35000</v>
      </c>
    </row>
    <row r="232" spans="1:4">
      <c r="B232" s="949" t="s">
        <v>1618</v>
      </c>
      <c r="C232" s="947" t="s">
        <v>1617</v>
      </c>
      <c r="D232" s="1046">
        <v>12000</v>
      </c>
    </row>
    <row r="233" spans="1:4">
      <c r="B233" s="949" t="s">
        <v>1619</v>
      </c>
      <c r="C233" s="947" t="s">
        <v>1617</v>
      </c>
      <c r="D233" s="1046">
        <v>15000</v>
      </c>
    </row>
    <row r="234" spans="1:4">
      <c r="B234" s="949" t="s">
        <v>1620</v>
      </c>
      <c r="C234" s="947" t="s">
        <v>1056</v>
      </c>
      <c r="D234" s="1046">
        <v>1907</v>
      </c>
    </row>
    <row r="235" spans="1:4">
      <c r="B235" s="949" t="s">
        <v>1621</v>
      </c>
      <c r="C235" s="947" t="s">
        <v>1056</v>
      </c>
      <c r="D235" s="1046">
        <v>1936</v>
      </c>
    </row>
    <row r="236" spans="1:4">
      <c r="B236" s="949" t="s">
        <v>1623</v>
      </c>
      <c r="C236" s="947" t="s">
        <v>1056</v>
      </c>
      <c r="D236" s="1046">
        <v>1996</v>
      </c>
    </row>
    <row r="237" spans="1:4">
      <c r="B237" s="949" t="s">
        <v>1622</v>
      </c>
      <c r="C237" s="947" t="s">
        <v>1056</v>
      </c>
      <c r="D237" s="1046">
        <v>2133</v>
      </c>
    </row>
    <row r="238" spans="1:4">
      <c r="B238" s="949" t="s">
        <v>1624</v>
      </c>
      <c r="C238" s="947" t="s">
        <v>1056</v>
      </c>
      <c r="D238" s="1046">
        <v>3098</v>
      </c>
    </row>
    <row r="239" spans="1:4">
      <c r="B239" s="949" t="s">
        <v>1625</v>
      </c>
      <c r="C239" s="947" t="s">
        <v>1056</v>
      </c>
      <c r="D239" s="1046">
        <v>5350</v>
      </c>
    </row>
    <row r="240" spans="1:4">
      <c r="B240" s="949" t="s">
        <v>1626</v>
      </c>
      <c r="C240" s="947" t="s">
        <v>1056</v>
      </c>
      <c r="D240" s="1046">
        <v>1050</v>
      </c>
    </row>
    <row r="241" spans="1:4">
      <c r="A241" s="119" t="s">
        <v>1742</v>
      </c>
      <c r="B241" s="949" t="s">
        <v>1627</v>
      </c>
      <c r="C241" s="947" t="s">
        <v>1056</v>
      </c>
      <c r="D241" s="1046">
        <v>32409</v>
      </c>
    </row>
    <row r="242" spans="1:4">
      <c r="B242" s="949" t="s">
        <v>1628</v>
      </c>
      <c r="C242" s="947" t="s">
        <v>1056</v>
      </c>
      <c r="D242" s="1046">
        <v>750</v>
      </c>
    </row>
    <row r="243" spans="1:4">
      <c r="B243" s="949" t="s">
        <v>1629</v>
      </c>
      <c r="C243" s="947" t="s">
        <v>1056</v>
      </c>
      <c r="D243" s="1046">
        <v>1050</v>
      </c>
    </row>
    <row r="244" spans="1:4">
      <c r="B244" s="949" t="s">
        <v>1630</v>
      </c>
      <c r="C244" s="947" t="s">
        <v>1056</v>
      </c>
      <c r="D244" s="1046">
        <v>1800</v>
      </c>
    </row>
    <row r="245" spans="1:4">
      <c r="B245" s="949" t="s">
        <v>1631</v>
      </c>
      <c r="C245" s="947" t="s">
        <v>1056</v>
      </c>
      <c r="D245" s="1046">
        <v>8342.2999999999993</v>
      </c>
    </row>
    <row r="246" spans="1:4">
      <c r="B246" s="949" t="s">
        <v>1632</v>
      </c>
      <c r="C246" s="947" t="s">
        <v>1056</v>
      </c>
      <c r="D246" s="1046">
        <v>4500</v>
      </c>
    </row>
    <row r="247" spans="1:4">
      <c r="B247" s="949" t="s">
        <v>1633</v>
      </c>
      <c r="C247" s="947" t="s">
        <v>1056</v>
      </c>
      <c r="D247" s="1046">
        <v>35000</v>
      </c>
    </row>
    <row r="248" spans="1:4">
      <c r="B248" s="949" t="s">
        <v>1634</v>
      </c>
      <c r="C248" s="947" t="s">
        <v>406</v>
      </c>
      <c r="D248" s="1046">
        <v>2800</v>
      </c>
    </row>
    <row r="249" spans="1:4">
      <c r="B249" s="949" t="s">
        <v>1635</v>
      </c>
      <c r="C249" s="947" t="s">
        <v>406</v>
      </c>
      <c r="D249" s="1046">
        <v>2800</v>
      </c>
    </row>
    <row r="250" spans="1:4">
      <c r="B250" s="949" t="s">
        <v>1636</v>
      </c>
      <c r="C250" s="947" t="s">
        <v>500</v>
      </c>
      <c r="D250" s="1046">
        <v>4500</v>
      </c>
    </row>
    <row r="251" spans="1:4">
      <c r="B251" s="949" t="s">
        <v>1637</v>
      </c>
      <c r="C251" s="947" t="s">
        <v>406</v>
      </c>
      <c r="D251" s="1046">
        <v>1300</v>
      </c>
    </row>
    <row r="252" spans="1:4">
      <c r="B252" s="949" t="s">
        <v>1638</v>
      </c>
      <c r="C252" s="947" t="s">
        <v>140</v>
      </c>
      <c r="D252" s="1046">
        <v>13000</v>
      </c>
    </row>
    <row r="253" spans="1:4">
      <c r="B253" s="949" t="s">
        <v>1639</v>
      </c>
      <c r="C253" s="947" t="s">
        <v>1056</v>
      </c>
      <c r="D253" s="1046">
        <v>3500</v>
      </c>
    </row>
    <row r="254" spans="1:4">
      <c r="B254" s="949" t="s">
        <v>1640</v>
      </c>
      <c r="C254" s="947" t="s">
        <v>1109</v>
      </c>
      <c r="D254" s="1046">
        <v>2790</v>
      </c>
    </row>
    <row r="255" spans="1:4">
      <c r="B255" s="949" t="s">
        <v>1641</v>
      </c>
      <c r="C255" s="947" t="s">
        <v>1409</v>
      </c>
      <c r="D255" s="1046">
        <v>1600</v>
      </c>
    </row>
    <row r="256" spans="1:4">
      <c r="B256" s="949" t="s">
        <v>1642</v>
      </c>
      <c r="C256" s="947" t="s">
        <v>1109</v>
      </c>
      <c r="D256" s="1046">
        <v>9000</v>
      </c>
    </row>
    <row r="257" spans="2:4">
      <c r="B257" s="949" t="s">
        <v>1643</v>
      </c>
      <c r="C257" s="947" t="s">
        <v>1109</v>
      </c>
      <c r="D257" s="1046">
        <v>7000</v>
      </c>
    </row>
    <row r="258" spans="2:4">
      <c r="B258" s="949" t="s">
        <v>1644</v>
      </c>
      <c r="C258" s="947" t="s">
        <v>1056</v>
      </c>
      <c r="D258" s="1046">
        <v>12000</v>
      </c>
    </row>
    <row r="259" spans="2:4">
      <c r="B259" s="949" t="s">
        <v>1645</v>
      </c>
      <c r="C259" s="947" t="s">
        <v>1088</v>
      </c>
      <c r="D259" s="1046">
        <v>150</v>
      </c>
    </row>
    <row r="260" spans="2:4">
      <c r="B260" s="949" t="s">
        <v>1647</v>
      </c>
      <c r="C260" s="947" t="s">
        <v>1056</v>
      </c>
      <c r="D260" s="1046">
        <v>1300</v>
      </c>
    </row>
    <row r="261" spans="2:4">
      <c r="B261" s="949" t="s">
        <v>1648</v>
      </c>
      <c r="C261" s="947" t="s">
        <v>1056</v>
      </c>
      <c r="D261" s="1046">
        <v>7800</v>
      </c>
    </row>
    <row r="262" spans="2:4">
      <c r="B262" s="949" t="s">
        <v>1649</v>
      </c>
      <c r="C262" s="947" t="s">
        <v>140</v>
      </c>
      <c r="D262" s="1046">
        <v>6000</v>
      </c>
    </row>
    <row r="263" spans="2:4">
      <c r="B263" s="949" t="s">
        <v>1650</v>
      </c>
      <c r="C263" s="947" t="s">
        <v>1056</v>
      </c>
      <c r="D263" s="1046">
        <v>3915</v>
      </c>
    </row>
    <row r="264" spans="2:4">
      <c r="B264" s="949" t="s">
        <v>1653</v>
      </c>
      <c r="C264" s="947" t="s">
        <v>1617</v>
      </c>
      <c r="D264" s="1046">
        <v>3000</v>
      </c>
    </row>
    <row r="265" spans="2:4">
      <c r="B265" s="949" t="s">
        <v>1660</v>
      </c>
      <c r="C265" s="947" t="s">
        <v>1056</v>
      </c>
      <c r="D265" s="1046">
        <v>1575.3</v>
      </c>
    </row>
    <row r="266" spans="2:4">
      <c r="B266" s="949" t="s">
        <v>1661</v>
      </c>
      <c r="C266" s="947" t="s">
        <v>1109</v>
      </c>
      <c r="D266" s="1046">
        <v>13000</v>
      </c>
    </row>
    <row r="267" spans="2:4">
      <c r="B267" s="949" t="s">
        <v>1655</v>
      </c>
      <c r="C267" s="947" t="s">
        <v>140</v>
      </c>
      <c r="D267" s="1046">
        <v>12000</v>
      </c>
    </row>
    <row r="268" spans="2:4">
      <c r="B268" s="949" t="s">
        <v>1664</v>
      </c>
      <c r="C268" s="947" t="s">
        <v>1088</v>
      </c>
      <c r="D268" s="1046">
        <v>140.62</v>
      </c>
    </row>
    <row r="269" spans="2:4">
      <c r="B269" s="949" t="s">
        <v>1665</v>
      </c>
      <c r="C269" s="947" t="s">
        <v>1088</v>
      </c>
      <c r="D269" s="1046">
        <v>96.46</v>
      </c>
    </row>
    <row r="270" spans="2:4">
      <c r="B270" s="949" t="s">
        <v>1666</v>
      </c>
      <c r="C270" s="947" t="s">
        <v>1088</v>
      </c>
      <c r="D270" s="1046">
        <v>45.23</v>
      </c>
    </row>
    <row r="271" spans="2:4">
      <c r="B271" s="949" t="s">
        <v>1667</v>
      </c>
      <c r="C271" s="947" t="s">
        <v>1088</v>
      </c>
      <c r="D271" s="1046">
        <v>187.75</v>
      </c>
    </row>
    <row r="272" spans="2:4">
      <c r="B272" s="949" t="s">
        <v>1668</v>
      </c>
      <c r="C272" s="947" t="s">
        <v>1088</v>
      </c>
      <c r="D272" s="1046">
        <v>86.3</v>
      </c>
    </row>
    <row r="273" spans="2:4">
      <c r="B273" s="949" t="s">
        <v>1669</v>
      </c>
      <c r="C273" s="947" t="s">
        <v>1088</v>
      </c>
      <c r="D273" s="1046">
        <v>50.6</v>
      </c>
    </row>
    <row r="274" spans="2:4">
      <c r="B274" s="949" t="s">
        <v>1673</v>
      </c>
      <c r="C274" s="947" t="s">
        <v>1088</v>
      </c>
      <c r="D274" s="1046">
        <v>44.05</v>
      </c>
    </row>
    <row r="275" spans="2:4">
      <c r="B275" s="949" t="s">
        <v>1670</v>
      </c>
      <c r="C275" s="947" t="s">
        <v>1056</v>
      </c>
      <c r="D275" s="1046">
        <v>1225</v>
      </c>
    </row>
    <row r="276" spans="2:4">
      <c r="B276" s="949" t="s">
        <v>1671</v>
      </c>
      <c r="C276" s="947" t="s">
        <v>1056</v>
      </c>
      <c r="D276" s="1046">
        <v>960</v>
      </c>
    </row>
    <row r="277" spans="2:4">
      <c r="B277" s="949" t="s">
        <v>1672</v>
      </c>
      <c r="C277" s="947" t="s">
        <v>1056</v>
      </c>
      <c r="D277" s="1046">
        <v>860</v>
      </c>
    </row>
    <row r="278" spans="2:4">
      <c r="B278" s="949" t="s">
        <v>1674</v>
      </c>
      <c r="C278" s="947" t="s">
        <v>1056</v>
      </c>
      <c r="D278" s="1046">
        <v>1845.98</v>
      </c>
    </row>
    <row r="279" spans="2:4">
      <c r="B279" s="949" t="s">
        <v>1675</v>
      </c>
      <c r="C279" s="947" t="s">
        <v>1056</v>
      </c>
      <c r="D279" s="1046">
        <v>9350</v>
      </c>
    </row>
    <row r="280" spans="2:4">
      <c r="B280" s="949" t="s">
        <v>1676</v>
      </c>
      <c r="C280" s="947" t="s">
        <v>1000</v>
      </c>
      <c r="D280" s="1046">
        <v>1450.3</v>
      </c>
    </row>
    <row r="281" spans="2:4">
      <c r="B281" s="949" t="s">
        <v>1677</v>
      </c>
      <c r="C281" s="947" t="s">
        <v>1088</v>
      </c>
      <c r="D281" s="1046">
        <v>311</v>
      </c>
    </row>
    <row r="282" spans="2:4">
      <c r="B282" s="949" t="s">
        <v>1678</v>
      </c>
      <c r="C282" s="947" t="s">
        <v>1679</v>
      </c>
      <c r="D282" s="1046">
        <v>963.44</v>
      </c>
    </row>
    <row r="283" spans="2:4">
      <c r="B283" s="949" t="s">
        <v>1680</v>
      </c>
      <c r="C283" s="947" t="s">
        <v>1409</v>
      </c>
      <c r="D283" s="1046">
        <v>170</v>
      </c>
    </row>
    <row r="284" spans="2:4" ht="47.25">
      <c r="B284" s="949" t="s">
        <v>1681</v>
      </c>
      <c r="C284" s="947" t="s">
        <v>1056</v>
      </c>
      <c r="D284" s="1046">
        <v>35000</v>
      </c>
    </row>
    <row r="285" spans="2:4" ht="47.25">
      <c r="B285" s="949" t="s">
        <v>1682</v>
      </c>
      <c r="C285" s="947" t="s">
        <v>1000</v>
      </c>
      <c r="D285" s="1046">
        <v>12600</v>
      </c>
    </row>
    <row r="286" spans="2:4" ht="17.45" customHeight="1">
      <c r="B286" s="949" t="s">
        <v>1689</v>
      </c>
      <c r="C286" s="947" t="s">
        <v>1056</v>
      </c>
      <c r="D286" s="1046">
        <v>1300</v>
      </c>
    </row>
    <row r="287" spans="2:4">
      <c r="B287" s="949" t="s">
        <v>1690</v>
      </c>
      <c r="C287" s="947" t="s">
        <v>1056</v>
      </c>
      <c r="D287" s="1105">
        <v>1845</v>
      </c>
    </row>
    <row r="288" spans="2:4" ht="16.149999999999999" customHeight="1">
      <c r="B288" s="949" t="s">
        <v>1691</v>
      </c>
      <c r="C288" s="947" t="s">
        <v>1056</v>
      </c>
      <c r="D288" s="1046">
        <v>4900</v>
      </c>
    </row>
    <row r="289" spans="1:4">
      <c r="B289" s="949" t="s">
        <v>1692</v>
      </c>
      <c r="C289" s="947" t="s">
        <v>1056</v>
      </c>
      <c r="D289" s="1046">
        <v>6000</v>
      </c>
    </row>
    <row r="290" spans="1:4">
      <c r="A290" s="119" t="s">
        <v>1745</v>
      </c>
      <c r="B290" s="949" t="s">
        <v>1693</v>
      </c>
      <c r="C290" s="947" t="s">
        <v>1056</v>
      </c>
      <c r="D290" s="1046">
        <f>1335*1.18</f>
        <v>1575.3</v>
      </c>
    </row>
    <row r="291" spans="1:4">
      <c r="A291" s="119"/>
      <c r="B291" s="949" t="s">
        <v>1694</v>
      </c>
      <c r="C291" s="947" t="s">
        <v>1056</v>
      </c>
      <c r="D291" s="1046">
        <f>18350*1.18</f>
        <v>21653</v>
      </c>
    </row>
    <row r="292" spans="1:4">
      <c r="B292" s="949" t="s">
        <v>1695</v>
      </c>
      <c r="C292" s="947" t="s">
        <v>1109</v>
      </c>
      <c r="D292" s="1046">
        <v>40000</v>
      </c>
    </row>
    <row r="293" spans="1:4">
      <c r="B293" s="949" t="s">
        <v>1696</v>
      </c>
      <c r="C293" s="947" t="s">
        <v>1409</v>
      </c>
      <c r="D293" s="1046">
        <v>280</v>
      </c>
    </row>
    <row r="294" spans="1:4">
      <c r="B294" s="949" t="s">
        <v>1700</v>
      </c>
      <c r="C294" s="947" t="s">
        <v>1056</v>
      </c>
      <c r="D294" s="1105">
        <v>13173.52</v>
      </c>
    </row>
    <row r="295" spans="1:4">
      <c r="B295" s="949" t="s">
        <v>1701</v>
      </c>
      <c r="C295" s="947" t="s">
        <v>1056</v>
      </c>
      <c r="D295" s="1105">
        <v>10868.87</v>
      </c>
    </row>
    <row r="296" spans="1:4">
      <c r="B296" s="949" t="s">
        <v>1702</v>
      </c>
      <c r="C296" s="947" t="s">
        <v>1056</v>
      </c>
      <c r="D296" s="1105">
        <v>9090.7199999999993</v>
      </c>
    </row>
    <row r="297" spans="1:4">
      <c r="B297" s="949" t="s">
        <v>1703</v>
      </c>
      <c r="C297" s="947" t="s">
        <v>1056</v>
      </c>
      <c r="D297" s="1105">
        <v>8769.76</v>
      </c>
    </row>
    <row r="298" spans="1:4">
      <c r="A298" s="119" t="s">
        <v>1742</v>
      </c>
      <c r="B298" s="949" t="s">
        <v>1003</v>
      </c>
      <c r="C298" s="947" t="s">
        <v>1196</v>
      </c>
      <c r="D298" s="1046">
        <f>406.75*1.18</f>
        <v>479.97</v>
      </c>
    </row>
    <row r="299" spans="1:4">
      <c r="A299" s="119" t="s">
        <v>1742</v>
      </c>
      <c r="B299" s="949" t="s">
        <v>1200</v>
      </c>
      <c r="C299" s="947" t="s">
        <v>1056</v>
      </c>
      <c r="D299" s="1105">
        <f>39.41*1.18</f>
        <v>46.5</v>
      </c>
    </row>
    <row r="300" spans="1:4">
      <c r="A300" s="119" t="s">
        <v>1742</v>
      </c>
      <c r="B300" s="949" t="s">
        <v>1201</v>
      </c>
      <c r="C300" s="947" t="s">
        <v>1056</v>
      </c>
      <c r="D300" s="1105">
        <f>29.66*1.18</f>
        <v>35</v>
      </c>
    </row>
    <row r="301" spans="1:4">
      <c r="A301" s="119" t="s">
        <v>1742</v>
      </c>
      <c r="B301" s="949" t="s">
        <v>1578</v>
      </c>
      <c r="C301" s="947" t="s">
        <v>1056</v>
      </c>
      <c r="D301" s="1105">
        <f>28.18*1.18</f>
        <v>33.25</v>
      </c>
    </row>
    <row r="302" spans="1:4">
      <c r="A302" s="119" t="s">
        <v>1742</v>
      </c>
      <c r="B302" s="949" t="s">
        <v>1202</v>
      </c>
      <c r="C302" s="947" t="s">
        <v>1056</v>
      </c>
      <c r="D302" s="1105">
        <v>3.5</v>
      </c>
    </row>
    <row r="303" spans="1:4">
      <c r="A303" s="119" t="s">
        <v>1742</v>
      </c>
      <c r="B303" s="949" t="s">
        <v>1203</v>
      </c>
      <c r="C303" s="947" t="s">
        <v>1056</v>
      </c>
      <c r="D303" s="1105">
        <v>3.25</v>
      </c>
    </row>
    <row r="304" spans="1:4">
      <c r="A304" s="119" t="s">
        <v>1742</v>
      </c>
      <c r="B304" s="949" t="s">
        <v>1579</v>
      </c>
      <c r="C304" s="947" t="s">
        <v>1056</v>
      </c>
      <c r="D304" s="1105">
        <v>2.25</v>
      </c>
    </row>
    <row r="305" spans="1:4">
      <c r="B305" s="949" t="s">
        <v>1740</v>
      </c>
      <c r="C305" s="947" t="s">
        <v>1056</v>
      </c>
      <c r="D305" s="1108">
        <v>38.24</v>
      </c>
    </row>
    <row r="306" spans="1:4">
      <c r="B306" s="949" t="s">
        <v>962</v>
      </c>
      <c r="C306" s="947" t="s">
        <v>1042</v>
      </c>
      <c r="D306" s="1046">
        <v>9560</v>
      </c>
    </row>
    <row r="307" spans="1:4">
      <c r="B307" s="949" t="s">
        <v>1204</v>
      </c>
      <c r="C307" s="947" t="s">
        <v>1042</v>
      </c>
      <c r="D307" s="1046">
        <v>6174</v>
      </c>
    </row>
    <row r="308" spans="1:4">
      <c r="B308" s="949" t="s">
        <v>1205</v>
      </c>
      <c r="C308" s="947" t="s">
        <v>1042</v>
      </c>
      <c r="D308" s="1046">
        <v>5985</v>
      </c>
    </row>
    <row r="309" spans="1:4">
      <c r="B309" s="949" t="s">
        <v>958</v>
      </c>
      <c r="C309" s="947" t="s">
        <v>1042</v>
      </c>
      <c r="D309" s="1046">
        <v>6820</v>
      </c>
    </row>
    <row r="310" spans="1:4">
      <c r="B310" s="949" t="s">
        <v>1206</v>
      </c>
      <c r="C310" s="947" t="s">
        <v>1197</v>
      </c>
      <c r="D310" s="1105">
        <v>230</v>
      </c>
    </row>
    <row r="311" spans="1:4">
      <c r="A311" s="119" t="s">
        <v>1746</v>
      </c>
      <c r="B311" s="949" t="s">
        <v>1208</v>
      </c>
      <c r="C311" s="947" t="s">
        <v>1183</v>
      </c>
      <c r="D311" s="1046">
        <f>(4082.4*1.18)/5</f>
        <v>963.45</v>
      </c>
    </row>
    <row r="312" spans="1:4">
      <c r="A312" s="119" t="s">
        <v>1744</v>
      </c>
      <c r="B312" s="949" t="s">
        <v>1212</v>
      </c>
      <c r="C312" s="947" t="s">
        <v>1190</v>
      </c>
      <c r="D312" s="1046">
        <f>(4934*1.18)/220</f>
        <v>26.46</v>
      </c>
    </row>
    <row r="313" spans="1:4">
      <c r="B313" s="982" t="s">
        <v>1562</v>
      </c>
      <c r="C313" s="947" t="s">
        <v>1106</v>
      </c>
      <c r="D313" s="1157">
        <v>10000</v>
      </c>
    </row>
    <row r="314" spans="1:4">
      <c r="B314" s="982" t="s">
        <v>1563</v>
      </c>
      <c r="C314" s="947" t="s">
        <v>1106</v>
      </c>
      <c r="D314" s="1048">
        <v>13500</v>
      </c>
    </row>
    <row r="315" spans="1:4">
      <c r="B315" s="982" t="s">
        <v>1568</v>
      </c>
      <c r="C315" s="947" t="s">
        <v>1050</v>
      </c>
      <c r="D315" s="1046">
        <v>97.94</v>
      </c>
    </row>
    <row r="316" spans="1:4">
      <c r="B316" s="982" t="s">
        <v>1569</v>
      </c>
      <c r="C316" s="947" t="s">
        <v>1050</v>
      </c>
      <c r="D316" s="1046">
        <v>109.74</v>
      </c>
    </row>
    <row r="317" spans="1:4">
      <c r="A317" t="s">
        <v>1741</v>
      </c>
      <c r="B317" s="982" t="s">
        <v>1570</v>
      </c>
      <c r="C317" s="947" t="s">
        <v>1050</v>
      </c>
      <c r="D317" s="1046">
        <f>1114*1.18</f>
        <v>1314.52</v>
      </c>
    </row>
    <row r="318" spans="1:4">
      <c r="B318" s="982" t="s">
        <v>1728</v>
      </c>
      <c r="C318" s="947" t="s">
        <v>1000</v>
      </c>
      <c r="D318" s="1046">
        <v>9500</v>
      </c>
    </row>
    <row r="319" spans="1:4" ht="31.5">
      <c r="B319" s="949" t="s">
        <v>1547</v>
      </c>
      <c r="C319" s="947" t="s">
        <v>10</v>
      </c>
      <c r="D319" s="1105">
        <v>24999.99</v>
      </c>
    </row>
    <row r="320" spans="1:4" ht="31.5">
      <c r="B320" s="949" t="s">
        <v>1230</v>
      </c>
      <c r="C320" s="947" t="s">
        <v>10</v>
      </c>
      <c r="D320" s="1105">
        <f>31288.13*1.18</f>
        <v>36919.99</v>
      </c>
    </row>
    <row r="321" spans="1:4">
      <c r="B321" s="949" t="s">
        <v>1549</v>
      </c>
      <c r="C321" s="947" t="s">
        <v>1106</v>
      </c>
      <c r="D321" s="1105">
        <f>12105.93*1.18</f>
        <v>14285</v>
      </c>
    </row>
    <row r="322" spans="1:4">
      <c r="B322" s="949" t="s">
        <v>1550</v>
      </c>
      <c r="C322" s="947" t="s">
        <v>1322</v>
      </c>
      <c r="D322" s="1046">
        <v>1895</v>
      </c>
    </row>
    <row r="323" spans="1:4">
      <c r="B323" s="949" t="s">
        <v>1551</v>
      </c>
      <c r="C323" s="947" t="s">
        <v>1322</v>
      </c>
      <c r="D323" s="1046">
        <v>1895</v>
      </c>
    </row>
    <row r="324" spans="1:4">
      <c r="B324" s="949" t="s">
        <v>1552</v>
      </c>
      <c r="C324" s="947" t="s">
        <v>1322</v>
      </c>
      <c r="D324" s="1046">
        <v>1895</v>
      </c>
    </row>
    <row r="325" spans="1:4">
      <c r="B325" s="949" t="s">
        <v>1548</v>
      </c>
      <c r="C325" s="947" t="s">
        <v>1106</v>
      </c>
      <c r="D325" s="1105">
        <v>8900</v>
      </c>
    </row>
    <row r="326" spans="1:4">
      <c r="A326" t="s">
        <v>1741</v>
      </c>
      <c r="B326" s="949" t="s">
        <v>914</v>
      </c>
      <c r="C326" s="947" t="s">
        <v>1190</v>
      </c>
      <c r="D326" s="1105">
        <f>66.25*1.18</f>
        <v>78.180000000000007</v>
      </c>
    </row>
    <row r="327" spans="1:4">
      <c r="A327" t="s">
        <v>1741</v>
      </c>
      <c r="B327" s="949" t="s">
        <v>1235</v>
      </c>
      <c r="C327" s="947" t="s">
        <v>1196</v>
      </c>
      <c r="D327" s="1105">
        <f>130.2*1.18</f>
        <v>153.63999999999999</v>
      </c>
    </row>
    <row r="328" spans="1:4">
      <c r="A328" t="s">
        <v>1741</v>
      </c>
      <c r="B328" s="949" t="s">
        <v>1236</v>
      </c>
      <c r="C328" s="947" t="s">
        <v>1197</v>
      </c>
      <c r="D328" s="1046">
        <f>91.24*1.18</f>
        <v>107.66</v>
      </c>
    </row>
    <row r="329" spans="1:4">
      <c r="A329" t="s">
        <v>1741</v>
      </c>
      <c r="B329" s="949" t="s">
        <v>917</v>
      </c>
      <c r="C329" s="947" t="s">
        <v>1050</v>
      </c>
      <c r="D329" s="1046">
        <f>118*1.18</f>
        <v>139.24</v>
      </c>
    </row>
    <row r="330" spans="1:4">
      <c r="A330" t="s">
        <v>1741</v>
      </c>
      <c r="B330" s="949" t="s">
        <v>956</v>
      </c>
      <c r="C330" s="947" t="s">
        <v>1238</v>
      </c>
      <c r="D330" s="1105">
        <f>18893.22*1.18</f>
        <v>22294</v>
      </c>
    </row>
    <row r="331" spans="1:4">
      <c r="B331" s="1158" t="s">
        <v>1273</v>
      </c>
      <c r="C331" s="1155" t="s">
        <v>1106</v>
      </c>
      <c r="D331" s="1156">
        <v>37.76</v>
      </c>
    </row>
    <row r="332" spans="1:4">
      <c r="B332" s="949" t="s">
        <v>1291</v>
      </c>
      <c r="C332" s="947" t="s">
        <v>1167</v>
      </c>
      <c r="D332" s="1046">
        <f>+D186</f>
        <v>500</v>
      </c>
    </row>
    <row r="333" spans="1:4">
      <c r="B333" s="949" t="s">
        <v>1292</v>
      </c>
      <c r="C333" s="947" t="s">
        <v>1167</v>
      </c>
      <c r="D333" s="1046">
        <v>550</v>
      </c>
    </row>
    <row r="334" spans="1:4">
      <c r="A334" s="119" t="s">
        <v>1745</v>
      </c>
      <c r="B334" s="949" t="s">
        <v>1298</v>
      </c>
      <c r="C334" s="947" t="s">
        <v>1190</v>
      </c>
      <c r="D334" s="1046">
        <f>(5796.2*1.18)/220</f>
        <v>31.09</v>
      </c>
    </row>
    <row r="335" spans="1:4">
      <c r="A335" s="119" t="s">
        <v>1745</v>
      </c>
      <c r="B335" s="949" t="s">
        <v>1299</v>
      </c>
      <c r="C335" s="947" t="s">
        <v>1190</v>
      </c>
      <c r="D335" s="1046">
        <f>66.25*1.18</f>
        <v>78.180000000000007</v>
      </c>
    </row>
    <row r="336" spans="1:4">
      <c r="B336" s="949" t="s">
        <v>1589</v>
      </c>
      <c r="C336" s="947" t="s">
        <v>1106</v>
      </c>
      <c r="D336" s="1046">
        <v>8000</v>
      </c>
    </row>
    <row r="337" spans="1:4">
      <c r="B337" s="949" t="s">
        <v>1586</v>
      </c>
      <c r="C337" s="947" t="s">
        <v>1056</v>
      </c>
      <c r="D337" s="1046">
        <f>13300*1.18</f>
        <v>15694</v>
      </c>
    </row>
    <row r="338" spans="1:4" ht="31.5">
      <c r="B338" s="949" t="s">
        <v>1305</v>
      </c>
      <c r="C338" s="947" t="s">
        <v>1056</v>
      </c>
      <c r="D338" s="1046">
        <v>8500</v>
      </c>
    </row>
    <row r="339" spans="1:4" ht="31.5">
      <c r="B339" s="949" t="s">
        <v>1309</v>
      </c>
      <c r="C339" s="947" t="s">
        <v>1056</v>
      </c>
      <c r="D339" s="1046">
        <v>8500</v>
      </c>
    </row>
    <row r="340" spans="1:4" ht="31.5">
      <c r="B340" s="979" t="s">
        <v>1587</v>
      </c>
      <c r="C340" s="947" t="s">
        <v>1056</v>
      </c>
      <c r="D340" s="1046">
        <f>+D338</f>
        <v>8500</v>
      </c>
    </row>
    <row r="341" spans="1:4">
      <c r="B341" s="979" t="s">
        <v>1697</v>
      </c>
      <c r="C341" s="947" t="s">
        <v>1056</v>
      </c>
      <c r="D341" s="1046">
        <v>9800</v>
      </c>
    </row>
    <row r="342" spans="1:4">
      <c r="B342" s="979" t="s">
        <v>1698</v>
      </c>
      <c r="C342" s="947" t="s">
        <v>1056</v>
      </c>
      <c r="D342" s="1046">
        <v>10600</v>
      </c>
    </row>
    <row r="343" spans="1:4">
      <c r="A343" s="119" t="s">
        <v>1742</v>
      </c>
      <c r="B343" s="949" t="s">
        <v>1525</v>
      </c>
      <c r="C343" s="947" t="s">
        <v>10</v>
      </c>
      <c r="D343" s="1046">
        <f>69360*1.18</f>
        <v>81844.800000000003</v>
      </c>
    </row>
    <row r="344" spans="1:4">
      <c r="A344" s="119" t="s">
        <v>1745</v>
      </c>
      <c r="B344" s="949" t="s">
        <v>1008</v>
      </c>
      <c r="C344" s="947" t="s">
        <v>10</v>
      </c>
      <c r="D344" s="1046">
        <f>34680*1.18</f>
        <v>40922.400000000001</v>
      </c>
    </row>
    <row r="345" spans="1:4">
      <c r="A345" s="119" t="s">
        <v>1745</v>
      </c>
      <c r="B345" s="949" t="s">
        <v>1522</v>
      </c>
      <c r="C345" s="947" t="s">
        <v>10</v>
      </c>
      <c r="D345" s="1046">
        <f>130050*1.18</f>
        <v>153459</v>
      </c>
    </row>
    <row r="346" spans="1:4">
      <c r="A346" s="119" t="s">
        <v>1745</v>
      </c>
      <c r="B346" s="949" t="s">
        <v>1523</v>
      </c>
      <c r="C346" s="947" t="s">
        <v>10</v>
      </c>
      <c r="D346" s="1046">
        <f>34680*1.18</f>
        <v>40922.400000000001</v>
      </c>
    </row>
    <row r="347" spans="1:4">
      <c r="A347" s="119" t="s">
        <v>1745</v>
      </c>
      <c r="B347" s="949" t="s">
        <v>1524</v>
      </c>
      <c r="C347" s="947" t="s">
        <v>10</v>
      </c>
      <c r="D347" s="1108">
        <f>181203*1.118</f>
        <v>202584.95</v>
      </c>
    </row>
    <row r="348" spans="1:4">
      <c r="A348" s="119" t="s">
        <v>1745</v>
      </c>
      <c r="B348" s="949" t="s">
        <v>458</v>
      </c>
      <c r="C348" s="947" t="s">
        <v>10</v>
      </c>
      <c r="D348" s="1046">
        <v>209727.3</v>
      </c>
    </row>
    <row r="349" spans="1:4">
      <c r="A349" s="119" t="s">
        <v>1745</v>
      </c>
      <c r="B349" s="949" t="s">
        <v>459</v>
      </c>
      <c r="C349" s="947" t="s">
        <v>10</v>
      </c>
      <c r="D349" s="1046">
        <f>462978*1.18</f>
        <v>546314.04</v>
      </c>
    </row>
    <row r="350" spans="1:4">
      <c r="A350" s="119" t="s">
        <v>1745</v>
      </c>
      <c r="B350" s="949" t="s">
        <v>460</v>
      </c>
      <c r="C350" s="947" t="s">
        <v>10</v>
      </c>
      <c r="D350" s="1046">
        <v>213819.54</v>
      </c>
    </row>
    <row r="351" spans="1:4">
      <c r="B351" s="949" t="s">
        <v>1011</v>
      </c>
      <c r="C351" s="947" t="s">
        <v>140</v>
      </c>
      <c r="D351" s="1046">
        <v>95500</v>
      </c>
    </row>
    <row r="352" spans="1:4" ht="23.25" customHeight="1">
      <c r="B352" s="949" t="s">
        <v>1341</v>
      </c>
      <c r="C352" s="947" t="s">
        <v>1106</v>
      </c>
      <c r="D352" s="1046">
        <v>6500</v>
      </c>
    </row>
    <row r="353" spans="1:4">
      <c r="A353" s="119" t="s">
        <v>1743</v>
      </c>
      <c r="B353" s="949" t="s">
        <v>969</v>
      </c>
      <c r="C353" s="947" t="s">
        <v>1106</v>
      </c>
      <c r="D353" s="1046">
        <f>215.2*1.18</f>
        <v>253.94</v>
      </c>
    </row>
    <row r="354" spans="1:4">
      <c r="A354" s="119" t="s">
        <v>1743</v>
      </c>
      <c r="B354" s="949" t="s">
        <v>970</v>
      </c>
      <c r="C354" s="947" t="s">
        <v>1106</v>
      </c>
      <c r="D354" s="1046">
        <f>6209*1.18</f>
        <v>7326.62</v>
      </c>
    </row>
    <row r="355" spans="1:4">
      <c r="A355" s="119" t="s">
        <v>1743</v>
      </c>
      <c r="B355" s="949" t="s">
        <v>971</v>
      </c>
      <c r="C355" s="947" t="s">
        <v>1106</v>
      </c>
      <c r="D355" s="1046">
        <f>279*1.18</f>
        <v>329.22</v>
      </c>
    </row>
    <row r="356" spans="1:4">
      <c r="A356" s="119" t="s">
        <v>1743</v>
      </c>
      <c r="B356" s="949" t="s">
        <v>972</v>
      </c>
      <c r="C356" s="947" t="s">
        <v>1106</v>
      </c>
      <c r="D356" s="1046">
        <v>1420</v>
      </c>
    </row>
    <row r="357" spans="1:4">
      <c r="A357" s="119" t="s">
        <v>1743</v>
      </c>
      <c r="B357" s="949" t="s">
        <v>974</v>
      </c>
      <c r="C357" s="947" t="s">
        <v>1106</v>
      </c>
      <c r="D357" s="1105">
        <f>39650*1.18</f>
        <v>46787</v>
      </c>
    </row>
    <row r="358" spans="1:4">
      <c r="A358" s="119" t="s">
        <v>1743</v>
      </c>
      <c r="B358" s="949" t="s">
        <v>975</v>
      </c>
      <c r="C358" s="947" t="s">
        <v>1106</v>
      </c>
      <c r="D358" s="1105">
        <f>24644*1.18</f>
        <v>29079.919999999998</v>
      </c>
    </row>
    <row r="359" spans="1:4">
      <c r="B359" s="949" t="s">
        <v>976</v>
      </c>
      <c r="C359" s="947" t="s">
        <v>1225</v>
      </c>
      <c r="D359" s="1105">
        <v>206.5</v>
      </c>
    </row>
    <row r="360" spans="1:4" ht="31.5">
      <c r="B360" s="949" t="s">
        <v>977</v>
      </c>
      <c r="C360" s="947" t="s">
        <v>1106</v>
      </c>
      <c r="D360" s="1046">
        <v>8900</v>
      </c>
    </row>
    <row r="361" spans="1:4">
      <c r="B361" s="949" t="s">
        <v>978</v>
      </c>
      <c r="C361" s="947" t="s">
        <v>1106</v>
      </c>
      <c r="D361" s="1046">
        <v>4700</v>
      </c>
    </row>
    <row r="362" spans="1:4">
      <c r="B362" s="949" t="s">
        <v>979</v>
      </c>
      <c r="C362" s="947" t="s">
        <v>1106</v>
      </c>
      <c r="D362" s="1046">
        <v>5900</v>
      </c>
    </row>
    <row r="363" spans="1:4" ht="31.5">
      <c r="B363" s="949" t="s">
        <v>980</v>
      </c>
      <c r="C363" s="947" t="s">
        <v>1106</v>
      </c>
      <c r="D363" s="1046">
        <v>73675</v>
      </c>
    </row>
    <row r="364" spans="1:4" ht="31.5">
      <c r="B364" s="949" t="s">
        <v>981</v>
      </c>
      <c r="C364" s="947" t="s">
        <v>1106</v>
      </c>
      <c r="D364" s="1046">
        <v>9900</v>
      </c>
    </row>
    <row r="365" spans="1:4">
      <c r="B365" s="949" t="s">
        <v>982</v>
      </c>
      <c r="C365" s="947" t="s">
        <v>1106</v>
      </c>
      <c r="D365" s="1046">
        <v>2300</v>
      </c>
    </row>
    <row r="366" spans="1:4">
      <c r="B366" s="949" t="s">
        <v>983</v>
      </c>
      <c r="C366" s="947" t="s">
        <v>1365</v>
      </c>
      <c r="D366" s="1046">
        <v>75.2</v>
      </c>
    </row>
    <row r="367" spans="1:4">
      <c r="B367" s="949" t="s">
        <v>995</v>
      </c>
      <c r="C367" s="947" t="s">
        <v>1042</v>
      </c>
      <c r="D367" s="1105">
        <v>750</v>
      </c>
    </row>
    <row r="368" spans="1:4">
      <c r="A368" s="119" t="s">
        <v>1744</v>
      </c>
      <c r="B368" s="949" t="s">
        <v>1001</v>
      </c>
      <c r="C368" s="947" t="s">
        <v>1106</v>
      </c>
      <c r="D368" s="1105">
        <f>19067.8*1.18</f>
        <v>22500</v>
      </c>
    </row>
    <row r="369" spans="1:4">
      <c r="B369" s="949" t="s">
        <v>1006</v>
      </c>
      <c r="C369" s="947" t="s">
        <v>1106</v>
      </c>
      <c r="D369" s="1046">
        <v>5396</v>
      </c>
    </row>
    <row r="370" spans="1:4">
      <c r="B370" s="949" t="s">
        <v>1576</v>
      </c>
      <c r="C370" s="947" t="s">
        <v>1000</v>
      </c>
      <c r="D370" s="1046">
        <v>120</v>
      </c>
    </row>
    <row r="371" spans="1:4">
      <c r="B371" s="949" t="s">
        <v>1706</v>
      </c>
      <c r="C371" s="947" t="s">
        <v>1106</v>
      </c>
      <c r="D371" s="1046">
        <v>12000</v>
      </c>
    </row>
    <row r="372" spans="1:4">
      <c r="B372" s="949" t="s">
        <v>1707</v>
      </c>
      <c r="C372" s="947" t="s">
        <v>1106</v>
      </c>
    </row>
    <row r="373" spans="1:4">
      <c r="B373" s="949" t="s">
        <v>1708</v>
      </c>
      <c r="C373" s="947" t="s">
        <v>1088</v>
      </c>
      <c r="D373" s="1105">
        <v>555.55999999999995</v>
      </c>
    </row>
    <row r="374" spans="1:4">
      <c r="B374" s="949" t="s">
        <v>1709</v>
      </c>
      <c r="C374" s="947" t="s">
        <v>1106</v>
      </c>
      <c r="D374" s="1046">
        <v>2800</v>
      </c>
    </row>
    <row r="375" spans="1:4">
      <c r="B375" s="949" t="s">
        <v>1710</v>
      </c>
      <c r="C375" s="947" t="s">
        <v>1106</v>
      </c>
      <c r="D375" s="1046">
        <v>566.4</v>
      </c>
    </row>
    <row r="376" spans="1:4">
      <c r="B376" s="949" t="s">
        <v>1711</v>
      </c>
      <c r="C376" s="947" t="s">
        <v>1106</v>
      </c>
      <c r="D376" s="1046">
        <v>3500</v>
      </c>
    </row>
    <row r="377" spans="1:4">
      <c r="B377" s="949" t="s">
        <v>1704</v>
      </c>
      <c r="C377" s="947" t="s">
        <v>1109</v>
      </c>
      <c r="D377" s="1046">
        <v>45000</v>
      </c>
    </row>
    <row r="378" spans="1:4">
      <c r="B378" s="949" t="s">
        <v>1712</v>
      </c>
      <c r="C378" s="947" t="s">
        <v>1106</v>
      </c>
      <c r="D378" s="1046">
        <v>3500</v>
      </c>
    </row>
    <row r="379" spans="1:4">
      <c r="B379" s="949" t="s">
        <v>1713</v>
      </c>
      <c r="C379" s="947" t="s">
        <v>1106</v>
      </c>
      <c r="D379" s="1046">
        <v>2690.3</v>
      </c>
    </row>
    <row r="380" spans="1:4">
      <c r="A380" s="119" t="s">
        <v>1745</v>
      </c>
      <c r="B380" s="949" t="s">
        <v>1705</v>
      </c>
      <c r="C380" s="947" t="s">
        <v>1088</v>
      </c>
      <c r="D380" s="1046">
        <f>+(75*1.18)*3.26</f>
        <v>288.51</v>
      </c>
    </row>
    <row r="381" spans="1:4">
      <c r="A381" s="119" t="s">
        <v>1745</v>
      </c>
      <c r="B381" s="949" t="s">
        <v>873</v>
      </c>
      <c r="C381" s="947" t="s">
        <v>1088</v>
      </c>
      <c r="D381" s="1046">
        <f>+(19*1.18)*3.26</f>
        <v>73.09</v>
      </c>
    </row>
    <row r="390" spans="2:4">
      <c r="B390" s="1151" t="s">
        <v>1366</v>
      </c>
      <c r="C390" s="1152"/>
      <c r="D390" s="1153"/>
    </row>
    <row r="392" spans="2:4">
      <c r="B392" s="983" t="s">
        <v>1367</v>
      </c>
    </row>
    <row r="393" spans="2:4">
      <c r="B393" s="949" t="s">
        <v>1368</v>
      </c>
      <c r="C393" s="947" t="s">
        <v>1000</v>
      </c>
      <c r="D393" s="1105">
        <v>180</v>
      </c>
    </row>
    <row r="394" spans="2:4">
      <c r="B394" s="949" t="s">
        <v>1369</v>
      </c>
      <c r="C394" s="947" t="s">
        <v>1056</v>
      </c>
      <c r="D394" s="1046">
        <v>997.5</v>
      </c>
    </row>
    <row r="395" spans="2:4">
      <c r="B395" s="949" t="s">
        <v>1370</v>
      </c>
      <c r="C395" s="947" t="s">
        <v>1056</v>
      </c>
      <c r="D395" s="1046">
        <v>997.5</v>
      </c>
    </row>
    <row r="396" spans="2:4">
      <c r="B396" s="949" t="s">
        <v>1371</v>
      </c>
      <c r="C396" s="947" t="s">
        <v>1056</v>
      </c>
      <c r="D396" s="1056">
        <v>997.5</v>
      </c>
    </row>
    <row r="397" spans="2:4">
      <c r="B397" s="949" t="s">
        <v>482</v>
      </c>
      <c r="C397" s="947" t="s">
        <v>1056</v>
      </c>
      <c r="D397" s="1056">
        <v>998.5</v>
      </c>
    </row>
    <row r="398" spans="2:4">
      <c r="B398" s="949" t="s">
        <v>1535</v>
      </c>
      <c r="C398" s="947" t="s">
        <v>1056</v>
      </c>
      <c r="D398" s="1105">
        <v>2000</v>
      </c>
    </row>
    <row r="399" spans="2:4">
      <c r="B399" s="949" t="s">
        <v>1372</v>
      </c>
      <c r="C399" s="947" t="s">
        <v>1056</v>
      </c>
      <c r="D399" s="1046">
        <v>997.5</v>
      </c>
    </row>
    <row r="400" spans="2:4">
      <c r="B400" s="949" t="s">
        <v>1533</v>
      </c>
      <c r="C400" s="947" t="s">
        <v>1056</v>
      </c>
      <c r="D400" s="1105">
        <v>2500</v>
      </c>
    </row>
    <row r="401" spans="2:4">
      <c r="B401" s="949" t="s">
        <v>1373</v>
      </c>
      <c r="C401" s="947" t="s">
        <v>1056</v>
      </c>
      <c r="D401" s="1046">
        <v>1050</v>
      </c>
    </row>
    <row r="402" spans="2:4">
      <c r="B402" s="949" t="s">
        <v>1374</v>
      </c>
      <c r="C402" s="947" t="s">
        <v>1056</v>
      </c>
      <c r="D402" s="1105">
        <v>1500</v>
      </c>
    </row>
    <row r="403" spans="2:4">
      <c r="B403" s="949" t="s">
        <v>1530</v>
      </c>
      <c r="C403" s="947" t="s">
        <v>1056</v>
      </c>
      <c r="D403" s="1046">
        <v>997.5</v>
      </c>
    </row>
    <row r="404" spans="2:4">
      <c r="B404" s="949" t="s">
        <v>1531</v>
      </c>
      <c r="C404" s="947" t="s">
        <v>1056</v>
      </c>
      <c r="D404" s="1046">
        <v>997.5</v>
      </c>
    </row>
    <row r="405" spans="2:4">
      <c r="B405" s="949" t="s">
        <v>1375</v>
      </c>
      <c r="C405" s="947" t="s">
        <v>1056</v>
      </c>
      <c r="D405" s="1046">
        <v>997.5</v>
      </c>
    </row>
    <row r="406" spans="2:4">
      <c r="B406" s="949" t="s">
        <v>1376</v>
      </c>
      <c r="C406" s="947" t="s">
        <v>1056</v>
      </c>
      <c r="D406" s="1046">
        <v>997.5</v>
      </c>
    </row>
    <row r="407" spans="2:4">
      <c r="B407" s="949" t="s">
        <v>1377</v>
      </c>
      <c r="C407" s="947" t="s">
        <v>1056</v>
      </c>
      <c r="D407" s="1046">
        <v>997.5</v>
      </c>
    </row>
    <row r="408" spans="2:4">
      <c r="B408" s="949" t="s">
        <v>1378</v>
      </c>
      <c r="C408" s="947" t="s">
        <v>1056</v>
      </c>
      <c r="D408" s="1046">
        <v>997.5</v>
      </c>
    </row>
    <row r="409" spans="2:4">
      <c r="B409" s="949" t="s">
        <v>1379</v>
      </c>
      <c r="C409" s="947" t="s">
        <v>1056</v>
      </c>
      <c r="D409" s="1046">
        <v>997.5</v>
      </c>
    </row>
    <row r="410" spans="2:4">
      <c r="B410" s="949" t="s">
        <v>1532</v>
      </c>
      <c r="C410" s="947" t="s">
        <v>1056</v>
      </c>
      <c r="D410" s="1046">
        <v>997.5</v>
      </c>
    </row>
    <row r="411" spans="2:4">
      <c r="B411" s="949" t="s">
        <v>1380</v>
      </c>
      <c r="C411" s="947" t="s">
        <v>1056</v>
      </c>
      <c r="D411" s="1046">
        <v>2100</v>
      </c>
    </row>
    <row r="412" spans="2:4">
      <c r="B412" s="949" t="s">
        <v>1381</v>
      </c>
      <c r="C412" s="947" t="s">
        <v>1056</v>
      </c>
      <c r="D412" s="1046">
        <v>945</v>
      </c>
    </row>
    <row r="413" spans="2:4">
      <c r="B413" s="949" t="s">
        <v>1382</v>
      </c>
      <c r="C413" s="947" t="s">
        <v>1056</v>
      </c>
      <c r="D413" s="1046">
        <v>945</v>
      </c>
    </row>
    <row r="414" spans="2:4">
      <c r="B414" s="949" t="s">
        <v>1383</v>
      </c>
      <c r="C414" s="947" t="s">
        <v>1056</v>
      </c>
      <c r="D414" s="1046">
        <v>945</v>
      </c>
    </row>
    <row r="415" spans="2:4">
      <c r="B415" s="949" t="s">
        <v>1384</v>
      </c>
      <c r="C415" s="947" t="s">
        <v>1056</v>
      </c>
      <c r="D415" s="1046">
        <v>945</v>
      </c>
    </row>
    <row r="416" spans="2:4">
      <c r="B416" s="949" t="s">
        <v>1385</v>
      </c>
      <c r="C416" s="947" t="s">
        <v>1056</v>
      </c>
      <c r="D416" s="1046">
        <v>6000</v>
      </c>
    </row>
    <row r="417" spans="2:4">
      <c r="B417" s="949" t="s">
        <v>1386</v>
      </c>
      <c r="C417" s="947" t="s">
        <v>1056</v>
      </c>
      <c r="D417" s="1046">
        <v>577.5</v>
      </c>
    </row>
    <row r="418" spans="2:4">
      <c r="B418" s="949" t="s">
        <v>1387</v>
      </c>
      <c r="C418" s="947" t="s">
        <v>1056</v>
      </c>
      <c r="D418" s="1046">
        <v>4725</v>
      </c>
    </row>
    <row r="419" spans="2:4">
      <c r="B419" s="949" t="s">
        <v>1388</v>
      </c>
      <c r="C419" s="947" t="s">
        <v>1056</v>
      </c>
      <c r="D419" s="1046">
        <v>6000</v>
      </c>
    </row>
    <row r="420" spans="2:4">
      <c r="B420" s="949" t="s">
        <v>1389</v>
      </c>
      <c r="C420" s="947" t="s">
        <v>1056</v>
      </c>
      <c r="D420" s="1046">
        <v>6000</v>
      </c>
    </row>
    <row r="421" spans="2:4">
      <c r="B421" s="949" t="s">
        <v>1390</v>
      </c>
      <c r="C421" s="947" t="s">
        <v>1056</v>
      </c>
      <c r="D421" s="1046">
        <v>147</v>
      </c>
    </row>
    <row r="422" spans="2:4">
      <c r="B422" s="949" t="s">
        <v>1391</v>
      </c>
      <c r="C422" s="947" t="s">
        <v>1056</v>
      </c>
      <c r="D422" s="1046">
        <v>147</v>
      </c>
    </row>
    <row r="423" spans="2:4">
      <c r="B423" s="949" t="s">
        <v>1392</v>
      </c>
      <c r="C423" s="947" t="s">
        <v>1056</v>
      </c>
      <c r="D423" s="1046">
        <v>183.75</v>
      </c>
    </row>
    <row r="424" spans="2:4">
      <c r="B424" s="949" t="s">
        <v>1393</v>
      </c>
      <c r="C424" s="947" t="s">
        <v>1056</v>
      </c>
      <c r="D424" s="1046">
        <v>78.75</v>
      </c>
    </row>
    <row r="425" spans="2:4">
      <c r="B425" s="949" t="s">
        <v>1394</v>
      </c>
      <c r="C425" s="947" t="s">
        <v>1056</v>
      </c>
      <c r="D425" s="1046">
        <v>84</v>
      </c>
    </row>
    <row r="426" spans="2:4">
      <c r="B426" s="949" t="s">
        <v>1395</v>
      </c>
      <c r="C426" s="947" t="s">
        <v>1042</v>
      </c>
      <c r="D426" s="1105">
        <v>1000</v>
      </c>
    </row>
    <row r="427" spans="2:4">
      <c r="B427" s="949" t="s">
        <v>1396</v>
      </c>
      <c r="C427" s="947" t="s">
        <v>1056</v>
      </c>
      <c r="D427" s="1046">
        <v>40</v>
      </c>
    </row>
    <row r="428" spans="2:4">
      <c r="B428" s="949" t="s">
        <v>1397</v>
      </c>
      <c r="C428" s="947" t="s">
        <v>1042</v>
      </c>
      <c r="D428" s="1046">
        <v>1890</v>
      </c>
    </row>
    <row r="429" spans="2:4">
      <c r="B429" s="949" t="s">
        <v>1398</v>
      </c>
      <c r="C429" s="947" t="s">
        <v>1056</v>
      </c>
      <c r="D429" s="1046">
        <v>42</v>
      </c>
    </row>
    <row r="430" spans="2:4">
      <c r="B430" s="949" t="s">
        <v>1538</v>
      </c>
      <c r="C430" s="947" t="s">
        <v>1056</v>
      </c>
      <c r="D430" s="1105">
        <v>400</v>
      </c>
    </row>
    <row r="431" spans="2:4">
      <c r="B431" s="949" t="s">
        <v>1399</v>
      </c>
      <c r="C431" s="947" t="s">
        <v>1056</v>
      </c>
      <c r="D431" s="1046">
        <v>42</v>
      </c>
    </row>
    <row r="432" spans="2:4">
      <c r="B432" s="949" t="s">
        <v>1400</v>
      </c>
      <c r="C432" s="947" t="s">
        <v>1056</v>
      </c>
      <c r="D432" s="1046">
        <v>52.5</v>
      </c>
    </row>
    <row r="433" spans="2:4">
      <c r="B433" s="949" t="s">
        <v>1401</v>
      </c>
      <c r="C433" s="947" t="s">
        <v>1056</v>
      </c>
      <c r="D433" s="1105">
        <v>150</v>
      </c>
    </row>
    <row r="434" spans="2:4">
      <c r="B434" s="949" t="s">
        <v>1536</v>
      </c>
      <c r="C434" s="947" t="s">
        <v>1056</v>
      </c>
      <c r="D434" s="1105">
        <v>800</v>
      </c>
    </row>
    <row r="435" spans="2:4">
      <c r="B435" s="949" t="s">
        <v>1537</v>
      </c>
      <c r="C435" s="947" t="s">
        <v>1056</v>
      </c>
      <c r="D435" s="1105">
        <v>500</v>
      </c>
    </row>
    <row r="436" spans="2:4">
      <c r="B436" s="949" t="s">
        <v>1402</v>
      </c>
      <c r="C436" s="947" t="s">
        <v>1056</v>
      </c>
      <c r="D436" s="1046">
        <v>26.25</v>
      </c>
    </row>
    <row r="437" spans="2:4">
      <c r="B437" s="949" t="s">
        <v>1541</v>
      </c>
      <c r="C437" s="947" t="s">
        <v>1056</v>
      </c>
      <c r="D437" s="1046">
        <v>46.3</v>
      </c>
    </row>
    <row r="438" spans="2:4">
      <c r="B438" s="949" t="s">
        <v>1403</v>
      </c>
      <c r="C438" s="947" t="s">
        <v>1056</v>
      </c>
      <c r="D438" s="1046">
        <v>1575</v>
      </c>
    </row>
    <row r="439" spans="2:4">
      <c r="B439" s="949" t="s">
        <v>1539</v>
      </c>
      <c r="C439" s="947" t="s">
        <v>1056</v>
      </c>
      <c r="D439" s="1105">
        <v>400</v>
      </c>
    </row>
    <row r="440" spans="2:4">
      <c r="B440" s="949" t="s">
        <v>1404</v>
      </c>
      <c r="C440" s="947" t="s">
        <v>1056</v>
      </c>
      <c r="D440" s="1046">
        <v>47.25</v>
      </c>
    </row>
    <row r="441" spans="2:4">
      <c r="B441" s="949" t="s">
        <v>1405</v>
      </c>
      <c r="C441" s="947" t="s">
        <v>1056</v>
      </c>
      <c r="D441" s="1046">
        <v>131.25</v>
      </c>
    </row>
    <row r="442" spans="2:4">
      <c r="B442" s="949" t="s">
        <v>1406</v>
      </c>
      <c r="C442" s="947" t="s">
        <v>1056</v>
      </c>
      <c r="D442" s="1046">
        <v>472.5</v>
      </c>
    </row>
    <row r="443" spans="2:4">
      <c r="B443" s="949" t="s">
        <v>1407</v>
      </c>
      <c r="C443" s="947" t="s">
        <v>1056</v>
      </c>
      <c r="D443" s="1046">
        <v>7350</v>
      </c>
    </row>
    <row r="444" spans="2:4">
      <c r="B444" s="949" t="s">
        <v>1540</v>
      </c>
      <c r="C444" s="947" t="s">
        <v>1056</v>
      </c>
      <c r="D444" s="1159">
        <v>350</v>
      </c>
    </row>
    <row r="445" spans="2:4">
      <c r="B445" s="949" t="s">
        <v>1526</v>
      </c>
      <c r="C445" s="947" t="s">
        <v>1106</v>
      </c>
      <c r="D445" s="1046">
        <v>5600</v>
      </c>
    </row>
    <row r="446" spans="2:4">
      <c r="B446" s="949" t="s">
        <v>1371</v>
      </c>
      <c r="C446" s="947" t="s">
        <v>1106</v>
      </c>
      <c r="D446" s="1046">
        <v>945</v>
      </c>
    </row>
    <row r="447" spans="2:4">
      <c r="B447" s="949" t="s">
        <v>1527</v>
      </c>
      <c r="C447" s="947" t="s">
        <v>1106</v>
      </c>
      <c r="D447" s="1046">
        <v>945</v>
      </c>
    </row>
    <row r="448" spans="2:4">
      <c r="B448" s="949" t="s">
        <v>1528</v>
      </c>
      <c r="C448" s="947" t="s">
        <v>1106</v>
      </c>
      <c r="D448" s="1046">
        <v>1000</v>
      </c>
    </row>
    <row r="449" spans="2:4">
      <c r="B449" s="949" t="s">
        <v>1529</v>
      </c>
      <c r="C449" s="947" t="s">
        <v>1056</v>
      </c>
      <c r="D449" s="1105">
        <v>800</v>
      </c>
    </row>
    <row r="450" spans="2:4">
      <c r="B450" s="949" t="s">
        <v>1534</v>
      </c>
      <c r="C450" s="947" t="s">
        <v>1056</v>
      </c>
      <c r="D450" s="1105">
        <v>1000</v>
      </c>
    </row>
    <row r="451" spans="2:4">
      <c r="B451" s="949" t="s">
        <v>1543</v>
      </c>
      <c r="C451" s="947" t="s">
        <v>1109</v>
      </c>
      <c r="D451" s="1046">
        <v>12000</v>
      </c>
    </row>
    <row r="452" spans="2:4">
      <c r="B452" s="949" t="s">
        <v>1542</v>
      </c>
      <c r="C452" s="947" t="s">
        <v>1056</v>
      </c>
      <c r="D452" s="1046">
        <v>150</v>
      </c>
    </row>
    <row r="453" spans="2:4" ht="47.25">
      <c r="B453" s="949" t="s">
        <v>1007</v>
      </c>
      <c r="C453" s="947" t="s">
        <v>140</v>
      </c>
      <c r="D453" s="1046">
        <v>5000</v>
      </c>
    </row>
    <row r="454" spans="2:4" ht="78.75">
      <c r="B454" s="949" t="s">
        <v>966</v>
      </c>
      <c r="C454" s="947" t="s">
        <v>1409</v>
      </c>
      <c r="D454" s="1046">
        <v>356</v>
      </c>
    </row>
    <row r="455" spans="2:4">
      <c r="B455" s="949" t="s">
        <v>1544</v>
      </c>
      <c r="C455" s="947" t="s">
        <v>1106</v>
      </c>
      <c r="D455" s="1046">
        <v>8000</v>
      </c>
    </row>
    <row r="456" spans="2:4" ht="31.5">
      <c r="B456" s="949" t="s">
        <v>1419</v>
      </c>
      <c r="C456" s="947" t="s">
        <v>10</v>
      </c>
      <c r="D456" s="1046">
        <f>12118.64*1.18</f>
        <v>14300</v>
      </c>
    </row>
    <row r="457" spans="2:4">
      <c r="B457" s="949" t="s">
        <v>1573</v>
      </c>
      <c r="C457" s="947" t="s">
        <v>1183</v>
      </c>
      <c r="D457" s="1046">
        <v>2200</v>
      </c>
    </row>
    <row r="458" spans="2:4">
      <c r="B458" s="949" t="s">
        <v>985</v>
      </c>
      <c r="C458" s="947" t="s">
        <v>1106</v>
      </c>
      <c r="D458" s="1046">
        <v>7000</v>
      </c>
    </row>
    <row r="459" spans="2:4">
      <c r="B459" s="949" t="s">
        <v>986</v>
      </c>
      <c r="C459" s="947" t="s">
        <v>1106</v>
      </c>
      <c r="D459" s="1046">
        <v>7000</v>
      </c>
    </row>
    <row r="460" spans="2:4">
      <c r="B460" s="949" t="s">
        <v>759</v>
      </c>
      <c r="C460" s="947" t="s">
        <v>760</v>
      </c>
      <c r="D460" s="1046">
        <v>90</v>
      </c>
    </row>
    <row r="461" spans="2:4">
      <c r="B461" s="949" t="s">
        <v>761</v>
      </c>
      <c r="C461" s="947" t="s">
        <v>760</v>
      </c>
      <c r="D461" s="1046">
        <v>81</v>
      </c>
    </row>
    <row r="462" spans="2:4" ht="47.25">
      <c r="B462" s="949" t="s">
        <v>1733</v>
      </c>
      <c r="C462" s="947" t="s">
        <v>300</v>
      </c>
      <c r="D462" s="1046">
        <f>796.56+200</f>
        <v>996.56</v>
      </c>
    </row>
    <row r="463" spans="2:4">
      <c r="B463" s="949" t="s">
        <v>763</v>
      </c>
      <c r="C463" s="947" t="s">
        <v>760</v>
      </c>
      <c r="D463" s="1046">
        <v>41</v>
      </c>
    </row>
    <row r="464" spans="2:4">
      <c r="B464" s="949" t="s">
        <v>764</v>
      </c>
      <c r="C464" s="947" t="s">
        <v>760</v>
      </c>
      <c r="D464" s="1046">
        <v>36</v>
      </c>
    </row>
    <row r="465" spans="2:4">
      <c r="B465" s="949" t="s">
        <v>765</v>
      </c>
      <c r="C465" s="947" t="s">
        <v>760</v>
      </c>
      <c r="D465" s="1046">
        <v>39</v>
      </c>
    </row>
    <row r="466" spans="2:4">
      <c r="B466" s="949" t="s">
        <v>766</v>
      </c>
      <c r="C466" s="947" t="s">
        <v>760</v>
      </c>
      <c r="D466" s="1046">
        <v>42</v>
      </c>
    </row>
    <row r="467" spans="2:4">
      <c r="B467" s="949" t="s">
        <v>767</v>
      </c>
      <c r="C467" s="947" t="s">
        <v>10</v>
      </c>
      <c r="D467" s="1046">
        <v>25.3</v>
      </c>
    </row>
    <row r="468" spans="2:4" ht="31.5">
      <c r="B468" s="949" t="s">
        <v>768</v>
      </c>
      <c r="C468" s="947" t="s">
        <v>10</v>
      </c>
      <c r="D468" s="1046">
        <v>29</v>
      </c>
    </row>
    <row r="469" spans="2:4">
      <c r="B469" s="949" t="s">
        <v>769</v>
      </c>
      <c r="C469" s="947" t="s">
        <v>10</v>
      </c>
      <c r="D469" s="1046">
        <v>4.7</v>
      </c>
    </row>
    <row r="470" spans="2:4">
      <c r="B470" s="949" t="s">
        <v>1730</v>
      </c>
      <c r="C470" s="947" t="s">
        <v>10</v>
      </c>
      <c r="D470" s="1046">
        <v>9000</v>
      </c>
    </row>
    <row r="471" spans="2:4">
      <c r="B471" s="949" t="s">
        <v>1731</v>
      </c>
      <c r="C471" s="947" t="s">
        <v>10</v>
      </c>
      <c r="D471" s="1046">
        <v>14000</v>
      </c>
    </row>
    <row r="472" spans="2:4">
      <c r="B472" s="949" t="s">
        <v>573</v>
      </c>
      <c r="C472" s="947" t="s">
        <v>20</v>
      </c>
      <c r="D472" s="1046">
        <v>1550</v>
      </c>
    </row>
    <row r="473" spans="2:4" ht="31.5">
      <c r="B473" s="949" t="s">
        <v>575</v>
      </c>
      <c r="C473" s="947" t="s">
        <v>20</v>
      </c>
      <c r="D473" s="1046">
        <v>1550</v>
      </c>
    </row>
    <row r="474" spans="2:4">
      <c r="B474" s="949" t="s">
        <v>1231</v>
      </c>
      <c r="C474" s="947" t="s">
        <v>1062</v>
      </c>
      <c r="D474" s="1046">
        <v>3150</v>
      </c>
    </row>
    <row r="475" spans="2:4" ht="31.5">
      <c r="B475" s="949" t="s">
        <v>1232</v>
      </c>
      <c r="C475" s="947" t="s">
        <v>1233</v>
      </c>
      <c r="D475" s="1046">
        <f>3*3375</f>
        <v>10125</v>
      </c>
    </row>
    <row r="476" spans="2:4">
      <c r="B476" s="949" t="s">
        <v>1657</v>
      </c>
      <c r="C476" s="947" t="s">
        <v>1056</v>
      </c>
      <c r="D476" s="1046">
        <v>3757.4</v>
      </c>
    </row>
    <row r="477" spans="2:4">
      <c r="B477" s="949" t="s">
        <v>1646</v>
      </c>
      <c r="C477" s="947" t="s">
        <v>1557</v>
      </c>
      <c r="D477" s="1046">
        <v>4500</v>
      </c>
    </row>
    <row r="478" spans="2:4">
      <c r="B478" s="949" t="s">
        <v>1684</v>
      </c>
      <c r="C478" s="947" t="s">
        <v>1183</v>
      </c>
      <c r="D478" s="1105">
        <v>1548.16</v>
      </c>
    </row>
    <row r="479" spans="2:4">
      <c r="B479" s="949" t="s">
        <v>1209</v>
      </c>
      <c r="C479" s="947" t="s">
        <v>1025</v>
      </c>
      <c r="D479" s="1046">
        <v>0</v>
      </c>
    </row>
    <row r="480" spans="2:4">
      <c r="B480" s="949" t="s">
        <v>1210</v>
      </c>
      <c r="C480" s="947" t="s">
        <v>1050</v>
      </c>
      <c r="D480" s="1048">
        <v>33</v>
      </c>
    </row>
    <row r="481" spans="1:4">
      <c r="B481" s="949" t="s">
        <v>1211</v>
      </c>
      <c r="C481" s="947" t="s">
        <v>1050</v>
      </c>
      <c r="D481" s="1048">
        <v>611</v>
      </c>
    </row>
    <row r="482" spans="1:4">
      <c r="B482" s="949" t="s">
        <v>1189</v>
      </c>
      <c r="C482" s="947" t="s">
        <v>1190</v>
      </c>
      <c r="D482" s="1046">
        <v>58</v>
      </c>
    </row>
    <row r="483" spans="1:4">
      <c r="B483" s="949" t="s">
        <v>1185</v>
      </c>
      <c r="C483" s="947" t="s">
        <v>1186</v>
      </c>
      <c r="D483" s="1046">
        <f>24.8*58.7</f>
        <v>1455.76</v>
      </c>
    </row>
    <row r="484" spans="1:4">
      <c r="B484" s="949" t="s">
        <v>1187</v>
      </c>
      <c r="C484" s="947" t="s">
        <v>1186</v>
      </c>
      <c r="D484" s="1046">
        <f>20*58.7</f>
        <v>1174</v>
      </c>
    </row>
    <row r="485" spans="1:4">
      <c r="B485" s="949" t="s">
        <v>1192</v>
      </c>
      <c r="C485" s="947" t="s">
        <v>1042</v>
      </c>
      <c r="D485" s="1049">
        <v>900</v>
      </c>
    </row>
    <row r="486" spans="1:4">
      <c r="B486" s="949" t="s">
        <v>1193</v>
      </c>
      <c r="C486" s="947" t="s">
        <v>1167</v>
      </c>
      <c r="D486" s="1046">
        <f>35*18</f>
        <v>630</v>
      </c>
    </row>
    <row r="487" spans="1:4">
      <c r="B487" s="949" t="s">
        <v>1178</v>
      </c>
      <c r="C487" s="947" t="s">
        <v>1042</v>
      </c>
      <c r="D487" s="1046">
        <v>9000</v>
      </c>
    </row>
    <row r="488" spans="1:4">
      <c r="B488" s="949" t="s">
        <v>1180</v>
      </c>
      <c r="C488" s="947" t="s">
        <v>1042</v>
      </c>
      <c r="D488" s="1046">
        <v>9500</v>
      </c>
    </row>
    <row r="489" spans="1:4" ht="31.5">
      <c r="B489" s="949" t="s">
        <v>1181</v>
      </c>
      <c r="C489" s="947" t="s">
        <v>1042</v>
      </c>
      <c r="D489" s="1046">
        <v>10800</v>
      </c>
    </row>
    <row r="490" spans="1:4">
      <c r="B490" s="949" t="s">
        <v>1182</v>
      </c>
      <c r="C490" s="947" t="s">
        <v>1183</v>
      </c>
      <c r="D490" s="1046">
        <v>1700</v>
      </c>
    </row>
    <row r="491" spans="1:4">
      <c r="B491" s="949" t="s">
        <v>989</v>
      </c>
      <c r="C491" s="947" t="s">
        <v>1106</v>
      </c>
      <c r="D491" s="1046">
        <v>5</v>
      </c>
    </row>
    <row r="492" spans="1:4">
      <c r="B492" s="949" t="s">
        <v>1721</v>
      </c>
      <c r="C492" s="947" t="s">
        <v>1166</v>
      </c>
      <c r="D492" s="1108">
        <v>5800</v>
      </c>
    </row>
    <row r="493" spans="1:4">
      <c r="A493" s="119" t="s">
        <v>1741</v>
      </c>
      <c r="B493" s="949" t="s">
        <v>1722</v>
      </c>
      <c r="C493" s="947" t="s">
        <v>1166</v>
      </c>
      <c r="D493" s="1046">
        <f>8000*1.18</f>
        <v>9440</v>
      </c>
    </row>
    <row r="494" spans="1:4">
      <c r="A494" s="119" t="s">
        <v>1741</v>
      </c>
      <c r="B494" s="949" t="s">
        <v>951</v>
      </c>
      <c r="C494" s="947" t="s">
        <v>1042</v>
      </c>
      <c r="D494" s="1046">
        <v>5200</v>
      </c>
    </row>
    <row r="495" spans="1:4">
      <c r="B495" s="949" t="s">
        <v>1169</v>
      </c>
      <c r="C495" s="947" t="s">
        <v>1056</v>
      </c>
      <c r="D495" s="1046">
        <f>22.46*1.18+22500/13000</f>
        <v>28.23</v>
      </c>
    </row>
    <row r="496" spans="1:4">
      <c r="B496" s="949" t="s">
        <v>1171</v>
      </c>
      <c r="C496" s="947" t="s">
        <v>1056</v>
      </c>
      <c r="D496" s="1046">
        <f>27.54*1.18+22500/13000</f>
        <v>34.229999999999997</v>
      </c>
    </row>
    <row r="497" spans="2:4">
      <c r="B497" s="949" t="s">
        <v>1172</v>
      </c>
      <c r="C497" s="947" t="s">
        <v>1056</v>
      </c>
      <c r="D497" s="1046">
        <f>467981.88/4263</f>
        <v>109.78</v>
      </c>
    </row>
    <row r="498" spans="2:4">
      <c r="B498" s="949" t="s">
        <v>1213</v>
      </c>
      <c r="C498" s="947" t="s">
        <v>1050</v>
      </c>
      <c r="D498" s="1048">
        <v>178</v>
      </c>
    </row>
    <row r="499" spans="2:4">
      <c r="B499" s="949" t="s">
        <v>1214</v>
      </c>
      <c r="C499" s="947" t="s">
        <v>1050</v>
      </c>
      <c r="D499" s="1048">
        <v>62</v>
      </c>
    </row>
    <row r="500" spans="2:4">
      <c r="B500" s="949" t="s">
        <v>1215</v>
      </c>
      <c r="C500" s="947" t="s">
        <v>1050</v>
      </c>
      <c r="D500" s="1160">
        <v>54.87</v>
      </c>
    </row>
    <row r="501" spans="2:4">
      <c r="B501" s="949" t="s">
        <v>1216</v>
      </c>
      <c r="C501" s="947" t="s">
        <v>1050</v>
      </c>
      <c r="D501" s="1048">
        <v>277.3</v>
      </c>
    </row>
    <row r="502" spans="2:4">
      <c r="B502" s="949" t="s">
        <v>1217</v>
      </c>
      <c r="C502" s="947" t="s">
        <v>1050</v>
      </c>
      <c r="D502" s="1048">
        <v>75.16</v>
      </c>
    </row>
    <row r="503" spans="2:4">
      <c r="B503" s="949" t="s">
        <v>1210</v>
      </c>
      <c r="C503" s="947" t="s">
        <v>1050</v>
      </c>
      <c r="D503" s="1048">
        <v>33</v>
      </c>
    </row>
    <row r="504" spans="2:4">
      <c r="B504" s="949" t="s">
        <v>1218</v>
      </c>
      <c r="C504" s="947" t="s">
        <v>1050</v>
      </c>
      <c r="D504" s="1048">
        <v>1139</v>
      </c>
    </row>
    <row r="505" spans="2:4">
      <c r="B505" s="949" t="s">
        <v>1219</v>
      </c>
      <c r="C505" s="947" t="s">
        <v>1050</v>
      </c>
      <c r="D505" s="1048">
        <v>596</v>
      </c>
    </row>
    <row r="506" spans="2:4">
      <c r="B506" s="949" t="s">
        <v>1220</v>
      </c>
      <c r="C506" s="947" t="s">
        <v>1050</v>
      </c>
      <c r="D506" s="1048">
        <v>702</v>
      </c>
    </row>
    <row r="507" spans="2:4">
      <c r="B507" s="982" t="s">
        <v>1221</v>
      </c>
      <c r="C507" s="947" t="s">
        <v>1000</v>
      </c>
      <c r="D507" s="1048">
        <f>+'[50]Analisis Parque lineal'!G1493</f>
        <v>358.96</v>
      </c>
    </row>
    <row r="508" spans="2:4">
      <c r="B508" s="982" t="s">
        <v>1566</v>
      </c>
      <c r="C508" s="947" t="s">
        <v>1050</v>
      </c>
      <c r="D508" s="1048">
        <v>186.92</v>
      </c>
    </row>
    <row r="509" spans="2:4">
      <c r="B509" s="982" t="s">
        <v>1567</v>
      </c>
      <c r="C509" s="947" t="s">
        <v>1050</v>
      </c>
      <c r="D509" s="1048">
        <v>92</v>
      </c>
    </row>
    <row r="510" spans="2:4">
      <c r="B510" s="982" t="s">
        <v>1287</v>
      </c>
      <c r="C510" s="947" t="s">
        <v>1050</v>
      </c>
      <c r="D510" s="1048">
        <v>70.09</v>
      </c>
    </row>
    <row r="511" spans="2:4" ht="31.5">
      <c r="B511" s="949" t="s">
        <v>1222</v>
      </c>
      <c r="C511" s="947" t="s">
        <v>1042</v>
      </c>
      <c r="D511" s="1048">
        <v>5569</v>
      </c>
    </row>
    <row r="512" spans="2:4">
      <c r="B512" s="949" t="s">
        <v>1223</v>
      </c>
      <c r="C512" s="947" t="s">
        <v>1042</v>
      </c>
      <c r="D512" s="1048">
        <v>7514</v>
      </c>
    </row>
    <row r="513" spans="2:4">
      <c r="B513" s="949" t="s">
        <v>1224</v>
      </c>
      <c r="C513" s="947" t="s">
        <v>1225</v>
      </c>
      <c r="D513" s="1048">
        <v>114</v>
      </c>
    </row>
    <row r="514" spans="2:4">
      <c r="B514" s="949" t="s">
        <v>1226</v>
      </c>
      <c r="C514" s="947" t="s">
        <v>1000</v>
      </c>
      <c r="D514" s="1048">
        <f>'[51]Analisis Parque lineal'!G1491</f>
        <v>1323.38</v>
      </c>
    </row>
    <row r="515" spans="2:4">
      <c r="B515" s="949" t="s">
        <v>1227</v>
      </c>
      <c r="C515" s="947" t="s">
        <v>1088</v>
      </c>
      <c r="D515" s="1048">
        <f>'[51]Analisis Parque lineal'!G1544*2</f>
        <v>129.65</v>
      </c>
    </row>
    <row r="516" spans="2:4">
      <c r="B516" s="949" t="s">
        <v>1228</v>
      </c>
      <c r="C516" s="947" t="s">
        <v>1042</v>
      </c>
      <c r="D516" s="1048">
        <f>'[51]Analisis Parque lineal'!G1027</f>
        <v>309.76</v>
      </c>
    </row>
    <row r="517" spans="2:4">
      <c r="B517" s="949" t="s">
        <v>1338</v>
      </c>
      <c r="C517" s="947" t="s">
        <v>1339</v>
      </c>
      <c r="D517" s="1046">
        <v>11635.98</v>
      </c>
    </row>
    <row r="518" spans="2:4">
      <c r="B518" s="949" t="s">
        <v>1237</v>
      </c>
      <c r="C518" s="947" t="s">
        <v>1183</v>
      </c>
      <c r="D518" s="1046">
        <v>2995</v>
      </c>
    </row>
    <row r="519" spans="2:4">
      <c r="B519" s="949" t="s">
        <v>1572</v>
      </c>
      <c r="C519" s="947" t="s">
        <v>1239</v>
      </c>
      <c r="D519" s="1046">
        <f>3.84*56.9</f>
        <v>218.5</v>
      </c>
    </row>
    <row r="520" spans="2:4">
      <c r="B520" s="949" t="s">
        <v>1240</v>
      </c>
      <c r="C520" s="947" t="s">
        <v>1183</v>
      </c>
      <c r="D520" s="1046">
        <v>175</v>
      </c>
    </row>
    <row r="521" spans="2:4">
      <c r="B521" s="949" t="s">
        <v>1241</v>
      </c>
      <c r="C521" s="947" t="s">
        <v>1106</v>
      </c>
      <c r="D521" s="1046">
        <v>4750</v>
      </c>
    </row>
    <row r="522" spans="2:4" ht="31.5">
      <c r="B522" s="949" t="s">
        <v>1242</v>
      </c>
      <c r="C522" s="947" t="s">
        <v>1106</v>
      </c>
      <c r="D522" s="1046">
        <v>2000</v>
      </c>
    </row>
    <row r="523" spans="2:4">
      <c r="B523" s="949" t="s">
        <v>1243</v>
      </c>
      <c r="C523" s="947" t="s">
        <v>1106</v>
      </c>
      <c r="D523" s="1046">
        <v>2150</v>
      </c>
    </row>
    <row r="524" spans="2:4">
      <c r="B524" s="979" t="s">
        <v>1244</v>
      </c>
      <c r="C524" s="947" t="s">
        <v>1106</v>
      </c>
      <c r="D524" s="1046">
        <f>1161.33*1.18</f>
        <v>1370.37</v>
      </c>
    </row>
    <row r="525" spans="2:4">
      <c r="B525" s="949" t="s">
        <v>1565</v>
      </c>
      <c r="C525" s="947" t="s">
        <v>1106</v>
      </c>
      <c r="D525" s="1046">
        <f>926.25*1.18</f>
        <v>1092.98</v>
      </c>
    </row>
    <row r="526" spans="2:4">
      <c r="B526" s="949" t="s">
        <v>1245</v>
      </c>
      <c r="C526" s="947" t="s">
        <v>1106</v>
      </c>
      <c r="D526" s="1046">
        <f>476.78*1.18</f>
        <v>562.6</v>
      </c>
    </row>
    <row r="527" spans="2:4">
      <c r="B527" s="949" t="s">
        <v>1246</v>
      </c>
      <c r="C527" s="947" t="s">
        <v>1106</v>
      </c>
      <c r="D527" s="1046">
        <v>230</v>
      </c>
    </row>
    <row r="528" spans="2:4">
      <c r="B528" s="949" t="s">
        <v>1247</v>
      </c>
      <c r="C528" s="947" t="s">
        <v>1106</v>
      </c>
      <c r="D528" s="1046">
        <v>100</v>
      </c>
    </row>
    <row r="529" spans="2:4">
      <c r="B529" s="949" t="s">
        <v>1248</v>
      </c>
      <c r="C529" s="947" t="s">
        <v>1106</v>
      </c>
      <c r="D529" s="1046">
        <v>109</v>
      </c>
    </row>
    <row r="530" spans="2:4">
      <c r="B530" s="949" t="s">
        <v>1249</v>
      </c>
      <c r="C530" s="947" t="s">
        <v>1106</v>
      </c>
      <c r="D530" s="1046">
        <v>25</v>
      </c>
    </row>
    <row r="531" spans="2:4">
      <c r="B531" s="949" t="s">
        <v>1250</v>
      </c>
      <c r="C531" s="947" t="s">
        <v>1106</v>
      </c>
      <c r="D531" s="1046">
        <v>90</v>
      </c>
    </row>
    <row r="532" spans="2:4">
      <c r="B532" s="949" t="s">
        <v>1251</v>
      </c>
      <c r="C532" s="947" t="s">
        <v>1106</v>
      </c>
      <c r="D532" s="1046">
        <v>30</v>
      </c>
    </row>
    <row r="533" spans="2:4">
      <c r="B533" s="949" t="s">
        <v>1252</v>
      </c>
      <c r="C533" s="947" t="s">
        <v>1106</v>
      </c>
      <c r="D533" s="1046">
        <v>145</v>
      </c>
    </row>
    <row r="534" spans="2:4">
      <c r="B534" s="949" t="s">
        <v>1253</v>
      </c>
      <c r="C534" s="947" t="s">
        <v>1106</v>
      </c>
      <c r="D534" s="1046">
        <v>30</v>
      </c>
    </row>
    <row r="535" spans="2:4">
      <c r="B535" s="949" t="s">
        <v>1254</v>
      </c>
      <c r="C535" s="947" t="s">
        <v>1106</v>
      </c>
      <c r="D535" s="1046">
        <v>625</v>
      </c>
    </row>
    <row r="536" spans="2:4">
      <c r="B536" s="949" t="s">
        <v>1255</v>
      </c>
      <c r="C536" s="947" t="s">
        <v>1106</v>
      </c>
      <c r="D536" s="1046">
        <v>35</v>
      </c>
    </row>
    <row r="537" spans="2:4">
      <c r="B537" s="949" t="s">
        <v>1256</v>
      </c>
      <c r="C537" s="947" t="s">
        <v>1106</v>
      </c>
      <c r="D537" s="1046">
        <v>55</v>
      </c>
    </row>
    <row r="538" spans="2:4">
      <c r="B538" s="949" t="s">
        <v>1257</v>
      </c>
      <c r="C538" s="947" t="s">
        <v>1183</v>
      </c>
      <c r="D538" s="1046">
        <v>995</v>
      </c>
    </row>
    <row r="539" spans="2:4">
      <c r="B539" s="949" t="s">
        <v>1258</v>
      </c>
      <c r="C539" s="947" t="s">
        <v>1106</v>
      </c>
      <c r="D539" s="1046">
        <v>150</v>
      </c>
    </row>
    <row r="540" spans="2:4">
      <c r="B540" s="949" t="s">
        <v>1259</v>
      </c>
      <c r="C540" s="947" t="s">
        <v>1106</v>
      </c>
      <c r="D540" s="1046">
        <v>1795</v>
      </c>
    </row>
    <row r="541" spans="2:4">
      <c r="B541" s="949" t="s">
        <v>1260</v>
      </c>
      <c r="C541" s="947" t="s">
        <v>1106</v>
      </c>
      <c r="D541" s="1046">
        <v>1300</v>
      </c>
    </row>
    <row r="542" spans="2:4">
      <c r="B542" s="949" t="s">
        <v>1261</v>
      </c>
      <c r="C542" s="947" t="s">
        <v>1106</v>
      </c>
      <c r="D542" s="1046">
        <v>250</v>
      </c>
    </row>
    <row r="543" spans="2:4">
      <c r="B543" s="949" t="s">
        <v>1262</v>
      </c>
      <c r="C543" s="947" t="s">
        <v>1106</v>
      </c>
      <c r="D543" s="1046">
        <v>20</v>
      </c>
    </row>
    <row r="544" spans="2:4">
      <c r="B544" s="949" t="s">
        <v>1263</v>
      </c>
      <c r="C544" s="947" t="s">
        <v>1106</v>
      </c>
      <c r="D544" s="1046">
        <v>30</v>
      </c>
    </row>
    <row r="545" spans="2:4">
      <c r="B545" s="979" t="s">
        <v>1264</v>
      </c>
      <c r="C545" s="947" t="s">
        <v>1106</v>
      </c>
      <c r="D545" s="1046">
        <v>35</v>
      </c>
    </row>
    <row r="546" spans="2:4">
      <c r="B546" s="949" t="s">
        <v>1265</v>
      </c>
      <c r="C546" s="947" t="s">
        <v>1196</v>
      </c>
      <c r="D546" s="1046">
        <v>825</v>
      </c>
    </row>
    <row r="547" spans="2:4">
      <c r="B547" s="949" t="s">
        <v>1266</v>
      </c>
      <c r="C547" s="947" t="s">
        <v>1106</v>
      </c>
      <c r="D547" s="1046">
        <v>120</v>
      </c>
    </row>
    <row r="548" spans="2:4" ht="31.5">
      <c r="B548" s="949" t="s">
        <v>1267</v>
      </c>
      <c r="C548" s="947" t="s">
        <v>1106</v>
      </c>
      <c r="D548" s="1046">
        <v>250</v>
      </c>
    </row>
    <row r="549" spans="2:4">
      <c r="B549" s="949" t="s">
        <v>1268</v>
      </c>
      <c r="C549" s="947" t="s">
        <v>1106</v>
      </c>
      <c r="D549" s="1046">
        <v>120</v>
      </c>
    </row>
    <row r="550" spans="2:4">
      <c r="B550" s="949" t="s">
        <v>1269</v>
      </c>
      <c r="C550" s="947" t="s">
        <v>1270</v>
      </c>
      <c r="D550" s="1046">
        <v>20</v>
      </c>
    </row>
    <row r="551" spans="2:4">
      <c r="B551" s="949" t="s">
        <v>1271</v>
      </c>
      <c r="C551" s="947" t="s">
        <v>1106</v>
      </c>
      <c r="D551" s="1046">
        <v>85</v>
      </c>
    </row>
    <row r="552" spans="2:4">
      <c r="B552" s="949" t="s">
        <v>1272</v>
      </c>
      <c r="C552" s="947" t="s">
        <v>1270</v>
      </c>
      <c r="D552" s="1046">
        <v>95</v>
      </c>
    </row>
    <row r="553" spans="2:4">
      <c r="B553" s="949" t="s">
        <v>1274</v>
      </c>
      <c r="C553" s="947" t="s">
        <v>1106</v>
      </c>
      <c r="D553" s="1046">
        <v>195</v>
      </c>
    </row>
    <row r="554" spans="2:4" ht="31.5">
      <c r="B554" s="949" t="s">
        <v>1275</v>
      </c>
      <c r="C554" s="947" t="s">
        <v>1106</v>
      </c>
      <c r="D554" s="1046">
        <v>63</v>
      </c>
    </row>
    <row r="555" spans="2:4">
      <c r="B555" s="949" t="s">
        <v>1276</v>
      </c>
      <c r="C555" s="947" t="s">
        <v>1225</v>
      </c>
      <c r="D555" s="1046">
        <v>395</v>
      </c>
    </row>
    <row r="556" spans="2:4">
      <c r="B556" s="949" t="s">
        <v>1277</v>
      </c>
      <c r="C556" s="947" t="s">
        <v>1106</v>
      </c>
      <c r="D556" s="1046">
        <v>395</v>
      </c>
    </row>
    <row r="557" spans="2:4">
      <c r="B557" s="949" t="s">
        <v>1278</v>
      </c>
      <c r="C557" s="947" t="s">
        <v>1106</v>
      </c>
      <c r="D557" s="1046">
        <v>96</v>
      </c>
    </row>
    <row r="558" spans="2:4">
      <c r="B558" s="949" t="s">
        <v>1279</v>
      </c>
      <c r="C558" s="947" t="s">
        <v>1106</v>
      </c>
      <c r="D558" s="1046">
        <v>7975</v>
      </c>
    </row>
    <row r="559" spans="2:4">
      <c r="B559" s="949" t="s">
        <v>1280</v>
      </c>
      <c r="C559" s="947" t="s">
        <v>1106</v>
      </c>
      <c r="D559" s="1046">
        <v>475</v>
      </c>
    </row>
    <row r="560" spans="2:4">
      <c r="B560" s="949" t="s">
        <v>1281</v>
      </c>
      <c r="C560" s="947" t="s">
        <v>1106</v>
      </c>
      <c r="D560" s="1046">
        <v>85</v>
      </c>
    </row>
    <row r="561" spans="2:4">
      <c r="B561" s="949" t="s">
        <v>1282</v>
      </c>
      <c r="C561" s="947" t="s">
        <v>1106</v>
      </c>
      <c r="D561" s="1046">
        <v>240</v>
      </c>
    </row>
    <row r="562" spans="2:4">
      <c r="B562" s="949" t="s">
        <v>1283</v>
      </c>
      <c r="C562" s="947" t="s">
        <v>1106</v>
      </c>
      <c r="D562" s="1046">
        <v>20</v>
      </c>
    </row>
    <row r="563" spans="2:4">
      <c r="B563" s="949" t="s">
        <v>1284</v>
      </c>
      <c r="C563" s="947" t="s">
        <v>1106</v>
      </c>
      <c r="D563" s="1046">
        <v>35</v>
      </c>
    </row>
    <row r="564" spans="2:4" ht="31.5">
      <c r="B564" s="949" t="s">
        <v>1285</v>
      </c>
      <c r="C564" s="947" t="s">
        <v>1106</v>
      </c>
      <c r="D564" s="1046">
        <v>1395</v>
      </c>
    </row>
    <row r="565" spans="2:4">
      <c r="B565" s="949" t="s">
        <v>1286</v>
      </c>
      <c r="C565" s="947" t="s">
        <v>1106</v>
      </c>
      <c r="D565" s="1046">
        <v>822.46</v>
      </c>
    </row>
    <row r="566" spans="2:4">
      <c r="B566" s="949" t="s">
        <v>1278</v>
      </c>
      <c r="C566" s="947" t="s">
        <v>1106</v>
      </c>
      <c r="D566" s="1046">
        <v>85</v>
      </c>
    </row>
    <row r="567" spans="2:4">
      <c r="B567" s="949" t="s">
        <v>1287</v>
      </c>
      <c r="C567" s="947" t="s">
        <v>1106</v>
      </c>
      <c r="D567" s="1053">
        <v>85</v>
      </c>
    </row>
    <row r="568" spans="2:4">
      <c r="B568" s="949" t="s">
        <v>1288</v>
      </c>
      <c r="C568" s="947" t="s">
        <v>1045</v>
      </c>
      <c r="D568" s="1046">
        <v>550</v>
      </c>
    </row>
    <row r="569" spans="2:4">
      <c r="B569" s="949" t="s">
        <v>1289</v>
      </c>
      <c r="C569" s="947" t="s">
        <v>1045</v>
      </c>
      <c r="D569" s="1046">
        <v>320</v>
      </c>
    </row>
    <row r="570" spans="2:4">
      <c r="B570" s="949" t="s">
        <v>1290</v>
      </c>
      <c r="C570" s="947" t="s">
        <v>1045</v>
      </c>
      <c r="D570" s="1046">
        <f>1274/5.9</f>
        <v>215.93</v>
      </c>
    </row>
    <row r="571" spans="2:4">
      <c r="B571" s="949" t="s">
        <v>1293</v>
      </c>
      <c r="C571" s="947" t="s">
        <v>1000</v>
      </c>
      <c r="D571" s="1046">
        <f>6*1.18*58.7</f>
        <v>415.6</v>
      </c>
    </row>
    <row r="572" spans="2:4">
      <c r="B572" s="949" t="s">
        <v>1295</v>
      </c>
      <c r="C572" s="947" t="s">
        <v>1000</v>
      </c>
      <c r="D572" s="1046">
        <f>+(2.7*1.18+0.3)*58.6</f>
        <v>204.28</v>
      </c>
    </row>
    <row r="573" spans="2:4">
      <c r="B573" s="949" t="s">
        <v>1296</v>
      </c>
      <c r="C573" s="947" t="s">
        <v>1062</v>
      </c>
      <c r="D573" s="1046">
        <f>+D183</f>
        <v>3600</v>
      </c>
    </row>
    <row r="574" spans="2:4">
      <c r="B574" s="949" t="s">
        <v>1297</v>
      </c>
      <c r="C574" s="947" t="s">
        <v>1062</v>
      </c>
      <c r="D574" s="1046">
        <f>+D573</f>
        <v>3600</v>
      </c>
    </row>
    <row r="575" spans="2:4">
      <c r="B575" s="949" t="s">
        <v>1300</v>
      </c>
      <c r="C575" s="947" t="s">
        <v>1000</v>
      </c>
      <c r="D575" s="1046">
        <f>55*56.9</f>
        <v>3129.5</v>
      </c>
    </row>
    <row r="576" spans="2:4">
      <c r="B576" s="949" t="s">
        <v>1302</v>
      </c>
      <c r="C576" s="947" t="s">
        <v>1000</v>
      </c>
      <c r="D576" s="1046">
        <v>772</v>
      </c>
    </row>
    <row r="577" spans="2:4">
      <c r="B577" s="949" t="s">
        <v>1303</v>
      </c>
      <c r="C577" s="947" t="s">
        <v>1238</v>
      </c>
      <c r="D577" s="1046">
        <v>13482</v>
      </c>
    </row>
    <row r="578" spans="2:4">
      <c r="B578" s="949" t="s">
        <v>1304</v>
      </c>
      <c r="C578" s="947" t="s">
        <v>1056</v>
      </c>
      <c r="D578" s="1046">
        <v>7</v>
      </c>
    </row>
    <row r="579" spans="2:4">
      <c r="B579" s="949" t="s">
        <v>1307</v>
      </c>
      <c r="C579" s="947" t="s">
        <v>1000</v>
      </c>
      <c r="D579" s="1046">
        <f>15*56.9</f>
        <v>853.5</v>
      </c>
    </row>
    <row r="580" spans="2:4">
      <c r="B580" s="949" t="s">
        <v>1308</v>
      </c>
      <c r="C580" s="947" t="s">
        <v>1045</v>
      </c>
      <c r="D580" s="1046">
        <f>4*56.9</f>
        <v>227.6</v>
      </c>
    </row>
    <row r="581" spans="2:4" ht="31.5">
      <c r="B581" s="949" t="s">
        <v>1310</v>
      </c>
      <c r="C581" s="947" t="s">
        <v>1056</v>
      </c>
      <c r="D581" s="1046">
        <v>49000</v>
      </c>
    </row>
    <row r="582" spans="2:4" ht="31.5">
      <c r="B582" s="979" t="s">
        <v>1588</v>
      </c>
      <c r="C582" s="947" t="s">
        <v>1056</v>
      </c>
      <c r="D582" s="1046">
        <v>8500</v>
      </c>
    </row>
    <row r="583" spans="2:4">
      <c r="B583" s="949" t="s">
        <v>998</v>
      </c>
      <c r="C583" s="947" t="s">
        <v>1042</v>
      </c>
      <c r="D583" s="1046">
        <v>7200</v>
      </c>
    </row>
    <row r="584" spans="2:4">
      <c r="B584" s="949" t="s">
        <v>1312</v>
      </c>
      <c r="C584" s="947" t="s">
        <v>1056</v>
      </c>
      <c r="D584" s="1046">
        <v>450</v>
      </c>
    </row>
    <row r="585" spans="2:4">
      <c r="B585" s="949" t="s">
        <v>1313</v>
      </c>
      <c r="C585" s="947" t="s">
        <v>1056</v>
      </c>
      <c r="D585" s="1046">
        <v>3775</v>
      </c>
    </row>
    <row r="586" spans="2:4">
      <c r="B586" s="949" t="s">
        <v>1314</v>
      </c>
      <c r="C586" s="947" t="s">
        <v>1056</v>
      </c>
      <c r="D586" s="1046">
        <v>395</v>
      </c>
    </row>
    <row r="587" spans="2:4">
      <c r="B587" s="949" t="s">
        <v>1315</v>
      </c>
      <c r="C587" s="947" t="s">
        <v>1056</v>
      </c>
      <c r="D587" s="1046">
        <v>20</v>
      </c>
    </row>
    <row r="588" spans="2:4" ht="31.5">
      <c r="B588" s="949" t="s">
        <v>1316</v>
      </c>
      <c r="C588" s="947" t="s">
        <v>1056</v>
      </c>
      <c r="D588" s="1046">
        <v>67343</v>
      </c>
    </row>
    <row r="589" spans="2:4">
      <c r="B589" s="949" t="s">
        <v>1317</v>
      </c>
      <c r="C589" s="947" t="s">
        <v>1042</v>
      </c>
      <c r="D589" s="1046">
        <f>5650+300</f>
        <v>5950</v>
      </c>
    </row>
    <row r="590" spans="2:4">
      <c r="B590" s="949" t="s">
        <v>1319</v>
      </c>
      <c r="C590" s="947" t="s">
        <v>1000</v>
      </c>
    </row>
    <row r="591" spans="2:4">
      <c r="B591" s="949" t="s">
        <v>1320</v>
      </c>
      <c r="C591" s="947" t="s">
        <v>1197</v>
      </c>
      <c r="D591" s="1046">
        <v>395</v>
      </c>
    </row>
    <row r="592" spans="2:4">
      <c r="B592" s="949" t="s">
        <v>1321</v>
      </c>
      <c r="C592" s="947" t="s">
        <v>1322</v>
      </c>
      <c r="D592" s="1046">
        <v>1895</v>
      </c>
    </row>
    <row r="593" spans="2:4">
      <c r="B593" s="949" t="s">
        <v>1323</v>
      </c>
      <c r="C593" s="947" t="s">
        <v>1056</v>
      </c>
      <c r="D593" s="1046">
        <v>1063</v>
      </c>
    </row>
    <row r="594" spans="2:4">
      <c r="B594" s="949" t="s">
        <v>1324</v>
      </c>
      <c r="C594" s="947" t="s">
        <v>1056</v>
      </c>
    </row>
    <row r="595" spans="2:4">
      <c r="B595" s="949" t="s">
        <v>1325</v>
      </c>
      <c r="C595" s="947" t="s">
        <v>1056</v>
      </c>
      <c r="D595" s="1046">
        <v>75000</v>
      </c>
    </row>
    <row r="596" spans="2:4">
      <c r="B596" s="949" t="s">
        <v>1326</v>
      </c>
      <c r="C596" s="947" t="s">
        <v>1025</v>
      </c>
      <c r="D596" s="1046">
        <v>5</v>
      </c>
    </row>
    <row r="597" spans="2:4">
      <c r="B597" s="949" t="s">
        <v>1327</v>
      </c>
      <c r="C597" s="947" t="s">
        <v>1000</v>
      </c>
      <c r="D597" s="1046">
        <v>5</v>
      </c>
    </row>
    <row r="598" spans="2:4">
      <c r="B598" s="949" t="s">
        <v>1328</v>
      </c>
      <c r="C598" s="947" t="s">
        <v>1190</v>
      </c>
      <c r="D598" s="1046">
        <v>56</v>
      </c>
    </row>
    <row r="599" spans="2:4">
      <c r="B599" s="949" t="s">
        <v>1329</v>
      </c>
      <c r="C599" s="947" t="s">
        <v>10</v>
      </c>
      <c r="D599" s="1046">
        <v>700</v>
      </c>
    </row>
    <row r="600" spans="2:4">
      <c r="B600" s="949" t="s">
        <v>1330</v>
      </c>
      <c r="C600" s="947" t="s">
        <v>1331</v>
      </c>
      <c r="D600" s="1046">
        <v>32</v>
      </c>
    </row>
    <row r="601" spans="2:4">
      <c r="B601" s="949" t="s">
        <v>1332</v>
      </c>
      <c r="C601" s="947" t="s">
        <v>1331</v>
      </c>
      <c r="D601" s="1046">
        <v>32</v>
      </c>
    </row>
    <row r="602" spans="2:4">
      <c r="B602" s="949" t="s">
        <v>1333</v>
      </c>
      <c r="C602" s="947" t="s">
        <v>1056</v>
      </c>
      <c r="D602" s="1046">
        <v>143</v>
      </c>
    </row>
    <row r="603" spans="2:4">
      <c r="B603" s="949" t="s">
        <v>1334</v>
      </c>
      <c r="C603" s="947" t="s">
        <v>10</v>
      </c>
      <c r="D603" s="1046">
        <v>80</v>
      </c>
    </row>
    <row r="604" spans="2:4">
      <c r="B604" s="949" t="s">
        <v>1010</v>
      </c>
      <c r="C604" s="947" t="s">
        <v>10</v>
      </c>
      <c r="D604" s="1046">
        <f>+'[50]Presupuesto Las ballenas'!G23+'[50]Presupuesto Las ballenas'!G27+'[50]Presupuesto Las ballenas'!G30+'[50]Presupuesto Las ballenas'!G32</f>
        <v>895343.5</v>
      </c>
    </row>
    <row r="605" spans="2:4">
      <c r="B605" s="949" t="s">
        <v>1009</v>
      </c>
      <c r="C605" s="947" t="s">
        <v>1000</v>
      </c>
      <c r="D605" s="1046">
        <v>1320</v>
      </c>
    </row>
    <row r="606" spans="2:4">
      <c r="B606" s="949" t="s">
        <v>1335</v>
      </c>
      <c r="C606" s="947" t="s">
        <v>1336</v>
      </c>
      <c r="D606" s="1046">
        <f>65*4.67</f>
        <v>303.55</v>
      </c>
    </row>
    <row r="607" spans="2:4">
      <c r="B607" s="949" t="s">
        <v>1337</v>
      </c>
      <c r="C607" s="947" t="s">
        <v>1336</v>
      </c>
      <c r="D607" s="1046">
        <f>61.36*8</f>
        <v>490.88</v>
      </c>
    </row>
    <row r="608" spans="2:4">
      <c r="B608" s="949" t="s">
        <v>1338</v>
      </c>
      <c r="C608" s="947" t="s">
        <v>1339</v>
      </c>
      <c r="D608" s="1046">
        <v>11636</v>
      </c>
    </row>
    <row r="609" spans="2:4">
      <c r="B609" s="949" t="s">
        <v>1342</v>
      </c>
      <c r="C609" s="947" t="s">
        <v>1056</v>
      </c>
      <c r="D609" s="1046">
        <v>232</v>
      </c>
    </row>
    <row r="610" spans="2:4">
      <c r="B610" s="949" t="s">
        <v>1343</v>
      </c>
      <c r="C610" s="947" t="s">
        <v>1056</v>
      </c>
      <c r="D610" s="1046">
        <v>299</v>
      </c>
    </row>
    <row r="611" spans="2:4">
      <c r="B611" s="949" t="s">
        <v>1344</v>
      </c>
      <c r="C611" s="947" t="s">
        <v>1345</v>
      </c>
      <c r="D611" s="1046">
        <v>1419</v>
      </c>
    </row>
    <row r="612" spans="2:4">
      <c r="B612" s="949" t="s">
        <v>1346</v>
      </c>
      <c r="C612" s="947" t="s">
        <v>1190</v>
      </c>
      <c r="D612" s="1046">
        <v>165</v>
      </c>
    </row>
    <row r="613" spans="2:4">
      <c r="B613" s="949" t="s">
        <v>1347</v>
      </c>
      <c r="C613" s="947" t="s">
        <v>1190</v>
      </c>
      <c r="D613" s="1046">
        <v>158</v>
      </c>
    </row>
    <row r="614" spans="2:4">
      <c r="B614" s="949" t="s">
        <v>1348</v>
      </c>
      <c r="C614" s="947" t="s">
        <v>1056</v>
      </c>
      <c r="D614" s="1046">
        <v>120</v>
      </c>
    </row>
    <row r="615" spans="2:4">
      <c r="B615" s="949" t="s">
        <v>1349</v>
      </c>
      <c r="C615" s="947" t="s">
        <v>1350</v>
      </c>
      <c r="D615" s="1046">
        <v>8</v>
      </c>
    </row>
    <row r="616" spans="2:4">
      <c r="B616" s="949" t="s">
        <v>1351</v>
      </c>
      <c r="C616" s="947" t="s">
        <v>1196</v>
      </c>
      <c r="D616" s="1046">
        <v>532</v>
      </c>
    </row>
    <row r="617" spans="2:4">
      <c r="B617" s="949" t="s">
        <v>1352</v>
      </c>
      <c r="C617" s="947" t="s">
        <v>1106</v>
      </c>
      <c r="D617" s="1046">
        <v>209</v>
      </c>
    </row>
    <row r="618" spans="2:4">
      <c r="B618" s="949" t="s">
        <v>1353</v>
      </c>
      <c r="C618" s="947" t="s">
        <v>1106</v>
      </c>
      <c r="D618" s="1046">
        <v>5044</v>
      </c>
    </row>
    <row r="619" spans="2:4">
      <c r="B619" s="949" t="s">
        <v>1354</v>
      </c>
      <c r="C619" s="947" t="s">
        <v>1106</v>
      </c>
      <c r="D619" s="1046">
        <v>31580</v>
      </c>
    </row>
    <row r="620" spans="2:4">
      <c r="B620" s="949" t="s">
        <v>1355</v>
      </c>
      <c r="C620" s="947" t="s">
        <v>1106</v>
      </c>
      <c r="D620" s="1046">
        <v>1662.62</v>
      </c>
    </row>
    <row r="621" spans="2:4">
      <c r="B621" s="949" t="s">
        <v>1356</v>
      </c>
      <c r="C621" s="947" t="s">
        <v>1106</v>
      </c>
      <c r="D621" s="1046">
        <v>1939</v>
      </c>
    </row>
    <row r="622" spans="2:4">
      <c r="B622" s="949" t="s">
        <v>1357</v>
      </c>
      <c r="C622" s="947" t="s">
        <v>1106</v>
      </c>
      <c r="D622" s="1046">
        <v>853.14</v>
      </c>
    </row>
    <row r="623" spans="2:4">
      <c r="B623" s="949" t="s">
        <v>1358</v>
      </c>
      <c r="C623" s="947" t="s">
        <v>1106</v>
      </c>
      <c r="D623" s="1046">
        <v>797</v>
      </c>
    </row>
    <row r="624" spans="2:4">
      <c r="B624" s="949" t="s">
        <v>1359</v>
      </c>
      <c r="C624" s="947" t="s">
        <v>1106</v>
      </c>
      <c r="D624" s="1046">
        <v>197.41</v>
      </c>
    </row>
    <row r="625" spans="2:4">
      <c r="B625" s="949" t="s">
        <v>1360</v>
      </c>
      <c r="C625" s="947" t="s">
        <v>1106</v>
      </c>
      <c r="D625" s="1046">
        <v>177.94</v>
      </c>
    </row>
    <row r="626" spans="2:4">
      <c r="B626" s="949" t="s">
        <v>1361</v>
      </c>
      <c r="C626" s="947" t="s">
        <v>1190</v>
      </c>
      <c r="D626" s="1046">
        <v>148.68</v>
      </c>
    </row>
    <row r="627" spans="2:4">
      <c r="B627" s="949" t="s">
        <v>1362</v>
      </c>
      <c r="C627" s="947" t="s">
        <v>1106</v>
      </c>
      <c r="D627" s="1046">
        <v>86.19</v>
      </c>
    </row>
    <row r="628" spans="2:4">
      <c r="B628" s="949" t="s">
        <v>1363</v>
      </c>
      <c r="C628" s="947" t="s">
        <v>1056</v>
      </c>
      <c r="D628" s="1046">
        <v>278</v>
      </c>
    </row>
    <row r="629" spans="2:4">
      <c r="B629" s="949" t="s">
        <v>1364</v>
      </c>
      <c r="C629" s="947" t="s">
        <v>1106</v>
      </c>
      <c r="D629" s="1046">
        <v>3290</v>
      </c>
    </row>
    <row r="630" spans="2:4">
      <c r="B630" s="949" t="s">
        <v>1714</v>
      </c>
      <c r="C630" s="947" t="s">
        <v>1106</v>
      </c>
      <c r="D630" s="1046">
        <v>9002.0499999999993</v>
      </c>
    </row>
    <row r="631" spans="2:4">
      <c r="B631" s="949" t="s">
        <v>1715</v>
      </c>
      <c r="C631" s="947" t="s">
        <v>1106</v>
      </c>
      <c r="D631" s="1046">
        <v>9247.83</v>
      </c>
    </row>
    <row r="632" spans="2:4">
      <c r="B632" s="949" t="s">
        <v>1716</v>
      </c>
      <c r="C632" s="947" t="s">
        <v>1106</v>
      </c>
      <c r="D632" s="1046">
        <v>986.6</v>
      </c>
    </row>
    <row r="633" spans="2:4">
      <c r="B633" s="949" t="s">
        <v>879</v>
      </c>
      <c r="C633" s="947" t="s">
        <v>1106</v>
      </c>
      <c r="D633" s="1046">
        <v>1169</v>
      </c>
    </row>
    <row r="634" spans="2:4">
      <c r="B634" s="949" t="s">
        <v>880</v>
      </c>
      <c r="C634" s="947" t="s">
        <v>1088</v>
      </c>
      <c r="D634" s="1046">
        <v>65</v>
      </c>
    </row>
    <row r="635" spans="2:4">
      <c r="B635" s="949" t="s">
        <v>873</v>
      </c>
      <c r="C635" s="947" t="s">
        <v>1088</v>
      </c>
      <c r="D635" s="1046">
        <v>45</v>
      </c>
    </row>
    <row r="636" spans="2:4">
      <c r="B636" s="949" t="s">
        <v>1410</v>
      </c>
      <c r="C636" s="947" t="s">
        <v>10</v>
      </c>
      <c r="D636" s="1046">
        <v>1000</v>
      </c>
    </row>
    <row r="637" spans="2:4" ht="31.5">
      <c r="B637" s="949" t="s">
        <v>1411</v>
      </c>
      <c r="C637" s="947" t="s">
        <v>10</v>
      </c>
      <c r="D637" s="1046">
        <f>42000*1.18</f>
        <v>49560</v>
      </c>
    </row>
    <row r="638" spans="2:4" ht="31.5">
      <c r="B638" s="949" t="s">
        <v>1413</v>
      </c>
      <c r="C638" s="947" t="s">
        <v>1000</v>
      </c>
      <c r="D638" s="1046">
        <v>36</v>
      </c>
    </row>
    <row r="639" spans="2:4">
      <c r="B639" s="949" t="s">
        <v>1414</v>
      </c>
      <c r="C639" s="947" t="s">
        <v>1106</v>
      </c>
      <c r="D639" s="1046">
        <f>1250*1.18</f>
        <v>1475</v>
      </c>
    </row>
    <row r="640" spans="2:4">
      <c r="B640" s="949" t="s">
        <v>1415</v>
      </c>
      <c r="C640" s="947" t="s">
        <v>1000</v>
      </c>
      <c r="D640" s="1046">
        <f>55*56.9*0.9</f>
        <v>2816.55</v>
      </c>
    </row>
    <row r="641" spans="2:4" ht="31.5">
      <c r="B641" s="949" t="s">
        <v>1417</v>
      </c>
      <c r="C641" s="947" t="s">
        <v>1000</v>
      </c>
      <c r="D641" s="1046">
        <f>160*56.9*0.9</f>
        <v>8193.6</v>
      </c>
    </row>
    <row r="642" spans="2:4" ht="47.25">
      <c r="B642" s="949" t="s">
        <v>1418</v>
      </c>
      <c r="C642" s="947" t="s">
        <v>1000</v>
      </c>
      <c r="D642" s="1046">
        <f>135*56.9*0.9</f>
        <v>6913.35</v>
      </c>
    </row>
    <row r="643" spans="2:4" ht="31.5">
      <c r="B643" s="949" t="s">
        <v>1408</v>
      </c>
      <c r="C643" s="947" t="s">
        <v>1056</v>
      </c>
      <c r="D643" s="1046">
        <v>75</v>
      </c>
    </row>
    <row r="644" spans="2:4" ht="31.5">
      <c r="B644" s="949" t="s">
        <v>1421</v>
      </c>
      <c r="C644" s="947" t="s">
        <v>10</v>
      </c>
      <c r="D644" s="1046">
        <f>9745.76*1.18</f>
        <v>11500</v>
      </c>
    </row>
    <row r="645" spans="2:4" ht="31.5">
      <c r="B645" s="949" t="s">
        <v>1422</v>
      </c>
      <c r="C645" s="947" t="s">
        <v>10</v>
      </c>
      <c r="D645" s="1046">
        <f>10338.98*1.18</f>
        <v>12200</v>
      </c>
    </row>
    <row r="646" spans="2:4" ht="31.5">
      <c r="B646" s="949" t="s">
        <v>1423</v>
      </c>
      <c r="C646" s="947" t="s">
        <v>10</v>
      </c>
      <c r="D646" s="1046">
        <f>7754.24*1.18</f>
        <v>9150</v>
      </c>
    </row>
    <row r="647" spans="2:4" ht="31.5">
      <c r="B647" s="949" t="s">
        <v>1424</v>
      </c>
      <c r="C647" s="947" t="s">
        <v>10</v>
      </c>
      <c r="D647" s="1046">
        <f>8898.31*1.18</f>
        <v>10500.01</v>
      </c>
    </row>
    <row r="648" spans="2:4" ht="31.5">
      <c r="B648" s="949" t="s">
        <v>1425</v>
      </c>
      <c r="C648" s="947" t="s">
        <v>10</v>
      </c>
      <c r="D648" s="1046">
        <f>9406.78*1.18</f>
        <v>11100</v>
      </c>
    </row>
    <row r="649" spans="2:4">
      <c r="B649" s="949" t="s">
        <v>1426</v>
      </c>
      <c r="C649" s="947" t="s">
        <v>10</v>
      </c>
      <c r="D649" s="1046">
        <f>13983.05*1.18</f>
        <v>16500</v>
      </c>
    </row>
    <row r="650" spans="2:4" ht="31.5">
      <c r="B650" s="949" t="s">
        <v>1427</v>
      </c>
      <c r="C650" s="947" t="s">
        <v>10</v>
      </c>
      <c r="D650" s="1046">
        <f>+D644</f>
        <v>11500</v>
      </c>
    </row>
    <row r="651" spans="2:4" ht="31.5">
      <c r="B651" s="949" t="s">
        <v>1428</v>
      </c>
      <c r="C651" s="947" t="s">
        <v>1429</v>
      </c>
      <c r="D651" s="1046">
        <v>280</v>
      </c>
    </row>
    <row r="652" spans="2:4">
      <c r="B652" s="949" t="s">
        <v>1430</v>
      </c>
    </row>
    <row r="653" spans="2:4">
      <c r="B653" s="949" t="s">
        <v>1431</v>
      </c>
    </row>
    <row r="654" spans="2:4">
      <c r="B654" s="949" t="s">
        <v>1432</v>
      </c>
    </row>
    <row r="655" spans="2:4" ht="47.25">
      <c r="B655" s="949" t="s">
        <v>1433</v>
      </c>
      <c r="C655" s="947" t="s">
        <v>1025</v>
      </c>
      <c r="D655" s="1046">
        <v>280000</v>
      </c>
    </row>
    <row r="656" spans="2:4">
      <c r="B656" s="949" t="s">
        <v>1434</v>
      </c>
      <c r="C656" s="947" t="s">
        <v>1045</v>
      </c>
      <c r="D656" s="1046">
        <v>110</v>
      </c>
    </row>
    <row r="657" spans="2:4">
      <c r="B657" s="949" t="s">
        <v>1435</v>
      </c>
      <c r="C657" s="947" t="s">
        <v>10</v>
      </c>
      <c r="D657" s="1046">
        <v>7500</v>
      </c>
    </row>
    <row r="658" spans="2:4">
      <c r="B658" s="949" t="s">
        <v>1436</v>
      </c>
      <c r="C658" s="947" t="s">
        <v>1000</v>
      </c>
      <c r="D658" s="1046">
        <f>275*2</f>
        <v>550</v>
      </c>
    </row>
    <row r="659" spans="2:4">
      <c r="B659" s="949" t="s">
        <v>1725</v>
      </c>
      <c r="C659" s="947" t="s">
        <v>20</v>
      </c>
      <c r="D659" s="1046">
        <v>610</v>
      </c>
    </row>
    <row r="660" spans="2:4">
      <c r="B660" s="949" t="s">
        <v>1441</v>
      </c>
      <c r="C660" s="947" t="s">
        <v>1439</v>
      </c>
      <c r="D660" s="1046">
        <v>3717</v>
      </c>
    </row>
    <row r="672" spans="2:4">
      <c r="B672" s="1151" t="s">
        <v>1437</v>
      </c>
      <c r="C672" s="1152"/>
      <c r="D672" s="1153"/>
    </row>
    <row r="674" spans="2:4">
      <c r="B674" s="949" t="s">
        <v>1438</v>
      </c>
      <c r="C674" s="947" t="s">
        <v>1439</v>
      </c>
      <c r="D674" s="1046">
        <v>1274</v>
      </c>
    </row>
    <row r="675" spans="2:4">
      <c r="B675" s="949" t="s">
        <v>1440</v>
      </c>
      <c r="C675" s="947" t="s">
        <v>1439</v>
      </c>
      <c r="D675" s="1046">
        <v>1106</v>
      </c>
    </row>
    <row r="676" spans="2:4">
      <c r="B676" s="949" t="s">
        <v>952</v>
      </c>
      <c r="C676" s="947" t="s">
        <v>1167</v>
      </c>
      <c r="D676" s="1046">
        <v>155</v>
      </c>
    </row>
    <row r="677" spans="2:4">
      <c r="B677" s="949" t="s">
        <v>953</v>
      </c>
      <c r="C677" s="947" t="s">
        <v>1167</v>
      </c>
      <c r="D677" s="1046">
        <v>120</v>
      </c>
    </row>
    <row r="678" spans="2:4">
      <c r="B678" s="949" t="s">
        <v>954</v>
      </c>
      <c r="C678" s="947" t="s">
        <v>1439</v>
      </c>
      <c r="D678" s="1046">
        <v>6584</v>
      </c>
    </row>
    <row r="679" spans="2:4">
      <c r="B679" s="949" t="s">
        <v>955</v>
      </c>
      <c r="C679" s="947" t="s">
        <v>1439</v>
      </c>
      <c r="D679" s="1046">
        <v>3610</v>
      </c>
    </row>
    <row r="680" spans="2:4">
      <c r="B680" s="949" t="s">
        <v>1020</v>
      </c>
      <c r="C680" s="947" t="s">
        <v>1026</v>
      </c>
      <c r="D680" s="1046">
        <f>225*4*23.83</f>
        <v>21447</v>
      </c>
    </row>
    <row r="681" spans="2:4">
      <c r="B681" s="949" t="s">
        <v>1021</v>
      </c>
      <c r="C681" s="947" t="s">
        <v>1026</v>
      </c>
      <c r="D681" s="1046">
        <f>(1800/8)*5*23.83</f>
        <v>26808.75</v>
      </c>
    </row>
    <row r="682" spans="2:4">
      <c r="B682" s="949" t="s">
        <v>933</v>
      </c>
      <c r="C682" s="947" t="s">
        <v>1439</v>
      </c>
      <c r="D682" s="1046">
        <v>4250</v>
      </c>
    </row>
    <row r="683" spans="2:4">
      <c r="B683" s="949" t="s">
        <v>938</v>
      </c>
      <c r="C683" s="947" t="s">
        <v>1439</v>
      </c>
      <c r="D683" s="1046">
        <v>2500</v>
      </c>
    </row>
    <row r="684" spans="2:4">
      <c r="B684" s="949" t="s">
        <v>935</v>
      </c>
      <c r="C684" s="947" t="s">
        <v>1439</v>
      </c>
      <c r="D684" s="1046">
        <v>3000</v>
      </c>
    </row>
    <row r="685" spans="2:4">
      <c r="B685" s="949" t="s">
        <v>934</v>
      </c>
      <c r="C685" s="947" t="s">
        <v>1167</v>
      </c>
      <c r="D685" s="1046">
        <v>350</v>
      </c>
    </row>
    <row r="686" spans="2:4">
      <c r="B686" s="949" t="s">
        <v>992</v>
      </c>
      <c r="C686" s="947" t="s">
        <v>1167</v>
      </c>
      <c r="D686" s="1046">
        <f>5*19.22</f>
        <v>96.1</v>
      </c>
    </row>
    <row r="687" spans="2:4">
      <c r="B687" s="949" t="s">
        <v>993</v>
      </c>
      <c r="C687" s="947" t="s">
        <v>1167</v>
      </c>
      <c r="D687" s="1046">
        <f>2*18.21</f>
        <v>36.42</v>
      </c>
    </row>
    <row r="688" spans="2:4">
      <c r="B688" s="949" t="s">
        <v>939</v>
      </c>
      <c r="C688" s="947" t="s">
        <v>1439</v>
      </c>
      <c r="D688" s="1046">
        <v>400</v>
      </c>
    </row>
    <row r="689" spans="2:4">
      <c r="B689" s="949" t="s">
        <v>1005</v>
      </c>
      <c r="C689" s="947" t="s">
        <v>1439</v>
      </c>
      <c r="D689" s="1046">
        <v>1500</v>
      </c>
    </row>
    <row r="690" spans="2:4" ht="31.5">
      <c r="B690" s="949" t="s">
        <v>932</v>
      </c>
      <c r="C690" s="947" t="s">
        <v>1439</v>
      </c>
      <c r="D690" s="1046">
        <v>3900</v>
      </c>
    </row>
    <row r="691" spans="2:4">
      <c r="B691" s="949" t="s">
        <v>947</v>
      </c>
      <c r="C691" s="947" t="s">
        <v>1466</v>
      </c>
      <c r="D691" s="1046">
        <v>1106</v>
      </c>
    </row>
    <row r="692" spans="2:4">
      <c r="B692" s="949" t="s">
        <v>948</v>
      </c>
      <c r="C692" s="947" t="s">
        <v>1466</v>
      </c>
      <c r="D692" s="1046">
        <v>3398</v>
      </c>
    </row>
    <row r="693" spans="2:4">
      <c r="B693" s="949" t="s">
        <v>949</v>
      </c>
      <c r="C693" s="947" t="s">
        <v>1466</v>
      </c>
      <c r="D693" s="1046">
        <v>1274</v>
      </c>
    </row>
    <row r="694" spans="2:4">
      <c r="B694" s="949" t="s">
        <v>1442</v>
      </c>
      <c r="C694" s="947" t="s">
        <v>1167</v>
      </c>
      <c r="D694" s="1046">
        <v>365</v>
      </c>
    </row>
    <row r="695" spans="2:4">
      <c r="B695" s="949" t="s">
        <v>1443</v>
      </c>
      <c r="C695" s="947" t="s">
        <v>1439</v>
      </c>
      <c r="D695" s="1046">
        <v>2800</v>
      </c>
    </row>
    <row r="696" spans="2:4">
      <c r="B696" s="949" t="s">
        <v>925</v>
      </c>
      <c r="C696" s="947" t="s">
        <v>1025</v>
      </c>
      <c r="D696" s="1046">
        <v>0.03</v>
      </c>
    </row>
    <row r="697" spans="2:4" ht="31.5">
      <c r="B697" s="949" t="s">
        <v>1444</v>
      </c>
      <c r="C697" s="947" t="s">
        <v>1439</v>
      </c>
      <c r="D697" s="1046">
        <f>1700/6</f>
        <v>283.33</v>
      </c>
    </row>
    <row r="698" spans="2:4">
      <c r="B698" s="949" t="s">
        <v>1455</v>
      </c>
      <c r="C698" s="947" t="s">
        <v>1439</v>
      </c>
      <c r="D698" s="1046">
        <v>1790</v>
      </c>
    </row>
    <row r="699" spans="2:4">
      <c r="B699" s="949" t="s">
        <v>1456</v>
      </c>
      <c r="C699" s="947" t="s">
        <v>10</v>
      </c>
      <c r="D699" s="1046">
        <f>12*56.9</f>
        <v>682.8</v>
      </c>
    </row>
    <row r="700" spans="2:4">
      <c r="B700" s="949" t="s">
        <v>1457</v>
      </c>
      <c r="C700" s="947" t="s">
        <v>1027</v>
      </c>
      <c r="D700" s="1046">
        <v>3000</v>
      </c>
    </row>
    <row r="701" spans="2:4">
      <c r="B701" s="949" t="s">
        <v>1458</v>
      </c>
      <c r="C701" s="947" t="s">
        <v>1026</v>
      </c>
      <c r="D701" s="1046">
        <v>25000</v>
      </c>
    </row>
    <row r="702" spans="2:4">
      <c r="B702" s="949" t="s">
        <v>1459</v>
      </c>
      <c r="C702" s="947" t="s">
        <v>10</v>
      </c>
      <c r="D702" s="1046">
        <f>1.9*58.7</f>
        <v>111.53</v>
      </c>
    </row>
    <row r="703" spans="2:4">
      <c r="B703" s="949" t="s">
        <v>1460</v>
      </c>
      <c r="C703" s="947" t="s">
        <v>10</v>
      </c>
      <c r="D703" s="1046">
        <f>3*58.7</f>
        <v>176.1</v>
      </c>
    </row>
    <row r="704" spans="2:4">
      <c r="B704" s="949" t="s">
        <v>1461</v>
      </c>
      <c r="C704" s="947" t="s">
        <v>1439</v>
      </c>
      <c r="D704" s="1046">
        <f>100*58.7</f>
        <v>5870</v>
      </c>
    </row>
    <row r="705" spans="2:4">
      <c r="B705" s="949" t="s">
        <v>1462</v>
      </c>
      <c r="C705" s="947" t="s">
        <v>1027</v>
      </c>
      <c r="D705" s="1046">
        <v>2500</v>
      </c>
    </row>
    <row r="706" spans="2:4">
      <c r="B706" s="949" t="s">
        <v>1463</v>
      </c>
      <c r="C706" s="947" t="s">
        <v>1027</v>
      </c>
      <c r="D706" s="1046">
        <v>8000</v>
      </c>
    </row>
    <row r="707" spans="2:4">
      <c r="B707" s="949" t="s">
        <v>1464</v>
      </c>
      <c r="C707" s="947" t="s">
        <v>1027</v>
      </c>
      <c r="D707" s="1046">
        <v>55000</v>
      </c>
    </row>
    <row r="708" spans="2:4">
      <c r="B708" s="949" t="s">
        <v>1465</v>
      </c>
      <c r="C708" s="947" t="s">
        <v>1027</v>
      </c>
      <c r="D708" s="1046">
        <v>4000</v>
      </c>
    </row>
    <row r="709" spans="2:4">
      <c r="B709" s="949" t="s">
        <v>1445</v>
      </c>
      <c r="C709" s="947" t="s">
        <v>1446</v>
      </c>
      <c r="D709" s="1046">
        <v>25</v>
      </c>
    </row>
    <row r="710" spans="2:4">
      <c r="B710" s="949" t="s">
        <v>1447</v>
      </c>
      <c r="C710" s="947" t="s">
        <v>1446</v>
      </c>
      <c r="D710" s="1046">
        <v>19</v>
      </c>
    </row>
    <row r="711" spans="2:4">
      <c r="B711" s="949" t="s">
        <v>1448</v>
      </c>
      <c r="C711" s="947" t="s">
        <v>1446</v>
      </c>
      <c r="D711" s="1046">
        <v>18</v>
      </c>
    </row>
    <row r="712" spans="2:4">
      <c r="B712" s="949" t="s">
        <v>1449</v>
      </c>
      <c r="C712" s="947" t="s">
        <v>1446</v>
      </c>
      <c r="D712" s="1046">
        <v>18</v>
      </c>
    </row>
    <row r="713" spans="2:4">
      <c r="B713" s="949" t="s">
        <v>1450</v>
      </c>
      <c r="C713" s="947" t="s">
        <v>1042</v>
      </c>
      <c r="D713" s="1046">
        <v>400</v>
      </c>
    </row>
    <row r="714" spans="2:4">
      <c r="B714" s="949" t="s">
        <v>1451</v>
      </c>
      <c r="C714" s="947" t="s">
        <v>1452</v>
      </c>
    </row>
    <row r="715" spans="2:4">
      <c r="B715" s="949" t="s">
        <v>1453</v>
      </c>
      <c r="C715" s="947" t="s">
        <v>1439</v>
      </c>
      <c r="D715" s="1046">
        <v>5690</v>
      </c>
    </row>
    <row r="716" spans="2:4">
      <c r="B716" s="949" t="s">
        <v>1454</v>
      </c>
      <c r="C716" s="947" t="s">
        <v>1000</v>
      </c>
      <c r="D716" s="1046">
        <v>854</v>
      </c>
    </row>
    <row r="717" spans="2:4">
      <c r="B717" s="949" t="s">
        <v>1308</v>
      </c>
      <c r="C717" s="947" t="s">
        <v>1045</v>
      </c>
      <c r="D717" s="1046">
        <f>4*56.9</f>
        <v>227.6</v>
      </c>
    </row>
  </sheetData>
  <pageMargins left="0.31496062992125984" right="0.31496062992125984" top="0.74803149606299213" bottom="0.35433070866141736" header="0.31496062992125984" footer="0.31496062992125984"/>
  <pageSetup scale="75" orientation="portrait" r:id="rId1"/>
  <rowBreaks count="1" manualBreakCount="1">
    <brk id="389" max="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H79"/>
  <sheetViews>
    <sheetView workbookViewId="0"/>
  </sheetViews>
  <sheetFormatPr baseColWidth="10" defaultRowHeight="12.75"/>
  <cols>
    <col min="1" max="1" width="3.85546875" customWidth="1"/>
    <col min="2" max="2" width="9" bestFit="1" customWidth="1"/>
    <col min="3" max="3" width="40.140625" bestFit="1" customWidth="1"/>
    <col min="4" max="4" width="9.140625" style="421" bestFit="1" customWidth="1"/>
    <col min="5" max="5" width="13.85546875" style="421" bestFit="1" customWidth="1"/>
    <col min="6" max="6" width="20.42578125" bestFit="1" customWidth="1"/>
  </cols>
  <sheetData>
    <row r="4" spans="2:7" ht="15.75">
      <c r="B4" s="1445" t="s">
        <v>291</v>
      </c>
      <c r="C4" s="1445"/>
      <c r="D4" s="1445"/>
      <c r="E4" s="1445"/>
      <c r="F4" s="1445"/>
    </row>
    <row r="6" spans="2:7" s="420" customFormat="1" ht="15.75">
      <c r="B6" s="423" t="s">
        <v>7</v>
      </c>
      <c r="C6" s="423" t="s">
        <v>290</v>
      </c>
      <c r="D6" s="423" t="s">
        <v>289</v>
      </c>
      <c r="E6" s="423" t="s">
        <v>293</v>
      </c>
      <c r="F6" s="423" t="s">
        <v>294</v>
      </c>
    </row>
    <row r="7" spans="2:7">
      <c r="B7" s="424">
        <v>1</v>
      </c>
      <c r="C7" s="424" t="s">
        <v>14</v>
      </c>
      <c r="D7" s="460" t="s">
        <v>15</v>
      </c>
      <c r="E7" s="461" t="s">
        <v>295</v>
      </c>
      <c r="F7" s="461" t="s">
        <v>292</v>
      </c>
      <c r="G7" s="328"/>
    </row>
    <row r="8" spans="2:7">
      <c r="B8" s="426"/>
      <c r="C8" s="426"/>
      <c r="D8" s="427"/>
      <c r="E8" s="427"/>
      <c r="F8" s="426"/>
    </row>
    <row r="9" spans="2:7">
      <c r="B9" s="424">
        <v>2</v>
      </c>
      <c r="C9" s="424" t="s">
        <v>16</v>
      </c>
      <c r="D9" s="460"/>
      <c r="E9" s="460"/>
      <c r="F9" s="425"/>
    </row>
    <row r="10" spans="2:7">
      <c r="B10" s="426">
        <v>2.1</v>
      </c>
      <c r="C10" s="426" t="s">
        <v>17</v>
      </c>
      <c r="D10" s="427" t="s">
        <v>15</v>
      </c>
      <c r="E10" s="462" t="s">
        <v>295</v>
      </c>
      <c r="F10" s="426"/>
    </row>
    <row r="11" spans="2:7">
      <c r="B11" s="426">
        <v>2.2000000000000002</v>
      </c>
      <c r="C11" s="426" t="s">
        <v>19</v>
      </c>
      <c r="D11" s="427" t="s">
        <v>20</v>
      </c>
      <c r="E11" s="462" t="s">
        <v>295</v>
      </c>
      <c r="F11" s="426"/>
    </row>
    <row r="12" spans="2:7">
      <c r="B12" s="426">
        <v>2.2999999999999998</v>
      </c>
      <c r="C12" s="428" t="s">
        <v>21</v>
      </c>
      <c r="D12" s="427" t="s">
        <v>22</v>
      </c>
      <c r="E12" s="462" t="s">
        <v>295</v>
      </c>
      <c r="F12" s="426"/>
    </row>
    <row r="13" spans="2:7">
      <c r="B13" s="424">
        <v>3</v>
      </c>
      <c r="C13" s="424" t="s">
        <v>23</v>
      </c>
      <c r="D13" s="461"/>
      <c r="E13" s="461"/>
      <c r="F13" s="424"/>
    </row>
    <row r="14" spans="2:7" ht="25.5">
      <c r="B14" s="429">
        <v>3.1</v>
      </c>
      <c r="C14" s="430" t="s">
        <v>24</v>
      </c>
      <c r="D14" s="427" t="s">
        <v>22</v>
      </c>
      <c r="E14" s="462" t="s">
        <v>295</v>
      </c>
      <c r="F14" s="426"/>
    </row>
    <row r="15" spans="2:7">
      <c r="B15" s="431">
        <v>3.2</v>
      </c>
      <c r="C15" s="432" t="s">
        <v>25</v>
      </c>
      <c r="D15" s="427" t="s">
        <v>20</v>
      </c>
      <c r="E15" s="462" t="s">
        <v>295</v>
      </c>
      <c r="F15" s="426"/>
    </row>
    <row r="16" spans="2:7">
      <c r="B16" s="433">
        <v>3.3</v>
      </c>
      <c r="C16" s="434" t="s">
        <v>26</v>
      </c>
      <c r="D16" s="427" t="s">
        <v>22</v>
      </c>
      <c r="E16" s="462" t="s">
        <v>295</v>
      </c>
      <c r="F16" s="426"/>
    </row>
    <row r="17" spans="2:6">
      <c r="B17" s="429">
        <v>3.4</v>
      </c>
      <c r="C17" s="430" t="s">
        <v>27</v>
      </c>
      <c r="D17" s="427" t="s">
        <v>22</v>
      </c>
      <c r="E17" s="427"/>
      <c r="F17" s="426"/>
    </row>
    <row r="18" spans="2:6" ht="38.25">
      <c r="B18" s="429">
        <v>3.5</v>
      </c>
      <c r="C18" s="435" t="s">
        <v>28</v>
      </c>
      <c r="D18" s="427" t="s">
        <v>22</v>
      </c>
      <c r="E18" s="427"/>
      <c r="F18" s="426"/>
    </row>
    <row r="19" spans="2:6">
      <c r="B19" s="429">
        <v>3.6</v>
      </c>
      <c r="C19" s="434" t="s">
        <v>29</v>
      </c>
      <c r="D19" s="427" t="s">
        <v>22</v>
      </c>
      <c r="E19" s="427"/>
      <c r="F19" s="426"/>
    </row>
    <row r="20" spans="2:6">
      <c r="B20" s="429"/>
      <c r="C20" s="434"/>
      <c r="D20" s="427"/>
      <c r="E20" s="427"/>
      <c r="F20" s="426"/>
    </row>
    <row r="21" spans="2:6">
      <c r="B21" s="436">
        <v>4</v>
      </c>
      <c r="C21" s="437" t="s">
        <v>30</v>
      </c>
      <c r="D21" s="460"/>
      <c r="E21" s="460"/>
      <c r="F21" s="425"/>
    </row>
    <row r="22" spans="2:6" ht="25.5">
      <c r="B22" s="438">
        <v>4.0999999999999996</v>
      </c>
      <c r="C22" s="439" t="s">
        <v>258</v>
      </c>
      <c r="D22" s="427" t="s">
        <v>15</v>
      </c>
      <c r="E22" s="427"/>
      <c r="F22" s="426"/>
    </row>
    <row r="23" spans="2:6" ht="25.5">
      <c r="B23" s="438">
        <v>4.2</v>
      </c>
      <c r="C23" s="439" t="s">
        <v>32</v>
      </c>
      <c r="D23" s="427" t="s">
        <v>15</v>
      </c>
      <c r="E23" s="427"/>
      <c r="F23" s="426"/>
    </row>
    <row r="24" spans="2:6">
      <c r="B24" s="440"/>
      <c r="C24" s="441"/>
      <c r="D24" s="427"/>
      <c r="E24" s="427"/>
      <c r="F24" s="426"/>
    </row>
    <row r="25" spans="2:6">
      <c r="B25" s="442">
        <v>5</v>
      </c>
      <c r="C25" s="443" t="s">
        <v>33</v>
      </c>
      <c r="D25" s="460"/>
      <c r="E25" s="460"/>
      <c r="F25" s="425"/>
    </row>
    <row r="26" spans="2:6" ht="25.5">
      <c r="B26" s="438">
        <v>5.0999999999999996</v>
      </c>
      <c r="C26" s="439" t="s">
        <v>34</v>
      </c>
      <c r="D26" s="427" t="s">
        <v>15</v>
      </c>
      <c r="E26" s="427"/>
      <c r="F26" s="426"/>
    </row>
    <row r="27" spans="2:6" ht="25.5">
      <c r="B27" s="438">
        <v>5.2</v>
      </c>
      <c r="C27" s="439" t="s">
        <v>35</v>
      </c>
      <c r="D27" s="427" t="s">
        <v>15</v>
      </c>
      <c r="E27" s="427"/>
      <c r="F27" s="426"/>
    </row>
    <row r="28" spans="2:6">
      <c r="B28" s="440"/>
      <c r="C28" s="444"/>
      <c r="D28" s="427"/>
      <c r="E28" s="427"/>
      <c r="F28" s="426"/>
    </row>
    <row r="29" spans="2:6">
      <c r="B29" s="442">
        <v>6</v>
      </c>
      <c r="C29" s="443" t="s">
        <v>271</v>
      </c>
      <c r="D29" s="460"/>
      <c r="E29" s="460"/>
      <c r="F29" s="425"/>
    </row>
    <row r="30" spans="2:6" ht="25.5">
      <c r="B30" s="438">
        <v>6.1</v>
      </c>
      <c r="C30" s="439" t="s">
        <v>34</v>
      </c>
      <c r="D30" s="427" t="s">
        <v>15</v>
      </c>
      <c r="E30" s="427"/>
      <c r="F30" s="426"/>
    </row>
    <row r="31" spans="2:6" ht="25.5">
      <c r="B31" s="438">
        <v>6.2</v>
      </c>
      <c r="C31" s="439" t="s">
        <v>35</v>
      </c>
      <c r="D31" s="427" t="s">
        <v>15</v>
      </c>
      <c r="E31" s="427"/>
      <c r="F31" s="426"/>
    </row>
    <row r="32" spans="2:6">
      <c r="B32" s="440"/>
      <c r="C32" s="444"/>
      <c r="D32" s="427"/>
      <c r="E32" s="427"/>
      <c r="F32" s="426"/>
    </row>
    <row r="33" spans="2:8">
      <c r="B33" s="442">
        <v>7</v>
      </c>
      <c r="C33" s="443" t="s">
        <v>272</v>
      </c>
      <c r="D33" s="460"/>
      <c r="E33" s="460"/>
      <c r="F33" s="425"/>
    </row>
    <row r="34" spans="2:8">
      <c r="B34" s="445">
        <v>7.1</v>
      </c>
      <c r="C34" s="446" t="s">
        <v>275</v>
      </c>
      <c r="D34" s="427" t="s">
        <v>38</v>
      </c>
      <c r="E34" s="462" t="s">
        <v>295</v>
      </c>
      <c r="F34" s="426"/>
    </row>
    <row r="35" spans="2:8">
      <c r="B35" s="445">
        <v>7.2</v>
      </c>
      <c r="C35" s="446" t="s">
        <v>276</v>
      </c>
      <c r="D35" s="427" t="s">
        <v>38</v>
      </c>
      <c r="E35" s="462" t="s">
        <v>295</v>
      </c>
      <c r="F35" s="426"/>
    </row>
    <row r="36" spans="2:8">
      <c r="B36" s="445">
        <v>7.3</v>
      </c>
      <c r="C36" s="446" t="s">
        <v>277</v>
      </c>
      <c r="D36" s="427" t="s">
        <v>38</v>
      </c>
      <c r="E36" s="462" t="s">
        <v>295</v>
      </c>
      <c r="F36" s="426"/>
    </row>
    <row r="37" spans="2:8">
      <c r="B37" s="440"/>
      <c r="C37" s="444"/>
      <c r="D37" s="427"/>
      <c r="E37" s="427"/>
      <c r="F37" s="426"/>
    </row>
    <row r="38" spans="2:8">
      <c r="B38" s="442">
        <v>6</v>
      </c>
      <c r="C38" s="443" t="s">
        <v>259</v>
      </c>
      <c r="D38" s="460"/>
      <c r="E38" s="460"/>
      <c r="F38" s="425"/>
    </row>
    <row r="39" spans="2:8" ht="25.5">
      <c r="B39" s="440">
        <v>6.1</v>
      </c>
      <c r="C39" s="447" t="s">
        <v>260</v>
      </c>
      <c r="D39" s="427" t="s">
        <v>38</v>
      </c>
      <c r="E39" s="463" t="s">
        <v>295</v>
      </c>
      <c r="F39" s="426"/>
    </row>
    <row r="40" spans="2:8" ht="25.5">
      <c r="B40" s="440">
        <v>6.2</v>
      </c>
      <c r="C40" s="448" t="s">
        <v>278</v>
      </c>
      <c r="D40" s="427" t="s">
        <v>38</v>
      </c>
      <c r="E40" s="463" t="s">
        <v>295</v>
      </c>
      <c r="F40" s="426"/>
    </row>
    <row r="41" spans="2:8" ht="25.5">
      <c r="B41" s="440">
        <v>6.2</v>
      </c>
      <c r="C41" s="448" t="s">
        <v>279</v>
      </c>
      <c r="D41" s="427" t="s">
        <v>38</v>
      </c>
      <c r="E41" s="463" t="s">
        <v>295</v>
      </c>
      <c r="F41" s="426"/>
    </row>
    <row r="42" spans="2:8" ht="25.5">
      <c r="B42" s="440">
        <v>6.2</v>
      </c>
      <c r="C42" s="448" t="s">
        <v>280</v>
      </c>
      <c r="D42" s="427" t="s">
        <v>38</v>
      </c>
      <c r="E42" s="463" t="s">
        <v>295</v>
      </c>
      <c r="F42" s="426"/>
    </row>
    <row r="43" spans="2:8" ht="25.5">
      <c r="B43" s="440">
        <v>6.2</v>
      </c>
      <c r="C43" s="448" t="s">
        <v>281</v>
      </c>
      <c r="D43" s="427" t="s">
        <v>38</v>
      </c>
      <c r="E43" s="463" t="s">
        <v>295</v>
      </c>
      <c r="F43" s="426"/>
    </row>
    <row r="44" spans="2:8" ht="25.5">
      <c r="B44" s="440">
        <v>6.2</v>
      </c>
      <c r="C44" s="448" t="s">
        <v>282</v>
      </c>
      <c r="D44" s="427" t="s">
        <v>38</v>
      </c>
      <c r="E44" s="463" t="s">
        <v>295</v>
      </c>
      <c r="F44" s="426"/>
    </row>
    <row r="45" spans="2:8" ht="25.5">
      <c r="B45" s="440">
        <v>6.2</v>
      </c>
      <c r="C45" s="448" t="s">
        <v>283</v>
      </c>
      <c r="D45" s="427" t="s">
        <v>38</v>
      </c>
      <c r="E45" s="463" t="s">
        <v>295</v>
      </c>
      <c r="F45" s="426"/>
    </row>
    <row r="46" spans="2:8" ht="25.5">
      <c r="B46" s="440">
        <v>6.2</v>
      </c>
      <c r="C46" s="448" t="s">
        <v>284</v>
      </c>
      <c r="D46" s="427" t="s">
        <v>38</v>
      </c>
      <c r="E46" s="463" t="s">
        <v>295</v>
      </c>
      <c r="F46" s="426"/>
    </row>
    <row r="47" spans="2:8" ht="25.5">
      <c r="B47" s="440">
        <v>6.2</v>
      </c>
      <c r="C47" s="448" t="s">
        <v>285</v>
      </c>
      <c r="D47" s="427" t="s">
        <v>38</v>
      </c>
      <c r="E47" s="463" t="s">
        <v>295</v>
      </c>
      <c r="F47" s="426"/>
    </row>
    <row r="48" spans="2:8">
      <c r="B48" s="442">
        <v>7</v>
      </c>
      <c r="C48" s="443" t="s">
        <v>286</v>
      </c>
      <c r="D48" s="460"/>
      <c r="E48" s="460"/>
      <c r="F48" s="442"/>
      <c r="G48" s="422"/>
      <c r="H48" s="422"/>
    </row>
    <row r="49" spans="2:6" ht="25.5">
      <c r="B49" s="440">
        <v>7.1</v>
      </c>
      <c r="C49" s="449" t="s">
        <v>261</v>
      </c>
      <c r="D49" s="427" t="s">
        <v>38</v>
      </c>
      <c r="E49" s="463" t="s">
        <v>295</v>
      </c>
      <c r="F49" s="426"/>
    </row>
    <row r="50" spans="2:6">
      <c r="B50" s="440">
        <v>7.2</v>
      </c>
      <c r="C50" s="449" t="s">
        <v>287</v>
      </c>
      <c r="D50" s="427" t="s">
        <v>20</v>
      </c>
      <c r="E50" s="463" t="s">
        <v>295</v>
      </c>
      <c r="F50" s="426"/>
    </row>
    <row r="51" spans="2:6" ht="42">
      <c r="B51" s="440">
        <v>7.3</v>
      </c>
      <c r="C51" s="430" t="s">
        <v>288</v>
      </c>
      <c r="D51" s="427" t="s">
        <v>38</v>
      </c>
      <c r="E51" s="463" t="s">
        <v>295</v>
      </c>
      <c r="F51" s="426"/>
    </row>
    <row r="52" spans="2:6" ht="25.5">
      <c r="B52" s="442">
        <v>7</v>
      </c>
      <c r="C52" s="443" t="s">
        <v>273</v>
      </c>
      <c r="D52" s="460"/>
      <c r="E52" s="460"/>
      <c r="F52" s="425"/>
    </row>
    <row r="53" spans="2:6">
      <c r="B53" s="450">
        <f>+B52+0.01</f>
        <v>7.01</v>
      </c>
      <c r="C53" s="451" t="s">
        <v>14</v>
      </c>
      <c r="D53" s="427" t="s">
        <v>15</v>
      </c>
      <c r="E53" s="427"/>
      <c r="F53" s="426"/>
    </row>
    <row r="54" spans="2:6">
      <c r="B54" s="450">
        <f t="shared" ref="B54:B64" si="0">+B53+0.01</f>
        <v>7.02</v>
      </c>
      <c r="C54" s="452" t="s">
        <v>262</v>
      </c>
      <c r="D54" s="427" t="s">
        <v>18</v>
      </c>
      <c r="E54" s="427"/>
      <c r="F54" s="426"/>
    </row>
    <row r="55" spans="2:6">
      <c r="B55" s="450">
        <f t="shared" si="0"/>
        <v>7.03</v>
      </c>
      <c r="C55" s="452" t="s">
        <v>263</v>
      </c>
      <c r="D55" s="427" t="s">
        <v>18</v>
      </c>
      <c r="E55" s="427"/>
      <c r="F55" s="426"/>
    </row>
    <row r="56" spans="2:6">
      <c r="B56" s="450">
        <f t="shared" si="0"/>
        <v>7.04</v>
      </c>
      <c r="C56" s="452" t="s">
        <v>264</v>
      </c>
      <c r="D56" s="427" t="s">
        <v>43</v>
      </c>
      <c r="E56" s="427"/>
      <c r="F56" s="426"/>
    </row>
    <row r="57" spans="2:6">
      <c r="B57" s="450">
        <f t="shared" si="0"/>
        <v>7.05</v>
      </c>
      <c r="C57" s="452" t="s">
        <v>265</v>
      </c>
      <c r="D57" s="427" t="s">
        <v>43</v>
      </c>
      <c r="E57" s="427"/>
      <c r="F57" s="426"/>
    </row>
    <row r="58" spans="2:6">
      <c r="B58" s="450">
        <f t="shared" si="0"/>
        <v>7.06</v>
      </c>
      <c r="C58" s="452" t="s">
        <v>266</v>
      </c>
      <c r="D58" s="427" t="s">
        <v>43</v>
      </c>
      <c r="E58" s="427"/>
      <c r="F58" s="426"/>
    </row>
    <row r="59" spans="2:6">
      <c r="B59" s="450">
        <f t="shared" si="0"/>
        <v>7.07</v>
      </c>
      <c r="C59" s="452" t="s">
        <v>134</v>
      </c>
      <c r="D59" s="427" t="s">
        <v>43</v>
      </c>
      <c r="E59" s="427"/>
      <c r="F59" s="426"/>
    </row>
    <row r="60" spans="2:6" ht="25.5">
      <c r="B60" s="450">
        <f t="shared" si="0"/>
        <v>7.08</v>
      </c>
      <c r="C60" s="453" t="s">
        <v>267</v>
      </c>
      <c r="D60" s="427" t="s">
        <v>22</v>
      </c>
      <c r="E60" s="427"/>
      <c r="F60" s="426"/>
    </row>
    <row r="61" spans="2:6">
      <c r="B61" s="450">
        <f t="shared" si="0"/>
        <v>7.09</v>
      </c>
      <c r="C61" s="452" t="s">
        <v>26</v>
      </c>
      <c r="D61" s="427" t="s">
        <v>22</v>
      </c>
      <c r="E61" s="427"/>
      <c r="F61" s="426"/>
    </row>
    <row r="62" spans="2:6">
      <c r="B62" s="450">
        <f t="shared" si="0"/>
        <v>7.1</v>
      </c>
      <c r="C62" s="452" t="s">
        <v>268</v>
      </c>
      <c r="D62" s="427" t="s">
        <v>22</v>
      </c>
      <c r="E62" s="427"/>
      <c r="F62" s="426"/>
    </row>
    <row r="63" spans="2:6">
      <c r="B63" s="450">
        <f t="shared" si="0"/>
        <v>7.11</v>
      </c>
      <c r="C63" s="452" t="s">
        <v>269</v>
      </c>
      <c r="D63" s="427" t="s">
        <v>22</v>
      </c>
      <c r="E63" s="427"/>
      <c r="F63" s="426"/>
    </row>
    <row r="64" spans="2:6">
      <c r="B64" s="450">
        <f t="shared" si="0"/>
        <v>7.12</v>
      </c>
      <c r="C64" s="452" t="s">
        <v>270</v>
      </c>
      <c r="D64" s="427" t="s">
        <v>43</v>
      </c>
      <c r="E64" s="427"/>
      <c r="F64" s="426"/>
    </row>
    <row r="65" spans="2:6">
      <c r="B65" s="454">
        <v>7</v>
      </c>
      <c r="C65" s="455" t="s">
        <v>274</v>
      </c>
      <c r="D65" s="460"/>
      <c r="E65" s="460"/>
      <c r="F65" s="425"/>
    </row>
    <row r="66" spans="2:6">
      <c r="B66" s="450">
        <f>+B65+0.01</f>
        <v>7.01</v>
      </c>
      <c r="C66" s="451" t="s">
        <v>14</v>
      </c>
      <c r="D66" s="427" t="s">
        <v>15</v>
      </c>
      <c r="E66" s="427"/>
      <c r="F66" s="426"/>
    </row>
    <row r="67" spans="2:6">
      <c r="B67" s="450">
        <f t="shared" ref="B67:B76" si="1">+B66+0.01</f>
        <v>7.02</v>
      </c>
      <c r="C67" s="452" t="s">
        <v>262</v>
      </c>
      <c r="D67" s="427" t="s">
        <v>18</v>
      </c>
      <c r="E67" s="427"/>
      <c r="F67" s="426"/>
    </row>
    <row r="68" spans="2:6">
      <c r="B68" s="450">
        <f t="shared" si="1"/>
        <v>7.03</v>
      </c>
      <c r="C68" s="452" t="s">
        <v>263</v>
      </c>
      <c r="D68" s="427" t="s">
        <v>18</v>
      </c>
      <c r="E68" s="427"/>
      <c r="F68" s="426"/>
    </row>
    <row r="69" spans="2:6">
      <c r="B69" s="450">
        <f t="shared" si="1"/>
        <v>7.04</v>
      </c>
      <c r="C69" s="452" t="s">
        <v>265</v>
      </c>
      <c r="D69" s="427" t="s">
        <v>43</v>
      </c>
      <c r="E69" s="427"/>
      <c r="F69" s="426"/>
    </row>
    <row r="70" spans="2:6">
      <c r="B70" s="450">
        <f t="shared" si="1"/>
        <v>7.05</v>
      </c>
      <c r="C70" s="452" t="s">
        <v>266</v>
      </c>
      <c r="D70" s="427" t="s">
        <v>43</v>
      </c>
      <c r="E70" s="427"/>
      <c r="F70" s="426"/>
    </row>
    <row r="71" spans="2:6">
      <c r="B71" s="450">
        <f t="shared" si="1"/>
        <v>7.06</v>
      </c>
      <c r="C71" s="452" t="s">
        <v>134</v>
      </c>
      <c r="D71" s="427" t="s">
        <v>43</v>
      </c>
      <c r="E71" s="427"/>
      <c r="F71" s="426"/>
    </row>
    <row r="72" spans="2:6" ht="25.5">
      <c r="B72" s="450">
        <f t="shared" si="1"/>
        <v>7.07</v>
      </c>
      <c r="C72" s="453" t="s">
        <v>267</v>
      </c>
      <c r="D72" s="427" t="s">
        <v>22</v>
      </c>
      <c r="E72" s="427"/>
      <c r="F72" s="426"/>
    </row>
    <row r="73" spans="2:6">
      <c r="B73" s="450">
        <f t="shared" si="1"/>
        <v>7.08</v>
      </c>
      <c r="C73" s="452" t="s">
        <v>26</v>
      </c>
      <c r="D73" s="427" t="s">
        <v>22</v>
      </c>
      <c r="E73" s="427"/>
      <c r="F73" s="426"/>
    </row>
    <row r="74" spans="2:6">
      <c r="B74" s="450">
        <f t="shared" si="1"/>
        <v>7.09</v>
      </c>
      <c r="C74" s="452" t="s">
        <v>268</v>
      </c>
      <c r="D74" s="427" t="s">
        <v>22</v>
      </c>
      <c r="E74" s="427"/>
      <c r="F74" s="426"/>
    </row>
    <row r="75" spans="2:6">
      <c r="B75" s="450">
        <f t="shared" si="1"/>
        <v>7.1</v>
      </c>
      <c r="C75" s="452" t="s">
        <v>269</v>
      </c>
      <c r="D75" s="427" t="s">
        <v>22</v>
      </c>
      <c r="E75" s="427"/>
      <c r="F75" s="426"/>
    </row>
    <row r="76" spans="2:6">
      <c r="B76" s="450">
        <f t="shared" si="1"/>
        <v>7.11</v>
      </c>
      <c r="C76" s="452" t="s">
        <v>270</v>
      </c>
      <c r="D76" s="427" t="s">
        <v>43</v>
      </c>
      <c r="E76" s="427"/>
      <c r="F76" s="426"/>
    </row>
    <row r="77" spans="2:6" ht="25.5">
      <c r="B77" s="456">
        <v>8</v>
      </c>
      <c r="C77" s="457" t="s">
        <v>41</v>
      </c>
      <c r="D77" s="460" t="s">
        <v>15</v>
      </c>
      <c r="E77" s="460"/>
      <c r="F77" s="425"/>
    </row>
    <row r="78" spans="2:6">
      <c r="B78" s="458"/>
      <c r="C78" s="459"/>
      <c r="D78" s="427"/>
      <c r="E78" s="427"/>
      <c r="F78" s="426"/>
    </row>
    <row r="79" spans="2:6">
      <c r="B79" s="456">
        <v>9</v>
      </c>
      <c r="C79" s="457" t="s">
        <v>42</v>
      </c>
      <c r="D79" s="460" t="s">
        <v>43</v>
      </c>
      <c r="E79" s="460"/>
      <c r="F79" s="425"/>
    </row>
  </sheetData>
  <mergeCells count="1">
    <mergeCell ref="B4:F4"/>
  </mergeCells>
  <pageMargins left="0.7" right="0.7" top="0.75" bottom="0.75" header="0.3" footer="0.3"/>
  <pageSetup scale="95" orientation="portrait" r:id="rId1"/>
  <colBreaks count="1" manualBreakCount="1">
    <brk id="6" max="8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84"/>
  <sheetViews>
    <sheetView workbookViewId="0">
      <selection activeCell="B20" sqref="B20"/>
    </sheetView>
  </sheetViews>
  <sheetFormatPr baseColWidth="10" defaultColWidth="12.5703125" defaultRowHeight="12.75"/>
  <cols>
    <col min="1" max="1" width="7.140625" style="768" customWidth="1"/>
    <col min="2" max="2" width="64" style="369" customWidth="1"/>
    <col min="3" max="3" width="14.5703125" style="769" customWidth="1"/>
    <col min="4" max="4" width="7.85546875" style="770" customWidth="1"/>
    <col min="5" max="5" width="14" style="467" customWidth="1"/>
    <col min="6" max="6" width="16.140625" style="467" customWidth="1"/>
    <col min="7" max="7" width="12.5703125" style="369"/>
    <col min="8" max="8" width="13.85546875" style="369" bestFit="1" customWidth="1"/>
    <col min="9" max="16384" width="12.5703125" style="369"/>
  </cols>
  <sheetData>
    <row r="1" spans="1:6" s="464" customFormat="1">
      <c r="A1" s="1420"/>
      <c r="B1" s="1420"/>
      <c r="C1" s="1420"/>
      <c r="D1" s="1420"/>
      <c r="E1" s="1420"/>
      <c r="F1" s="1420"/>
    </row>
    <row r="2" spans="1:6" s="464" customFormat="1">
      <c r="A2" s="1420"/>
      <c r="B2" s="1420"/>
      <c r="C2" s="1420"/>
      <c r="D2" s="1420"/>
      <c r="E2" s="1420"/>
      <c r="F2" s="1420"/>
    </row>
    <row r="3" spans="1:6" s="464" customFormat="1">
      <c r="A3" s="1420"/>
      <c r="B3" s="1420"/>
      <c r="C3" s="1420"/>
      <c r="D3" s="1420"/>
      <c r="E3" s="1420"/>
      <c r="F3" s="1420"/>
    </row>
    <row r="4" spans="1:6" s="464" customFormat="1" ht="12.95" customHeight="1">
      <c r="A4" s="1420"/>
      <c r="B4" s="1420"/>
      <c r="C4" s="1420"/>
      <c r="D4" s="1420"/>
      <c r="E4" s="1420"/>
      <c r="F4" s="1420"/>
    </row>
    <row r="5" spans="1:6" s="464" customFormat="1" ht="12.95" customHeight="1">
      <c r="A5" s="465"/>
      <c r="B5" s="465"/>
      <c r="C5" s="465"/>
      <c r="D5" s="465"/>
      <c r="E5" s="465"/>
      <c r="F5" s="465"/>
    </row>
    <row r="6" spans="1:6" ht="32.25" customHeight="1">
      <c r="A6" s="1421" t="s">
        <v>351</v>
      </c>
      <c r="B6" s="1421"/>
      <c r="C6" s="1421"/>
      <c r="D6" s="1421"/>
      <c r="E6" s="1421"/>
      <c r="F6" s="1421"/>
    </row>
    <row r="7" spans="1:6" ht="12.95" customHeight="1">
      <c r="A7" s="466" t="s">
        <v>352</v>
      </c>
      <c r="C7" s="467" t="s">
        <v>353</v>
      </c>
      <c r="D7" s="369"/>
    </row>
    <row r="8" spans="1:6" ht="4.5" customHeight="1">
      <c r="A8" s="1418"/>
      <c r="B8" s="1419"/>
      <c r="C8" s="1419"/>
      <c r="D8" s="1419"/>
      <c r="E8" s="1419"/>
      <c r="F8" s="1419"/>
    </row>
    <row r="9" spans="1:6" s="471" customFormat="1">
      <c r="A9" s="468" t="s">
        <v>354</v>
      </c>
      <c r="B9" s="469" t="s">
        <v>355</v>
      </c>
      <c r="C9" s="470" t="s">
        <v>297</v>
      </c>
      <c r="D9" s="469" t="s">
        <v>38</v>
      </c>
      <c r="E9" s="470" t="s">
        <v>356</v>
      </c>
      <c r="F9" s="470" t="s">
        <v>357</v>
      </c>
    </row>
    <row r="10" spans="1:6" s="5" customFormat="1">
      <c r="A10" s="820"/>
      <c r="B10" s="821"/>
      <c r="C10" s="822"/>
      <c r="D10" s="821"/>
      <c r="E10" s="822"/>
      <c r="F10" s="822"/>
    </row>
    <row r="11" spans="1:6" s="5" customFormat="1" ht="14.25" customHeight="1">
      <c r="A11" s="797" t="s">
        <v>13</v>
      </c>
      <c r="B11" s="514" t="s">
        <v>358</v>
      </c>
      <c r="C11" s="506"/>
      <c r="D11" s="611"/>
      <c r="E11" s="520"/>
      <c r="F11" s="687"/>
    </row>
    <row r="12" spans="1:6" s="5" customFormat="1" ht="14.25" customHeight="1">
      <c r="A12" s="797"/>
      <c r="B12" s="514"/>
      <c r="C12" s="506"/>
      <c r="D12" s="611"/>
      <c r="E12" s="520"/>
      <c r="F12" s="687"/>
    </row>
    <row r="13" spans="1:6" s="51" customFormat="1">
      <c r="A13" s="668">
        <v>1</v>
      </c>
      <c r="B13" s="514" t="s">
        <v>359</v>
      </c>
      <c r="C13" s="736">
        <v>15</v>
      </c>
      <c r="D13" s="794" t="s">
        <v>360</v>
      </c>
      <c r="E13" s="795" t="e">
        <f>VLOOKUP(B13,#REF!,7,FALSE)</f>
        <v>#REF!</v>
      </c>
      <c r="F13" s="796" t="e">
        <f>+ROUND(E13*C13,2)</f>
        <v>#REF!</v>
      </c>
    </row>
    <row r="14" spans="1:6" s="5" customFormat="1" ht="12" customHeight="1">
      <c r="A14" s="734"/>
      <c r="B14" s="518"/>
      <c r="C14" s="506"/>
      <c r="D14" s="611"/>
      <c r="E14" s="516"/>
      <c r="F14" s="796"/>
    </row>
    <row r="15" spans="1:6" s="5" customFormat="1" ht="14.25" customHeight="1">
      <c r="A15" s="823" t="s">
        <v>361</v>
      </c>
      <c r="B15" s="514" t="s">
        <v>296</v>
      </c>
      <c r="C15" s="506"/>
      <c r="D15" s="611"/>
      <c r="E15" s="516"/>
      <c r="F15" s="796"/>
    </row>
    <row r="16" spans="1:6" s="5" customFormat="1" ht="14.25" customHeight="1">
      <c r="A16" s="734" t="s">
        <v>362</v>
      </c>
      <c r="B16" s="518" t="s">
        <v>363</v>
      </c>
      <c r="C16" s="506">
        <v>5284.8</v>
      </c>
      <c r="D16" s="790" t="s">
        <v>364</v>
      </c>
      <c r="E16" s="516" t="e">
        <f>VLOOKUP(B16,#REF!,7,FALSE)</f>
        <v>#REF!</v>
      </c>
      <c r="F16" s="796" t="e">
        <f t="shared" ref="F16:F22" si="0">+ROUND(E16*C16,2)</f>
        <v>#REF!</v>
      </c>
    </row>
    <row r="17" spans="1:6" s="5" customFormat="1">
      <c r="A17" s="734" t="s">
        <v>365</v>
      </c>
      <c r="B17" s="710" t="s">
        <v>366</v>
      </c>
      <c r="C17" s="506">
        <v>6341.76</v>
      </c>
      <c r="D17" s="790" t="s">
        <v>367</v>
      </c>
      <c r="E17" s="516" t="e">
        <f>VLOOKUP(B17,#REF!,7,FALSE)</f>
        <v>#REF!</v>
      </c>
      <c r="F17" s="796" t="e">
        <f t="shared" si="0"/>
        <v>#REF!</v>
      </c>
    </row>
    <row r="18" spans="1:6" s="5" customFormat="1">
      <c r="A18" s="734" t="s">
        <v>368</v>
      </c>
      <c r="B18" s="518" t="s">
        <v>369</v>
      </c>
      <c r="C18" s="824">
        <v>7459.2</v>
      </c>
      <c r="D18" s="825" t="s">
        <v>298</v>
      </c>
      <c r="E18" s="516" t="e">
        <f>VLOOKUP(B18,#REF!,7,FALSE)</f>
        <v>#REF!</v>
      </c>
      <c r="F18" s="796" t="e">
        <f t="shared" si="0"/>
        <v>#REF!</v>
      </c>
    </row>
    <row r="19" spans="1:6" s="5" customFormat="1" ht="14.25" customHeight="1">
      <c r="A19" s="734" t="s">
        <v>370</v>
      </c>
      <c r="B19" s="518" t="s">
        <v>371</v>
      </c>
      <c r="C19" s="824">
        <v>4972.8</v>
      </c>
      <c r="D19" s="825" t="s">
        <v>298</v>
      </c>
      <c r="E19" s="826" t="e">
        <f>VLOOKUP(B19,#REF!,7,FALSE)</f>
        <v>#REF!</v>
      </c>
      <c r="F19" s="796" t="e">
        <f t="shared" si="0"/>
        <v>#REF!</v>
      </c>
    </row>
    <row r="20" spans="1:6" s="5" customFormat="1" ht="14.25" customHeight="1">
      <c r="A20" s="734" t="s">
        <v>372</v>
      </c>
      <c r="B20" s="518" t="s">
        <v>373</v>
      </c>
      <c r="C20" s="610">
        <v>24864</v>
      </c>
      <c r="D20" s="657" t="s">
        <v>300</v>
      </c>
      <c r="E20" s="827" t="e">
        <f>VLOOKUP(B20,#REF!,7,FALSE)</f>
        <v>#REF!</v>
      </c>
      <c r="F20" s="796" t="e">
        <f t="shared" si="0"/>
        <v>#REF!</v>
      </c>
    </row>
    <row r="21" spans="1:6" s="5" customFormat="1" ht="14.25" customHeight="1">
      <c r="A21" s="734" t="s">
        <v>374</v>
      </c>
      <c r="B21" s="518" t="s">
        <v>375</v>
      </c>
      <c r="C21" s="610">
        <v>24864</v>
      </c>
      <c r="D21" s="657" t="s">
        <v>300</v>
      </c>
      <c r="E21" s="827" t="e">
        <f>VLOOKUP(B21,#REF!,7,FALSE)</f>
        <v>#REF!</v>
      </c>
      <c r="F21" s="796" t="e">
        <f t="shared" si="0"/>
        <v>#REF!</v>
      </c>
    </row>
    <row r="22" spans="1:6" s="5" customFormat="1" ht="14.25" customHeight="1">
      <c r="A22" s="734" t="s">
        <v>376</v>
      </c>
      <c r="B22" s="518" t="s">
        <v>377</v>
      </c>
      <c r="C22" s="519">
        <f>C21*0.075*20</f>
        <v>37296</v>
      </c>
      <c r="D22" s="825" t="s">
        <v>378</v>
      </c>
      <c r="E22" s="826" t="e">
        <f>VLOOKUP(B22,#REF!,7,FALSE)</f>
        <v>#REF!</v>
      </c>
      <c r="F22" s="796" t="e">
        <f t="shared" si="0"/>
        <v>#REF!</v>
      </c>
    </row>
    <row r="23" spans="1:6" s="5" customFormat="1" ht="14.25" customHeight="1">
      <c r="A23" s="734"/>
      <c r="B23" s="518"/>
      <c r="C23" s="506"/>
      <c r="D23" s="611"/>
      <c r="E23" s="516"/>
      <c r="F23" s="796"/>
    </row>
    <row r="24" spans="1:6" s="5" customFormat="1" ht="14.25" customHeight="1">
      <c r="A24" s="823" t="s">
        <v>379</v>
      </c>
      <c r="B24" s="514" t="s">
        <v>380</v>
      </c>
      <c r="C24" s="506"/>
      <c r="D24" s="611"/>
      <c r="E24" s="516"/>
      <c r="F24" s="796"/>
    </row>
    <row r="25" spans="1:6" s="5" customFormat="1" ht="14.25" customHeight="1">
      <c r="A25" s="734" t="s">
        <v>381</v>
      </c>
      <c r="B25" s="526" t="s">
        <v>382</v>
      </c>
      <c r="C25" s="610">
        <f>3884.87*1.25*2</f>
        <v>9712.18</v>
      </c>
      <c r="D25" s="657" t="s">
        <v>300</v>
      </c>
      <c r="E25" s="827" t="e">
        <f>VLOOKUP(B25,#REF!,7,FALSE)</f>
        <v>#REF!</v>
      </c>
      <c r="F25" s="796" t="e">
        <f>+ROUND(E25*C25,2)</f>
        <v>#REF!</v>
      </c>
    </row>
    <row r="26" spans="1:6" s="5" customFormat="1" ht="14.25" customHeight="1">
      <c r="A26" s="734" t="s">
        <v>383</v>
      </c>
      <c r="B26" s="526" t="s">
        <v>384</v>
      </c>
      <c r="C26" s="610">
        <f>3884.87*2</f>
        <v>7769.74</v>
      </c>
      <c r="D26" s="657" t="s">
        <v>15</v>
      </c>
      <c r="E26" s="827" t="e">
        <f>VLOOKUP(B26,#REF!,7,FALSE)</f>
        <v>#REF!</v>
      </c>
      <c r="F26" s="796" t="e">
        <f>+ROUND(E26*C26,2)</f>
        <v>#REF!</v>
      </c>
    </row>
    <row r="27" spans="1:6" s="5" customFormat="1" ht="14.25" customHeight="1">
      <c r="A27" s="734" t="s">
        <v>385</v>
      </c>
      <c r="B27" s="526" t="s">
        <v>386</v>
      </c>
      <c r="C27" s="610">
        <f>3884.87*2</f>
        <v>7769.74</v>
      </c>
      <c r="D27" s="657" t="s">
        <v>15</v>
      </c>
      <c r="E27" s="827" t="e">
        <f>VLOOKUP(B27,#REF!,7,FALSE)</f>
        <v>#REF!</v>
      </c>
      <c r="F27" s="796" t="e">
        <f>+ROUND(E27*C27,2)</f>
        <v>#REF!</v>
      </c>
    </row>
    <row r="28" spans="1:6" s="5" customFormat="1" ht="14.25" customHeight="1">
      <c r="A28" s="734"/>
      <c r="B28" s="518"/>
      <c r="C28" s="506"/>
      <c r="D28" s="611"/>
      <c r="E28" s="516"/>
      <c r="F28" s="796"/>
    </row>
    <row r="29" spans="1:6" s="485" customFormat="1" ht="14.25" customHeight="1">
      <c r="A29" s="823" t="s">
        <v>387</v>
      </c>
      <c r="B29" s="514" t="s">
        <v>388</v>
      </c>
      <c r="C29" s="828"/>
      <c r="D29" s="829"/>
      <c r="E29" s="830"/>
      <c r="F29" s="796"/>
    </row>
    <row r="30" spans="1:6" s="5" customFormat="1">
      <c r="A30" s="734" t="s">
        <v>389</v>
      </c>
      <c r="B30" s="518" t="s">
        <v>369</v>
      </c>
      <c r="C30" s="824">
        <v>2160</v>
      </c>
      <c r="D30" s="825" t="s">
        <v>298</v>
      </c>
      <c r="E30" s="516" t="e">
        <f>VLOOKUP(B30,#REF!,7,FALSE)</f>
        <v>#REF!</v>
      </c>
      <c r="F30" s="796" t="e">
        <f t="shared" ref="F30:F36" si="1">+ROUND(E30*C30,2)</f>
        <v>#REF!</v>
      </c>
    </row>
    <row r="31" spans="1:6" s="5" customFormat="1" ht="14.25" customHeight="1">
      <c r="A31" s="734" t="s">
        <v>390</v>
      </c>
      <c r="B31" s="518" t="s">
        <v>371</v>
      </c>
      <c r="C31" s="824">
        <v>3240</v>
      </c>
      <c r="D31" s="825" t="s">
        <v>298</v>
      </c>
      <c r="E31" s="826" t="e">
        <f>VLOOKUP(B31,#REF!,7,FALSE)</f>
        <v>#REF!</v>
      </c>
      <c r="F31" s="796" t="e">
        <f t="shared" si="1"/>
        <v>#REF!</v>
      </c>
    </row>
    <row r="32" spans="1:6" s="5" customFormat="1" ht="14.25" customHeight="1">
      <c r="A32" s="734" t="s">
        <v>391</v>
      </c>
      <c r="B32" s="518" t="s">
        <v>373</v>
      </c>
      <c r="C32" s="610">
        <f>C33</f>
        <v>10800</v>
      </c>
      <c r="D32" s="657" t="s">
        <v>300</v>
      </c>
      <c r="E32" s="827" t="e">
        <f>VLOOKUP(B32,#REF!,7,FALSE)</f>
        <v>#REF!</v>
      </c>
      <c r="F32" s="796" t="e">
        <f t="shared" si="1"/>
        <v>#REF!</v>
      </c>
    </row>
    <row r="33" spans="1:6" s="5" customFormat="1" ht="14.25" customHeight="1">
      <c r="A33" s="734" t="s">
        <v>392</v>
      </c>
      <c r="B33" s="518" t="s">
        <v>393</v>
      </c>
      <c r="C33" s="610">
        <f>540/0.05</f>
        <v>10800</v>
      </c>
      <c r="D33" s="657" t="s">
        <v>300</v>
      </c>
      <c r="E33" s="827" t="e">
        <f>VLOOKUP(B33,#REF!,7,FALSE)</f>
        <v>#REF!</v>
      </c>
      <c r="F33" s="796" t="e">
        <f t="shared" si="1"/>
        <v>#REF!</v>
      </c>
    </row>
    <row r="34" spans="1:6" s="5" customFormat="1" ht="14.25" customHeight="1">
      <c r="A34" s="734" t="s">
        <v>394</v>
      </c>
      <c r="B34" s="518" t="s">
        <v>377</v>
      </c>
      <c r="C34" s="519">
        <f>C33*0.05*20</f>
        <v>10800</v>
      </c>
      <c r="D34" s="825" t="s">
        <v>378</v>
      </c>
      <c r="E34" s="826" t="e">
        <f>VLOOKUP(B34,#REF!,7,FALSE)</f>
        <v>#REF!</v>
      </c>
      <c r="F34" s="796" t="e">
        <f t="shared" si="1"/>
        <v>#REF!</v>
      </c>
    </row>
    <row r="35" spans="1:6" s="5" customFormat="1" ht="14.25" customHeight="1">
      <c r="A35" s="734" t="s">
        <v>395</v>
      </c>
      <c r="B35" s="526" t="s">
        <v>396</v>
      </c>
      <c r="C35" s="610">
        <f>3600*2*1.2</f>
        <v>8640</v>
      </c>
      <c r="D35" s="657" t="s">
        <v>300</v>
      </c>
      <c r="E35" s="827" t="e">
        <f>VLOOKUP(B35,#REF!,7,FALSE)</f>
        <v>#REF!</v>
      </c>
      <c r="F35" s="796" t="e">
        <f t="shared" si="1"/>
        <v>#REF!</v>
      </c>
    </row>
    <row r="36" spans="1:6" s="5" customFormat="1" ht="14.25" customHeight="1">
      <c r="A36" s="734" t="s">
        <v>397</v>
      </c>
      <c r="B36" s="526" t="s">
        <v>384</v>
      </c>
      <c r="C36" s="610">
        <f>3600*2</f>
        <v>7200</v>
      </c>
      <c r="D36" s="657" t="s">
        <v>15</v>
      </c>
      <c r="E36" s="827" t="e">
        <f>VLOOKUP(B36,#REF!,7,FALSE)</f>
        <v>#REF!</v>
      </c>
      <c r="F36" s="796" t="e">
        <f t="shared" si="1"/>
        <v>#REF!</v>
      </c>
    </row>
    <row r="37" spans="1:6" s="5" customFormat="1" ht="9.75" customHeight="1">
      <c r="A37" s="734"/>
      <c r="B37" s="518"/>
      <c r="C37" s="506"/>
      <c r="D37" s="611"/>
      <c r="E37" s="516"/>
      <c r="F37" s="796"/>
    </row>
    <row r="38" spans="1:6" s="5" customFormat="1" ht="25.5">
      <c r="A38" s="831">
        <v>5</v>
      </c>
      <c r="B38" s="526" t="s">
        <v>398</v>
      </c>
      <c r="C38" s="824">
        <v>3800</v>
      </c>
      <c r="D38" s="825" t="s">
        <v>15</v>
      </c>
      <c r="E38" s="832" t="e">
        <f>VLOOKUP(B38,#REF!,7,FALSE)</f>
        <v>#REF!</v>
      </c>
      <c r="F38" s="796" t="e">
        <f>+ROUND(E38*C38,2)</f>
        <v>#REF!</v>
      </c>
    </row>
    <row r="39" spans="1:6" s="5" customFormat="1" ht="10.5" customHeight="1">
      <c r="A39" s="831"/>
      <c r="B39" s="526" t="s">
        <v>40</v>
      </c>
      <c r="C39" s="610"/>
      <c r="D39" s="657"/>
      <c r="E39" s="529"/>
      <c r="F39" s="796"/>
    </row>
    <row r="40" spans="1:6" s="5" customFormat="1" ht="14.25" customHeight="1">
      <c r="A40" s="831">
        <v>6</v>
      </c>
      <c r="B40" s="526" t="s">
        <v>399</v>
      </c>
      <c r="C40" s="824">
        <f>C38</f>
        <v>3800</v>
      </c>
      <c r="D40" s="825" t="s">
        <v>15</v>
      </c>
      <c r="E40" s="508" t="e">
        <f>VLOOKUP(B40,#REF!,7,FALSE)</f>
        <v>#REF!</v>
      </c>
      <c r="F40" s="796" t="e">
        <f>+ROUND(E40*C40,2)</f>
        <v>#REF!</v>
      </c>
    </row>
    <row r="41" spans="1:6" s="5" customFormat="1" ht="10.5" customHeight="1">
      <c r="A41" s="831"/>
      <c r="B41" s="526" t="s">
        <v>40</v>
      </c>
      <c r="C41" s="610"/>
      <c r="D41" s="657"/>
      <c r="E41" s="529"/>
      <c r="F41" s="796"/>
    </row>
    <row r="42" spans="1:6" s="5" customFormat="1" ht="14.25" customHeight="1">
      <c r="A42" s="831">
        <v>7</v>
      </c>
      <c r="B42" s="526" t="s">
        <v>400</v>
      </c>
      <c r="C42" s="610">
        <f>C40</f>
        <v>3800</v>
      </c>
      <c r="D42" s="657" t="s">
        <v>15</v>
      </c>
      <c r="E42" s="508" t="e">
        <f>VLOOKUP(B42,#REF!,7,FALSE)</f>
        <v>#REF!</v>
      </c>
      <c r="F42" s="796" t="e">
        <f>+ROUND(E42*C42,2)</f>
        <v>#REF!</v>
      </c>
    </row>
    <row r="43" spans="1:6" s="5" customFormat="1" ht="11.25" customHeight="1">
      <c r="A43" s="838"/>
      <c r="B43" s="839" t="s">
        <v>44</v>
      </c>
      <c r="C43" s="840"/>
      <c r="D43" s="841"/>
      <c r="E43" s="842"/>
      <c r="F43" s="843" t="e">
        <f>SUM(F13:F42)</f>
        <v>#REF!</v>
      </c>
    </row>
    <row r="44" spans="1:6" s="5" customFormat="1" ht="9" customHeight="1">
      <c r="A44" s="734"/>
      <c r="B44" s="518"/>
      <c r="C44" s="506"/>
      <c r="D44" s="611"/>
      <c r="E44" s="516"/>
      <c r="F44" s="687"/>
    </row>
    <row r="45" spans="1:6" s="5" customFormat="1" ht="14.25" customHeight="1">
      <c r="A45" s="810" t="s">
        <v>45</v>
      </c>
      <c r="B45" s="514" t="s">
        <v>401</v>
      </c>
      <c r="C45" s="736"/>
      <c r="D45" s="811"/>
      <c r="E45" s="540"/>
      <c r="F45" s="610">
        <f>+ROUND(C45*E45,2)</f>
        <v>0</v>
      </c>
    </row>
    <row r="46" spans="1:6" s="5" customFormat="1" ht="14.25" customHeight="1">
      <c r="A46" s="812">
        <v>1</v>
      </c>
      <c r="B46" s="813" t="s">
        <v>402</v>
      </c>
      <c r="C46" s="814"/>
      <c r="D46" s="815"/>
      <c r="E46" s="816"/>
      <c r="F46" s="817"/>
    </row>
    <row r="47" spans="1:6" s="5" customFormat="1" ht="14.25" customHeight="1">
      <c r="A47" s="818">
        <v>1.1000000000000001</v>
      </c>
      <c r="B47" s="526" t="s">
        <v>403</v>
      </c>
      <c r="C47" s="610">
        <v>10</v>
      </c>
      <c r="D47" s="657" t="s">
        <v>10</v>
      </c>
      <c r="E47" s="508" t="e">
        <f>VLOOKUP(B47,#REF!,7,FALSE)</f>
        <v>#REF!</v>
      </c>
      <c r="F47" s="796" t="e">
        <f t="shared" ref="F47:F59" si="2">+ROUND(E47*C47,2)</f>
        <v>#REF!</v>
      </c>
    </row>
    <row r="48" spans="1:6" s="5" customFormat="1" ht="14.25" customHeight="1">
      <c r="A48" s="818">
        <v>1.2</v>
      </c>
      <c r="B48" s="526" t="s">
        <v>404</v>
      </c>
      <c r="C48" s="610">
        <v>174</v>
      </c>
      <c r="D48" s="657" t="s">
        <v>10</v>
      </c>
      <c r="E48" s="508" t="e">
        <f>VLOOKUP(B48,#REF!,7,FALSE)</f>
        <v>#REF!</v>
      </c>
      <c r="F48" s="796" t="e">
        <f t="shared" si="2"/>
        <v>#REF!</v>
      </c>
    </row>
    <row r="49" spans="1:6" s="5" customFormat="1" ht="14.25" customHeight="1">
      <c r="A49" s="818">
        <v>1.3</v>
      </c>
      <c r="B49" s="526" t="s">
        <v>405</v>
      </c>
      <c r="C49" s="610">
        <v>3300</v>
      </c>
      <c r="D49" s="657" t="s">
        <v>406</v>
      </c>
      <c r="E49" s="508" t="e">
        <f>VLOOKUP(B49,#REF!,7,FALSE)</f>
        <v>#REF!</v>
      </c>
      <c r="F49" s="796" t="e">
        <f t="shared" si="2"/>
        <v>#REF!</v>
      </c>
    </row>
    <row r="50" spans="1:6" s="5" customFormat="1" ht="14.25" customHeight="1">
      <c r="A50" s="818">
        <v>1.4</v>
      </c>
      <c r="B50" s="526" t="s">
        <v>407</v>
      </c>
      <c r="C50" s="610">
        <v>10</v>
      </c>
      <c r="D50" s="657" t="s">
        <v>10</v>
      </c>
      <c r="E50" s="508" t="e">
        <f>VLOOKUP(B50,#REF!,7,FALSE)</f>
        <v>#REF!</v>
      </c>
      <c r="F50" s="796" t="e">
        <f t="shared" si="2"/>
        <v>#REF!</v>
      </c>
    </row>
    <row r="51" spans="1:6" s="5" customFormat="1" ht="14.25" customHeight="1">
      <c r="A51" s="818">
        <v>1.5</v>
      </c>
      <c r="B51" s="526" t="s">
        <v>408</v>
      </c>
      <c r="C51" s="610">
        <v>100</v>
      </c>
      <c r="D51" s="657" t="s">
        <v>10</v>
      </c>
      <c r="E51" s="508" t="e">
        <f>VLOOKUP(B51,#REF!,7,FALSE)</f>
        <v>#REF!</v>
      </c>
      <c r="F51" s="796" t="e">
        <f t="shared" si="2"/>
        <v>#REF!</v>
      </c>
    </row>
    <row r="52" spans="1:6" s="5" customFormat="1" ht="14.25" customHeight="1">
      <c r="A52" s="818">
        <v>1.6</v>
      </c>
      <c r="B52" s="526" t="s">
        <v>409</v>
      </c>
      <c r="C52" s="610">
        <v>84</v>
      </c>
      <c r="D52" s="657" t="s">
        <v>10</v>
      </c>
      <c r="E52" s="508" t="e">
        <f>VLOOKUP(B52,#REF!,7,FALSE)</f>
        <v>#REF!</v>
      </c>
      <c r="F52" s="516" t="e">
        <f t="shared" si="2"/>
        <v>#REF!</v>
      </c>
    </row>
    <row r="53" spans="1:6" s="5" customFormat="1" ht="14.25" customHeight="1">
      <c r="A53" s="818">
        <v>1.7</v>
      </c>
      <c r="B53" s="526" t="s">
        <v>410</v>
      </c>
      <c r="C53" s="610">
        <v>10</v>
      </c>
      <c r="D53" s="657" t="s">
        <v>10</v>
      </c>
      <c r="E53" s="508" t="e">
        <f>VLOOKUP(B53,#REF!,7,FALSE)</f>
        <v>#REF!</v>
      </c>
      <c r="F53" s="516" t="e">
        <f t="shared" si="2"/>
        <v>#REF!</v>
      </c>
    </row>
    <row r="54" spans="1:6" s="5" customFormat="1" ht="14.25" customHeight="1">
      <c r="A54" s="818">
        <v>1.8</v>
      </c>
      <c r="B54" s="526" t="s">
        <v>411</v>
      </c>
      <c r="C54" s="610">
        <f>184+55</f>
        <v>239</v>
      </c>
      <c r="D54" s="657" t="s">
        <v>10</v>
      </c>
      <c r="E54" s="508" t="e">
        <f>VLOOKUP(B54,#REF!,7,FALSE)</f>
        <v>#REF!</v>
      </c>
      <c r="F54" s="516" t="e">
        <f t="shared" si="2"/>
        <v>#REF!</v>
      </c>
    </row>
    <row r="55" spans="1:6" s="5" customFormat="1" ht="14.25" customHeight="1">
      <c r="A55" s="818">
        <v>1.9</v>
      </c>
      <c r="B55" s="526" t="s">
        <v>412</v>
      </c>
      <c r="C55" s="610">
        <f>24000+7200</f>
        <v>31200</v>
      </c>
      <c r="D55" s="657" t="s">
        <v>406</v>
      </c>
      <c r="E55" s="508" t="e">
        <f>VLOOKUP(B55,#REF!,7,FALSE)</f>
        <v>#REF!</v>
      </c>
      <c r="F55" s="516" t="e">
        <f t="shared" si="2"/>
        <v>#REF!</v>
      </c>
    </row>
    <row r="56" spans="1:6" s="5" customFormat="1" ht="14.25" customHeight="1">
      <c r="A56" s="819">
        <v>1.1000000000000001</v>
      </c>
      <c r="B56" s="526" t="s">
        <v>413</v>
      </c>
      <c r="C56" s="610">
        <v>10</v>
      </c>
      <c r="D56" s="657" t="s">
        <v>10</v>
      </c>
      <c r="E56" s="508" t="e">
        <f>VLOOKUP(B56,#REF!,7,FALSE)</f>
        <v>#REF!</v>
      </c>
      <c r="F56" s="516" t="e">
        <f t="shared" si="2"/>
        <v>#REF!</v>
      </c>
    </row>
    <row r="57" spans="1:6" s="5" customFormat="1" ht="14.25" customHeight="1">
      <c r="A57" s="819">
        <v>1.1100000000000001</v>
      </c>
      <c r="B57" s="526" t="s">
        <v>414</v>
      </c>
      <c r="C57" s="610">
        <v>184</v>
      </c>
      <c r="D57" s="657" t="s">
        <v>10</v>
      </c>
      <c r="E57" s="508" t="e">
        <f>VLOOKUP(B57,#REF!,7,FALSE)</f>
        <v>#REF!</v>
      </c>
      <c r="F57" s="516" t="e">
        <f t="shared" si="2"/>
        <v>#REF!</v>
      </c>
    </row>
    <row r="58" spans="1:6" s="5" customFormat="1" ht="14.25" customHeight="1">
      <c r="A58" s="819">
        <v>1.1200000000000001</v>
      </c>
      <c r="B58" s="526" t="s">
        <v>415</v>
      </c>
      <c r="C58" s="610">
        <v>174</v>
      </c>
      <c r="D58" s="657" t="s">
        <v>10</v>
      </c>
      <c r="E58" s="508" t="e">
        <f>VLOOKUP(B58,#REF!,7,FALSE)</f>
        <v>#REF!</v>
      </c>
      <c r="F58" s="516" t="e">
        <f t="shared" si="2"/>
        <v>#REF!</v>
      </c>
    </row>
    <row r="59" spans="1:6" s="5" customFormat="1" ht="14.25" customHeight="1">
      <c r="A59" s="819">
        <v>1.1299999999999999</v>
      </c>
      <c r="B59" s="526" t="s">
        <v>416</v>
      </c>
      <c r="C59" s="610">
        <v>1</v>
      </c>
      <c r="D59" s="657" t="s">
        <v>10</v>
      </c>
      <c r="E59" s="508" t="e">
        <f>VLOOKUP(B59,#REF!,7,FALSE)</f>
        <v>#REF!</v>
      </c>
      <c r="F59" s="516" t="e">
        <f t="shared" si="2"/>
        <v>#REF!</v>
      </c>
    </row>
    <row r="60" spans="1:6" s="5" customFormat="1">
      <c r="A60" s="873"/>
      <c r="B60" s="874" t="s">
        <v>417</v>
      </c>
      <c r="C60" s="875"/>
      <c r="D60" s="876"/>
      <c r="E60" s="877"/>
      <c r="F60" s="878" t="e">
        <f>SUM(F47:F59)</f>
        <v>#REF!</v>
      </c>
    </row>
    <row r="61" spans="1:6" s="5" customFormat="1" ht="9" customHeight="1">
      <c r="A61" s="783"/>
      <c r="B61" s="518"/>
      <c r="C61" s="784"/>
      <c r="D61" s="785"/>
      <c r="E61" s="786"/>
      <c r="F61" s="736"/>
    </row>
    <row r="62" spans="1:6" s="5" customFormat="1" ht="76.5">
      <c r="A62" s="787" t="s">
        <v>53</v>
      </c>
      <c r="B62" s="788" t="s">
        <v>418</v>
      </c>
      <c r="C62" s="789"/>
      <c r="D62" s="790"/>
      <c r="E62" s="516"/>
      <c r="F62" s="736"/>
    </row>
    <row r="63" spans="1:6" s="5" customFormat="1" ht="9.75" customHeight="1">
      <c r="A63" s="787"/>
      <c r="B63" s="788"/>
      <c r="C63" s="789"/>
      <c r="D63" s="790"/>
      <c r="E63" s="516"/>
      <c r="F63" s="736"/>
    </row>
    <row r="64" spans="1:6" s="5" customFormat="1">
      <c r="A64" s="787" t="s">
        <v>93</v>
      </c>
      <c r="B64" s="788" t="s">
        <v>419</v>
      </c>
      <c r="C64" s="789"/>
      <c r="D64" s="790"/>
      <c r="E64" s="516"/>
      <c r="F64" s="736"/>
    </row>
    <row r="65" spans="1:6" s="5" customFormat="1">
      <c r="A65" s="524">
        <v>1</v>
      </c>
      <c r="B65" s="709" t="s">
        <v>420</v>
      </c>
      <c r="C65" s="791"/>
      <c r="D65" s="792"/>
      <c r="E65" s="793"/>
      <c r="F65" s="520"/>
    </row>
    <row r="66" spans="1:6" s="51" customFormat="1">
      <c r="A66" s="734">
        <v>1.1000000000000001</v>
      </c>
      <c r="B66" s="518" t="s">
        <v>421</v>
      </c>
      <c r="C66" s="736">
        <v>250</v>
      </c>
      <c r="D66" s="794" t="s">
        <v>15</v>
      </c>
      <c r="E66" s="795" t="e">
        <f>#REF!</f>
        <v>#REF!</v>
      </c>
      <c r="F66" s="796" t="e">
        <f t="shared" ref="F66:F96" si="3">+ROUND(E66*C66,2)</f>
        <v>#REF!</v>
      </c>
    </row>
    <row r="67" spans="1:6" s="51" customFormat="1">
      <c r="A67" s="675"/>
      <c r="B67" s="514"/>
      <c r="C67" s="736"/>
      <c r="D67" s="794"/>
      <c r="E67" s="795"/>
      <c r="F67" s="796">
        <f t="shared" si="3"/>
        <v>0</v>
      </c>
    </row>
    <row r="68" spans="1:6" s="5" customFormat="1" ht="13.5" customHeight="1">
      <c r="A68" s="513">
        <v>2</v>
      </c>
      <c r="B68" s="514" t="s">
        <v>422</v>
      </c>
      <c r="C68" s="519"/>
      <c r="D68" s="611"/>
      <c r="E68" s="516"/>
      <c r="F68" s="796">
        <f t="shared" si="3"/>
        <v>0</v>
      </c>
    </row>
    <row r="69" spans="1:6" s="5" customFormat="1" ht="13.5" customHeight="1">
      <c r="A69" s="734">
        <v>2.1</v>
      </c>
      <c r="B69" s="518" t="s">
        <v>423</v>
      </c>
      <c r="C69" s="506">
        <v>1687.5</v>
      </c>
      <c r="D69" s="611" t="s">
        <v>424</v>
      </c>
      <c r="E69" s="516" t="e">
        <f>VLOOKUP(B69,#REF!,7,FALSE)</f>
        <v>#REF!</v>
      </c>
      <c r="F69" s="796" t="e">
        <f t="shared" si="3"/>
        <v>#REF!</v>
      </c>
    </row>
    <row r="70" spans="1:6" s="5" customFormat="1" ht="15.75" customHeight="1">
      <c r="A70" s="734">
        <v>2.2000000000000002</v>
      </c>
      <c r="B70" s="710" t="s">
        <v>425</v>
      </c>
      <c r="C70" s="506">
        <v>750</v>
      </c>
      <c r="D70" s="611" t="s">
        <v>426</v>
      </c>
      <c r="E70" s="795" t="e">
        <f>VLOOKUP(B70,#REF!,7,FALSE)</f>
        <v>#REF!</v>
      </c>
      <c r="F70" s="796" t="e">
        <f t="shared" si="3"/>
        <v>#REF!</v>
      </c>
    </row>
    <row r="71" spans="1:6" s="5" customFormat="1" ht="15" customHeight="1">
      <c r="A71" s="734">
        <v>2.2999999999999998</v>
      </c>
      <c r="B71" s="518" t="s">
        <v>427</v>
      </c>
      <c r="C71" s="506">
        <v>150</v>
      </c>
      <c r="D71" s="611" t="s">
        <v>426</v>
      </c>
      <c r="E71" s="516" t="e">
        <f>VLOOKUP(B71,#REF!,7,FALSE)</f>
        <v>#REF!</v>
      </c>
      <c r="F71" s="796" t="e">
        <f t="shared" si="3"/>
        <v>#REF!</v>
      </c>
    </row>
    <row r="72" spans="1:6" s="5" customFormat="1" ht="15" customHeight="1">
      <c r="A72" s="734" t="s">
        <v>370</v>
      </c>
      <c r="B72" s="518" t="s">
        <v>428</v>
      </c>
      <c r="C72" s="506">
        <v>142.5</v>
      </c>
      <c r="D72" s="611" t="s">
        <v>426</v>
      </c>
      <c r="E72" s="516" t="e">
        <f>VLOOKUP(B72,#REF!,7,FALSE)</f>
        <v>#REF!</v>
      </c>
      <c r="F72" s="796" t="e">
        <f t="shared" si="3"/>
        <v>#REF!</v>
      </c>
    </row>
    <row r="73" spans="1:6" s="5" customFormat="1" ht="30" customHeight="1">
      <c r="A73" s="734" t="s">
        <v>372</v>
      </c>
      <c r="B73" s="710" t="s">
        <v>429</v>
      </c>
      <c r="C73" s="506">
        <v>2025</v>
      </c>
      <c r="D73" s="611" t="s">
        <v>367</v>
      </c>
      <c r="E73" s="516" t="e">
        <f>VLOOKUP(B73,#REF!,7,FALSE)</f>
        <v>#REF!</v>
      </c>
      <c r="F73" s="796" t="e">
        <f t="shared" si="3"/>
        <v>#REF!</v>
      </c>
    </row>
    <row r="74" spans="1:6" s="5" customFormat="1" ht="13.5" customHeight="1">
      <c r="A74" s="517"/>
      <c r="B74" s="518"/>
      <c r="C74" s="519"/>
      <c r="D74" s="611"/>
      <c r="E74" s="516"/>
      <c r="F74" s="796">
        <f t="shared" si="3"/>
        <v>0</v>
      </c>
    </row>
    <row r="75" spans="1:6" s="5" customFormat="1" ht="13.5" customHeight="1">
      <c r="A75" s="653">
        <v>3</v>
      </c>
      <c r="B75" s="514" t="s">
        <v>430</v>
      </c>
      <c r="C75" s="519"/>
      <c r="D75" s="611"/>
      <c r="E75" s="516"/>
      <c r="F75" s="796">
        <f t="shared" si="3"/>
        <v>0</v>
      </c>
    </row>
    <row r="76" spans="1:6" s="5" customFormat="1">
      <c r="A76" s="734">
        <v>3.1</v>
      </c>
      <c r="B76" s="710" t="s">
        <v>431</v>
      </c>
      <c r="C76" s="506">
        <v>1750</v>
      </c>
      <c r="D76" s="611" t="s">
        <v>300</v>
      </c>
      <c r="E76" s="516" t="e">
        <f>VLOOKUP(B76,#REF!,7,FALSE)</f>
        <v>#REF!</v>
      </c>
      <c r="F76" s="796" t="e">
        <f t="shared" si="3"/>
        <v>#REF!</v>
      </c>
    </row>
    <row r="77" spans="1:6" s="5" customFormat="1" ht="11.25" customHeight="1">
      <c r="A77" s="734"/>
      <c r="B77" s="504"/>
      <c r="C77" s="506"/>
      <c r="D77" s="611"/>
      <c r="E77" s="516"/>
      <c r="F77" s="796">
        <f t="shared" si="3"/>
        <v>0</v>
      </c>
    </row>
    <row r="78" spans="1:6" s="5" customFormat="1" ht="13.5" customHeight="1">
      <c r="A78" s="797" t="s">
        <v>432</v>
      </c>
      <c r="B78" s="788" t="s">
        <v>433</v>
      </c>
      <c r="C78" s="506"/>
      <c r="D78" s="611"/>
      <c r="E78" s="516"/>
      <c r="F78" s="796">
        <f t="shared" si="3"/>
        <v>0</v>
      </c>
    </row>
    <row r="79" spans="1:6" s="5" customFormat="1" ht="12.75" customHeight="1">
      <c r="A79" s="734"/>
      <c r="B79" s="788"/>
      <c r="C79" s="506"/>
      <c r="D79" s="611"/>
      <c r="E79" s="516"/>
      <c r="F79" s="796">
        <f t="shared" si="3"/>
        <v>0</v>
      </c>
    </row>
    <row r="80" spans="1:6" s="5" customFormat="1">
      <c r="A80" s="524">
        <v>1</v>
      </c>
      <c r="B80" s="709" t="s">
        <v>420</v>
      </c>
      <c r="C80" s="791"/>
      <c r="D80" s="792"/>
      <c r="E80" s="793"/>
      <c r="F80" s="796">
        <f t="shared" si="3"/>
        <v>0</v>
      </c>
    </row>
    <row r="81" spans="1:12" s="5" customFormat="1">
      <c r="A81" s="798" t="s">
        <v>434</v>
      </c>
      <c r="B81" s="799" t="s">
        <v>435</v>
      </c>
      <c r="C81" s="784">
        <v>200</v>
      </c>
      <c r="D81" s="785" t="s">
        <v>15</v>
      </c>
      <c r="E81" s="793" t="e">
        <f>VLOOKUP(B81,#REF!,7,FALSE)</f>
        <v>#REF!</v>
      </c>
      <c r="F81" s="796" t="e">
        <f t="shared" si="3"/>
        <v>#REF!</v>
      </c>
      <c r="L81" s="5" t="e">
        <f>E81*C81</f>
        <v>#REF!</v>
      </c>
    </row>
    <row r="82" spans="1:12" s="5" customFormat="1">
      <c r="A82" s="798"/>
      <c r="B82" s="799"/>
      <c r="C82" s="784"/>
      <c r="D82" s="785"/>
      <c r="E82" s="793"/>
      <c r="F82" s="796">
        <f t="shared" si="3"/>
        <v>0</v>
      </c>
    </row>
    <row r="83" spans="1:12" s="5" customFormat="1">
      <c r="A83" s="800">
        <v>2</v>
      </c>
      <c r="B83" s="801" t="s">
        <v>296</v>
      </c>
      <c r="C83" s="784"/>
      <c r="D83" s="785"/>
      <c r="E83" s="786"/>
      <c r="F83" s="796">
        <f t="shared" si="3"/>
        <v>0</v>
      </c>
      <c r="L83" s="5">
        <f t="shared" ref="L83:L94" si="4">E83*C83</f>
        <v>0</v>
      </c>
    </row>
    <row r="84" spans="1:12" s="5" customFormat="1" ht="12.75" customHeight="1">
      <c r="A84" s="802" t="s">
        <v>362</v>
      </c>
      <c r="B84" s="519" t="s">
        <v>436</v>
      </c>
      <c r="C84" s="803">
        <v>595.20000000000005</v>
      </c>
      <c r="D84" s="804" t="s">
        <v>364</v>
      </c>
      <c r="E84" s="805" t="e">
        <f>VLOOKUP(B84,#REF!,7,FALSE)</f>
        <v>#REF!</v>
      </c>
      <c r="F84" s="796" t="e">
        <f t="shared" si="3"/>
        <v>#REF!</v>
      </c>
      <c r="L84" s="5" t="e">
        <f t="shared" si="4"/>
        <v>#REF!</v>
      </c>
    </row>
    <row r="85" spans="1:12" s="5" customFormat="1">
      <c r="A85" s="802" t="s">
        <v>365</v>
      </c>
      <c r="B85" s="519" t="s">
        <v>437</v>
      </c>
      <c r="C85" s="803">
        <v>148.80000000000001</v>
      </c>
      <c r="D85" s="804" t="s">
        <v>364</v>
      </c>
      <c r="E85" s="805" t="e">
        <f>VLOOKUP(B85,#REF!,7,FALSE)</f>
        <v>#REF!</v>
      </c>
      <c r="F85" s="796" t="e">
        <f t="shared" si="3"/>
        <v>#REF!</v>
      </c>
      <c r="L85" s="5" t="e">
        <f t="shared" si="4"/>
        <v>#REF!</v>
      </c>
    </row>
    <row r="86" spans="1:12" s="5" customFormat="1" ht="14.25">
      <c r="A86" s="802" t="s">
        <v>368</v>
      </c>
      <c r="B86" s="806" t="s">
        <v>438</v>
      </c>
      <c r="C86" s="803">
        <v>220</v>
      </c>
      <c r="D86" s="611" t="s">
        <v>439</v>
      </c>
      <c r="E86" s="807" t="e">
        <f>VLOOKUP(B86,#REF!,7,FALSE)</f>
        <v>#REF!</v>
      </c>
      <c r="F86" s="796" t="e">
        <f t="shared" si="3"/>
        <v>#REF!</v>
      </c>
      <c r="L86" s="5" t="e">
        <f t="shared" si="4"/>
        <v>#REF!</v>
      </c>
    </row>
    <row r="87" spans="1:12" s="5" customFormat="1">
      <c r="A87" s="802" t="s">
        <v>370</v>
      </c>
      <c r="B87" s="518" t="s">
        <v>440</v>
      </c>
      <c r="C87" s="784">
        <v>582.07000000000005</v>
      </c>
      <c r="D87" s="785" t="s">
        <v>426</v>
      </c>
      <c r="E87" s="807" t="e">
        <f>VLOOKUP(B87,#REF!,7,FALSE)</f>
        <v>#REF!</v>
      </c>
      <c r="F87" s="796" t="e">
        <f t="shared" si="3"/>
        <v>#REF!</v>
      </c>
      <c r="L87" s="5" t="e">
        <f t="shared" si="4"/>
        <v>#REF!</v>
      </c>
    </row>
    <row r="88" spans="1:12" s="5" customFormat="1">
      <c r="A88" s="802" t="s">
        <v>372</v>
      </c>
      <c r="B88" s="518" t="s">
        <v>441</v>
      </c>
      <c r="C88" s="784">
        <v>194.32</v>
      </c>
      <c r="D88" s="785" t="s">
        <v>367</v>
      </c>
      <c r="E88" s="805" t="e">
        <f>VLOOKUP(B88,#REF!,7,FALSE)</f>
        <v>#REF!</v>
      </c>
      <c r="F88" s="796" t="e">
        <f t="shared" si="3"/>
        <v>#REF!</v>
      </c>
      <c r="L88" s="5" t="e">
        <f t="shared" si="4"/>
        <v>#REF!</v>
      </c>
    </row>
    <row r="89" spans="1:12" s="5" customFormat="1">
      <c r="A89" s="879"/>
      <c r="B89" s="880"/>
      <c r="C89" s="784"/>
      <c r="D89" s="785"/>
      <c r="E89" s="786"/>
      <c r="F89" s="796"/>
      <c r="L89" s="5">
        <f t="shared" si="4"/>
        <v>0</v>
      </c>
    </row>
    <row r="90" spans="1:12" s="5" customFormat="1">
      <c r="A90" s="800">
        <v>3</v>
      </c>
      <c r="B90" s="801" t="s">
        <v>442</v>
      </c>
      <c r="C90" s="784"/>
      <c r="D90" s="785"/>
      <c r="E90" s="786"/>
      <c r="F90" s="516"/>
      <c r="L90" s="5">
        <f t="shared" si="4"/>
        <v>0</v>
      </c>
    </row>
    <row r="91" spans="1:12" s="5" customFormat="1">
      <c r="A91" s="802" t="s">
        <v>381</v>
      </c>
      <c r="B91" s="799" t="s">
        <v>443</v>
      </c>
      <c r="C91" s="784">
        <v>200</v>
      </c>
      <c r="D91" s="785" t="s">
        <v>10</v>
      </c>
      <c r="E91" s="808" t="e">
        <f>VLOOKUP(B91,#REF!,7,FALSE)</f>
        <v>#REF!</v>
      </c>
      <c r="F91" s="516" t="e">
        <f t="shared" si="3"/>
        <v>#REF!</v>
      </c>
      <c r="L91" s="5" t="e">
        <f t="shared" si="4"/>
        <v>#REF!</v>
      </c>
    </row>
    <row r="92" spans="1:12" s="5" customFormat="1">
      <c r="A92" s="809"/>
      <c r="B92" s="799"/>
      <c r="C92" s="784"/>
      <c r="D92" s="785"/>
      <c r="E92" s="786"/>
      <c r="F92" s="516"/>
      <c r="L92" s="5">
        <f t="shared" si="4"/>
        <v>0</v>
      </c>
    </row>
    <row r="93" spans="1:12" s="5" customFormat="1">
      <c r="A93" s="800">
        <v>4</v>
      </c>
      <c r="B93" s="801" t="s">
        <v>444</v>
      </c>
      <c r="C93" s="784"/>
      <c r="D93" s="785"/>
      <c r="E93" s="786"/>
      <c r="F93" s="516"/>
      <c r="L93" s="5">
        <f t="shared" si="4"/>
        <v>0</v>
      </c>
    </row>
    <row r="94" spans="1:12" s="5" customFormat="1">
      <c r="A94" s="802" t="s">
        <v>390</v>
      </c>
      <c r="B94" s="799" t="s">
        <v>443</v>
      </c>
      <c r="C94" s="784">
        <v>200</v>
      </c>
      <c r="D94" s="785" t="s">
        <v>15</v>
      </c>
      <c r="E94" s="786" t="e">
        <f>VLOOKUP(B94,#REF!,7,FALSE)</f>
        <v>#REF!</v>
      </c>
      <c r="F94" s="516" t="e">
        <f t="shared" si="3"/>
        <v>#REF!</v>
      </c>
      <c r="L94" s="5" t="e">
        <f t="shared" si="4"/>
        <v>#REF!</v>
      </c>
    </row>
    <row r="95" spans="1:12" s="5" customFormat="1">
      <c r="A95" s="802"/>
      <c r="B95" s="799"/>
      <c r="C95" s="784"/>
      <c r="D95" s="785"/>
      <c r="E95" s="786"/>
      <c r="F95" s="516"/>
    </row>
    <row r="96" spans="1:12" s="5" customFormat="1">
      <c r="A96" s="800">
        <v>5</v>
      </c>
      <c r="B96" s="801" t="s">
        <v>445</v>
      </c>
      <c r="C96" s="784">
        <v>12</v>
      </c>
      <c r="D96" s="785" t="s">
        <v>10</v>
      </c>
      <c r="E96" s="786" t="e">
        <f>VLOOKUP(B96,#REF!,7,FALSE)</f>
        <v>#REF!</v>
      </c>
      <c r="F96" s="516" t="e">
        <f t="shared" si="3"/>
        <v>#REF!</v>
      </c>
      <c r="L96" s="5" t="e">
        <f>E96*C96</f>
        <v>#REF!</v>
      </c>
    </row>
    <row r="97" spans="1:6" s="501" customFormat="1">
      <c r="A97" s="838"/>
      <c r="B97" s="839" t="s">
        <v>58</v>
      </c>
      <c r="C97" s="840"/>
      <c r="D97" s="841"/>
      <c r="E97" s="842"/>
      <c r="F97" s="843" t="e">
        <f>SUM(F66:F96)</f>
        <v>#REF!</v>
      </c>
    </row>
    <row r="98" spans="1:6" s="5" customFormat="1" ht="11.25" customHeight="1">
      <c r="A98" s="477"/>
      <c r="B98" s="500"/>
      <c r="C98" s="472"/>
      <c r="D98" s="473"/>
      <c r="E98" s="479"/>
      <c r="F98" s="502"/>
    </row>
    <row r="99" spans="1:6" s="5" customFormat="1" ht="25.5">
      <c r="A99" s="836" t="s">
        <v>59</v>
      </c>
      <c r="B99" s="774" t="s">
        <v>446</v>
      </c>
      <c r="C99" s="784"/>
      <c r="D99" s="785"/>
      <c r="E99" s="786"/>
      <c r="F99" s="736"/>
    </row>
    <row r="100" spans="1:6" s="5" customFormat="1">
      <c r="A100" s="836"/>
      <c r="B100" s="788"/>
      <c r="C100" s="784"/>
      <c r="D100" s="785"/>
      <c r="E100" s="786"/>
      <c r="F100" s="736"/>
    </row>
    <row r="101" spans="1:6" s="5" customFormat="1" ht="25.5">
      <c r="A101" s="504" t="s">
        <v>447</v>
      </c>
      <c r="B101" s="774" t="s">
        <v>448</v>
      </c>
      <c r="C101" s="506"/>
      <c r="D101" s="507"/>
      <c r="E101" s="508"/>
      <c r="F101" s="508"/>
    </row>
    <row r="102" spans="1:6">
      <c r="A102" s="509"/>
      <c r="B102" s="510"/>
      <c r="C102" s="511"/>
      <c r="D102" s="512"/>
      <c r="E102" s="486"/>
      <c r="F102" s="486"/>
    </row>
    <row r="103" spans="1:6">
      <c r="A103" s="513">
        <v>1</v>
      </c>
      <c r="B103" s="514" t="s">
        <v>420</v>
      </c>
      <c r="C103" s="506"/>
      <c r="D103" s="507"/>
      <c r="E103" s="515"/>
      <c r="F103" s="516"/>
    </row>
    <row r="104" spans="1:6">
      <c r="A104" s="517">
        <f>A103+0.1</f>
        <v>1.1000000000000001</v>
      </c>
      <c r="B104" s="518" t="s">
        <v>307</v>
      </c>
      <c r="C104" s="506">
        <v>1</v>
      </c>
      <c r="D104" s="507" t="s">
        <v>10</v>
      </c>
      <c r="E104" s="515" t="e">
        <f>VLOOKUP(B104,#REF!,7,FALSE)</f>
        <v>#REF!</v>
      </c>
      <c r="F104" s="516" t="e">
        <f>+ROUND(E104*C104,2)</f>
        <v>#REF!</v>
      </c>
    </row>
    <row r="105" spans="1:6">
      <c r="A105" s="519"/>
      <c r="B105" s="514"/>
      <c r="C105" s="520"/>
      <c r="D105" s="521"/>
      <c r="E105" s="522"/>
      <c r="F105" s="523"/>
    </row>
    <row r="106" spans="1:6">
      <c r="A106" s="524">
        <f>A103+1</f>
        <v>2</v>
      </c>
      <c r="B106" s="514" t="s">
        <v>451</v>
      </c>
      <c r="C106" s="506"/>
      <c r="D106" s="521"/>
      <c r="E106" s="522"/>
      <c r="F106" s="516"/>
    </row>
    <row r="107" spans="1:6">
      <c r="A107" s="525">
        <f>A106+0.1</f>
        <v>2.1</v>
      </c>
      <c r="B107" s="518" t="s">
        <v>452</v>
      </c>
      <c r="C107" s="506">
        <v>153.01</v>
      </c>
      <c r="D107" s="521" t="s">
        <v>298</v>
      </c>
      <c r="E107" s="529" t="e">
        <f>VLOOKUP(B107,#REF!,7,FALSE)</f>
        <v>#REF!</v>
      </c>
      <c r="F107" s="516" t="e">
        <f>+ROUND(E107*C107,2)</f>
        <v>#REF!</v>
      </c>
    </row>
    <row r="108" spans="1:6">
      <c r="A108" s="525">
        <f>A107+0.1</f>
        <v>2.2000000000000002</v>
      </c>
      <c r="B108" s="518" t="s">
        <v>453</v>
      </c>
      <c r="C108" s="506">
        <v>26.86</v>
      </c>
      <c r="D108" s="521" t="s">
        <v>298</v>
      </c>
      <c r="E108" s="529" t="e">
        <f>VLOOKUP(B108,#REF!,7,FALSE)</f>
        <v>#REF!</v>
      </c>
      <c r="F108" s="516" t="e">
        <f>+ROUND(E108*C108,2)</f>
        <v>#REF!</v>
      </c>
    </row>
    <row r="109" spans="1:6">
      <c r="A109" s="525">
        <f t="shared" ref="A109:A115" si="5">A108+0.1</f>
        <v>2.2999999999999998</v>
      </c>
      <c r="B109" s="518" t="s">
        <v>454</v>
      </c>
      <c r="C109" s="506">
        <v>2</v>
      </c>
      <c r="D109" s="521" t="s">
        <v>10</v>
      </c>
      <c r="E109" s="530" t="e">
        <f>VLOOKUP(B109,#REF!,7,FALSE)</f>
        <v>#REF!</v>
      </c>
      <c r="F109" s="516" t="e">
        <f>+ROUND(E109*C109,2)</f>
        <v>#REF!</v>
      </c>
    </row>
    <row r="110" spans="1:6">
      <c r="A110" s="525">
        <f t="shared" si="5"/>
        <v>2.4</v>
      </c>
      <c r="B110" s="518" t="s">
        <v>455</v>
      </c>
      <c r="C110" s="506">
        <v>7</v>
      </c>
      <c r="D110" s="521" t="s">
        <v>10</v>
      </c>
      <c r="E110" s="530" t="e">
        <f>VLOOKUP(B110,#REF!,7,FALSE)</f>
        <v>#REF!</v>
      </c>
      <c r="F110" s="516" t="e">
        <f t="shared" ref="F110:F115" si="6">+ROUND(E110*C110,2)</f>
        <v>#REF!</v>
      </c>
    </row>
    <row r="111" spans="1:6">
      <c r="A111" s="867">
        <f t="shared" si="5"/>
        <v>2.5</v>
      </c>
      <c r="B111" s="881" t="s">
        <v>456</v>
      </c>
      <c r="C111" s="882">
        <v>4</v>
      </c>
      <c r="D111" s="883" t="s">
        <v>10</v>
      </c>
      <c r="E111" s="884" t="e">
        <f>VLOOKUP(B111,#REF!,7,FALSE)</f>
        <v>#REF!</v>
      </c>
      <c r="F111" s="885" t="e">
        <f t="shared" si="6"/>
        <v>#REF!</v>
      </c>
    </row>
    <row r="112" spans="1:6">
      <c r="A112" s="525">
        <f t="shared" si="5"/>
        <v>2.6</v>
      </c>
      <c r="B112" s="518" t="s">
        <v>457</v>
      </c>
      <c r="C112" s="506">
        <v>4</v>
      </c>
      <c r="D112" s="521" t="s">
        <v>10</v>
      </c>
      <c r="E112" s="530" t="e">
        <f>VLOOKUP(B112,#REF!,7,FALSE)</f>
        <v>#REF!</v>
      </c>
      <c r="F112" s="516" t="e">
        <f t="shared" si="6"/>
        <v>#REF!</v>
      </c>
    </row>
    <row r="113" spans="1:8">
      <c r="A113" s="525">
        <f t="shared" si="5"/>
        <v>2.7</v>
      </c>
      <c r="B113" s="518" t="s">
        <v>458</v>
      </c>
      <c r="C113" s="506">
        <v>5</v>
      </c>
      <c r="D113" s="521" t="s">
        <v>10</v>
      </c>
      <c r="E113" s="530" t="e">
        <f>VLOOKUP(B113,#REF!,7,FALSE)</f>
        <v>#REF!</v>
      </c>
      <c r="F113" s="516" t="e">
        <f t="shared" si="6"/>
        <v>#REF!</v>
      </c>
    </row>
    <row r="114" spans="1:8">
      <c r="A114" s="525">
        <f t="shared" si="5"/>
        <v>2.8</v>
      </c>
      <c r="B114" s="518" t="s">
        <v>459</v>
      </c>
      <c r="C114" s="506">
        <v>2</v>
      </c>
      <c r="D114" s="521" t="s">
        <v>10</v>
      </c>
      <c r="E114" s="530" t="e">
        <f>VLOOKUP(B114,#REF!,7,FALSE)</f>
        <v>#REF!</v>
      </c>
      <c r="F114" s="516" t="e">
        <f t="shared" si="6"/>
        <v>#REF!</v>
      </c>
    </row>
    <row r="115" spans="1:8">
      <c r="A115" s="525">
        <f t="shared" si="5"/>
        <v>2.9</v>
      </c>
      <c r="B115" s="518" t="s">
        <v>460</v>
      </c>
      <c r="C115" s="506">
        <v>2</v>
      </c>
      <c r="D115" s="521" t="s">
        <v>10</v>
      </c>
      <c r="E115" s="530" t="e">
        <f>VLOOKUP(B115,#REF!,7,FALSE)</f>
        <v>#REF!</v>
      </c>
      <c r="F115" s="516" t="e">
        <f t="shared" si="6"/>
        <v>#REF!</v>
      </c>
    </row>
    <row r="116" spans="1:8">
      <c r="A116" s="528"/>
      <c r="B116" s="518"/>
      <c r="C116" s="506"/>
      <c r="D116" s="521"/>
      <c r="E116" s="522"/>
      <c r="F116" s="516"/>
    </row>
    <row r="117" spans="1:8">
      <c r="A117" s="524">
        <f>A106+1</f>
        <v>3</v>
      </c>
      <c r="B117" s="514" t="s">
        <v>461</v>
      </c>
      <c r="C117" s="533"/>
      <c r="D117" s="534"/>
      <c r="E117" s="529"/>
      <c r="F117" s="516"/>
    </row>
    <row r="118" spans="1:8">
      <c r="A118" s="536">
        <f>A117+0.1</f>
        <v>3.1</v>
      </c>
      <c r="B118" s="518" t="s">
        <v>462</v>
      </c>
      <c r="C118" s="537">
        <f>15748.09/2</f>
        <v>7874.05</v>
      </c>
      <c r="D118" s="538" t="s">
        <v>300</v>
      </c>
      <c r="E118" s="508" t="e">
        <f>VLOOKUP(B118,#REF!,7,FALSE)</f>
        <v>#REF!</v>
      </c>
      <c r="F118" s="516" t="e">
        <f>+ROUND(E118*C118,2)</f>
        <v>#REF!</v>
      </c>
      <c r="H118" s="781"/>
    </row>
    <row r="119" spans="1:8">
      <c r="A119" s="528"/>
      <c r="B119" s="518"/>
      <c r="C119" s="506"/>
      <c r="D119" s="521"/>
      <c r="E119" s="522"/>
      <c r="F119" s="516"/>
    </row>
    <row r="120" spans="1:8" ht="25.5">
      <c r="A120" s="524">
        <f>A117+1</f>
        <v>4</v>
      </c>
      <c r="B120" s="514" t="s">
        <v>463</v>
      </c>
      <c r="C120" s="506"/>
      <c r="D120" s="521"/>
      <c r="E120" s="522"/>
      <c r="F120" s="516"/>
    </row>
    <row r="121" spans="1:8">
      <c r="A121" s="525">
        <f>A120+0.1</f>
        <v>4.0999999999999996</v>
      </c>
      <c r="B121" s="518" t="s">
        <v>464</v>
      </c>
      <c r="C121" s="506">
        <f>186995.41/2</f>
        <v>93497.71</v>
      </c>
      <c r="D121" s="521" t="s">
        <v>300</v>
      </c>
      <c r="E121" s="522" t="e">
        <f>VLOOKUP(B121,#REF!,7,FALSE)</f>
        <v>#REF!</v>
      </c>
      <c r="F121" s="516" t="e">
        <f t="shared" ref="F121:F156" si="7">+ROUND(E121*C121,2)</f>
        <v>#REF!</v>
      </c>
    </row>
    <row r="122" spans="1:8">
      <c r="A122" s="525">
        <f t="shared" ref="A122:A129" si="8">A121+0.1</f>
        <v>4.2</v>
      </c>
      <c r="B122" s="518" t="s">
        <v>465</v>
      </c>
      <c r="C122" s="506">
        <f>3898.23/2</f>
        <v>1949.12</v>
      </c>
      <c r="D122" s="521" t="s">
        <v>300</v>
      </c>
      <c r="E122" s="522" t="e">
        <f>VLOOKUP(B122,#REF!,7,FALSE)</f>
        <v>#REF!</v>
      </c>
      <c r="F122" s="516" t="e">
        <f t="shared" si="7"/>
        <v>#REF!</v>
      </c>
    </row>
    <row r="123" spans="1:8">
      <c r="A123" s="525">
        <f t="shared" si="8"/>
        <v>4.3</v>
      </c>
      <c r="B123" s="518" t="s">
        <v>466</v>
      </c>
      <c r="C123" s="506">
        <f>30/2</f>
        <v>15</v>
      </c>
      <c r="D123" s="521" t="s">
        <v>10</v>
      </c>
      <c r="E123" s="522" t="e">
        <f>VLOOKUP(B123,#REF!,7,FALSE)</f>
        <v>#REF!</v>
      </c>
      <c r="F123" s="516" t="e">
        <f t="shared" si="7"/>
        <v>#REF!</v>
      </c>
    </row>
    <row r="124" spans="1:8">
      <c r="A124" s="525">
        <f t="shared" si="8"/>
        <v>4.4000000000000004</v>
      </c>
      <c r="B124" s="518" t="s">
        <v>467</v>
      </c>
      <c r="C124" s="506">
        <v>50</v>
      </c>
      <c r="D124" s="521" t="s">
        <v>10</v>
      </c>
      <c r="E124" s="522" t="e">
        <f>VLOOKUP(B124,#REF!,7,FALSE)</f>
        <v>#REF!</v>
      </c>
      <c r="F124" s="516" t="e">
        <f t="shared" si="7"/>
        <v>#REF!</v>
      </c>
    </row>
    <row r="125" spans="1:8">
      <c r="A125" s="525">
        <f t="shared" si="8"/>
        <v>4.5</v>
      </c>
      <c r="B125" s="518" t="s">
        <v>468</v>
      </c>
      <c r="C125" s="506">
        <v>15</v>
      </c>
      <c r="D125" s="521" t="s">
        <v>10</v>
      </c>
      <c r="E125" s="522" t="e">
        <f>VLOOKUP(B125,#REF!,7,FALSE)</f>
        <v>#REF!</v>
      </c>
      <c r="F125" s="516" t="e">
        <f t="shared" si="7"/>
        <v>#REF!</v>
      </c>
    </row>
    <row r="126" spans="1:8">
      <c r="A126" s="525">
        <f t="shared" si="8"/>
        <v>4.5999999999999996</v>
      </c>
      <c r="B126" s="518" t="s">
        <v>469</v>
      </c>
      <c r="C126" s="506">
        <v>50</v>
      </c>
      <c r="D126" s="521" t="s">
        <v>10</v>
      </c>
      <c r="E126" s="522" t="e">
        <f>VLOOKUP(B126,#REF!,7,FALSE)</f>
        <v>#REF!</v>
      </c>
      <c r="F126" s="516" t="e">
        <f t="shared" si="7"/>
        <v>#REF!</v>
      </c>
    </row>
    <row r="127" spans="1:8">
      <c r="A127" s="525">
        <f t="shared" si="8"/>
        <v>4.7</v>
      </c>
      <c r="B127" s="518" t="s">
        <v>470</v>
      </c>
      <c r="C127" s="506">
        <v>10</v>
      </c>
      <c r="D127" s="521" t="s">
        <v>10</v>
      </c>
      <c r="E127" s="522" t="e">
        <f>VLOOKUP(B127,#REF!,7,FALSE)</f>
        <v>#REF!</v>
      </c>
      <c r="F127" s="516" t="e">
        <f t="shared" si="7"/>
        <v>#REF!</v>
      </c>
    </row>
    <row r="128" spans="1:8">
      <c r="A128" s="525">
        <f t="shared" si="8"/>
        <v>4.8</v>
      </c>
      <c r="B128" s="518" t="s">
        <v>471</v>
      </c>
      <c r="C128" s="506">
        <v>10</v>
      </c>
      <c r="D128" s="521" t="s">
        <v>10</v>
      </c>
      <c r="E128" s="522" t="e">
        <f>VLOOKUP(B128,#REF!,7,FALSE)</f>
        <v>#REF!</v>
      </c>
      <c r="F128" s="516" t="e">
        <f t="shared" si="7"/>
        <v>#REF!</v>
      </c>
    </row>
    <row r="129" spans="1:6">
      <c r="A129" s="525">
        <f t="shared" si="8"/>
        <v>4.9000000000000004</v>
      </c>
      <c r="B129" s="518" t="s">
        <v>472</v>
      </c>
      <c r="C129" s="506">
        <v>20</v>
      </c>
      <c r="D129" s="521" t="s">
        <v>10</v>
      </c>
      <c r="E129" s="522" t="e">
        <f>VLOOKUP(B129,#REF!,7,FALSE)</f>
        <v>#REF!</v>
      </c>
      <c r="F129" s="516" t="e">
        <f t="shared" si="7"/>
        <v>#REF!</v>
      </c>
    </row>
    <row r="130" spans="1:6">
      <c r="A130" s="531">
        <v>6.1</v>
      </c>
      <c r="B130" s="518" t="s">
        <v>473</v>
      </c>
      <c r="C130" s="506">
        <v>10</v>
      </c>
      <c r="D130" s="521" t="s">
        <v>10</v>
      </c>
      <c r="E130" s="522" t="e">
        <f>VLOOKUP(B130,#REF!,7,FALSE)</f>
        <v>#REF!</v>
      </c>
      <c r="F130" s="516" t="e">
        <f t="shared" si="7"/>
        <v>#REF!</v>
      </c>
    </row>
    <row r="131" spans="1:6">
      <c r="A131" s="539">
        <f>A130+0.01</f>
        <v>6.11</v>
      </c>
      <c r="B131" s="518" t="s">
        <v>474</v>
      </c>
      <c r="C131" s="506">
        <v>50</v>
      </c>
      <c r="D131" s="521" t="s">
        <v>10</v>
      </c>
      <c r="E131" s="522" t="e">
        <f>VLOOKUP(B131,#REF!,7,FALSE)</f>
        <v>#REF!</v>
      </c>
      <c r="F131" s="516" t="e">
        <f t="shared" si="7"/>
        <v>#REF!</v>
      </c>
    </row>
    <row r="132" spans="1:6">
      <c r="A132" s="539">
        <f t="shared" ref="A132:A156" si="9">A131+0.01</f>
        <v>6.12</v>
      </c>
      <c r="B132" s="518" t="s">
        <v>475</v>
      </c>
      <c r="C132" s="506">
        <v>25</v>
      </c>
      <c r="D132" s="521" t="s">
        <v>10</v>
      </c>
      <c r="E132" s="522" t="e">
        <f>VLOOKUP(B132,#REF!,7,FALSE)</f>
        <v>#REF!</v>
      </c>
      <c r="F132" s="516" t="e">
        <f t="shared" si="7"/>
        <v>#REF!</v>
      </c>
    </row>
    <row r="133" spans="1:6">
      <c r="A133" s="539">
        <f t="shared" si="9"/>
        <v>6.13</v>
      </c>
      <c r="B133" s="518" t="s">
        <v>476</v>
      </c>
      <c r="C133" s="506">
        <v>30</v>
      </c>
      <c r="D133" s="521" t="s">
        <v>10</v>
      </c>
      <c r="E133" s="522" t="e">
        <f>VLOOKUP(B133,#REF!,7,FALSE)</f>
        <v>#REF!</v>
      </c>
      <c r="F133" s="516" t="e">
        <f t="shared" si="7"/>
        <v>#REF!</v>
      </c>
    </row>
    <row r="134" spans="1:6">
      <c r="A134" s="539">
        <f t="shared" si="9"/>
        <v>6.14</v>
      </c>
      <c r="B134" s="518" t="s">
        <v>477</v>
      </c>
      <c r="C134" s="506">
        <v>50</v>
      </c>
      <c r="D134" s="521" t="s">
        <v>10</v>
      </c>
      <c r="E134" s="522" t="e">
        <f>VLOOKUP(B134,#REF!,7,FALSE)</f>
        <v>#REF!</v>
      </c>
      <c r="F134" s="516" t="e">
        <f t="shared" si="7"/>
        <v>#REF!</v>
      </c>
    </row>
    <row r="135" spans="1:6">
      <c r="A135" s="539">
        <f t="shared" si="9"/>
        <v>6.15</v>
      </c>
      <c r="B135" s="518" t="s">
        <v>478</v>
      </c>
      <c r="C135" s="506">
        <v>5</v>
      </c>
      <c r="D135" s="521" t="s">
        <v>10</v>
      </c>
      <c r="E135" s="522" t="e">
        <f>VLOOKUP(B135,#REF!,7,FALSE)</f>
        <v>#REF!</v>
      </c>
      <c r="F135" s="516" t="e">
        <f t="shared" si="7"/>
        <v>#REF!</v>
      </c>
    </row>
    <row r="136" spans="1:6">
      <c r="A136" s="539">
        <f t="shared" si="9"/>
        <v>6.16</v>
      </c>
      <c r="B136" s="518" t="s">
        <v>479</v>
      </c>
      <c r="C136" s="506">
        <v>25</v>
      </c>
      <c r="D136" s="521" t="s">
        <v>10</v>
      </c>
      <c r="E136" s="522" t="e">
        <f>VLOOKUP(B136,#REF!,7,FALSE)</f>
        <v>#REF!</v>
      </c>
      <c r="F136" s="516" t="e">
        <f t="shared" si="7"/>
        <v>#REF!</v>
      </c>
    </row>
    <row r="137" spans="1:6">
      <c r="A137" s="539">
        <f t="shared" si="9"/>
        <v>6.17</v>
      </c>
      <c r="B137" s="518" t="s">
        <v>480</v>
      </c>
      <c r="C137" s="506">
        <v>25</v>
      </c>
      <c r="D137" s="521" t="s">
        <v>10</v>
      </c>
      <c r="E137" s="522" t="e">
        <f>VLOOKUP(B137,#REF!,7,FALSE)</f>
        <v>#REF!</v>
      </c>
      <c r="F137" s="516" t="e">
        <f t="shared" si="7"/>
        <v>#REF!</v>
      </c>
    </row>
    <row r="138" spans="1:6">
      <c r="A138" s="539">
        <f t="shared" si="9"/>
        <v>6.18</v>
      </c>
      <c r="B138" s="518" t="s">
        <v>481</v>
      </c>
      <c r="C138" s="506">
        <v>25</v>
      </c>
      <c r="D138" s="521" t="s">
        <v>10</v>
      </c>
      <c r="E138" s="522" t="e">
        <f>VLOOKUP(B138,#REF!,7,FALSE)</f>
        <v>#REF!</v>
      </c>
      <c r="F138" s="516" t="e">
        <f t="shared" si="7"/>
        <v>#REF!</v>
      </c>
    </row>
    <row r="139" spans="1:6">
      <c r="A139" s="539">
        <f t="shared" si="9"/>
        <v>6.19</v>
      </c>
      <c r="B139" s="518" t="s">
        <v>482</v>
      </c>
      <c r="C139" s="506">
        <v>25</v>
      </c>
      <c r="D139" s="521" t="s">
        <v>10</v>
      </c>
      <c r="E139" s="522" t="e">
        <f>VLOOKUP(B139,#REF!,7,FALSE)</f>
        <v>#REF!</v>
      </c>
      <c r="F139" s="516" t="e">
        <f t="shared" si="7"/>
        <v>#REF!</v>
      </c>
    </row>
    <row r="140" spans="1:6">
      <c r="A140" s="531">
        <f t="shared" si="9"/>
        <v>6.2</v>
      </c>
      <c r="B140" s="518" t="s">
        <v>483</v>
      </c>
      <c r="C140" s="506">
        <v>10</v>
      </c>
      <c r="D140" s="521" t="s">
        <v>10</v>
      </c>
      <c r="E140" s="522" t="e">
        <f>VLOOKUP(B140,#REF!,7,FALSE)</f>
        <v>#REF!</v>
      </c>
      <c r="F140" s="516" t="e">
        <f t="shared" si="7"/>
        <v>#REF!</v>
      </c>
    </row>
    <row r="141" spans="1:6">
      <c r="A141" s="539">
        <f t="shared" si="9"/>
        <v>6.21</v>
      </c>
      <c r="B141" s="518" t="s">
        <v>484</v>
      </c>
      <c r="C141" s="506">
        <v>25</v>
      </c>
      <c r="D141" s="521" t="s">
        <v>10</v>
      </c>
      <c r="E141" s="522" t="e">
        <f>VLOOKUP(B141,#REF!,7,FALSE)</f>
        <v>#REF!</v>
      </c>
      <c r="F141" s="516" t="e">
        <f t="shared" si="7"/>
        <v>#REF!</v>
      </c>
    </row>
    <row r="142" spans="1:6">
      <c r="A142" s="539">
        <f t="shared" si="9"/>
        <v>6.22</v>
      </c>
      <c r="B142" s="518" t="s">
        <v>485</v>
      </c>
      <c r="C142" s="506">
        <v>50</v>
      </c>
      <c r="D142" s="521" t="s">
        <v>10</v>
      </c>
      <c r="E142" s="522" t="e">
        <f>VLOOKUP(B142,#REF!,7,FALSE)</f>
        <v>#REF!</v>
      </c>
      <c r="F142" s="516" t="e">
        <f t="shared" si="7"/>
        <v>#REF!</v>
      </c>
    </row>
    <row r="143" spans="1:6">
      <c r="A143" s="539">
        <f t="shared" si="9"/>
        <v>6.23</v>
      </c>
      <c r="B143" s="518" t="s">
        <v>486</v>
      </c>
      <c r="C143" s="506">
        <v>50</v>
      </c>
      <c r="D143" s="521" t="s">
        <v>10</v>
      </c>
      <c r="E143" s="522" t="e">
        <f>VLOOKUP(B143,#REF!,7,FALSE)</f>
        <v>#REF!</v>
      </c>
      <c r="F143" s="516" t="e">
        <f t="shared" si="7"/>
        <v>#REF!</v>
      </c>
    </row>
    <row r="144" spans="1:6">
      <c r="A144" s="539">
        <f t="shared" si="9"/>
        <v>6.24</v>
      </c>
      <c r="B144" s="518" t="s">
        <v>487</v>
      </c>
      <c r="C144" s="506">
        <v>50</v>
      </c>
      <c r="D144" s="521" t="s">
        <v>10</v>
      </c>
      <c r="E144" s="522" t="e">
        <f>VLOOKUP(B144,#REF!,7,FALSE)</f>
        <v>#REF!</v>
      </c>
      <c r="F144" s="516" t="e">
        <f t="shared" si="7"/>
        <v>#REF!</v>
      </c>
    </row>
    <row r="145" spans="1:8">
      <c r="A145" s="539">
        <f t="shared" si="9"/>
        <v>6.25</v>
      </c>
      <c r="B145" s="518" t="s">
        <v>488</v>
      </c>
      <c r="C145" s="506">
        <v>150</v>
      </c>
      <c r="D145" s="521" t="s">
        <v>10</v>
      </c>
      <c r="E145" s="522" t="e">
        <f>VLOOKUP(B145,#REF!,7,FALSE)</f>
        <v>#REF!</v>
      </c>
      <c r="F145" s="516" t="e">
        <f t="shared" si="7"/>
        <v>#REF!</v>
      </c>
    </row>
    <row r="146" spans="1:8">
      <c r="A146" s="539">
        <f t="shared" si="9"/>
        <v>6.26</v>
      </c>
      <c r="B146" s="518" t="s">
        <v>489</v>
      </c>
      <c r="C146" s="506">
        <v>150</v>
      </c>
      <c r="D146" s="521" t="s">
        <v>10</v>
      </c>
      <c r="E146" s="522" t="e">
        <f>VLOOKUP(B146,#REF!,7,FALSE)</f>
        <v>#REF!</v>
      </c>
      <c r="F146" s="516" t="e">
        <f t="shared" si="7"/>
        <v>#REF!</v>
      </c>
    </row>
    <row r="147" spans="1:8">
      <c r="A147" s="539">
        <f t="shared" si="9"/>
        <v>6.27</v>
      </c>
      <c r="B147" s="518" t="s">
        <v>490</v>
      </c>
      <c r="C147" s="506">
        <v>250</v>
      </c>
      <c r="D147" s="521" t="s">
        <v>10</v>
      </c>
      <c r="E147" s="522" t="e">
        <f>VLOOKUP(B147,#REF!,7,FALSE)</f>
        <v>#REF!</v>
      </c>
      <c r="F147" s="516" t="e">
        <f t="shared" si="7"/>
        <v>#REF!</v>
      </c>
    </row>
    <row r="148" spans="1:8">
      <c r="A148" s="539">
        <f t="shared" si="9"/>
        <v>6.28</v>
      </c>
      <c r="B148" s="518" t="s">
        <v>491</v>
      </c>
      <c r="C148" s="506">
        <v>150</v>
      </c>
      <c r="D148" s="521" t="s">
        <v>10</v>
      </c>
      <c r="E148" s="522" t="e">
        <f>VLOOKUP(B148,#REF!,7,FALSE)</f>
        <v>#REF!</v>
      </c>
      <c r="F148" s="516" t="e">
        <f t="shared" si="7"/>
        <v>#REF!</v>
      </c>
    </row>
    <row r="149" spans="1:8">
      <c r="A149" s="539">
        <f t="shared" si="9"/>
        <v>6.29</v>
      </c>
      <c r="B149" s="518" t="s">
        <v>492</v>
      </c>
      <c r="C149" s="506">
        <v>250</v>
      </c>
      <c r="D149" s="521" t="s">
        <v>10</v>
      </c>
      <c r="E149" s="522" t="e">
        <f>VLOOKUP(B149,#REF!,7,FALSE)</f>
        <v>#REF!</v>
      </c>
      <c r="F149" s="516" t="e">
        <f t="shared" si="7"/>
        <v>#REF!</v>
      </c>
    </row>
    <row r="150" spans="1:8">
      <c r="A150" s="531">
        <f t="shared" si="9"/>
        <v>6.3</v>
      </c>
      <c r="B150" s="518" t="s">
        <v>493</v>
      </c>
      <c r="C150" s="506">
        <v>1500</v>
      </c>
      <c r="D150" s="521" t="s">
        <v>10</v>
      </c>
      <c r="E150" s="522" t="e">
        <f>VLOOKUP(B150,#REF!,7,FALSE)</f>
        <v>#REF!</v>
      </c>
      <c r="F150" s="516" t="e">
        <f t="shared" si="7"/>
        <v>#REF!</v>
      </c>
    </row>
    <row r="151" spans="1:8">
      <c r="A151" s="539">
        <f t="shared" si="9"/>
        <v>6.31</v>
      </c>
      <c r="B151" s="518" t="s">
        <v>494</v>
      </c>
      <c r="C151" s="506">
        <v>500</v>
      </c>
      <c r="D151" s="521" t="s">
        <v>10</v>
      </c>
      <c r="E151" s="522" t="e">
        <f>VLOOKUP(B151,#REF!,7,FALSE)</f>
        <v>#REF!</v>
      </c>
      <c r="F151" s="516" t="e">
        <f t="shared" si="7"/>
        <v>#REF!</v>
      </c>
    </row>
    <row r="152" spans="1:8">
      <c r="A152" s="539">
        <f t="shared" si="9"/>
        <v>6.32</v>
      </c>
      <c r="B152" s="518" t="s">
        <v>495</v>
      </c>
      <c r="C152" s="506">
        <v>500</v>
      </c>
      <c r="D152" s="521" t="s">
        <v>10</v>
      </c>
      <c r="E152" s="522" t="e">
        <f>VLOOKUP(B152,#REF!,7,FALSE)</f>
        <v>#REF!</v>
      </c>
      <c r="F152" s="516" t="e">
        <f t="shared" si="7"/>
        <v>#REF!</v>
      </c>
    </row>
    <row r="153" spans="1:8">
      <c r="A153" s="539">
        <f t="shared" si="9"/>
        <v>6.33</v>
      </c>
      <c r="B153" s="518" t="s">
        <v>496</v>
      </c>
      <c r="C153" s="506">
        <v>100</v>
      </c>
      <c r="D153" s="521" t="s">
        <v>10</v>
      </c>
      <c r="E153" s="522" t="e">
        <f>VLOOKUP(B153,#REF!,7,FALSE)</f>
        <v>#REF!</v>
      </c>
      <c r="F153" s="516" t="e">
        <f t="shared" si="7"/>
        <v>#REF!</v>
      </c>
    </row>
    <row r="154" spans="1:8">
      <c r="A154" s="539">
        <f t="shared" si="9"/>
        <v>6.34</v>
      </c>
      <c r="B154" s="518" t="s">
        <v>497</v>
      </c>
      <c r="C154" s="506">
        <v>750</v>
      </c>
      <c r="D154" s="521" t="s">
        <v>298</v>
      </c>
      <c r="E154" s="522" t="e">
        <f>VLOOKUP(B154,#REF!,7,FALSE)</f>
        <v>#REF!</v>
      </c>
      <c r="F154" s="516" t="e">
        <f t="shared" si="7"/>
        <v>#REF!</v>
      </c>
    </row>
    <row r="155" spans="1:8">
      <c r="A155" s="539">
        <f t="shared" si="9"/>
        <v>6.35</v>
      </c>
      <c r="B155" s="518" t="s">
        <v>498</v>
      </c>
      <c r="C155" s="506">
        <f>5194.32/2</f>
        <v>2597.16</v>
      </c>
      <c r="D155" s="521" t="s">
        <v>10</v>
      </c>
      <c r="E155" s="522" t="e">
        <f>VLOOKUP(B155,#REF!,7,FALSE)</f>
        <v>#REF!</v>
      </c>
      <c r="F155" s="516" t="e">
        <f t="shared" si="7"/>
        <v>#REF!</v>
      </c>
    </row>
    <row r="156" spans="1:8" ht="13.5" customHeight="1">
      <c r="A156" s="539">
        <f t="shared" si="9"/>
        <v>6.36</v>
      </c>
      <c r="B156" s="518" t="s">
        <v>499</v>
      </c>
      <c r="C156" s="506">
        <v>1</v>
      </c>
      <c r="D156" s="521" t="s">
        <v>500</v>
      </c>
      <c r="E156" s="522" t="e">
        <f>VLOOKUP(B156,#REF!,7,FALSE)</f>
        <v>#REF!</v>
      </c>
      <c r="F156" s="516" t="e">
        <f t="shared" si="7"/>
        <v>#REF!</v>
      </c>
    </row>
    <row r="157" spans="1:8">
      <c r="A157" s="539"/>
      <c r="B157" s="518"/>
      <c r="C157" s="506"/>
      <c r="D157" s="521"/>
      <c r="E157" s="522"/>
      <c r="F157" s="516"/>
    </row>
    <row r="158" spans="1:8" s="541" customFormat="1">
      <c r="A158" s="524">
        <f>A120+1</f>
        <v>5</v>
      </c>
      <c r="B158" s="518" t="s">
        <v>501</v>
      </c>
      <c r="C158" s="506">
        <v>23</v>
      </c>
      <c r="D158" s="521" t="s">
        <v>10</v>
      </c>
      <c r="E158" s="542" t="e">
        <f>VLOOKUP(B158,#REF!,7,FALSE)</f>
        <v>#REF!</v>
      </c>
      <c r="F158" s="540" t="e">
        <f>+ROUND(E158*C158,2)</f>
        <v>#REF!</v>
      </c>
    </row>
    <row r="159" spans="1:8" s="541" customFormat="1">
      <c r="A159" s="539"/>
      <c r="B159" s="518"/>
      <c r="C159" s="506"/>
      <c r="D159" s="521"/>
      <c r="E159" s="542"/>
      <c r="F159" s="540"/>
    </row>
    <row r="160" spans="1:8" s="541" customFormat="1">
      <c r="A160" s="524">
        <f>A158+1</f>
        <v>6</v>
      </c>
      <c r="B160" s="518" t="s">
        <v>502</v>
      </c>
      <c r="C160" s="506">
        <f>14/2</f>
        <v>7</v>
      </c>
      <c r="D160" s="521" t="s">
        <v>10</v>
      </c>
      <c r="E160" s="542" t="e">
        <f>VLOOKUP(B160,#REF!,7,FALSE)</f>
        <v>#REF!</v>
      </c>
      <c r="F160" s="540" t="e">
        <f>+ROUND(E160*C160,2)</f>
        <v>#REF!</v>
      </c>
      <c r="H160" s="782"/>
    </row>
    <row r="161" spans="1:9" s="541" customFormat="1">
      <c r="A161" s="539"/>
      <c r="B161" s="518"/>
      <c r="C161" s="506"/>
      <c r="D161" s="521"/>
      <c r="E161" s="542"/>
      <c r="F161" s="540"/>
    </row>
    <row r="162" spans="1:9" s="541" customFormat="1">
      <c r="A162" s="524">
        <f>A160+1</f>
        <v>7</v>
      </c>
      <c r="B162" s="518" t="s">
        <v>503</v>
      </c>
      <c r="C162" s="506">
        <v>1</v>
      </c>
      <c r="D162" s="521" t="s">
        <v>10</v>
      </c>
      <c r="E162" s="522" t="e">
        <f>VLOOKUP(B162,#REF!,7,FALSE)</f>
        <v>#REF!</v>
      </c>
      <c r="F162" s="516" t="e">
        <f>+ROUND(E162*C162,2)</f>
        <v>#REF!</v>
      </c>
    </row>
    <row r="163" spans="1:9" s="541" customFormat="1">
      <c r="A163" s="543"/>
      <c r="B163" s="544" t="s">
        <v>504</v>
      </c>
      <c r="C163" s="545"/>
      <c r="D163" s="546"/>
      <c r="E163" s="547"/>
      <c r="F163" s="548" t="e">
        <f>SUM(F104:F162)</f>
        <v>#REF!</v>
      </c>
    </row>
    <row r="164" spans="1:9" s="541" customFormat="1">
      <c r="A164" s="886"/>
      <c r="B164" s="887"/>
      <c r="C164" s="888"/>
      <c r="D164" s="889"/>
      <c r="E164" s="890"/>
      <c r="F164" s="891"/>
    </row>
    <row r="165" spans="1:9" s="541" customFormat="1">
      <c r="A165" s="504" t="s">
        <v>505</v>
      </c>
      <c r="B165" s="774" t="s">
        <v>904</v>
      </c>
      <c r="C165" s="506"/>
      <c r="D165" s="507"/>
      <c r="E165" s="508"/>
      <c r="F165" s="508"/>
    </row>
    <row r="166" spans="1:9">
      <c r="A166" s="509"/>
      <c r="B166" s="510"/>
      <c r="C166" s="511"/>
      <c r="D166" s="512"/>
      <c r="E166" s="486"/>
      <c r="F166" s="486"/>
    </row>
    <row r="167" spans="1:9">
      <c r="A167" s="549" t="s">
        <v>93</v>
      </c>
      <c r="B167" s="550" t="s">
        <v>506</v>
      </c>
      <c r="C167" s="551"/>
      <c r="D167" s="551"/>
      <c r="E167" s="486"/>
      <c r="F167" s="486"/>
    </row>
    <row r="168" spans="1:9">
      <c r="A168" s="549"/>
      <c r="B168" s="550"/>
      <c r="C168" s="551"/>
      <c r="D168" s="551"/>
      <c r="E168" s="486"/>
      <c r="F168" s="486"/>
    </row>
    <row r="169" spans="1:9">
      <c r="A169" s="498">
        <v>1</v>
      </c>
      <c r="B169" s="552" t="s">
        <v>420</v>
      </c>
      <c r="C169" s="553"/>
      <c r="D169" s="554"/>
      <c r="E169" s="486"/>
      <c r="F169" s="486"/>
    </row>
    <row r="170" spans="1:9">
      <c r="A170" s="555">
        <f>A169+0.1</f>
        <v>1.1000000000000001</v>
      </c>
      <c r="B170" s="556" t="s">
        <v>507</v>
      </c>
      <c r="C170" s="557">
        <v>1</v>
      </c>
      <c r="D170" s="558" t="s">
        <v>500</v>
      </c>
      <c r="E170" s="486" t="e">
        <f>VLOOKUP(B170,#REF!,7,FALSE)</f>
        <v>#REF!</v>
      </c>
      <c r="F170" s="479" t="e">
        <f>+ROUND(E170*C170,2)</f>
        <v>#REF!</v>
      </c>
    </row>
    <row r="171" spans="1:9">
      <c r="A171" s="559"/>
      <c r="B171" s="556"/>
      <c r="C171" s="557"/>
      <c r="D171" s="560"/>
      <c r="E171" s="486"/>
      <c r="F171" s="486"/>
    </row>
    <row r="172" spans="1:9">
      <c r="A172" s="498">
        <f>A169+1</f>
        <v>2</v>
      </c>
      <c r="B172" s="552" t="s">
        <v>296</v>
      </c>
      <c r="C172" s="557"/>
      <c r="D172" s="560"/>
      <c r="E172" s="486"/>
      <c r="F172" s="486"/>
    </row>
    <row r="173" spans="1:9">
      <c r="A173" s="555">
        <f>A172+0.1</f>
        <v>2.1</v>
      </c>
      <c r="B173" s="484" t="s">
        <v>449</v>
      </c>
      <c r="C173" s="557">
        <v>64.06</v>
      </c>
      <c r="D173" s="560" t="s">
        <v>364</v>
      </c>
      <c r="E173" s="486" t="e">
        <f>VLOOKUP(B173,#REF!,7,FALSE)</f>
        <v>#REF!</v>
      </c>
      <c r="F173" s="479" t="e">
        <f>+ROUND(E173*C173,2)</f>
        <v>#REF!</v>
      </c>
      <c r="H173" s="781"/>
      <c r="I173" s="781"/>
    </row>
    <row r="174" spans="1:9">
      <c r="A174" s="555">
        <f>A173+0.1</f>
        <v>2.2000000000000002</v>
      </c>
      <c r="B174" s="556" t="s">
        <v>508</v>
      </c>
      <c r="C174" s="557">
        <v>22.74</v>
      </c>
      <c r="D174" s="560" t="s">
        <v>298</v>
      </c>
      <c r="E174" s="486" t="e">
        <f>VLOOKUP(B174,#REF!,7,FALSE)</f>
        <v>#REF!</v>
      </c>
      <c r="F174" s="479" t="e">
        <f>+ROUND(E174*C174,2)</f>
        <v>#REF!</v>
      </c>
      <c r="H174" s="781"/>
      <c r="I174" s="781"/>
    </row>
    <row r="175" spans="1:9">
      <c r="A175" s="555">
        <f>A174+0.1</f>
        <v>2.2999999999999998</v>
      </c>
      <c r="B175" s="556" t="s">
        <v>450</v>
      </c>
      <c r="C175" s="557">
        <v>120.16</v>
      </c>
      <c r="D175" s="560" t="s">
        <v>426</v>
      </c>
      <c r="E175" s="486" t="e">
        <f>VLOOKUP(B175,#REF!,7,FALSE)</f>
        <v>#REF!</v>
      </c>
      <c r="F175" s="479" t="e">
        <f>+ROUND(E175*C175,2)</f>
        <v>#REF!</v>
      </c>
      <c r="H175" s="781"/>
      <c r="I175" s="781"/>
    </row>
    <row r="176" spans="1:9">
      <c r="A176" s="555">
        <f>A175+0.1</f>
        <v>2.4</v>
      </c>
      <c r="B176" s="561" t="s">
        <v>509</v>
      </c>
      <c r="C176" s="557">
        <v>53.44</v>
      </c>
      <c r="D176" s="560" t="s">
        <v>367</v>
      </c>
      <c r="E176" s="486" t="e">
        <f>VLOOKUP(B176,#REF!,7,FALSE)</f>
        <v>#REF!</v>
      </c>
      <c r="F176" s="479" t="e">
        <f>+ROUND(E176*C176,2)</f>
        <v>#REF!</v>
      </c>
      <c r="H176" s="781"/>
      <c r="I176" s="781"/>
    </row>
    <row r="177" spans="1:9">
      <c r="A177" s="559"/>
      <c r="B177" s="556"/>
      <c r="C177" s="557">
        <v>0</v>
      </c>
      <c r="D177" s="560"/>
      <c r="E177" s="486"/>
      <c r="F177" s="486"/>
      <c r="H177" s="781"/>
      <c r="I177" s="781"/>
    </row>
    <row r="178" spans="1:9">
      <c r="A178" s="498">
        <f>A172+1</f>
        <v>3</v>
      </c>
      <c r="B178" s="562" t="s">
        <v>510</v>
      </c>
      <c r="C178" s="557">
        <v>0</v>
      </c>
      <c r="D178" s="560"/>
      <c r="E178" s="486"/>
      <c r="F178" s="486"/>
      <c r="H178" s="781"/>
      <c r="I178" s="781"/>
    </row>
    <row r="179" spans="1:9">
      <c r="A179" s="555">
        <f>A178+0.1</f>
        <v>3.1</v>
      </c>
      <c r="B179" s="563" t="s">
        <v>511</v>
      </c>
      <c r="C179" s="557">
        <v>22.96</v>
      </c>
      <c r="D179" s="560" t="s">
        <v>298</v>
      </c>
      <c r="E179" s="486" t="e">
        <f>VLOOKUP(B179,#REF!,7,FALSE)</f>
        <v>#REF!</v>
      </c>
      <c r="F179" s="479" t="e">
        <f>+ROUND(E179*C179,2)</f>
        <v>#REF!</v>
      </c>
      <c r="H179" s="781"/>
      <c r="I179" s="781"/>
    </row>
    <row r="180" spans="1:9">
      <c r="A180" s="555">
        <f>A179+0.1</f>
        <v>3.2</v>
      </c>
      <c r="B180" s="563" t="s">
        <v>512</v>
      </c>
      <c r="C180" s="557">
        <v>4.08</v>
      </c>
      <c r="D180" s="560" t="s">
        <v>298</v>
      </c>
      <c r="E180" s="486" t="e">
        <f>VLOOKUP(B180,#REF!,7,FALSE)</f>
        <v>#REF!</v>
      </c>
      <c r="F180" s="479" t="e">
        <f>+ROUND(E180*C180,2)</f>
        <v>#REF!</v>
      </c>
      <c r="H180" s="781"/>
      <c r="I180" s="781"/>
    </row>
    <row r="181" spans="1:9">
      <c r="A181" s="555">
        <f>A180+0.1</f>
        <v>3.3</v>
      </c>
      <c r="B181" s="563" t="s">
        <v>513</v>
      </c>
      <c r="C181" s="557">
        <v>3.12</v>
      </c>
      <c r="D181" s="560" t="s">
        <v>298</v>
      </c>
      <c r="E181" s="486" t="e">
        <f>VLOOKUP(B181,#REF!,7,FALSE)</f>
        <v>#REF!</v>
      </c>
      <c r="F181" s="479" t="e">
        <f>+ROUND(E181*C181,2)</f>
        <v>#REF!</v>
      </c>
      <c r="H181" s="781"/>
      <c r="I181" s="781"/>
    </row>
    <row r="182" spans="1:9">
      <c r="A182" s="559"/>
      <c r="B182" s="556"/>
      <c r="C182" s="557">
        <v>0</v>
      </c>
      <c r="D182" s="560"/>
      <c r="E182" s="486"/>
      <c r="F182" s="486"/>
      <c r="H182" s="781"/>
      <c r="I182" s="781"/>
    </row>
    <row r="183" spans="1:9">
      <c r="A183" s="498">
        <f>A178+1</f>
        <v>4</v>
      </c>
      <c r="B183" s="552" t="s">
        <v>514</v>
      </c>
      <c r="C183" s="557">
        <v>0</v>
      </c>
      <c r="D183" s="560"/>
      <c r="E183" s="486"/>
      <c r="F183" s="486"/>
      <c r="H183" s="781"/>
      <c r="I183" s="781"/>
    </row>
    <row r="184" spans="1:9">
      <c r="A184" s="555">
        <f>A183+0.1</f>
        <v>4.0999999999999996</v>
      </c>
      <c r="B184" s="556" t="s">
        <v>515</v>
      </c>
      <c r="C184" s="557">
        <v>132.6</v>
      </c>
      <c r="D184" s="560" t="s">
        <v>300</v>
      </c>
      <c r="E184" s="486" t="e">
        <f>VLOOKUP(B184,#REF!,7,FALSE)</f>
        <v>#REF!</v>
      </c>
      <c r="F184" s="479" t="e">
        <f>+ROUND(E184*C184,2)</f>
        <v>#REF!</v>
      </c>
      <c r="H184" s="781"/>
      <c r="I184" s="781"/>
    </row>
    <row r="185" spans="1:9">
      <c r="A185" s="559"/>
      <c r="B185" s="556"/>
      <c r="C185" s="557">
        <v>0</v>
      </c>
      <c r="D185" s="560"/>
      <c r="E185" s="486"/>
      <c r="F185" s="486"/>
      <c r="H185" s="781"/>
      <c r="I185" s="781"/>
    </row>
    <row r="186" spans="1:9">
      <c r="A186" s="498">
        <f>A183+1</f>
        <v>5</v>
      </c>
      <c r="B186" s="552" t="s">
        <v>516</v>
      </c>
      <c r="C186" s="557">
        <v>0</v>
      </c>
      <c r="D186" s="560"/>
      <c r="E186" s="486"/>
      <c r="F186" s="486"/>
      <c r="H186" s="781"/>
      <c r="I186" s="781"/>
    </row>
    <row r="187" spans="1:9">
      <c r="A187" s="555">
        <f>A186+0.1</f>
        <v>5.0999999999999996</v>
      </c>
      <c r="B187" s="556" t="s">
        <v>517</v>
      </c>
      <c r="C187" s="557">
        <v>19.2</v>
      </c>
      <c r="D187" s="560" t="s">
        <v>300</v>
      </c>
      <c r="E187" s="486" t="e">
        <f>VLOOKUP(B187,#REF!,7,FALSE)</f>
        <v>#REF!</v>
      </c>
      <c r="F187" s="479" t="e">
        <f>+ROUND(E187*C187,2)</f>
        <v>#REF!</v>
      </c>
      <c r="H187" s="781"/>
      <c r="I187" s="781"/>
    </row>
    <row r="188" spans="1:9">
      <c r="A188" s="555">
        <f>A187+0.1</f>
        <v>5.2</v>
      </c>
      <c r="B188" s="556" t="s">
        <v>518</v>
      </c>
      <c r="C188" s="557">
        <v>32.68</v>
      </c>
      <c r="D188" s="560" t="s">
        <v>300</v>
      </c>
      <c r="E188" s="486" t="e">
        <f>VLOOKUP(B188,#REF!,7,FALSE)</f>
        <v>#REF!</v>
      </c>
      <c r="F188" s="479" t="e">
        <f>+ROUND(E188*C188,2)</f>
        <v>#REF!</v>
      </c>
      <c r="H188" s="781"/>
      <c r="I188" s="781"/>
    </row>
    <row r="189" spans="1:9">
      <c r="A189" s="555">
        <f>A188+0.1</f>
        <v>5.3</v>
      </c>
      <c r="B189" s="556" t="s">
        <v>519</v>
      </c>
      <c r="C189" s="557">
        <v>32.68</v>
      </c>
      <c r="D189" s="560" t="s">
        <v>300</v>
      </c>
      <c r="E189" s="486" t="e">
        <f>VLOOKUP(B189,#REF!,7,FALSE)</f>
        <v>#REF!</v>
      </c>
      <c r="F189" s="479" t="e">
        <f>+ROUND(E189*C189,2)</f>
        <v>#REF!</v>
      </c>
      <c r="H189" s="781"/>
      <c r="I189" s="781"/>
    </row>
    <row r="190" spans="1:9">
      <c r="A190" s="555">
        <f>A189+0.1</f>
        <v>5.4</v>
      </c>
      <c r="B190" s="556" t="s">
        <v>520</v>
      </c>
      <c r="C190" s="557">
        <v>94.88</v>
      </c>
      <c r="D190" s="560" t="s">
        <v>15</v>
      </c>
      <c r="E190" s="486" t="e">
        <f>VLOOKUP(B190,#REF!,7,FALSE)</f>
        <v>#REF!</v>
      </c>
      <c r="F190" s="479" t="e">
        <f>+ROUND(E190*C190,2)</f>
        <v>#REF!</v>
      </c>
      <c r="H190" s="781"/>
      <c r="I190" s="781"/>
    </row>
    <row r="191" spans="1:9">
      <c r="A191" s="559"/>
      <c r="B191" s="556"/>
      <c r="C191" s="557">
        <v>0</v>
      </c>
      <c r="D191" s="560"/>
      <c r="E191" s="486"/>
      <c r="F191" s="486"/>
      <c r="H191" s="781"/>
      <c r="I191" s="781"/>
    </row>
    <row r="192" spans="1:9">
      <c r="A192" s="498">
        <f>A186+1</f>
        <v>6</v>
      </c>
      <c r="B192" s="552" t="s">
        <v>521</v>
      </c>
      <c r="C192" s="557">
        <v>0</v>
      </c>
      <c r="D192" s="560"/>
      <c r="E192" s="486"/>
      <c r="F192" s="486"/>
      <c r="H192" s="781"/>
      <c r="I192" s="781"/>
    </row>
    <row r="193" spans="1:9">
      <c r="A193" s="555">
        <f>A192+0.1</f>
        <v>6.1</v>
      </c>
      <c r="B193" s="556" t="s">
        <v>522</v>
      </c>
      <c r="C193" s="557">
        <v>1216</v>
      </c>
      <c r="D193" s="560" t="s">
        <v>300</v>
      </c>
      <c r="E193" s="486" t="e">
        <f>VLOOKUP(B193,#REF!,7,FALSE)</f>
        <v>#REF!</v>
      </c>
      <c r="F193" s="479" t="e">
        <f>+ROUND(E193*C193,2)</f>
        <v>#REF!</v>
      </c>
      <c r="H193" s="781"/>
      <c r="I193" s="781"/>
    </row>
    <row r="194" spans="1:9">
      <c r="A194" s="559"/>
      <c r="B194" s="556"/>
      <c r="C194" s="557">
        <v>0</v>
      </c>
      <c r="D194" s="560"/>
      <c r="E194" s="486"/>
      <c r="F194" s="486"/>
      <c r="H194" s="781"/>
      <c r="I194" s="781"/>
    </row>
    <row r="195" spans="1:9">
      <c r="A195" s="498">
        <f>A192+1</f>
        <v>7</v>
      </c>
      <c r="B195" s="564" t="s">
        <v>523</v>
      </c>
      <c r="C195" s="557">
        <v>0</v>
      </c>
      <c r="D195" s="560"/>
      <c r="E195" s="486"/>
      <c r="F195" s="486"/>
      <c r="H195" s="781"/>
      <c r="I195" s="781"/>
    </row>
    <row r="196" spans="1:9">
      <c r="A196" s="555">
        <f>A195+0.1</f>
        <v>7.1</v>
      </c>
      <c r="B196" s="561" t="s">
        <v>524</v>
      </c>
      <c r="C196" s="557">
        <v>4</v>
      </c>
      <c r="D196" s="560" t="s">
        <v>10</v>
      </c>
      <c r="E196" s="486" t="e">
        <f>VLOOKUP(B196,#REF!,7,FALSE)</f>
        <v>#REF!</v>
      </c>
      <c r="F196" s="479" t="e">
        <f>+ROUND(E196*C196,2)</f>
        <v>#REF!</v>
      </c>
      <c r="H196" s="781"/>
      <c r="I196" s="781"/>
    </row>
    <row r="197" spans="1:9">
      <c r="A197" s="555">
        <f>A196+0.1</f>
        <v>7.2</v>
      </c>
      <c r="B197" s="561" t="s">
        <v>525</v>
      </c>
      <c r="C197" s="557">
        <v>4</v>
      </c>
      <c r="D197" s="560" t="s">
        <v>10</v>
      </c>
      <c r="E197" s="486" t="e">
        <f>VLOOKUP(B197,#REF!,7,FALSE)</f>
        <v>#REF!</v>
      </c>
      <c r="F197" s="479" t="e">
        <f>+ROUND(E197*C197,2)</f>
        <v>#REF!</v>
      </c>
      <c r="H197" s="781"/>
      <c r="I197" s="781"/>
    </row>
    <row r="198" spans="1:9">
      <c r="A198" s="555">
        <f>A197+0.1</f>
        <v>7.3</v>
      </c>
      <c r="B198" s="561" t="s">
        <v>526</v>
      </c>
      <c r="C198" s="557">
        <v>2</v>
      </c>
      <c r="D198" s="560" t="s">
        <v>10</v>
      </c>
      <c r="E198" s="486" t="e">
        <f>VLOOKUP(B198,#REF!,7,FALSE)</f>
        <v>#REF!</v>
      </c>
      <c r="F198" s="479" t="e">
        <f>+ROUND(E198*C198,2)</f>
        <v>#REF!</v>
      </c>
      <c r="H198" s="781"/>
      <c r="I198" s="781"/>
    </row>
    <row r="199" spans="1:9">
      <c r="A199" s="559"/>
      <c r="B199" s="561"/>
      <c r="C199" s="557">
        <v>0</v>
      </c>
      <c r="D199" s="560"/>
      <c r="E199" s="486"/>
      <c r="F199" s="486"/>
      <c r="H199" s="781"/>
      <c r="I199" s="781"/>
    </row>
    <row r="200" spans="1:9">
      <c r="A200" s="498">
        <f>A195+1</f>
        <v>8</v>
      </c>
      <c r="B200" s="552" t="s">
        <v>527</v>
      </c>
      <c r="C200" s="557">
        <v>0</v>
      </c>
      <c r="D200" s="560"/>
      <c r="E200" s="486"/>
      <c r="F200" s="486"/>
      <c r="H200" s="781"/>
      <c r="I200" s="781"/>
    </row>
    <row r="201" spans="1:9">
      <c r="A201" s="555">
        <f>A200+0.1</f>
        <v>8.1</v>
      </c>
      <c r="B201" s="561" t="s">
        <v>528</v>
      </c>
      <c r="C201" s="557">
        <v>32.68</v>
      </c>
      <c r="D201" s="560" t="s">
        <v>300</v>
      </c>
      <c r="E201" s="486" t="e">
        <f>VLOOKUP(B201,#REF!,7,FALSE)</f>
        <v>#REF!</v>
      </c>
      <c r="F201" s="479" t="e">
        <f>+ROUND(E201*C201,2)</f>
        <v>#REF!</v>
      </c>
      <c r="H201" s="781"/>
      <c r="I201" s="781"/>
    </row>
    <row r="202" spans="1:9" ht="25.5">
      <c r="A202" s="555">
        <f>A201+0.1</f>
        <v>8.1999999999999993</v>
      </c>
      <c r="B202" s="561" t="s">
        <v>529</v>
      </c>
      <c r="C202" s="557">
        <v>408</v>
      </c>
      <c r="D202" s="560" t="s">
        <v>300</v>
      </c>
      <c r="E202" s="486" t="e">
        <f>VLOOKUP(B202,#REF!,7,FALSE)</f>
        <v>#REF!</v>
      </c>
      <c r="F202" s="479" t="e">
        <f>+ROUND(E202*C202,2)</f>
        <v>#REF!</v>
      </c>
      <c r="H202" s="781"/>
      <c r="I202" s="781"/>
    </row>
    <row r="203" spans="1:9" ht="25.5">
      <c r="A203" s="555">
        <f>A202+0.1</f>
        <v>8.3000000000000007</v>
      </c>
      <c r="B203" s="561" t="s">
        <v>530</v>
      </c>
      <c r="C203" s="557">
        <v>136.41999999999999</v>
      </c>
      <c r="D203" s="560" t="s">
        <v>300</v>
      </c>
      <c r="E203" s="486" t="e">
        <f>VLOOKUP(B203,#REF!,7,FALSE)</f>
        <v>#REF!</v>
      </c>
      <c r="F203" s="479" t="e">
        <f>+ROUND(E203*C203,2)</f>
        <v>#REF!</v>
      </c>
      <c r="H203" s="781"/>
      <c r="I203" s="781"/>
    </row>
    <row r="204" spans="1:9" ht="25.5">
      <c r="A204" s="555">
        <f>A203+0.1</f>
        <v>8.4</v>
      </c>
      <c r="B204" s="561" t="s">
        <v>531</v>
      </c>
      <c r="C204" s="557">
        <v>151.12</v>
      </c>
      <c r="D204" s="560" t="s">
        <v>300</v>
      </c>
      <c r="E204" s="486" t="e">
        <f>VLOOKUP(B204,#REF!,7,FALSE)</f>
        <v>#REF!</v>
      </c>
      <c r="F204" s="479" t="e">
        <f>+ROUND(E204*C204,2)</f>
        <v>#REF!</v>
      </c>
      <c r="H204" s="781"/>
      <c r="I204" s="781"/>
    </row>
    <row r="205" spans="1:9">
      <c r="A205" s="555">
        <f>A202+0.1</f>
        <v>8.3000000000000007</v>
      </c>
      <c r="B205" s="561" t="s">
        <v>532</v>
      </c>
      <c r="C205" s="557">
        <v>1</v>
      </c>
      <c r="D205" s="560" t="s">
        <v>500</v>
      </c>
      <c r="E205" s="486" t="e">
        <f>VLOOKUP(B205,#REF!,7,FALSE)</f>
        <v>#REF!</v>
      </c>
      <c r="F205" s="479" t="e">
        <f>+ROUND(E205*C205,2)</f>
        <v>#REF!</v>
      </c>
      <c r="H205" s="781"/>
      <c r="I205" s="781"/>
    </row>
    <row r="206" spans="1:9">
      <c r="A206" s="565"/>
      <c r="B206" s="566" t="s">
        <v>533</v>
      </c>
      <c r="C206" s="567"/>
      <c r="D206" s="568"/>
      <c r="E206" s="569"/>
      <c r="F206" s="570" t="e">
        <f>SUM(F168:F205)</f>
        <v>#REF!</v>
      </c>
      <c r="H206" s="781"/>
      <c r="I206" s="781"/>
    </row>
    <row r="207" spans="1:9">
      <c r="A207" s="571"/>
      <c r="B207" s="563"/>
      <c r="C207" s="572"/>
      <c r="D207" s="573"/>
      <c r="E207" s="486"/>
      <c r="F207" s="486"/>
      <c r="H207" s="781"/>
      <c r="I207" s="781"/>
    </row>
    <row r="208" spans="1:9">
      <c r="A208" s="549" t="s">
        <v>432</v>
      </c>
      <c r="B208" s="550" t="s">
        <v>534</v>
      </c>
      <c r="C208" s="574"/>
      <c r="D208" s="574"/>
      <c r="E208" s="486"/>
      <c r="F208" s="486"/>
      <c r="H208" s="781"/>
      <c r="I208" s="781"/>
    </row>
    <row r="209" spans="1:9">
      <c r="A209" s="575"/>
      <c r="B209" s="562"/>
      <c r="C209" s="576"/>
      <c r="D209" s="558"/>
      <c r="E209" s="486"/>
      <c r="F209" s="486"/>
      <c r="H209" s="781"/>
      <c r="I209" s="781"/>
    </row>
    <row r="210" spans="1:9">
      <c r="A210" s="498">
        <v>1</v>
      </c>
      <c r="B210" s="552" t="s">
        <v>420</v>
      </c>
      <c r="C210" s="577"/>
      <c r="D210" s="558"/>
      <c r="E210" s="486"/>
      <c r="F210" s="486"/>
      <c r="H210" s="781"/>
      <c r="I210" s="781"/>
    </row>
    <row r="211" spans="1:9">
      <c r="A211" s="555">
        <f>A210+0.1</f>
        <v>1.1000000000000001</v>
      </c>
      <c r="B211" s="556" t="s">
        <v>507</v>
      </c>
      <c r="C211" s="558">
        <v>0.4</v>
      </c>
      <c r="D211" s="558" t="s">
        <v>500</v>
      </c>
      <c r="E211" s="486" t="e">
        <f>VLOOKUP(B211,#REF!,7,FALSE)</f>
        <v>#REF!</v>
      </c>
      <c r="F211" s="479" t="e">
        <f>+ROUND(E211*C211,2)</f>
        <v>#REF!</v>
      </c>
      <c r="H211" s="781"/>
      <c r="I211" s="781"/>
    </row>
    <row r="212" spans="1:9">
      <c r="A212" s="575"/>
      <c r="B212" s="562"/>
      <c r="C212" s="578"/>
      <c r="D212" s="579"/>
      <c r="E212" s="486"/>
      <c r="F212" s="486"/>
      <c r="H212" s="781"/>
      <c r="I212" s="781"/>
    </row>
    <row r="213" spans="1:9">
      <c r="A213" s="498">
        <f>A210+1</f>
        <v>2</v>
      </c>
      <c r="B213" s="562" t="s">
        <v>296</v>
      </c>
      <c r="C213" s="558"/>
      <c r="D213" s="558"/>
      <c r="E213" s="486"/>
      <c r="F213" s="486"/>
      <c r="H213" s="781"/>
      <c r="I213" s="781"/>
    </row>
    <row r="214" spans="1:9">
      <c r="A214" s="555">
        <f>A213+0.1</f>
        <v>2.1</v>
      </c>
      <c r="B214" s="563" t="s">
        <v>449</v>
      </c>
      <c r="C214" s="558">
        <v>24.2</v>
      </c>
      <c r="D214" s="558" t="s">
        <v>364</v>
      </c>
      <c r="E214" s="486" t="e">
        <f>VLOOKUP(B214,#REF!,7,FALSE)</f>
        <v>#REF!</v>
      </c>
      <c r="F214" s="479" t="e">
        <f>+ROUND(E214*C214,2)</f>
        <v>#REF!</v>
      </c>
      <c r="H214" s="781"/>
      <c r="I214" s="781"/>
    </row>
    <row r="215" spans="1:9">
      <c r="A215" s="555">
        <f>A214+0.1</f>
        <v>2.2000000000000002</v>
      </c>
      <c r="B215" s="563" t="s">
        <v>450</v>
      </c>
      <c r="C215" s="558">
        <v>9.42</v>
      </c>
      <c r="D215" s="558" t="s">
        <v>426</v>
      </c>
      <c r="E215" s="486" t="e">
        <f>VLOOKUP(B215,#REF!,7,FALSE)</f>
        <v>#REF!</v>
      </c>
      <c r="F215" s="479" t="e">
        <f>+ROUND(E215*C215,2)</f>
        <v>#REF!</v>
      </c>
      <c r="H215" s="781"/>
      <c r="I215" s="781"/>
    </row>
    <row r="216" spans="1:9" s="541" customFormat="1">
      <c r="A216" s="555">
        <f>A215+0.1</f>
        <v>2.2999999999999998</v>
      </c>
      <c r="B216" s="580" t="s">
        <v>509</v>
      </c>
      <c r="C216" s="558">
        <v>19.22</v>
      </c>
      <c r="D216" s="558" t="s">
        <v>367</v>
      </c>
      <c r="E216" s="486" t="e">
        <f>VLOOKUP(B216,#REF!,7,FALSE)</f>
        <v>#REF!</v>
      </c>
      <c r="F216" s="479" t="e">
        <f>+ROUND(E216*C216,2)</f>
        <v>#REF!</v>
      </c>
      <c r="H216" s="781"/>
      <c r="I216" s="781"/>
    </row>
    <row r="217" spans="1:9" s="541" customFormat="1">
      <c r="A217" s="571"/>
      <c r="B217" s="563"/>
      <c r="C217" s="558"/>
      <c r="D217" s="558"/>
      <c r="E217" s="486"/>
      <c r="F217" s="486"/>
      <c r="H217" s="781"/>
      <c r="I217" s="781"/>
    </row>
    <row r="218" spans="1:9" s="541" customFormat="1">
      <c r="A218" s="498">
        <f>A213+1</f>
        <v>3</v>
      </c>
      <c r="B218" s="562" t="s">
        <v>510</v>
      </c>
      <c r="C218" s="558"/>
      <c r="D218" s="577"/>
      <c r="E218" s="486"/>
      <c r="F218" s="486"/>
      <c r="H218" s="781"/>
      <c r="I218" s="781"/>
    </row>
    <row r="219" spans="1:9" s="541" customFormat="1">
      <c r="A219" s="555">
        <f>A218+0.1</f>
        <v>3.1</v>
      </c>
      <c r="B219" s="563" t="s">
        <v>535</v>
      </c>
      <c r="C219" s="558">
        <v>10.119999999999999</v>
      </c>
      <c r="D219" s="558" t="s">
        <v>298</v>
      </c>
      <c r="E219" s="486" t="e">
        <f>VLOOKUP(B219,#REF!,7,FALSE)</f>
        <v>#REF!</v>
      </c>
      <c r="F219" s="479" t="e">
        <f>+ROUND(E219*C219,2)</f>
        <v>#REF!</v>
      </c>
      <c r="H219" s="781"/>
      <c r="I219" s="781"/>
    </row>
    <row r="220" spans="1:9" s="541" customFormat="1">
      <c r="A220" s="555">
        <f>A219+0.1</f>
        <v>3.2</v>
      </c>
      <c r="B220" s="563" t="s">
        <v>536</v>
      </c>
      <c r="C220" s="558">
        <v>1.7</v>
      </c>
      <c r="D220" s="558" t="s">
        <v>298</v>
      </c>
      <c r="E220" s="486" t="e">
        <f>VLOOKUP(B220,#REF!,7,FALSE)</f>
        <v>#REF!</v>
      </c>
      <c r="F220" s="479" t="e">
        <f>+ROUND(E220*C220,2)</f>
        <v>#REF!</v>
      </c>
      <c r="H220" s="781"/>
      <c r="I220" s="781"/>
    </row>
    <row r="221" spans="1:9" s="541" customFormat="1">
      <c r="A221" s="555">
        <f>A220+0.1</f>
        <v>3.3</v>
      </c>
      <c r="B221" s="563" t="s">
        <v>537</v>
      </c>
      <c r="C221" s="558">
        <v>25.98</v>
      </c>
      <c r="D221" s="558" t="s">
        <v>298</v>
      </c>
      <c r="E221" s="486" t="e">
        <f>VLOOKUP(B221,#REF!,7,FALSE)</f>
        <v>#REF!</v>
      </c>
      <c r="F221" s="479" t="e">
        <f>+ROUND(E221*C221,2)</f>
        <v>#REF!</v>
      </c>
      <c r="H221" s="781"/>
      <c r="I221" s="781"/>
    </row>
    <row r="222" spans="1:9" s="541" customFormat="1">
      <c r="A222" s="892"/>
      <c r="B222" s="855"/>
      <c r="C222" s="856"/>
      <c r="D222" s="856"/>
      <c r="E222" s="857"/>
      <c r="F222" s="857"/>
      <c r="H222" s="781"/>
      <c r="I222" s="781"/>
    </row>
    <row r="223" spans="1:9" s="541" customFormat="1">
      <c r="A223" s="498">
        <f>A218+1</f>
        <v>4</v>
      </c>
      <c r="B223" s="562" t="s">
        <v>538</v>
      </c>
      <c r="C223" s="558"/>
      <c r="D223" s="558"/>
      <c r="E223" s="486"/>
      <c r="F223" s="486"/>
      <c r="H223" s="781"/>
      <c r="I223" s="781"/>
    </row>
    <row r="224" spans="1:9" s="541" customFormat="1">
      <c r="A224" s="555">
        <f>A223+0.1</f>
        <v>4.0999999999999996</v>
      </c>
      <c r="B224" s="563" t="s">
        <v>539</v>
      </c>
      <c r="C224" s="558">
        <v>50.54</v>
      </c>
      <c r="D224" s="558" t="s">
        <v>300</v>
      </c>
      <c r="E224" s="486" t="e">
        <f>VLOOKUP(B224,#REF!,7,FALSE)</f>
        <v>#REF!</v>
      </c>
      <c r="F224" s="479" t="e">
        <f>+ROUND(E224*C224,2)</f>
        <v>#REF!</v>
      </c>
      <c r="H224" s="781"/>
      <c r="I224" s="781"/>
    </row>
    <row r="225" spans="1:9" s="541" customFormat="1">
      <c r="A225" s="555">
        <f>A224+0.1</f>
        <v>4.2</v>
      </c>
      <c r="B225" s="563" t="s">
        <v>540</v>
      </c>
      <c r="C225" s="558">
        <v>113.78</v>
      </c>
      <c r="D225" s="558" t="s">
        <v>300</v>
      </c>
      <c r="E225" s="486" t="e">
        <f>VLOOKUP(B225,#REF!,7,FALSE)</f>
        <v>#REF!</v>
      </c>
      <c r="F225" s="479" t="e">
        <f>+ROUND(E225*C225,2)</f>
        <v>#REF!</v>
      </c>
      <c r="H225" s="781"/>
      <c r="I225" s="781"/>
    </row>
    <row r="226" spans="1:9" s="541" customFormat="1">
      <c r="A226" s="571"/>
      <c r="B226" s="563"/>
      <c r="C226" s="558"/>
      <c r="D226" s="558"/>
      <c r="E226" s="486"/>
      <c r="F226" s="486"/>
      <c r="H226" s="781"/>
      <c r="I226" s="781"/>
    </row>
    <row r="227" spans="1:9" s="541" customFormat="1">
      <c r="A227" s="498">
        <v>5</v>
      </c>
      <c r="B227" s="562" t="s">
        <v>516</v>
      </c>
      <c r="C227" s="558"/>
      <c r="D227" s="558"/>
      <c r="E227" s="486"/>
      <c r="F227" s="486"/>
      <c r="H227" s="781"/>
      <c r="I227" s="781"/>
    </row>
    <row r="228" spans="1:9" s="541" customFormat="1">
      <c r="A228" s="555">
        <f>A227+0.1</f>
        <v>5.0999999999999996</v>
      </c>
      <c r="B228" s="563" t="s">
        <v>541</v>
      </c>
      <c r="C228" s="558">
        <v>176</v>
      </c>
      <c r="D228" s="558" t="s">
        <v>300</v>
      </c>
      <c r="E228" s="486" t="e">
        <f>VLOOKUP(B228,#REF!,7,FALSE)</f>
        <v>#REF!</v>
      </c>
      <c r="F228" s="479" t="e">
        <f>+ROUND(E228*C228,2)</f>
        <v>#REF!</v>
      </c>
      <c r="H228" s="781"/>
      <c r="I228" s="781"/>
    </row>
    <row r="229" spans="1:9" s="541" customFormat="1">
      <c r="A229" s="555">
        <f>A228+0.1</f>
        <v>5.2</v>
      </c>
      <c r="B229" s="563" t="s">
        <v>542</v>
      </c>
      <c r="C229" s="558">
        <v>16.7</v>
      </c>
      <c r="D229" s="558" t="s">
        <v>300</v>
      </c>
      <c r="E229" s="486" t="e">
        <f>VLOOKUP(B229,#REF!,7,FALSE)</f>
        <v>#REF!</v>
      </c>
      <c r="F229" s="479" t="e">
        <f>+ROUND(E229*C229,2)</f>
        <v>#REF!</v>
      </c>
      <c r="H229" s="781"/>
      <c r="I229" s="781"/>
    </row>
    <row r="230" spans="1:9" s="541" customFormat="1">
      <c r="A230" s="555">
        <f>A229+0.1</f>
        <v>5.3</v>
      </c>
      <c r="B230" s="563" t="s">
        <v>543</v>
      </c>
      <c r="C230" s="558">
        <v>252</v>
      </c>
      <c r="D230" s="558" t="s">
        <v>300</v>
      </c>
      <c r="E230" s="486" t="e">
        <f>VLOOKUP(B230,#REF!,7,FALSE)</f>
        <v>#REF!</v>
      </c>
      <c r="F230" s="479" t="e">
        <f>+ROUND(E230*C230,2)</f>
        <v>#REF!</v>
      </c>
      <c r="H230" s="781"/>
      <c r="I230" s="781"/>
    </row>
    <row r="231" spans="1:9" s="541" customFormat="1">
      <c r="A231" s="555">
        <f>A230+0.1</f>
        <v>5.4</v>
      </c>
      <c r="B231" s="563" t="s">
        <v>519</v>
      </c>
      <c r="C231" s="558">
        <v>252</v>
      </c>
      <c r="D231" s="558" t="s">
        <v>300</v>
      </c>
      <c r="E231" s="486" t="e">
        <f>VLOOKUP(B231,#REF!,7,FALSE)</f>
        <v>#REF!</v>
      </c>
      <c r="F231" s="479" t="e">
        <f>+ROUND(E231*C231,2)</f>
        <v>#REF!</v>
      </c>
      <c r="H231" s="781"/>
      <c r="I231" s="781"/>
    </row>
    <row r="232" spans="1:9" s="541" customFormat="1">
      <c r="A232" s="555">
        <f>A231+0.1</f>
        <v>5.5</v>
      </c>
      <c r="B232" s="563" t="s">
        <v>544</v>
      </c>
      <c r="C232" s="558">
        <v>979.36</v>
      </c>
      <c r="D232" s="558" t="s">
        <v>15</v>
      </c>
      <c r="E232" s="486" t="e">
        <f>VLOOKUP(B232,#REF!,7,FALSE)</f>
        <v>#REF!</v>
      </c>
      <c r="F232" s="479" t="e">
        <f>+ROUND(E232*C232,2)</f>
        <v>#REF!</v>
      </c>
      <c r="H232" s="781"/>
      <c r="I232" s="781"/>
    </row>
    <row r="233" spans="1:9" s="541" customFormat="1">
      <c r="A233" s="571"/>
      <c r="B233" s="563"/>
      <c r="C233" s="558"/>
      <c r="D233" s="558"/>
      <c r="E233" s="486"/>
      <c r="F233" s="486"/>
      <c r="H233" s="781"/>
      <c r="I233" s="781"/>
    </row>
    <row r="234" spans="1:9" s="541" customFormat="1">
      <c r="A234" s="498">
        <f>A227+1</f>
        <v>6</v>
      </c>
      <c r="B234" s="562" t="s">
        <v>527</v>
      </c>
      <c r="C234" s="558"/>
      <c r="D234" s="558"/>
      <c r="E234" s="486"/>
      <c r="F234" s="486"/>
      <c r="H234" s="781"/>
      <c r="I234" s="781"/>
    </row>
    <row r="235" spans="1:9" s="541" customFormat="1">
      <c r="A235" s="555">
        <f>A234+0.1</f>
        <v>6.1</v>
      </c>
      <c r="B235" s="563" t="s">
        <v>545</v>
      </c>
      <c r="C235" s="558">
        <v>313.8</v>
      </c>
      <c r="D235" s="558" t="s">
        <v>300</v>
      </c>
      <c r="E235" s="486" t="e">
        <f>VLOOKUP(B235,#REF!,7,FALSE)</f>
        <v>#REF!</v>
      </c>
      <c r="F235" s="479" t="e">
        <f>+ROUND(E235*C235,2)</f>
        <v>#REF!</v>
      </c>
      <c r="H235" s="781"/>
      <c r="I235" s="781"/>
    </row>
    <row r="236" spans="1:9" s="541" customFormat="1">
      <c r="A236" s="555">
        <f>A235+0.1</f>
        <v>6.2</v>
      </c>
      <c r="B236" s="563" t="s">
        <v>546</v>
      </c>
      <c r="C236" s="558">
        <v>313.8</v>
      </c>
      <c r="D236" s="558" t="s">
        <v>300</v>
      </c>
      <c r="E236" s="486" t="e">
        <f>VLOOKUP(B236,#REF!,7,FALSE)</f>
        <v>#REF!</v>
      </c>
      <c r="F236" s="479" t="e">
        <f>+ROUND(E236*C236,2)</f>
        <v>#REF!</v>
      </c>
      <c r="H236" s="781"/>
      <c r="I236" s="781"/>
    </row>
    <row r="237" spans="1:9" s="541" customFormat="1">
      <c r="A237" s="571"/>
      <c r="B237" s="563"/>
      <c r="C237" s="558"/>
      <c r="D237" s="558"/>
      <c r="E237" s="486"/>
      <c r="F237" s="486"/>
      <c r="H237" s="781"/>
      <c r="I237" s="781"/>
    </row>
    <row r="238" spans="1:9" s="541" customFormat="1">
      <c r="A238" s="498">
        <f>A234+1</f>
        <v>7</v>
      </c>
      <c r="B238" s="562" t="s">
        <v>547</v>
      </c>
      <c r="C238" s="577"/>
      <c r="D238" s="558"/>
      <c r="E238" s="486"/>
      <c r="F238" s="486"/>
      <c r="H238" s="781"/>
      <c r="I238" s="781"/>
    </row>
    <row r="239" spans="1:9" s="541" customFormat="1">
      <c r="A239" s="555">
        <f>A238+0.1</f>
        <v>7.1</v>
      </c>
      <c r="B239" s="561" t="s">
        <v>548</v>
      </c>
      <c r="C239" s="581">
        <v>20.399999999999999</v>
      </c>
      <c r="D239" s="560" t="s">
        <v>15</v>
      </c>
      <c r="E239" s="486" t="e">
        <f>VLOOKUP(B239,#REF!,7,FALSE)</f>
        <v>#REF!</v>
      </c>
      <c r="F239" s="479" t="e">
        <f>+ROUND(E239*C239,2)</f>
        <v>#REF!</v>
      </c>
      <c r="H239" s="781"/>
      <c r="I239" s="781"/>
    </row>
    <row r="240" spans="1:9" s="541" customFormat="1">
      <c r="A240" s="555">
        <f>A239+0.1</f>
        <v>7.2</v>
      </c>
      <c r="B240" s="563" t="s">
        <v>549</v>
      </c>
      <c r="C240" s="577">
        <v>6</v>
      </c>
      <c r="D240" s="558" t="s">
        <v>15</v>
      </c>
      <c r="E240" s="486" t="e">
        <f>VLOOKUP(B240,#REF!,7,FALSE)</f>
        <v>#REF!</v>
      </c>
      <c r="F240" s="479" t="e">
        <f>+ROUND(E240*C240,2)</f>
        <v>#REF!</v>
      </c>
      <c r="H240" s="781"/>
      <c r="I240" s="781"/>
    </row>
    <row r="241" spans="1:9" s="541" customFormat="1">
      <c r="A241" s="565"/>
      <c r="B241" s="566" t="s">
        <v>550</v>
      </c>
      <c r="C241" s="567"/>
      <c r="D241" s="568"/>
      <c r="E241" s="569"/>
      <c r="F241" s="570" t="e">
        <f>SUM(F210:F240)</f>
        <v>#REF!</v>
      </c>
      <c r="H241" s="782"/>
    </row>
    <row r="242" spans="1:9" s="541" customFormat="1" ht="6" customHeight="1">
      <c r="A242" s="509"/>
      <c r="B242" s="510"/>
      <c r="C242" s="511"/>
      <c r="D242" s="512"/>
      <c r="E242" s="486"/>
      <c r="F242" s="486"/>
    </row>
    <row r="243" spans="1:9" s="541" customFormat="1">
      <c r="A243" s="543"/>
      <c r="B243" s="544" t="s">
        <v>551</v>
      </c>
      <c r="C243" s="545"/>
      <c r="D243" s="546"/>
      <c r="E243" s="547"/>
      <c r="F243" s="548" t="e">
        <f>F241+F206</f>
        <v>#REF!</v>
      </c>
    </row>
    <row r="244" spans="1:9" s="541" customFormat="1">
      <c r="A244" s="583"/>
      <c r="B244" s="500"/>
      <c r="C244" s="584"/>
      <c r="D244" s="585"/>
      <c r="E244" s="586"/>
      <c r="F244" s="587"/>
    </row>
    <row r="245" spans="1:9" s="541" customFormat="1">
      <c r="A245" s="504" t="s">
        <v>552</v>
      </c>
      <c r="B245" s="774" t="s">
        <v>905</v>
      </c>
      <c r="C245" s="506"/>
      <c r="D245" s="507"/>
      <c r="E245" s="508"/>
      <c r="F245" s="508"/>
    </row>
    <row r="246" spans="1:9" s="541" customFormat="1">
      <c r="A246" s="509"/>
      <c r="B246" s="510"/>
      <c r="C246" s="511"/>
      <c r="D246" s="512"/>
      <c r="E246" s="486"/>
      <c r="F246" s="486"/>
    </row>
    <row r="247" spans="1:9" s="541" customFormat="1">
      <c r="A247" s="549" t="s">
        <v>93</v>
      </c>
      <c r="B247" s="550" t="s">
        <v>553</v>
      </c>
      <c r="C247" s="511"/>
      <c r="D247" s="512"/>
      <c r="E247" s="486"/>
      <c r="F247" s="486"/>
    </row>
    <row r="248" spans="1:9" s="541" customFormat="1">
      <c r="A248" s="549"/>
      <c r="B248" s="550"/>
      <c r="C248" s="511"/>
      <c r="D248" s="512"/>
      <c r="E248" s="486"/>
      <c r="F248" s="486"/>
    </row>
    <row r="249" spans="1:9" s="541" customFormat="1">
      <c r="A249" s="498">
        <v>1</v>
      </c>
      <c r="B249" s="552" t="s">
        <v>420</v>
      </c>
      <c r="C249" s="553"/>
      <c r="D249" s="554"/>
      <c r="E249" s="486"/>
      <c r="F249" s="486"/>
    </row>
    <row r="250" spans="1:9" s="541" customFormat="1">
      <c r="A250" s="555">
        <f>A249+0.1</f>
        <v>1.1000000000000001</v>
      </c>
      <c r="B250" s="556" t="s">
        <v>507</v>
      </c>
      <c r="C250" s="557">
        <v>1</v>
      </c>
      <c r="D250" s="558" t="s">
        <v>500</v>
      </c>
      <c r="E250" s="486" t="e">
        <f>VLOOKUP(B250,#REF!,7,FALSE)</f>
        <v>#REF!</v>
      </c>
      <c r="F250" s="479" t="e">
        <f>+ROUND(E250*C250,2)</f>
        <v>#REF!</v>
      </c>
    </row>
    <row r="251" spans="1:9" s="541" customFormat="1">
      <c r="A251" s="559"/>
      <c r="B251" s="556"/>
      <c r="C251" s="557"/>
      <c r="D251" s="560"/>
      <c r="E251" s="486"/>
      <c r="F251" s="486"/>
    </row>
    <row r="252" spans="1:9" s="541" customFormat="1">
      <c r="A252" s="498">
        <f>A249+1</f>
        <v>2</v>
      </c>
      <c r="B252" s="552" t="s">
        <v>296</v>
      </c>
      <c r="C252" s="557"/>
      <c r="D252" s="560"/>
      <c r="E252" s="486"/>
      <c r="F252" s="486"/>
    </row>
    <row r="253" spans="1:9" s="541" customFormat="1">
      <c r="A253" s="555">
        <f>A252+0.1</f>
        <v>2.1</v>
      </c>
      <c r="B253" s="484" t="s">
        <v>449</v>
      </c>
      <c r="C253" s="557">
        <v>64.06</v>
      </c>
      <c r="D253" s="560" t="s">
        <v>364</v>
      </c>
      <c r="E253" s="486" t="e">
        <f>VLOOKUP(B253,#REF!,7,FALSE)</f>
        <v>#REF!</v>
      </c>
      <c r="F253" s="479" t="e">
        <f>+ROUND(E253*C253,2)</f>
        <v>#REF!</v>
      </c>
      <c r="H253" s="833"/>
      <c r="I253" s="833"/>
    </row>
    <row r="254" spans="1:9" s="541" customFormat="1">
      <c r="A254" s="555">
        <f>A253+0.1</f>
        <v>2.2000000000000002</v>
      </c>
      <c r="B254" s="556" t="s">
        <v>508</v>
      </c>
      <c r="C254" s="557">
        <v>22.74</v>
      </c>
      <c r="D254" s="560" t="s">
        <v>298</v>
      </c>
      <c r="E254" s="486" t="e">
        <f>VLOOKUP(B254,#REF!,7,FALSE)</f>
        <v>#REF!</v>
      </c>
      <c r="F254" s="479" t="e">
        <f>+ROUND(E254*C254,2)</f>
        <v>#REF!</v>
      </c>
      <c r="H254" s="833"/>
      <c r="I254" s="833"/>
    </row>
    <row r="255" spans="1:9" s="541" customFormat="1">
      <c r="A255" s="555">
        <f>A254+0.1</f>
        <v>2.2999999999999998</v>
      </c>
      <c r="B255" s="556" t="s">
        <v>450</v>
      </c>
      <c r="C255" s="557">
        <v>120.16</v>
      </c>
      <c r="D255" s="560" t="s">
        <v>426</v>
      </c>
      <c r="E255" s="486" t="e">
        <f>VLOOKUP(B255,#REF!,7,FALSE)</f>
        <v>#REF!</v>
      </c>
      <c r="F255" s="479" t="e">
        <f>+ROUND(E255*C255,2)</f>
        <v>#REF!</v>
      </c>
      <c r="H255" s="833"/>
      <c r="I255" s="833"/>
    </row>
    <row r="256" spans="1:9" s="541" customFormat="1">
      <c r="A256" s="555">
        <f>A255+0.1</f>
        <v>2.4</v>
      </c>
      <c r="B256" s="561" t="s">
        <v>509</v>
      </c>
      <c r="C256" s="557">
        <v>53.44</v>
      </c>
      <c r="D256" s="560" t="s">
        <v>367</v>
      </c>
      <c r="E256" s="486" t="e">
        <f>VLOOKUP(B256,#REF!,7,FALSE)</f>
        <v>#REF!</v>
      </c>
      <c r="F256" s="479" t="e">
        <f>+ROUND(E256*C256,2)</f>
        <v>#REF!</v>
      </c>
      <c r="H256" s="833"/>
      <c r="I256" s="833"/>
    </row>
    <row r="257" spans="1:9" s="541" customFormat="1">
      <c r="A257" s="559"/>
      <c r="B257" s="556"/>
      <c r="C257" s="557">
        <v>0</v>
      </c>
      <c r="D257" s="560"/>
      <c r="E257" s="486"/>
      <c r="F257" s="486"/>
      <c r="H257" s="833"/>
      <c r="I257" s="833"/>
    </row>
    <row r="258" spans="1:9" s="541" customFormat="1">
      <c r="A258" s="498">
        <f>A252+1</f>
        <v>3</v>
      </c>
      <c r="B258" s="562" t="s">
        <v>554</v>
      </c>
      <c r="C258" s="557">
        <v>0</v>
      </c>
      <c r="D258" s="560"/>
      <c r="E258" s="486"/>
      <c r="F258" s="486"/>
      <c r="H258" s="833"/>
      <c r="I258" s="833"/>
    </row>
    <row r="259" spans="1:9" s="541" customFormat="1">
      <c r="A259" s="555">
        <f>A258+0.1</f>
        <v>3.1</v>
      </c>
      <c r="B259" s="563" t="s">
        <v>511</v>
      </c>
      <c r="C259" s="557">
        <v>22.96</v>
      </c>
      <c r="D259" s="560" t="s">
        <v>298</v>
      </c>
      <c r="E259" s="486" t="e">
        <f>VLOOKUP(B259,#REF!,7,FALSE)</f>
        <v>#REF!</v>
      </c>
      <c r="F259" s="479" t="e">
        <f>+ROUND(E259*C259,2)</f>
        <v>#REF!</v>
      </c>
      <c r="H259" s="833"/>
      <c r="I259" s="833"/>
    </row>
    <row r="260" spans="1:9" s="541" customFormat="1">
      <c r="A260" s="559"/>
      <c r="B260" s="556"/>
      <c r="C260" s="557">
        <v>0</v>
      </c>
      <c r="D260" s="560"/>
      <c r="E260" s="486"/>
      <c r="F260" s="486"/>
      <c r="H260" s="833"/>
      <c r="I260" s="833"/>
    </row>
    <row r="261" spans="1:9" s="541" customFormat="1">
      <c r="A261" s="498">
        <f>A258+1</f>
        <v>4</v>
      </c>
      <c r="B261" s="552" t="s">
        <v>514</v>
      </c>
      <c r="C261" s="557">
        <v>0</v>
      </c>
      <c r="D261" s="560"/>
      <c r="E261" s="486"/>
      <c r="F261" s="486"/>
      <c r="H261" s="833"/>
      <c r="I261" s="833"/>
    </row>
    <row r="262" spans="1:9" s="541" customFormat="1">
      <c r="A262" s="555">
        <f>A261+0.1</f>
        <v>4.0999999999999996</v>
      </c>
      <c r="B262" s="556" t="s">
        <v>515</v>
      </c>
      <c r="C262" s="557">
        <v>132.6</v>
      </c>
      <c r="D262" s="560" t="s">
        <v>300</v>
      </c>
      <c r="E262" s="486" t="e">
        <f>VLOOKUP(B262,#REF!,7,FALSE)</f>
        <v>#REF!</v>
      </c>
      <c r="F262" s="479" t="e">
        <f>+ROUND(E262*C262,2)</f>
        <v>#REF!</v>
      </c>
      <c r="H262" s="833"/>
      <c r="I262" s="833"/>
    </row>
    <row r="263" spans="1:9" s="541" customFormat="1">
      <c r="A263" s="559"/>
      <c r="B263" s="556"/>
      <c r="C263" s="557">
        <v>0</v>
      </c>
      <c r="D263" s="560"/>
      <c r="E263" s="486"/>
      <c r="F263" s="486"/>
      <c r="H263" s="833"/>
      <c r="I263" s="833"/>
    </row>
    <row r="264" spans="1:9" s="541" customFormat="1">
      <c r="A264" s="851">
        <f>A261+1</f>
        <v>5</v>
      </c>
      <c r="B264" s="852" t="s">
        <v>516</v>
      </c>
      <c r="C264" s="853">
        <v>0</v>
      </c>
      <c r="D264" s="854"/>
      <c r="E264" s="850"/>
      <c r="F264" s="850"/>
      <c r="H264" s="833"/>
      <c r="I264" s="833"/>
    </row>
    <row r="265" spans="1:9" s="541" customFormat="1">
      <c r="A265" s="555">
        <f>A264+0.1</f>
        <v>5.0999999999999996</v>
      </c>
      <c r="B265" s="556" t="s">
        <v>517</v>
      </c>
      <c r="C265" s="557">
        <v>19.2</v>
      </c>
      <c r="D265" s="560" t="s">
        <v>300</v>
      </c>
      <c r="E265" s="486" t="e">
        <f>VLOOKUP(B265,#REF!,7,FALSE)</f>
        <v>#REF!</v>
      </c>
      <c r="F265" s="479" t="e">
        <f>+ROUND(E265*C265,2)</f>
        <v>#REF!</v>
      </c>
      <c r="H265" s="833"/>
      <c r="I265" s="833"/>
    </row>
    <row r="266" spans="1:9" s="541" customFormat="1">
      <c r="A266" s="555">
        <f>A265+0.1</f>
        <v>5.2</v>
      </c>
      <c r="B266" s="556" t="s">
        <v>518</v>
      </c>
      <c r="C266" s="557">
        <v>32.68</v>
      </c>
      <c r="D266" s="560" t="s">
        <v>300</v>
      </c>
      <c r="E266" s="486" t="e">
        <f>VLOOKUP(B266,#REF!,7,FALSE)</f>
        <v>#REF!</v>
      </c>
      <c r="F266" s="479" t="e">
        <f>+ROUND(E266*C266,2)</f>
        <v>#REF!</v>
      </c>
      <c r="H266" s="833"/>
      <c r="I266" s="833"/>
    </row>
    <row r="267" spans="1:9" s="541" customFormat="1">
      <c r="A267" s="555">
        <f>A266+0.1</f>
        <v>5.3</v>
      </c>
      <c r="B267" s="556" t="s">
        <v>519</v>
      </c>
      <c r="C267" s="557">
        <v>32.68</v>
      </c>
      <c r="D267" s="560" t="s">
        <v>300</v>
      </c>
      <c r="E267" s="486" t="e">
        <f>VLOOKUP(B267,#REF!,7,FALSE)</f>
        <v>#REF!</v>
      </c>
      <c r="F267" s="479" t="e">
        <f>+ROUND(E267*C267,2)</f>
        <v>#REF!</v>
      </c>
      <c r="H267" s="833"/>
      <c r="I267" s="833"/>
    </row>
    <row r="268" spans="1:9" s="541" customFormat="1">
      <c r="A268" s="555">
        <f>A267+0.1</f>
        <v>5.4</v>
      </c>
      <c r="B268" s="556" t="s">
        <v>520</v>
      </c>
      <c r="C268" s="557">
        <v>94.88</v>
      </c>
      <c r="D268" s="560" t="s">
        <v>15</v>
      </c>
      <c r="E268" s="486" t="e">
        <f>VLOOKUP(B268,#REF!,7,FALSE)</f>
        <v>#REF!</v>
      </c>
      <c r="F268" s="479" t="e">
        <f>+ROUND(E268*C268,2)</f>
        <v>#REF!</v>
      </c>
      <c r="H268" s="833"/>
      <c r="I268" s="833"/>
    </row>
    <row r="269" spans="1:9" s="541" customFormat="1">
      <c r="A269" s="559"/>
      <c r="B269" s="556"/>
      <c r="C269" s="557">
        <v>0</v>
      </c>
      <c r="D269" s="560"/>
      <c r="E269" s="486"/>
      <c r="F269" s="486"/>
      <c r="H269" s="833"/>
      <c r="I269" s="833"/>
    </row>
    <row r="270" spans="1:9" s="541" customFormat="1">
      <c r="A270" s="498">
        <f>A264+1</f>
        <v>6</v>
      </c>
      <c r="B270" s="552" t="s">
        <v>521</v>
      </c>
      <c r="C270" s="557">
        <v>0</v>
      </c>
      <c r="D270" s="560"/>
      <c r="E270" s="486"/>
      <c r="F270" s="486"/>
      <c r="H270" s="833"/>
      <c r="I270" s="833"/>
    </row>
    <row r="271" spans="1:9" s="541" customFormat="1">
      <c r="A271" s="509">
        <f>A270+0.1</f>
        <v>6.1</v>
      </c>
      <c r="B271" s="556" t="s">
        <v>522</v>
      </c>
      <c r="C271" s="557">
        <v>1216</v>
      </c>
      <c r="D271" s="560" t="s">
        <v>300</v>
      </c>
      <c r="E271" s="486" t="e">
        <f>VLOOKUP(B271,#REF!,7,FALSE)</f>
        <v>#REF!</v>
      </c>
      <c r="F271" s="479" t="e">
        <f>+ROUND(E271*C271,2)</f>
        <v>#REF!</v>
      </c>
      <c r="H271" s="833"/>
      <c r="I271" s="833"/>
    </row>
    <row r="272" spans="1:9" s="541" customFormat="1">
      <c r="A272" s="559"/>
      <c r="B272" s="556"/>
      <c r="C272" s="557">
        <v>0</v>
      </c>
      <c r="D272" s="560"/>
      <c r="E272" s="486"/>
      <c r="F272" s="486"/>
      <c r="H272" s="833"/>
      <c r="I272" s="833"/>
    </row>
    <row r="273" spans="1:9" s="541" customFormat="1">
      <c r="A273" s="498">
        <f>A270+1</f>
        <v>7</v>
      </c>
      <c r="B273" s="564" t="s">
        <v>523</v>
      </c>
      <c r="C273" s="557">
        <v>0</v>
      </c>
      <c r="D273" s="560"/>
      <c r="E273" s="486"/>
      <c r="F273" s="486"/>
      <c r="H273" s="833"/>
      <c r="I273" s="833"/>
    </row>
    <row r="274" spans="1:9" s="541" customFormat="1" ht="16.5" customHeight="1">
      <c r="A274" s="555">
        <f>A273+0.1</f>
        <v>7.1</v>
      </c>
      <c r="B274" s="561" t="s">
        <v>525</v>
      </c>
      <c r="C274" s="557">
        <v>4</v>
      </c>
      <c r="D274" s="560" t="s">
        <v>10</v>
      </c>
      <c r="E274" s="486" t="e">
        <f>VLOOKUP(B274,#REF!,7,FALSE)</f>
        <v>#REF!</v>
      </c>
      <c r="F274" s="479" t="e">
        <f>+ROUND(E274*C274,2)</f>
        <v>#REF!</v>
      </c>
      <c r="H274" s="833"/>
      <c r="I274" s="833"/>
    </row>
    <row r="275" spans="1:9" s="541" customFormat="1">
      <c r="A275" s="555">
        <f>A274+0.1</f>
        <v>7.2</v>
      </c>
      <c r="B275" s="561" t="s">
        <v>526</v>
      </c>
      <c r="C275" s="557">
        <v>2</v>
      </c>
      <c r="D275" s="560" t="s">
        <v>10</v>
      </c>
      <c r="E275" s="486" t="e">
        <f>VLOOKUP(B275,#REF!,7,FALSE)</f>
        <v>#REF!</v>
      </c>
      <c r="F275" s="479" t="e">
        <f>+ROUND(E275*C275,2)</f>
        <v>#REF!</v>
      </c>
      <c r="H275" s="833"/>
      <c r="I275" s="833"/>
    </row>
    <row r="276" spans="1:9" s="541" customFormat="1">
      <c r="A276" s="559"/>
      <c r="B276" s="561"/>
      <c r="C276" s="557">
        <v>0</v>
      </c>
      <c r="D276" s="560"/>
      <c r="E276" s="486"/>
      <c r="F276" s="486"/>
      <c r="H276" s="833"/>
      <c r="I276" s="833"/>
    </row>
    <row r="277" spans="1:9" s="541" customFormat="1">
      <c r="A277" s="498">
        <f>A273+1</f>
        <v>8</v>
      </c>
      <c r="B277" s="552" t="s">
        <v>527</v>
      </c>
      <c r="C277" s="557">
        <v>0</v>
      </c>
      <c r="D277" s="560"/>
      <c r="E277" s="486"/>
      <c r="F277" s="486"/>
      <c r="H277" s="833"/>
      <c r="I277" s="833"/>
    </row>
    <row r="278" spans="1:9" s="541" customFormat="1" ht="25.5">
      <c r="A278" s="555">
        <f>A277+0.1</f>
        <v>8.1</v>
      </c>
      <c r="B278" s="561" t="s">
        <v>529</v>
      </c>
      <c r="C278" s="557">
        <v>408</v>
      </c>
      <c r="D278" s="560" t="s">
        <v>300</v>
      </c>
      <c r="E278" s="486" t="e">
        <f>VLOOKUP(B278,#REF!,7,FALSE)</f>
        <v>#REF!</v>
      </c>
      <c r="F278" s="479" t="e">
        <f>+ROUND(E278*C278,2)</f>
        <v>#REF!</v>
      </c>
      <c r="H278" s="833"/>
      <c r="I278" s="833"/>
    </row>
    <row r="279" spans="1:9" s="541" customFormat="1" ht="25.5">
      <c r="A279" s="555">
        <f>A278+0.1</f>
        <v>8.1999999999999993</v>
      </c>
      <c r="B279" s="561" t="s">
        <v>530</v>
      </c>
      <c r="C279" s="557">
        <v>892</v>
      </c>
      <c r="D279" s="560" t="s">
        <v>300</v>
      </c>
      <c r="E279" s="486" t="e">
        <f>VLOOKUP(B279,#REF!,7,FALSE)</f>
        <v>#REF!</v>
      </c>
      <c r="F279" s="479" t="e">
        <f>+ROUND(E279*C279,2)</f>
        <v>#REF!</v>
      </c>
      <c r="H279" s="833"/>
      <c r="I279" s="833"/>
    </row>
    <row r="280" spans="1:9" s="541" customFormat="1">
      <c r="A280" s="555">
        <f>A279+0.1</f>
        <v>8.3000000000000007</v>
      </c>
      <c r="B280" s="561" t="s">
        <v>532</v>
      </c>
      <c r="C280" s="557">
        <v>1</v>
      </c>
      <c r="D280" s="560" t="s">
        <v>500</v>
      </c>
      <c r="E280" s="486" t="e">
        <f>VLOOKUP(B280,#REF!,7,FALSE)</f>
        <v>#REF!</v>
      </c>
      <c r="F280" s="479" t="e">
        <f>+ROUND(E280*C280,2)</f>
        <v>#REF!</v>
      </c>
      <c r="H280" s="833"/>
      <c r="I280" s="833"/>
    </row>
    <row r="281" spans="1:9" s="541" customFormat="1">
      <c r="A281" s="565"/>
      <c r="B281" s="566" t="s">
        <v>533</v>
      </c>
      <c r="C281" s="567"/>
      <c r="D281" s="568"/>
      <c r="E281" s="569"/>
      <c r="F281" s="570" t="e">
        <f>SUM(F249:F280)</f>
        <v>#REF!</v>
      </c>
      <c r="H281" s="833"/>
      <c r="I281" s="833"/>
    </row>
    <row r="282" spans="1:9" s="541" customFormat="1">
      <c r="A282" s="571"/>
      <c r="B282" s="563"/>
      <c r="C282" s="572"/>
      <c r="D282" s="573"/>
      <c r="E282" s="486"/>
      <c r="F282" s="486"/>
      <c r="H282" s="833"/>
      <c r="I282" s="833"/>
    </row>
    <row r="283" spans="1:9" s="541" customFormat="1">
      <c r="A283" s="549" t="s">
        <v>432</v>
      </c>
      <c r="B283" s="550" t="s">
        <v>555</v>
      </c>
      <c r="C283" s="574"/>
      <c r="D283" s="574"/>
      <c r="E283" s="486"/>
      <c r="F283" s="486"/>
      <c r="H283" s="833"/>
      <c r="I283" s="833"/>
    </row>
    <row r="284" spans="1:9" s="541" customFormat="1">
      <c r="A284" s="575"/>
      <c r="B284" s="562"/>
      <c r="C284" s="576"/>
      <c r="D284" s="558"/>
      <c r="E284" s="486"/>
      <c r="F284" s="486"/>
      <c r="H284" s="833"/>
      <c r="I284" s="833"/>
    </row>
    <row r="285" spans="1:9" s="541" customFormat="1">
      <c r="A285" s="498">
        <v>1</v>
      </c>
      <c r="B285" s="552" t="s">
        <v>420</v>
      </c>
      <c r="C285" s="577"/>
      <c r="D285" s="558"/>
      <c r="E285" s="486"/>
      <c r="F285" s="486"/>
      <c r="H285" s="833"/>
      <c r="I285" s="833"/>
    </row>
    <row r="286" spans="1:9" s="541" customFormat="1">
      <c r="A286" s="555">
        <f>A285+0.1</f>
        <v>1.1000000000000001</v>
      </c>
      <c r="B286" s="556" t="s">
        <v>507</v>
      </c>
      <c r="C286" s="558">
        <v>1</v>
      </c>
      <c r="D286" s="558" t="s">
        <v>500</v>
      </c>
      <c r="E286" s="486" t="e">
        <f>VLOOKUP(B286,#REF!,7,FALSE)</f>
        <v>#REF!</v>
      </c>
      <c r="F286" s="479" t="e">
        <f>+ROUND(E286*C286,2)</f>
        <v>#REF!</v>
      </c>
      <c r="H286" s="833"/>
      <c r="I286" s="833"/>
    </row>
    <row r="287" spans="1:9" s="541" customFormat="1">
      <c r="A287" s="575"/>
      <c r="B287" s="562"/>
      <c r="C287" s="578"/>
      <c r="D287" s="579"/>
      <c r="E287" s="486"/>
      <c r="F287" s="486"/>
      <c r="H287" s="833"/>
      <c r="I287" s="833"/>
    </row>
    <row r="288" spans="1:9" s="541" customFormat="1">
      <c r="A288" s="498">
        <f>A285+1</f>
        <v>2</v>
      </c>
      <c r="B288" s="562" t="s">
        <v>296</v>
      </c>
      <c r="C288" s="558"/>
      <c r="D288" s="558"/>
      <c r="E288" s="486"/>
      <c r="F288" s="486"/>
      <c r="H288" s="833"/>
      <c r="I288" s="833"/>
    </row>
    <row r="289" spans="1:9" s="541" customFormat="1">
      <c r="A289" s="555">
        <f>A288+0.1</f>
        <v>2.1</v>
      </c>
      <c r="B289" s="563" t="s">
        <v>449</v>
      </c>
      <c r="C289" s="558">
        <v>24.2</v>
      </c>
      <c r="D289" s="558" t="s">
        <v>364</v>
      </c>
      <c r="E289" s="486" t="e">
        <f>VLOOKUP(B289,#REF!,7,FALSE)</f>
        <v>#REF!</v>
      </c>
      <c r="F289" s="479" t="e">
        <f>+ROUND(E289*C289,2)</f>
        <v>#REF!</v>
      </c>
      <c r="H289" s="833"/>
      <c r="I289" s="833"/>
    </row>
    <row r="290" spans="1:9" s="541" customFormat="1">
      <c r="A290" s="555">
        <f>A289+0.1</f>
        <v>2.2000000000000002</v>
      </c>
      <c r="B290" s="563" t="s">
        <v>450</v>
      </c>
      <c r="C290" s="558">
        <v>9.42</v>
      </c>
      <c r="D290" s="558" t="s">
        <v>426</v>
      </c>
      <c r="E290" s="486" t="e">
        <f>VLOOKUP(B290,#REF!,7,FALSE)</f>
        <v>#REF!</v>
      </c>
      <c r="F290" s="479" t="e">
        <f>+ROUND(E290*C290,2)</f>
        <v>#REF!</v>
      </c>
      <c r="H290" s="833"/>
      <c r="I290" s="833"/>
    </row>
    <row r="291" spans="1:9" s="541" customFormat="1">
      <c r="A291" s="555">
        <f>A290+0.1</f>
        <v>2.2999999999999998</v>
      </c>
      <c r="B291" s="580" t="s">
        <v>509</v>
      </c>
      <c r="C291" s="558">
        <v>19.22</v>
      </c>
      <c r="D291" s="558" t="s">
        <v>367</v>
      </c>
      <c r="E291" s="486" t="e">
        <f>VLOOKUP(B291,#REF!,7,FALSE)</f>
        <v>#REF!</v>
      </c>
      <c r="F291" s="479" t="e">
        <f>+ROUND(E291*C291,2)</f>
        <v>#REF!</v>
      </c>
      <c r="H291" s="833"/>
      <c r="I291" s="833"/>
    </row>
    <row r="292" spans="1:9" s="541" customFormat="1">
      <c r="A292" s="571"/>
      <c r="B292" s="563"/>
      <c r="C292" s="558"/>
      <c r="D292" s="558"/>
      <c r="E292" s="486"/>
      <c r="F292" s="486"/>
      <c r="H292" s="833"/>
      <c r="I292" s="833"/>
    </row>
    <row r="293" spans="1:9" s="541" customFormat="1">
      <c r="A293" s="498">
        <f>A288+1</f>
        <v>3</v>
      </c>
      <c r="B293" s="562" t="s">
        <v>554</v>
      </c>
      <c r="C293" s="558"/>
      <c r="D293" s="577"/>
      <c r="E293" s="486"/>
      <c r="F293" s="486"/>
      <c r="H293" s="833"/>
      <c r="I293" s="833"/>
    </row>
    <row r="294" spans="1:9" s="541" customFormat="1">
      <c r="A294" s="555">
        <f>A293+0.1</f>
        <v>3.1</v>
      </c>
      <c r="B294" s="563" t="s">
        <v>535</v>
      </c>
      <c r="C294" s="558">
        <v>10.119999999999999</v>
      </c>
      <c r="D294" s="558" t="s">
        <v>298</v>
      </c>
      <c r="E294" s="486" t="e">
        <f>VLOOKUP(B294,#REF!,7,FALSE)</f>
        <v>#REF!</v>
      </c>
      <c r="F294" s="479" t="e">
        <f>+ROUND(E294*C294,2)</f>
        <v>#REF!</v>
      </c>
      <c r="H294" s="833"/>
      <c r="I294" s="833"/>
    </row>
    <row r="295" spans="1:9" s="541" customFormat="1">
      <c r="A295" s="555">
        <f>A294+0.1</f>
        <v>3.2</v>
      </c>
      <c r="B295" s="563" t="s">
        <v>536</v>
      </c>
      <c r="C295" s="558">
        <v>1.7</v>
      </c>
      <c r="D295" s="558" t="s">
        <v>298</v>
      </c>
      <c r="E295" s="486" t="e">
        <f>VLOOKUP(B295,#REF!,7,FALSE)</f>
        <v>#REF!</v>
      </c>
      <c r="F295" s="479" t="e">
        <f>+ROUND(E295*C295,2)</f>
        <v>#REF!</v>
      </c>
      <c r="H295" s="833"/>
      <c r="I295" s="833"/>
    </row>
    <row r="296" spans="1:9" s="541" customFormat="1">
      <c r="A296" s="555">
        <f>A295+0.1</f>
        <v>3.3</v>
      </c>
      <c r="B296" s="563" t="s">
        <v>537</v>
      </c>
      <c r="C296" s="558">
        <v>25.98</v>
      </c>
      <c r="D296" s="558" t="s">
        <v>298</v>
      </c>
      <c r="E296" s="486" t="e">
        <f>VLOOKUP(B296,#REF!,7,FALSE)</f>
        <v>#REF!</v>
      </c>
      <c r="F296" s="479" t="e">
        <f>+ROUND(E296*C296,2)</f>
        <v>#REF!</v>
      </c>
      <c r="H296" s="833"/>
      <c r="I296" s="833"/>
    </row>
    <row r="297" spans="1:9" s="541" customFormat="1">
      <c r="A297" s="571"/>
      <c r="B297" s="563"/>
      <c r="C297" s="558"/>
      <c r="D297" s="558"/>
      <c r="E297" s="486"/>
      <c r="F297" s="486"/>
      <c r="H297" s="833"/>
      <c r="I297" s="833"/>
    </row>
    <row r="298" spans="1:9" s="541" customFormat="1">
      <c r="A298" s="498">
        <f>A293+1</f>
        <v>4</v>
      </c>
      <c r="B298" s="562" t="s">
        <v>538</v>
      </c>
      <c r="C298" s="558"/>
      <c r="D298" s="558"/>
      <c r="E298" s="486"/>
      <c r="F298" s="486"/>
      <c r="H298" s="833"/>
      <c r="I298" s="833"/>
    </row>
    <row r="299" spans="1:9" s="541" customFormat="1">
      <c r="A299" s="555">
        <f>A298+0.1</f>
        <v>4.0999999999999996</v>
      </c>
      <c r="B299" s="563" t="s">
        <v>539</v>
      </c>
      <c r="C299" s="558">
        <v>50.54</v>
      </c>
      <c r="D299" s="558" t="s">
        <v>300</v>
      </c>
      <c r="E299" s="486" t="e">
        <f>VLOOKUP(B299,#REF!,7,FALSE)</f>
        <v>#REF!</v>
      </c>
      <c r="F299" s="479" t="e">
        <f>+ROUND(E299*C299,2)</f>
        <v>#REF!</v>
      </c>
      <c r="H299" s="833"/>
      <c r="I299" s="833"/>
    </row>
    <row r="300" spans="1:9" s="541" customFormat="1">
      <c r="A300" s="555">
        <f>A299+0.1</f>
        <v>4.2</v>
      </c>
      <c r="B300" s="563" t="s">
        <v>540</v>
      </c>
      <c r="C300" s="558">
        <v>113.78</v>
      </c>
      <c r="D300" s="558" t="s">
        <v>300</v>
      </c>
      <c r="E300" s="486" t="e">
        <f>VLOOKUP(B300,#REF!,7,FALSE)</f>
        <v>#REF!</v>
      </c>
      <c r="F300" s="479" t="e">
        <f>+ROUND(E300*C300,2)</f>
        <v>#REF!</v>
      </c>
      <c r="H300" s="833"/>
      <c r="I300" s="833"/>
    </row>
    <row r="301" spans="1:9" s="541" customFormat="1">
      <c r="A301" s="571"/>
      <c r="B301" s="563"/>
      <c r="C301" s="558"/>
      <c r="D301" s="558"/>
      <c r="E301" s="486"/>
      <c r="F301" s="486"/>
      <c r="H301" s="833"/>
      <c r="I301" s="833"/>
    </row>
    <row r="302" spans="1:9" s="541" customFormat="1">
      <c r="A302" s="498">
        <v>5</v>
      </c>
      <c r="B302" s="562" t="s">
        <v>516</v>
      </c>
      <c r="C302" s="558"/>
      <c r="D302" s="558"/>
      <c r="E302" s="486"/>
      <c r="F302" s="486"/>
      <c r="H302" s="833"/>
      <c r="I302" s="833"/>
    </row>
    <row r="303" spans="1:9" s="541" customFormat="1">
      <c r="A303" s="555">
        <f>A302+0.1</f>
        <v>5.0999999999999996</v>
      </c>
      <c r="B303" s="563" t="s">
        <v>541</v>
      </c>
      <c r="C303" s="558">
        <v>176</v>
      </c>
      <c r="D303" s="558" t="s">
        <v>300</v>
      </c>
      <c r="E303" s="486" t="e">
        <f>VLOOKUP(B303,#REF!,7,FALSE)</f>
        <v>#REF!</v>
      </c>
      <c r="F303" s="479" t="e">
        <f>+ROUND(E303*C303,2)</f>
        <v>#REF!</v>
      </c>
      <c r="H303" s="833"/>
      <c r="I303" s="833"/>
    </row>
    <row r="304" spans="1:9" s="541" customFormat="1">
      <c r="A304" s="555">
        <f>A303+0.1</f>
        <v>5.2</v>
      </c>
      <c r="B304" s="563" t="s">
        <v>542</v>
      </c>
      <c r="C304" s="558">
        <v>16.7</v>
      </c>
      <c r="D304" s="558" t="s">
        <v>300</v>
      </c>
      <c r="E304" s="486" t="e">
        <f>VLOOKUP(B304,#REF!,7,FALSE)</f>
        <v>#REF!</v>
      </c>
      <c r="F304" s="479" t="e">
        <f>+ROUND(E304*C304,2)</f>
        <v>#REF!</v>
      </c>
      <c r="H304" s="833"/>
      <c r="I304" s="833"/>
    </row>
    <row r="305" spans="1:9" s="541" customFormat="1">
      <c r="A305" s="555">
        <f>A304+0.1</f>
        <v>5.3</v>
      </c>
      <c r="B305" s="563" t="s">
        <v>543</v>
      </c>
      <c r="C305" s="558">
        <v>252</v>
      </c>
      <c r="D305" s="558" t="s">
        <v>300</v>
      </c>
      <c r="E305" s="486" t="e">
        <f>VLOOKUP(B305,#REF!,7,FALSE)</f>
        <v>#REF!</v>
      </c>
      <c r="F305" s="479" t="e">
        <f>+ROUND(E305*C305,2)</f>
        <v>#REF!</v>
      </c>
      <c r="H305" s="833"/>
      <c r="I305" s="833"/>
    </row>
    <row r="306" spans="1:9" s="541" customFormat="1">
      <c r="A306" s="555">
        <f>A305+0.1</f>
        <v>5.4</v>
      </c>
      <c r="B306" s="563" t="s">
        <v>519</v>
      </c>
      <c r="C306" s="558">
        <v>252</v>
      </c>
      <c r="D306" s="558" t="s">
        <v>300</v>
      </c>
      <c r="E306" s="486" t="e">
        <f>VLOOKUP(B306,#REF!,7,FALSE)</f>
        <v>#REF!</v>
      </c>
      <c r="F306" s="479" t="e">
        <f>+ROUND(E306*C306,2)</f>
        <v>#REF!</v>
      </c>
      <c r="H306" s="833"/>
      <c r="I306" s="833"/>
    </row>
    <row r="307" spans="1:9" s="541" customFormat="1">
      <c r="A307" s="555">
        <f>A306+0.1</f>
        <v>5.5</v>
      </c>
      <c r="B307" s="563" t="s">
        <v>544</v>
      </c>
      <c r="C307" s="558">
        <v>979.36</v>
      </c>
      <c r="D307" s="558" t="s">
        <v>15</v>
      </c>
      <c r="E307" s="486" t="e">
        <f>VLOOKUP(B307,#REF!,7,FALSE)</f>
        <v>#REF!</v>
      </c>
      <c r="F307" s="479" t="e">
        <f>+ROUND(E307*C307,2)</f>
        <v>#REF!</v>
      </c>
      <c r="H307" s="833"/>
      <c r="I307" s="833"/>
    </row>
    <row r="308" spans="1:9" s="541" customFormat="1">
      <c r="A308" s="571"/>
      <c r="B308" s="563"/>
      <c r="C308" s="558"/>
      <c r="D308" s="558"/>
      <c r="E308" s="486"/>
      <c r="F308" s="486"/>
      <c r="H308" s="833"/>
      <c r="I308" s="833"/>
    </row>
    <row r="309" spans="1:9" s="541" customFormat="1">
      <c r="A309" s="498">
        <f>A302+1</f>
        <v>6</v>
      </c>
      <c r="B309" s="562" t="s">
        <v>527</v>
      </c>
      <c r="C309" s="558"/>
      <c r="D309" s="558"/>
      <c r="E309" s="486"/>
      <c r="F309" s="486"/>
      <c r="H309" s="833"/>
      <c r="I309" s="833"/>
    </row>
    <row r="310" spans="1:9" s="541" customFormat="1">
      <c r="A310" s="555">
        <f>A309+0.1</f>
        <v>6.1</v>
      </c>
      <c r="B310" s="563" t="s">
        <v>545</v>
      </c>
      <c r="C310" s="558">
        <v>313.8</v>
      </c>
      <c r="D310" s="558" t="s">
        <v>300</v>
      </c>
      <c r="E310" s="486" t="e">
        <f>VLOOKUP(B310,#REF!,7,FALSE)</f>
        <v>#REF!</v>
      </c>
      <c r="F310" s="479" t="e">
        <f>+ROUND(E310*C310,2)</f>
        <v>#REF!</v>
      </c>
      <c r="H310" s="833"/>
      <c r="I310" s="833"/>
    </row>
    <row r="311" spans="1:9" s="541" customFormat="1">
      <c r="A311" s="555">
        <f>A310+0.1</f>
        <v>6.2</v>
      </c>
      <c r="B311" s="563" t="s">
        <v>546</v>
      </c>
      <c r="C311" s="558">
        <v>313.8</v>
      </c>
      <c r="D311" s="558" t="s">
        <v>300</v>
      </c>
      <c r="E311" s="486" t="e">
        <f>VLOOKUP(B311,#REF!,7,FALSE)</f>
        <v>#REF!</v>
      </c>
      <c r="F311" s="479" t="e">
        <f>+ROUND(E311*C311,2)</f>
        <v>#REF!</v>
      </c>
      <c r="H311" s="833"/>
      <c r="I311" s="833"/>
    </row>
    <row r="312" spans="1:9" s="541" customFormat="1">
      <c r="A312" s="571"/>
      <c r="B312" s="563"/>
      <c r="C312" s="558"/>
      <c r="D312" s="558"/>
      <c r="E312" s="486"/>
      <c r="F312" s="486"/>
      <c r="H312" s="833"/>
      <c r="I312" s="833"/>
    </row>
    <row r="313" spans="1:9" s="541" customFormat="1">
      <c r="A313" s="498">
        <f>A309+1</f>
        <v>7</v>
      </c>
      <c r="B313" s="562" t="s">
        <v>547</v>
      </c>
      <c r="C313" s="577"/>
      <c r="D313" s="558"/>
      <c r="E313" s="486"/>
      <c r="F313" s="486"/>
      <c r="H313" s="833"/>
      <c r="I313" s="833"/>
    </row>
    <row r="314" spans="1:9" s="541" customFormat="1">
      <c r="A314" s="555">
        <f>A313+0.1</f>
        <v>7.1</v>
      </c>
      <c r="B314" s="561" t="s">
        <v>548</v>
      </c>
      <c r="C314" s="581">
        <v>20.399999999999999</v>
      </c>
      <c r="D314" s="560" t="s">
        <v>15</v>
      </c>
      <c r="E314" s="486" t="e">
        <f>VLOOKUP(B314,#REF!,7,FALSE)</f>
        <v>#REF!</v>
      </c>
      <c r="F314" s="479" t="e">
        <f>+ROUND(E314*C314,2)</f>
        <v>#REF!</v>
      </c>
      <c r="H314" s="833"/>
      <c r="I314" s="833"/>
    </row>
    <row r="315" spans="1:9" s="541" customFormat="1">
      <c r="A315" s="555">
        <f>A314+0.1</f>
        <v>7.2</v>
      </c>
      <c r="B315" s="563" t="s">
        <v>549</v>
      </c>
      <c r="C315" s="577">
        <v>6</v>
      </c>
      <c r="D315" s="558" t="s">
        <v>15</v>
      </c>
      <c r="E315" s="486" t="e">
        <f>VLOOKUP(B315,#REF!,7,FALSE)</f>
        <v>#REF!</v>
      </c>
      <c r="F315" s="479" t="e">
        <f>+ROUND(E315*C315,2)</f>
        <v>#REF!</v>
      </c>
      <c r="H315" s="833"/>
      <c r="I315" s="833"/>
    </row>
    <row r="316" spans="1:9" s="541" customFormat="1">
      <c r="A316" s="565"/>
      <c r="B316" s="566" t="s">
        <v>550</v>
      </c>
      <c r="C316" s="567"/>
      <c r="D316" s="568"/>
      <c r="E316" s="569"/>
      <c r="F316" s="570" t="e">
        <f>SUM(F285:F315)</f>
        <v>#REF!</v>
      </c>
    </row>
    <row r="317" spans="1:9" s="541" customFormat="1">
      <c r="A317" s="509"/>
      <c r="B317" s="510"/>
      <c r="C317" s="511"/>
      <c r="D317" s="512"/>
      <c r="E317" s="486"/>
      <c r="F317" s="486"/>
    </row>
    <row r="318" spans="1:9" s="541" customFormat="1">
      <c r="A318" s="893"/>
      <c r="B318" s="894" t="s">
        <v>556</v>
      </c>
      <c r="C318" s="895"/>
      <c r="D318" s="896"/>
      <c r="E318" s="897"/>
      <c r="F318" s="898" t="e">
        <f>F316+F281</f>
        <v>#REF!</v>
      </c>
    </row>
    <row r="319" spans="1:9" s="541" customFormat="1">
      <c r="A319" s="528"/>
      <c r="B319" s="518"/>
      <c r="C319" s="506"/>
      <c r="D319" s="521"/>
      <c r="E319" s="522"/>
      <c r="F319" s="516"/>
    </row>
    <row r="320" spans="1:9" s="541" customFormat="1">
      <c r="A320" s="504" t="s">
        <v>557</v>
      </c>
      <c r="B320" s="774" t="s">
        <v>903</v>
      </c>
      <c r="C320" s="506"/>
      <c r="D320" s="507"/>
      <c r="E320" s="508"/>
      <c r="F320" s="508"/>
    </row>
    <row r="321" spans="1:6" s="541" customFormat="1">
      <c r="A321" s="504"/>
      <c r="B321" s="774"/>
      <c r="C321" s="506"/>
      <c r="D321" s="507"/>
      <c r="E321" s="508"/>
      <c r="F321" s="508"/>
    </row>
    <row r="322" spans="1:6" s="541" customFormat="1">
      <c r="A322" s="524">
        <v>1</v>
      </c>
      <c r="B322" s="774" t="s">
        <v>420</v>
      </c>
      <c r="C322" s="506"/>
      <c r="D322" s="507"/>
      <c r="E322" s="508"/>
      <c r="F322" s="775"/>
    </row>
    <row r="323" spans="1:6" s="541" customFormat="1">
      <c r="A323" s="525">
        <f>A322+0.1</f>
        <v>1.1000000000000001</v>
      </c>
      <c r="B323" s="526" t="s">
        <v>507</v>
      </c>
      <c r="C323" s="506">
        <v>1</v>
      </c>
      <c r="D323" s="507" t="s">
        <v>500</v>
      </c>
      <c r="E323" s="920" t="e">
        <f>VLOOKUP(B323,#REF!,7,FALSE)</f>
        <v>#REF!</v>
      </c>
      <c r="F323" s="776" t="e">
        <f>ROUND(C323*E323,2)</f>
        <v>#REF!</v>
      </c>
    </row>
    <row r="324" spans="1:6" s="541" customFormat="1">
      <c r="A324" s="777"/>
      <c r="B324" s="774"/>
      <c r="C324" s="506"/>
      <c r="D324" s="507"/>
      <c r="E324" s="508"/>
      <c r="F324" s="776"/>
    </row>
    <row r="325" spans="1:6" s="541" customFormat="1">
      <c r="A325" s="524">
        <f>A322+1</f>
        <v>2</v>
      </c>
      <c r="B325" s="774" t="s">
        <v>296</v>
      </c>
      <c r="C325" s="506"/>
      <c r="D325" s="507"/>
      <c r="E325" s="508"/>
      <c r="F325" s="776"/>
    </row>
    <row r="326" spans="1:6" s="541" customFormat="1">
      <c r="A326" s="525">
        <f>A325+0.1</f>
        <v>2.1</v>
      </c>
      <c r="B326" s="526" t="s">
        <v>558</v>
      </c>
      <c r="C326" s="506">
        <v>41.26</v>
      </c>
      <c r="D326" s="507" t="s">
        <v>364</v>
      </c>
      <c r="E326" s="508" t="e">
        <f>VLOOKUP(B326,#REF!,7,FALSE)</f>
        <v>#REF!</v>
      </c>
      <c r="F326" s="776" t="e">
        <f>ROUND(C326*E326,2)</f>
        <v>#REF!</v>
      </c>
    </row>
    <row r="327" spans="1:6" s="541" customFormat="1">
      <c r="A327" s="525">
        <f>A326+0.1</f>
        <v>2.2000000000000002</v>
      </c>
      <c r="B327" s="661" t="s">
        <v>812</v>
      </c>
      <c r="C327" s="506">
        <v>20.63</v>
      </c>
      <c r="D327" s="507" t="s">
        <v>426</v>
      </c>
      <c r="E327" s="508" t="e">
        <f>VLOOKUP(B327,#REF!,7,FALSE)</f>
        <v>#REF!</v>
      </c>
      <c r="F327" s="776" t="e">
        <f>ROUND(C327*E327,2)</f>
        <v>#REF!</v>
      </c>
    </row>
    <row r="328" spans="1:6" s="541" customFormat="1">
      <c r="A328" s="525">
        <f>A327+0.1</f>
        <v>2.2999999999999998</v>
      </c>
      <c r="B328" s="526" t="s">
        <v>509</v>
      </c>
      <c r="C328" s="506">
        <v>20.63</v>
      </c>
      <c r="D328" s="507" t="s">
        <v>367</v>
      </c>
      <c r="E328" s="508" t="e">
        <f>VLOOKUP(B328,#REF!,7,FALSE)</f>
        <v>#REF!</v>
      </c>
      <c r="F328" s="776" t="e">
        <f>ROUND(C328*E328,2)</f>
        <v>#REF!</v>
      </c>
    </row>
    <row r="329" spans="1:6" s="541" customFormat="1">
      <c r="A329" s="539"/>
      <c r="B329" s="526"/>
      <c r="C329" s="506"/>
      <c r="D329" s="507"/>
      <c r="E329" s="508"/>
      <c r="F329" s="776"/>
    </row>
    <row r="330" spans="1:6" s="541" customFormat="1">
      <c r="A330" s="524">
        <f>A325+1</f>
        <v>3</v>
      </c>
      <c r="B330" s="774" t="s">
        <v>510</v>
      </c>
      <c r="C330" s="506"/>
      <c r="D330" s="507"/>
      <c r="E330" s="508"/>
      <c r="F330" s="776"/>
    </row>
    <row r="331" spans="1:6" s="541" customFormat="1">
      <c r="A331" s="525">
        <f>A330+0.1</f>
        <v>3.1</v>
      </c>
      <c r="B331" s="526" t="s">
        <v>559</v>
      </c>
      <c r="C331" s="506">
        <v>7.2</v>
      </c>
      <c r="D331" s="507" t="s">
        <v>298</v>
      </c>
      <c r="E331" s="508" t="e">
        <f>VLOOKUP(B331,#REF!,7,FALSE)</f>
        <v>#REF!</v>
      </c>
      <c r="F331" s="776" t="e">
        <f>ROUND(C331*E331,2)</f>
        <v>#REF!</v>
      </c>
    </row>
    <row r="332" spans="1:6" s="541" customFormat="1">
      <c r="A332" s="525">
        <f>A331+0.1</f>
        <v>3.2</v>
      </c>
      <c r="B332" s="526" t="s">
        <v>560</v>
      </c>
      <c r="C332" s="506">
        <v>11.61</v>
      </c>
      <c r="D332" s="507" t="s">
        <v>298</v>
      </c>
      <c r="E332" s="508" t="e">
        <f>VLOOKUP(B332,#REF!,7,FALSE)</f>
        <v>#REF!</v>
      </c>
      <c r="F332" s="776" t="e">
        <f>ROUND(C332*E332,2)</f>
        <v>#REF!</v>
      </c>
    </row>
    <row r="333" spans="1:6" s="541" customFormat="1">
      <c r="A333" s="525">
        <f>A332+0.1</f>
        <v>3.3</v>
      </c>
      <c r="B333" s="526" t="s">
        <v>561</v>
      </c>
      <c r="C333" s="506">
        <v>37.76</v>
      </c>
      <c r="D333" s="507" t="s">
        <v>298</v>
      </c>
      <c r="E333" s="508" t="e">
        <f>VLOOKUP(B333,#REF!,7,FALSE)</f>
        <v>#REF!</v>
      </c>
      <c r="F333" s="776" t="e">
        <f>ROUND(C333*E333,2)</f>
        <v>#REF!</v>
      </c>
    </row>
    <row r="334" spans="1:6" s="541" customFormat="1">
      <c r="A334" s="525">
        <f>A333+0.1</f>
        <v>3.4</v>
      </c>
      <c r="B334" s="526" t="s">
        <v>562</v>
      </c>
      <c r="C334" s="506">
        <v>35.229999999999997</v>
      </c>
      <c r="D334" s="507" t="s">
        <v>298</v>
      </c>
      <c r="E334" s="508" t="e">
        <f>VLOOKUP(B334,#REF!,7,FALSE)</f>
        <v>#REF!</v>
      </c>
      <c r="F334" s="776" t="e">
        <f>ROUND(C334*E334,2)</f>
        <v>#REF!</v>
      </c>
    </row>
    <row r="335" spans="1:6" s="541" customFormat="1">
      <c r="A335" s="539"/>
      <c r="B335" s="526"/>
      <c r="C335" s="506"/>
      <c r="D335" s="507"/>
      <c r="E335" s="508"/>
      <c r="F335" s="776"/>
    </row>
    <row r="336" spans="1:6" s="541" customFormat="1">
      <c r="A336" s="524">
        <f>A330+1</f>
        <v>4</v>
      </c>
      <c r="B336" s="774" t="s">
        <v>516</v>
      </c>
      <c r="C336" s="506"/>
      <c r="D336" s="507"/>
      <c r="E336" s="508"/>
      <c r="F336" s="776"/>
    </row>
    <row r="337" spans="1:6" s="541" customFormat="1">
      <c r="A337" s="525">
        <f>A336+0.1</f>
        <v>4.0999999999999996</v>
      </c>
      <c r="B337" s="526" t="s">
        <v>563</v>
      </c>
      <c r="C337" s="506">
        <v>274.56</v>
      </c>
      <c r="D337" s="507" t="s">
        <v>300</v>
      </c>
      <c r="E337" s="508" t="e">
        <f>VLOOKUP(B337,#REF!,7,FALSE)</f>
        <v>#REF!</v>
      </c>
      <c r="F337" s="776" t="e">
        <f>ROUND(C337*E337,2)</f>
        <v>#REF!</v>
      </c>
    </row>
    <row r="338" spans="1:6" s="541" customFormat="1">
      <c r="A338" s="525">
        <f t="shared" ref="A338:A345" si="10">A337+0.1</f>
        <v>4.2</v>
      </c>
      <c r="B338" s="526" t="s">
        <v>519</v>
      </c>
      <c r="C338" s="506">
        <v>274.56</v>
      </c>
      <c r="D338" s="507" t="s">
        <v>300</v>
      </c>
      <c r="E338" s="508" t="e">
        <f>VLOOKUP(B338,#REF!,7,FALSE)</f>
        <v>#REF!</v>
      </c>
      <c r="F338" s="776"/>
    </row>
    <row r="339" spans="1:6" s="541" customFormat="1">
      <c r="A339" s="525">
        <f t="shared" si="10"/>
        <v>4.3</v>
      </c>
      <c r="B339" s="526" t="s">
        <v>564</v>
      </c>
      <c r="C339" s="506">
        <v>274.56</v>
      </c>
      <c r="D339" s="507" t="s">
        <v>300</v>
      </c>
      <c r="E339" s="508" t="e">
        <f>VLOOKUP(B339,#REF!,7,FALSE)</f>
        <v>#REF!</v>
      </c>
      <c r="F339" s="776" t="e">
        <f t="shared" ref="F339:F345" si="11">ROUND(C339*E339,2)</f>
        <v>#REF!</v>
      </c>
    </row>
    <row r="340" spans="1:6" s="541" customFormat="1" ht="40.5" customHeight="1">
      <c r="A340" s="525">
        <f t="shared" si="10"/>
        <v>4.4000000000000004</v>
      </c>
      <c r="B340" s="526" t="s">
        <v>565</v>
      </c>
      <c r="C340" s="506">
        <v>24</v>
      </c>
      <c r="D340" s="507" t="s">
        <v>10</v>
      </c>
      <c r="E340" s="508" t="e">
        <f>VLOOKUP(B340,#REF!,7,FALSE)</f>
        <v>#REF!</v>
      </c>
      <c r="F340" s="776" t="e">
        <f t="shared" si="11"/>
        <v>#REF!</v>
      </c>
    </row>
    <row r="341" spans="1:6" s="541" customFormat="1" ht="38.25">
      <c r="A341" s="525">
        <f t="shared" si="10"/>
        <v>4.5</v>
      </c>
      <c r="B341" s="526" t="s">
        <v>566</v>
      </c>
      <c r="C341" s="506">
        <v>24</v>
      </c>
      <c r="D341" s="507" t="s">
        <v>10</v>
      </c>
      <c r="E341" s="508" t="e">
        <f>VLOOKUP(B341,#REF!,7,FALSE)</f>
        <v>#REF!</v>
      </c>
      <c r="F341" s="776" t="e">
        <f t="shared" si="11"/>
        <v>#REF!</v>
      </c>
    </row>
    <row r="342" spans="1:6" s="541" customFormat="1">
      <c r="A342" s="525">
        <f t="shared" si="10"/>
        <v>4.5999999999999996</v>
      </c>
      <c r="B342" s="526" t="s">
        <v>544</v>
      </c>
      <c r="C342" s="506">
        <v>427.68</v>
      </c>
      <c r="D342" s="507" t="s">
        <v>15</v>
      </c>
      <c r="E342" s="508" t="e">
        <f>VLOOKUP(B342,#REF!,7,FALSE)</f>
        <v>#REF!</v>
      </c>
      <c r="F342" s="776" t="e">
        <f t="shared" si="11"/>
        <v>#REF!</v>
      </c>
    </row>
    <row r="343" spans="1:6" s="541" customFormat="1">
      <c r="A343" s="525">
        <f t="shared" si="10"/>
        <v>4.7</v>
      </c>
      <c r="B343" s="526" t="s">
        <v>567</v>
      </c>
      <c r="C343" s="506">
        <v>106.92</v>
      </c>
      <c r="D343" s="507" t="s">
        <v>15</v>
      </c>
      <c r="E343" s="508" t="e">
        <f>VLOOKUP(B343,#REF!,7,FALSE)</f>
        <v>#REF!</v>
      </c>
      <c r="F343" s="776" t="e">
        <f t="shared" si="11"/>
        <v>#REF!</v>
      </c>
    </row>
    <row r="344" spans="1:6" s="541" customFormat="1">
      <c r="A344" s="525">
        <f t="shared" si="10"/>
        <v>4.8</v>
      </c>
      <c r="B344" s="519" t="s">
        <v>568</v>
      </c>
      <c r="C344" s="506">
        <v>24</v>
      </c>
      <c r="D344" s="507" t="s">
        <v>10</v>
      </c>
      <c r="E344" s="920" t="e">
        <f>VLOOKUP(B344,#REF!,7,FALSE)</f>
        <v>#REF!</v>
      </c>
      <c r="F344" s="776" t="e">
        <f t="shared" si="11"/>
        <v>#REF!</v>
      </c>
    </row>
    <row r="345" spans="1:6" s="541" customFormat="1">
      <c r="A345" s="525">
        <f t="shared" si="10"/>
        <v>4.9000000000000004</v>
      </c>
      <c r="B345" s="519" t="s">
        <v>569</v>
      </c>
      <c r="C345" s="506">
        <v>112.27</v>
      </c>
      <c r="D345" s="507" t="s">
        <v>300</v>
      </c>
      <c r="E345" s="508" t="e">
        <f>VLOOKUP(B345,#REF!,7,FALSE)</f>
        <v>#REF!</v>
      </c>
      <c r="F345" s="776" t="e">
        <f t="shared" si="11"/>
        <v>#REF!</v>
      </c>
    </row>
    <row r="346" spans="1:6" s="541" customFormat="1">
      <c r="A346" s="859"/>
      <c r="B346" s="848"/>
      <c r="C346" s="860"/>
      <c r="D346" s="861"/>
      <c r="E346" s="849"/>
      <c r="F346" s="862"/>
    </row>
    <row r="347" spans="1:6" s="541" customFormat="1">
      <c r="A347" s="524">
        <f>A336+1</f>
        <v>5</v>
      </c>
      <c r="B347" s="774" t="s">
        <v>570</v>
      </c>
      <c r="C347" s="506"/>
      <c r="D347" s="507"/>
      <c r="E347" s="508"/>
      <c r="F347" s="776"/>
    </row>
    <row r="348" spans="1:6" s="541" customFormat="1">
      <c r="A348" s="525">
        <f t="shared" ref="A348:A353" si="12">A347+0.1</f>
        <v>5.0999999999999996</v>
      </c>
      <c r="B348" s="526" t="s">
        <v>571</v>
      </c>
      <c r="C348" s="506">
        <v>48</v>
      </c>
      <c r="D348" s="507" t="s">
        <v>10</v>
      </c>
      <c r="E348" s="920">
        <v>1</v>
      </c>
      <c r="F348" s="776">
        <f>ROUND(C348*E348,2)</f>
        <v>48</v>
      </c>
    </row>
    <row r="349" spans="1:6" s="541" customFormat="1">
      <c r="A349" s="525">
        <f t="shared" si="12"/>
        <v>5.2</v>
      </c>
      <c r="B349" s="526" t="s">
        <v>572</v>
      </c>
      <c r="C349" s="506">
        <v>8</v>
      </c>
      <c r="D349" s="507" t="s">
        <v>10</v>
      </c>
      <c r="E349" s="920">
        <v>1</v>
      </c>
      <c r="F349" s="776">
        <f>ROUND(C349*E349,2)</f>
        <v>8</v>
      </c>
    </row>
    <row r="350" spans="1:6" s="541" customFormat="1">
      <c r="A350" s="525">
        <f t="shared" si="12"/>
        <v>5.3</v>
      </c>
      <c r="B350" s="526" t="s">
        <v>573</v>
      </c>
      <c r="C350" s="506">
        <v>4</v>
      </c>
      <c r="D350" s="507" t="s">
        <v>10</v>
      </c>
      <c r="E350" s="920">
        <v>1</v>
      </c>
      <c r="F350" s="776">
        <f>ROUND(C350*E350,2)</f>
        <v>4</v>
      </c>
    </row>
    <row r="351" spans="1:6" s="541" customFormat="1">
      <c r="A351" s="525">
        <f t="shared" si="12"/>
        <v>5.4</v>
      </c>
      <c r="B351" s="526" t="s">
        <v>574</v>
      </c>
      <c r="C351" s="506">
        <v>245.76</v>
      </c>
      <c r="D351" s="507" t="s">
        <v>300</v>
      </c>
      <c r="E351" s="920">
        <v>1</v>
      </c>
      <c r="F351" s="776">
        <f>ROUND(C351*E351,2)</f>
        <v>245.76</v>
      </c>
    </row>
    <row r="352" spans="1:6" s="541" customFormat="1">
      <c r="A352" s="525">
        <f t="shared" si="12"/>
        <v>5.5</v>
      </c>
      <c r="B352" s="526" t="s">
        <v>575</v>
      </c>
      <c r="C352" s="506">
        <v>245.76</v>
      </c>
      <c r="D352" s="507" t="s">
        <v>300</v>
      </c>
      <c r="E352" s="920">
        <v>1</v>
      </c>
      <c r="F352" s="776">
        <f>ROUND(C352*E352,2)</f>
        <v>245.76</v>
      </c>
    </row>
    <row r="353" spans="1:10" s="541" customFormat="1">
      <c r="A353" s="525">
        <f t="shared" si="12"/>
        <v>5.6</v>
      </c>
      <c r="B353" s="526" t="s">
        <v>576</v>
      </c>
      <c r="C353" s="506"/>
      <c r="D353" s="507"/>
      <c r="E353" s="508"/>
      <c r="F353" s="776"/>
    </row>
    <row r="354" spans="1:10" s="541" customFormat="1">
      <c r="A354" s="539"/>
      <c r="B354" s="526"/>
      <c r="C354" s="506"/>
      <c r="D354" s="507"/>
      <c r="E354" s="508"/>
      <c r="F354" s="776"/>
      <c r="J354" s="582"/>
    </row>
    <row r="355" spans="1:10" s="541" customFormat="1">
      <c r="A355" s="524">
        <f>A347+1</f>
        <v>6</v>
      </c>
      <c r="B355" s="774" t="s">
        <v>577</v>
      </c>
      <c r="C355" s="506"/>
      <c r="D355" s="507"/>
      <c r="E355" s="508"/>
      <c r="F355" s="776"/>
    </row>
    <row r="356" spans="1:10" s="541" customFormat="1">
      <c r="A356" s="778">
        <f>A355+0.1</f>
        <v>6.1</v>
      </c>
      <c r="B356" s="526" t="s">
        <v>578</v>
      </c>
      <c r="C356" s="506">
        <v>106.92</v>
      </c>
      <c r="D356" s="507" t="s">
        <v>15</v>
      </c>
      <c r="E356" s="508" t="e">
        <f>VLOOKUP(B356,#REF!,7,FALSE)</f>
        <v>#REF!</v>
      </c>
      <c r="F356" s="776" t="e">
        <f>ROUND(C356*E356,2)</f>
        <v>#REF!</v>
      </c>
    </row>
    <row r="357" spans="1:10" s="541" customFormat="1">
      <c r="A357" s="778">
        <f>A356+0.1</f>
        <v>6.2</v>
      </c>
      <c r="B357" s="526" t="s">
        <v>579</v>
      </c>
      <c r="C357" s="506">
        <v>1</v>
      </c>
      <c r="D357" s="507" t="s">
        <v>500</v>
      </c>
      <c r="E357" s="508" t="e">
        <f>VLOOKUP(B357,#REF!,7,FALSE)</f>
        <v>#REF!</v>
      </c>
      <c r="F357" s="776" t="e">
        <f>ROUND(C357*E357,2)</f>
        <v>#REF!</v>
      </c>
    </row>
    <row r="358" spans="1:10" s="541" customFormat="1">
      <c r="A358" s="543"/>
      <c r="B358" s="544" t="s">
        <v>580</v>
      </c>
      <c r="C358" s="545"/>
      <c r="D358" s="546"/>
      <c r="E358" s="547"/>
      <c r="F358" s="548" t="e">
        <f>SUM(F322:F357)</f>
        <v>#REF!</v>
      </c>
      <c r="G358" s="782"/>
    </row>
    <row r="359" spans="1:10" s="541" customFormat="1">
      <c r="A359" s="583"/>
      <c r="B359" s="500"/>
      <c r="C359" s="584"/>
      <c r="D359" s="585"/>
      <c r="E359" s="586"/>
      <c r="F359" s="587"/>
    </row>
    <row r="360" spans="1:10" s="541" customFormat="1">
      <c r="A360" s="509"/>
      <c r="B360" s="510"/>
      <c r="C360" s="511"/>
      <c r="D360" s="512"/>
      <c r="E360" s="486"/>
      <c r="F360" s="486"/>
    </row>
    <row r="361" spans="1:10" ht="15" customHeight="1">
      <c r="A361" s="837" t="s">
        <v>581</v>
      </c>
      <c r="B361" s="550" t="s">
        <v>582</v>
      </c>
      <c r="C361" s="597"/>
      <c r="D361" s="521"/>
      <c r="E361" s="508"/>
      <c r="F361" s="508"/>
    </row>
    <row r="362" spans="1:10">
      <c r="A362" s="509"/>
      <c r="B362" s="510"/>
      <c r="C362" s="511"/>
      <c r="D362" s="512"/>
      <c r="E362" s="486"/>
      <c r="F362" s="486"/>
    </row>
    <row r="363" spans="1:10">
      <c r="A363" s="588">
        <v>1</v>
      </c>
      <c r="B363" s="589" t="s">
        <v>420</v>
      </c>
      <c r="C363" s="511"/>
      <c r="D363" s="512"/>
      <c r="E363" s="486"/>
      <c r="F363" s="486"/>
    </row>
    <row r="364" spans="1:10">
      <c r="A364" s="590">
        <f>A363+0.1</f>
        <v>1.1000000000000001</v>
      </c>
      <c r="B364" s="591" t="s">
        <v>583</v>
      </c>
      <c r="C364" s="592">
        <v>66</v>
      </c>
      <c r="D364" s="512" t="s">
        <v>364</v>
      </c>
      <c r="E364" s="486" t="e">
        <f>VLOOKUP(B364,#REF!,7,FALSE)</f>
        <v>#REF!</v>
      </c>
      <c r="F364" s="479" t="e">
        <f>+ROUND(E364*C364,2)</f>
        <v>#REF!</v>
      </c>
    </row>
    <row r="365" spans="1:10">
      <c r="A365" s="590">
        <f>A364+0.1</f>
        <v>1.2</v>
      </c>
      <c r="B365" s="591" t="s">
        <v>509</v>
      </c>
      <c r="C365" s="592">
        <v>85.8</v>
      </c>
      <c r="D365" s="512" t="s">
        <v>426</v>
      </c>
      <c r="E365" s="486" t="e">
        <f>VLOOKUP(B365,#REF!,7,FALSE)</f>
        <v>#REF!</v>
      </c>
      <c r="F365" s="479" t="e">
        <f>+ROUND(E365*C365,2)</f>
        <v>#REF!</v>
      </c>
    </row>
    <row r="366" spans="1:10">
      <c r="A366" s="590">
        <f>A365+0.1</f>
        <v>1.3</v>
      </c>
      <c r="B366" s="591" t="s">
        <v>584</v>
      </c>
      <c r="C366" s="592">
        <v>113</v>
      </c>
      <c r="D366" s="512" t="s">
        <v>300</v>
      </c>
      <c r="E366" s="486" t="e">
        <f>VLOOKUP(B366,#REF!,7,FALSE)</f>
        <v>#REF!</v>
      </c>
      <c r="F366" s="479" t="e">
        <f>+ROUND(E366*C366,2)</f>
        <v>#REF!</v>
      </c>
    </row>
    <row r="367" spans="1:10">
      <c r="A367" s="590">
        <f>A366+0.1</f>
        <v>1.4</v>
      </c>
      <c r="B367" s="591" t="s">
        <v>585</v>
      </c>
      <c r="C367" s="592">
        <v>35.69</v>
      </c>
      <c r="D367" s="512" t="s">
        <v>300</v>
      </c>
      <c r="E367" s="486" t="e">
        <f>VLOOKUP(B367,#REF!,7,FALSE)</f>
        <v>#REF!</v>
      </c>
      <c r="F367" s="479" t="e">
        <f>+ROUND(E367*C367,2)</f>
        <v>#REF!</v>
      </c>
    </row>
    <row r="368" spans="1:10">
      <c r="A368" s="590">
        <f>A367+0.1</f>
        <v>1.5</v>
      </c>
      <c r="B368" s="591" t="s">
        <v>586</v>
      </c>
      <c r="C368" s="592">
        <v>165</v>
      </c>
      <c r="D368" s="512" t="s">
        <v>300</v>
      </c>
      <c r="E368" s="486" t="e">
        <f>VLOOKUP(B368,#REF!,7,FALSE)</f>
        <v>#REF!</v>
      </c>
      <c r="F368" s="479" t="e">
        <f>+ROUND(E368*C368,2)</f>
        <v>#REF!</v>
      </c>
    </row>
    <row r="369" spans="1:6">
      <c r="A369" s="591"/>
      <c r="B369" s="591"/>
      <c r="C369" s="511"/>
      <c r="D369" s="512"/>
      <c r="E369" s="486"/>
      <c r="F369" s="486"/>
    </row>
    <row r="370" spans="1:6">
      <c r="A370" s="588">
        <f>A363+1</f>
        <v>2</v>
      </c>
      <c r="B370" s="589" t="s">
        <v>23</v>
      </c>
      <c r="C370" s="511"/>
      <c r="D370" s="512"/>
      <c r="E370" s="486"/>
      <c r="F370" s="486"/>
    </row>
    <row r="371" spans="1:6">
      <c r="A371" s="590">
        <f>A370+0.1</f>
        <v>2.1</v>
      </c>
      <c r="B371" s="591" t="s">
        <v>587</v>
      </c>
      <c r="C371" s="592">
        <v>29.23</v>
      </c>
      <c r="D371" s="512" t="s">
        <v>367</v>
      </c>
      <c r="E371" s="486" t="e">
        <f>VLOOKUP(B371,#REF!,7,FALSE)</f>
        <v>#REF!</v>
      </c>
      <c r="F371" s="479" t="e">
        <f>+ROUND(E371*C371,2)</f>
        <v>#REF!</v>
      </c>
    </row>
    <row r="372" spans="1:6">
      <c r="A372" s="590">
        <f>A371+0.1</f>
        <v>2.2000000000000002</v>
      </c>
      <c r="B372" s="591" t="s">
        <v>450</v>
      </c>
      <c r="C372" s="592">
        <v>32.479999999999997</v>
      </c>
      <c r="D372" s="512" t="s">
        <v>426</v>
      </c>
      <c r="E372" s="486" t="e">
        <f>#REF!</f>
        <v>#REF!</v>
      </c>
      <c r="F372" s="479" t="e">
        <f>+ROUND(E372*C372,2)</f>
        <v>#REF!</v>
      </c>
    </row>
    <row r="373" spans="1:6">
      <c r="A373" s="590">
        <f>A372+0.1</f>
        <v>2.2999999999999998</v>
      </c>
      <c r="B373" s="591" t="s">
        <v>588</v>
      </c>
      <c r="C373" s="592">
        <v>15.06</v>
      </c>
      <c r="D373" s="512" t="s">
        <v>298</v>
      </c>
      <c r="E373" s="486" t="e">
        <f>VLOOKUP(B373,#REF!,7,FALSE)</f>
        <v>#REF!</v>
      </c>
      <c r="F373" s="479" t="e">
        <f>+ROUND(E373*C373,2)</f>
        <v>#REF!</v>
      </c>
    </row>
    <row r="374" spans="1:6">
      <c r="A374" s="590">
        <f>A373+0.1</f>
        <v>2.4</v>
      </c>
      <c r="B374" s="591" t="s">
        <v>509</v>
      </c>
      <c r="C374" s="592">
        <v>15.04</v>
      </c>
      <c r="D374" s="512" t="s">
        <v>367</v>
      </c>
      <c r="E374" s="486" t="e">
        <f>VLOOKUP(B374,#REF!,7,FALSE)</f>
        <v>#REF!</v>
      </c>
      <c r="F374" s="479" t="e">
        <f>+ROUND(E374*C374,2)</f>
        <v>#REF!</v>
      </c>
    </row>
    <row r="375" spans="1:6">
      <c r="A375" s="591"/>
      <c r="B375" s="591"/>
      <c r="C375" s="511"/>
      <c r="D375" s="512"/>
      <c r="E375" s="486"/>
      <c r="F375" s="486"/>
    </row>
    <row r="376" spans="1:6">
      <c r="A376" s="588">
        <f>A370+1</f>
        <v>3</v>
      </c>
      <c r="B376" s="589" t="s">
        <v>510</v>
      </c>
      <c r="C376" s="511"/>
      <c r="D376" s="512"/>
      <c r="E376" s="486"/>
      <c r="F376" s="486"/>
    </row>
    <row r="377" spans="1:6">
      <c r="A377" s="590">
        <f>A376+0.1</f>
        <v>3.1</v>
      </c>
      <c r="B377" s="591" t="s">
        <v>589</v>
      </c>
      <c r="C377" s="592">
        <v>10.35</v>
      </c>
      <c r="D377" s="512" t="s">
        <v>298</v>
      </c>
      <c r="E377" s="486" t="e">
        <f>VLOOKUP(B377,#REF!,7,FALSE)</f>
        <v>#REF!</v>
      </c>
      <c r="F377" s="479" t="e">
        <f t="shared" ref="F377:F389" si="13">+ROUND(E377*C377,2)</f>
        <v>#REF!</v>
      </c>
    </row>
    <row r="378" spans="1:6">
      <c r="A378" s="590">
        <f t="shared" ref="A378:A385" si="14">A377+0.1</f>
        <v>3.2</v>
      </c>
      <c r="B378" s="591" t="s">
        <v>590</v>
      </c>
      <c r="C378" s="592">
        <v>0.42</v>
      </c>
      <c r="D378" s="512" t="s">
        <v>298</v>
      </c>
      <c r="E378" s="486" t="e">
        <f>VLOOKUP(B378,#REF!,7,FALSE)</f>
        <v>#REF!</v>
      </c>
      <c r="F378" s="479" t="e">
        <f t="shared" si="13"/>
        <v>#REF!</v>
      </c>
    </row>
    <row r="379" spans="1:6">
      <c r="A379" s="590">
        <f t="shared" si="14"/>
        <v>3.3</v>
      </c>
      <c r="B379" s="591" t="s">
        <v>591</v>
      </c>
      <c r="C379" s="592">
        <v>0.8</v>
      </c>
      <c r="D379" s="512" t="s">
        <v>298</v>
      </c>
      <c r="E379" s="486" t="e">
        <f>VLOOKUP(B379,#REF!,7,FALSE)</f>
        <v>#REF!</v>
      </c>
      <c r="F379" s="479" t="e">
        <f t="shared" si="13"/>
        <v>#REF!</v>
      </c>
    </row>
    <row r="380" spans="1:6">
      <c r="A380" s="590">
        <f t="shared" si="14"/>
        <v>3.4</v>
      </c>
      <c r="B380" s="591" t="s">
        <v>592</v>
      </c>
      <c r="C380" s="592">
        <v>1.05</v>
      </c>
      <c r="D380" s="512" t="s">
        <v>298</v>
      </c>
      <c r="E380" s="486" t="e">
        <f>VLOOKUP(B380,#REF!,7,FALSE)</f>
        <v>#REF!</v>
      </c>
      <c r="F380" s="479" t="e">
        <f t="shared" si="13"/>
        <v>#REF!</v>
      </c>
    </row>
    <row r="381" spans="1:6">
      <c r="A381" s="590">
        <f t="shared" si="14"/>
        <v>3.5</v>
      </c>
      <c r="B381" s="591" t="s">
        <v>593</v>
      </c>
      <c r="C381" s="592">
        <v>0.64</v>
      </c>
      <c r="D381" s="512" t="s">
        <v>298</v>
      </c>
      <c r="E381" s="486" t="e">
        <f>VLOOKUP(B381,#REF!,7,FALSE)</f>
        <v>#REF!</v>
      </c>
      <c r="F381" s="479" t="e">
        <f t="shared" si="13"/>
        <v>#REF!</v>
      </c>
    </row>
    <row r="382" spans="1:6">
      <c r="A382" s="590">
        <f t="shared" si="14"/>
        <v>3.6</v>
      </c>
      <c r="B382" s="591" t="s">
        <v>594</v>
      </c>
      <c r="C382" s="592">
        <v>1.29</v>
      </c>
      <c r="D382" s="512" t="s">
        <v>298</v>
      </c>
      <c r="E382" s="486" t="e">
        <f>VLOOKUP(B382,#REF!,7,FALSE)</f>
        <v>#REF!</v>
      </c>
      <c r="F382" s="479" t="e">
        <f t="shared" si="13"/>
        <v>#REF!</v>
      </c>
    </row>
    <row r="383" spans="1:6">
      <c r="A383" s="590">
        <f t="shared" si="14"/>
        <v>3.7</v>
      </c>
      <c r="B383" s="591" t="s">
        <v>595</v>
      </c>
      <c r="C383" s="592">
        <v>1.29</v>
      </c>
      <c r="D383" s="512" t="s">
        <v>298</v>
      </c>
      <c r="E383" s="486" t="e">
        <f>VLOOKUP(B383,#REF!,7,FALSE)</f>
        <v>#REF!</v>
      </c>
      <c r="F383" s="479" t="e">
        <f t="shared" si="13"/>
        <v>#REF!</v>
      </c>
    </row>
    <row r="384" spans="1:6">
      <c r="A384" s="590">
        <f t="shared" si="14"/>
        <v>3.8</v>
      </c>
      <c r="B384" s="591" t="s">
        <v>596</v>
      </c>
      <c r="C384" s="592">
        <v>0.34</v>
      </c>
      <c r="D384" s="512" t="s">
        <v>298</v>
      </c>
      <c r="E384" s="486" t="e">
        <f>VLOOKUP(B384,#REF!,7,FALSE)</f>
        <v>#REF!</v>
      </c>
      <c r="F384" s="479" t="e">
        <f t="shared" si="13"/>
        <v>#REF!</v>
      </c>
    </row>
    <row r="385" spans="1:6">
      <c r="A385" s="590">
        <f t="shared" si="14"/>
        <v>3.9</v>
      </c>
      <c r="B385" s="591" t="s">
        <v>597</v>
      </c>
      <c r="C385" s="592">
        <v>6.5</v>
      </c>
      <c r="D385" s="512" t="s">
        <v>298</v>
      </c>
      <c r="E385" s="486" t="e">
        <f>VLOOKUP(B385,#REF!,7,FALSE)</f>
        <v>#REF!</v>
      </c>
      <c r="F385" s="479" t="e">
        <f t="shared" si="13"/>
        <v>#REF!</v>
      </c>
    </row>
    <row r="386" spans="1:6">
      <c r="A386" s="593">
        <v>3.1</v>
      </c>
      <c r="B386" s="591" t="s">
        <v>598</v>
      </c>
      <c r="C386" s="592">
        <v>2.41</v>
      </c>
      <c r="D386" s="512" t="s">
        <v>298</v>
      </c>
      <c r="E386" s="486" t="e">
        <f>VLOOKUP(B386,#REF!,7,FALSE)</f>
        <v>#REF!</v>
      </c>
      <c r="F386" s="479" t="e">
        <f t="shared" si="13"/>
        <v>#REF!</v>
      </c>
    </row>
    <row r="387" spans="1:6">
      <c r="A387" s="593">
        <f>A386+0.01</f>
        <v>3.11</v>
      </c>
      <c r="B387" s="591" t="s">
        <v>599</v>
      </c>
      <c r="C387" s="592">
        <v>13</v>
      </c>
      <c r="D387" s="512" t="s">
        <v>298</v>
      </c>
      <c r="E387" s="486" t="e">
        <f>VLOOKUP(B387,#REF!,7,FALSE)</f>
        <v>#REF!</v>
      </c>
      <c r="F387" s="479" t="e">
        <f t="shared" si="13"/>
        <v>#REF!</v>
      </c>
    </row>
    <row r="388" spans="1:6">
      <c r="A388" s="593">
        <f>A387+0.01</f>
        <v>3.12</v>
      </c>
      <c r="B388" s="591" t="s">
        <v>600</v>
      </c>
      <c r="C388" s="592">
        <v>0.32</v>
      </c>
      <c r="D388" s="512" t="s">
        <v>298</v>
      </c>
      <c r="E388" s="486" t="e">
        <f>VLOOKUP(B388,#REF!,7,FALSE)</f>
        <v>#REF!</v>
      </c>
      <c r="F388" s="479" t="e">
        <f t="shared" si="13"/>
        <v>#REF!</v>
      </c>
    </row>
    <row r="389" spans="1:6">
      <c r="A389" s="593">
        <f>A388+0.01</f>
        <v>3.13</v>
      </c>
      <c r="B389" s="591" t="s">
        <v>601</v>
      </c>
      <c r="C389" s="592">
        <v>1.05</v>
      </c>
      <c r="D389" s="512" t="s">
        <v>298</v>
      </c>
      <c r="E389" s="486" t="e">
        <f>VLOOKUP(B389,#REF!,7,FALSE)</f>
        <v>#REF!</v>
      </c>
      <c r="F389" s="479" t="e">
        <f t="shared" si="13"/>
        <v>#REF!</v>
      </c>
    </row>
    <row r="390" spans="1:6">
      <c r="A390" s="863"/>
      <c r="B390" s="864"/>
      <c r="C390" s="865"/>
      <c r="D390" s="866"/>
      <c r="E390" s="857"/>
      <c r="F390" s="857"/>
    </row>
    <row r="391" spans="1:6">
      <c r="A391" s="588">
        <f>A376+1</f>
        <v>4</v>
      </c>
      <c r="B391" s="589" t="s">
        <v>299</v>
      </c>
      <c r="C391" s="511"/>
      <c r="D391" s="512"/>
      <c r="E391" s="486"/>
      <c r="F391" s="486"/>
    </row>
    <row r="392" spans="1:6">
      <c r="A392" s="590">
        <f>A391+0.1</f>
        <v>4.0999999999999996</v>
      </c>
      <c r="B392" s="594" t="s">
        <v>602</v>
      </c>
      <c r="C392" s="592">
        <v>36.79</v>
      </c>
      <c r="D392" s="512" t="s">
        <v>300</v>
      </c>
      <c r="E392" s="486" t="e">
        <f>VLOOKUP(B392,#REF!,7,FALSE)</f>
        <v>#REF!</v>
      </c>
      <c r="F392" s="479" t="e">
        <f>+ROUND(E392*C392,2)</f>
        <v>#REF!</v>
      </c>
    </row>
    <row r="393" spans="1:6">
      <c r="A393" s="590">
        <f>A392+0.1</f>
        <v>4.2</v>
      </c>
      <c r="B393" s="594" t="s">
        <v>603</v>
      </c>
      <c r="C393" s="592">
        <v>232.46</v>
      </c>
      <c r="D393" s="512" t="s">
        <v>300</v>
      </c>
      <c r="E393" s="486" t="e">
        <f>VLOOKUP(B393,#REF!,7,FALSE)</f>
        <v>#REF!</v>
      </c>
      <c r="F393" s="479" t="e">
        <f>+ROUND(E393*C393,2)</f>
        <v>#REF!</v>
      </c>
    </row>
    <row r="394" spans="1:6">
      <c r="A394" s="590">
        <f>A393+0.1</f>
        <v>4.3</v>
      </c>
      <c r="B394" s="594" t="s">
        <v>604</v>
      </c>
      <c r="C394" s="592">
        <v>28.08</v>
      </c>
      <c r="D394" s="512" t="s">
        <v>300</v>
      </c>
      <c r="E394" s="486" t="e">
        <f>VLOOKUP(B394,#REF!,7,FALSE)</f>
        <v>#REF!</v>
      </c>
      <c r="F394" s="479" t="e">
        <f>+ROUND(E394*C394,2)</f>
        <v>#REF!</v>
      </c>
    </row>
    <row r="395" spans="1:6">
      <c r="A395" s="590">
        <f>A394+0.1</f>
        <v>4.4000000000000004</v>
      </c>
      <c r="B395" s="595" t="s">
        <v>605</v>
      </c>
      <c r="C395" s="592">
        <v>45</v>
      </c>
      <c r="D395" s="512" t="s">
        <v>300</v>
      </c>
      <c r="E395" s="486" t="e">
        <f>VLOOKUP(B395,#REF!,7,FALSE)</f>
        <v>#REF!</v>
      </c>
      <c r="F395" s="479" t="e">
        <f>+ROUND(E395*C395,2)</f>
        <v>#REF!</v>
      </c>
    </row>
    <row r="396" spans="1:6">
      <c r="A396" s="591"/>
      <c r="B396" s="591"/>
      <c r="C396" s="511"/>
      <c r="D396" s="512"/>
      <c r="E396" s="486"/>
      <c r="F396" s="486"/>
    </row>
    <row r="397" spans="1:6">
      <c r="A397" s="588">
        <f>A391+1</f>
        <v>5</v>
      </c>
      <c r="B397" s="589" t="s">
        <v>516</v>
      </c>
      <c r="C397" s="511"/>
      <c r="D397" s="512"/>
      <c r="E397" s="486"/>
      <c r="F397" s="486"/>
    </row>
    <row r="398" spans="1:6">
      <c r="A398" s="590">
        <f>A397+0.1</f>
        <v>5.0999999999999996</v>
      </c>
      <c r="B398" s="591" t="s">
        <v>606</v>
      </c>
      <c r="C398" s="592">
        <v>480.31</v>
      </c>
      <c r="D398" s="512" t="s">
        <v>300</v>
      </c>
      <c r="E398" s="486" t="e">
        <f>VLOOKUP(B398,#REF!,7,FALSE)</f>
        <v>#REF!</v>
      </c>
      <c r="F398" s="479" t="e">
        <f t="shared" ref="F398:F405" si="15">+ROUND(E398*C398,2)</f>
        <v>#REF!</v>
      </c>
    </row>
    <row r="399" spans="1:6">
      <c r="A399" s="590">
        <f t="shared" ref="A399:A405" si="16">A398+0.1</f>
        <v>5.2</v>
      </c>
      <c r="B399" s="591" t="s">
        <v>607</v>
      </c>
      <c r="C399" s="592">
        <v>172.38</v>
      </c>
      <c r="D399" s="512" t="s">
        <v>300</v>
      </c>
      <c r="E399" s="486" t="e">
        <f>VLOOKUP(B399,#REF!,7,FALSE)</f>
        <v>#REF!</v>
      </c>
      <c r="F399" s="479" t="e">
        <f t="shared" si="15"/>
        <v>#REF!</v>
      </c>
    </row>
    <row r="400" spans="1:6">
      <c r="A400" s="590">
        <f t="shared" si="16"/>
        <v>5.3</v>
      </c>
      <c r="B400" s="591" t="s">
        <v>608</v>
      </c>
      <c r="C400" s="592">
        <v>108.31</v>
      </c>
      <c r="D400" s="512" t="s">
        <v>300</v>
      </c>
      <c r="E400" s="486" t="e">
        <f>VLOOKUP(B400,#REF!,7,FALSE)</f>
        <v>#REF!</v>
      </c>
      <c r="F400" s="479" t="e">
        <f t="shared" si="15"/>
        <v>#REF!</v>
      </c>
    </row>
    <row r="401" spans="1:6">
      <c r="A401" s="590">
        <f t="shared" si="16"/>
        <v>5.4</v>
      </c>
      <c r="B401" s="591" t="s">
        <v>609</v>
      </c>
      <c r="C401" s="592">
        <v>112.55</v>
      </c>
      <c r="D401" s="512" t="s">
        <v>300</v>
      </c>
      <c r="E401" s="486" t="e">
        <f>VLOOKUP(B401,#REF!,7,FALSE)</f>
        <v>#REF!</v>
      </c>
      <c r="F401" s="479" t="e">
        <f t="shared" si="15"/>
        <v>#REF!</v>
      </c>
    </row>
    <row r="402" spans="1:6">
      <c r="A402" s="590">
        <f t="shared" si="16"/>
        <v>5.5</v>
      </c>
      <c r="B402" s="591" t="s">
        <v>610</v>
      </c>
      <c r="C402" s="592">
        <v>60</v>
      </c>
      <c r="D402" s="512" t="s">
        <v>300</v>
      </c>
      <c r="E402" s="486" t="e">
        <f>VLOOKUP(B402,#REF!,7,FALSE)</f>
        <v>#REF!</v>
      </c>
      <c r="F402" s="479" t="e">
        <f t="shared" si="15"/>
        <v>#REF!</v>
      </c>
    </row>
    <row r="403" spans="1:6">
      <c r="A403" s="590">
        <f t="shared" si="16"/>
        <v>5.6</v>
      </c>
      <c r="B403" s="591" t="s">
        <v>611</v>
      </c>
      <c r="C403" s="592">
        <v>32</v>
      </c>
      <c r="D403" s="512" t="s">
        <v>15</v>
      </c>
      <c r="E403" s="486" t="e">
        <f>VLOOKUP(B403,#REF!,7,FALSE)</f>
        <v>#REF!</v>
      </c>
      <c r="F403" s="479" t="e">
        <f t="shared" si="15"/>
        <v>#REF!</v>
      </c>
    </row>
    <row r="404" spans="1:6">
      <c r="A404" s="590">
        <f t="shared" si="16"/>
        <v>5.7</v>
      </c>
      <c r="B404" s="591" t="s">
        <v>612</v>
      </c>
      <c r="C404" s="592">
        <v>145.53</v>
      </c>
      <c r="D404" s="512" t="s">
        <v>15</v>
      </c>
      <c r="E404" s="486" t="e">
        <f>VLOOKUP(B404,#REF!,7,FALSE)</f>
        <v>#REF!</v>
      </c>
      <c r="F404" s="479" t="e">
        <f t="shared" si="15"/>
        <v>#REF!</v>
      </c>
    </row>
    <row r="405" spans="1:6">
      <c r="A405" s="590">
        <f t="shared" si="16"/>
        <v>5.8</v>
      </c>
      <c r="B405" s="591" t="s">
        <v>613</v>
      </c>
      <c r="C405" s="592">
        <v>236.51</v>
      </c>
      <c r="D405" s="512" t="s">
        <v>15</v>
      </c>
      <c r="E405" s="486" t="e">
        <f>VLOOKUP(B405,#REF!,7,FALSE)</f>
        <v>#REF!</v>
      </c>
      <c r="F405" s="479" t="e">
        <f t="shared" si="15"/>
        <v>#REF!</v>
      </c>
    </row>
    <row r="406" spans="1:6">
      <c r="A406" s="591"/>
      <c r="B406" s="591"/>
      <c r="C406" s="511"/>
      <c r="D406" s="512"/>
      <c r="E406" s="486"/>
      <c r="F406" s="486"/>
    </row>
    <row r="407" spans="1:6">
      <c r="A407" s="588">
        <f>A397+1</f>
        <v>6</v>
      </c>
      <c r="B407" s="589" t="s">
        <v>614</v>
      </c>
      <c r="C407" s="511"/>
      <c r="D407" s="512"/>
      <c r="E407" s="486"/>
      <c r="F407" s="486"/>
    </row>
    <row r="408" spans="1:6">
      <c r="A408" s="590">
        <f>A407+0.1</f>
        <v>6.1</v>
      </c>
      <c r="B408" s="591" t="s">
        <v>615</v>
      </c>
      <c r="C408" s="592">
        <v>122.13</v>
      </c>
      <c r="D408" s="512" t="s">
        <v>304</v>
      </c>
      <c r="E408" s="486" t="e">
        <f>VLOOKUP(B408,#REF!,7,FALSE)</f>
        <v>#REF!</v>
      </c>
      <c r="F408" s="479" t="e">
        <f>+ROUND(E408*C408,2)</f>
        <v>#REF!</v>
      </c>
    </row>
    <row r="409" spans="1:6">
      <c r="A409" s="590">
        <f>A408+0.1</f>
        <v>6.2</v>
      </c>
      <c r="B409" s="591" t="s">
        <v>616</v>
      </c>
      <c r="C409" s="592">
        <v>15.49</v>
      </c>
      <c r="D409" s="512" t="s">
        <v>304</v>
      </c>
      <c r="E409" s="486" t="e">
        <f>VLOOKUP(B409,#REF!,7,FALSE)</f>
        <v>#REF!</v>
      </c>
      <c r="F409" s="479" t="e">
        <f>+ROUND(E409*C409,2)</f>
        <v>#REF!</v>
      </c>
    </row>
    <row r="410" spans="1:6">
      <c r="A410" s="591"/>
      <c r="B410" s="591"/>
      <c r="C410" s="511"/>
      <c r="D410" s="512"/>
      <c r="E410" s="486"/>
      <c r="F410" s="486"/>
    </row>
    <row r="411" spans="1:6">
      <c r="A411" s="588">
        <f>A407+1</f>
        <v>7</v>
      </c>
      <c r="B411" s="589" t="s">
        <v>617</v>
      </c>
      <c r="C411" s="511"/>
      <c r="D411" s="512"/>
      <c r="E411" s="486"/>
      <c r="F411" s="486"/>
    </row>
    <row r="412" spans="1:6">
      <c r="A412" s="590">
        <f>A411+0.1</f>
        <v>7.1</v>
      </c>
      <c r="B412" s="591" t="s">
        <v>618</v>
      </c>
      <c r="C412" s="592">
        <v>1</v>
      </c>
      <c r="D412" s="512" t="s">
        <v>10</v>
      </c>
      <c r="E412" s="486" t="e">
        <f>VLOOKUP(B412,#REF!,7,FALSE)</f>
        <v>#REF!</v>
      </c>
      <c r="F412" s="479" t="e">
        <f t="shared" ref="F412:F418" si="17">+ROUND(E412*C412,2)</f>
        <v>#REF!</v>
      </c>
    </row>
    <row r="413" spans="1:6">
      <c r="A413" s="590">
        <f t="shared" ref="A413:A418" si="18">A412+0.1</f>
        <v>7.2</v>
      </c>
      <c r="B413" s="591" t="s">
        <v>619</v>
      </c>
      <c r="C413" s="592">
        <v>5</v>
      </c>
      <c r="D413" s="512" t="s">
        <v>10</v>
      </c>
      <c r="E413" s="486" t="e">
        <f>VLOOKUP(B413,#REF!,7,FALSE)</f>
        <v>#REF!</v>
      </c>
      <c r="F413" s="479" t="e">
        <f t="shared" si="17"/>
        <v>#REF!</v>
      </c>
    </row>
    <row r="414" spans="1:6">
      <c r="A414" s="590">
        <f t="shared" si="18"/>
        <v>7.3</v>
      </c>
      <c r="B414" s="591" t="s">
        <v>620</v>
      </c>
      <c r="C414" s="592">
        <v>5</v>
      </c>
      <c r="D414" s="512" t="s">
        <v>10</v>
      </c>
      <c r="E414" s="486" t="e">
        <f>VLOOKUP(B414,#REF!,7,FALSE)</f>
        <v>#REF!</v>
      </c>
      <c r="F414" s="479" t="e">
        <f t="shared" si="17"/>
        <v>#REF!</v>
      </c>
    </row>
    <row r="415" spans="1:6">
      <c r="A415" s="590">
        <f t="shared" si="18"/>
        <v>7.4</v>
      </c>
      <c r="B415" s="591" t="s">
        <v>621</v>
      </c>
      <c r="C415" s="592">
        <v>3</v>
      </c>
      <c r="D415" s="512" t="s">
        <v>10</v>
      </c>
      <c r="E415" s="486" t="e">
        <f>VLOOKUP(B415,#REF!,7,FALSE)</f>
        <v>#REF!</v>
      </c>
      <c r="F415" s="479" t="e">
        <f t="shared" si="17"/>
        <v>#REF!</v>
      </c>
    </row>
    <row r="416" spans="1:6">
      <c r="A416" s="590">
        <f t="shared" si="18"/>
        <v>7.5</v>
      </c>
      <c r="B416" s="591" t="s">
        <v>622</v>
      </c>
      <c r="C416" s="592">
        <v>1</v>
      </c>
      <c r="D416" s="512" t="s">
        <v>10</v>
      </c>
      <c r="E416" s="486" t="e">
        <f>VLOOKUP(B416,#REF!,7,FALSE)</f>
        <v>#REF!</v>
      </c>
      <c r="F416" s="479" t="e">
        <f t="shared" si="17"/>
        <v>#REF!</v>
      </c>
    </row>
    <row r="417" spans="1:6">
      <c r="A417" s="590">
        <f t="shared" si="18"/>
        <v>7.6</v>
      </c>
      <c r="B417" s="591" t="s">
        <v>623</v>
      </c>
      <c r="C417" s="592">
        <v>1</v>
      </c>
      <c r="D417" s="512" t="s">
        <v>10</v>
      </c>
      <c r="E417" s="486" t="e">
        <f>VLOOKUP(B417,#REF!,7,FALSE)</f>
        <v>#REF!</v>
      </c>
      <c r="F417" s="479" t="e">
        <f t="shared" si="17"/>
        <v>#REF!</v>
      </c>
    </row>
    <row r="418" spans="1:6">
      <c r="A418" s="590">
        <f t="shared" si="18"/>
        <v>7.7</v>
      </c>
      <c r="B418" s="591" t="s">
        <v>624</v>
      </c>
      <c r="C418" s="592">
        <v>2</v>
      </c>
      <c r="D418" s="512" t="s">
        <v>10</v>
      </c>
      <c r="E418" s="486" t="e">
        <f>VLOOKUP(B418,#REF!,7,FALSE)</f>
        <v>#REF!</v>
      </c>
      <c r="F418" s="479" t="e">
        <f t="shared" si="17"/>
        <v>#REF!</v>
      </c>
    </row>
    <row r="419" spans="1:6">
      <c r="A419" s="591"/>
      <c r="B419" s="591"/>
      <c r="C419" s="511"/>
      <c r="D419" s="512"/>
      <c r="E419" s="486"/>
      <c r="F419" s="486"/>
    </row>
    <row r="420" spans="1:6">
      <c r="A420" s="588">
        <f>A411+1</f>
        <v>8</v>
      </c>
      <c r="B420" s="589" t="s">
        <v>521</v>
      </c>
      <c r="C420" s="511"/>
      <c r="D420" s="512"/>
      <c r="E420" s="486"/>
      <c r="F420" s="486"/>
    </row>
    <row r="421" spans="1:6">
      <c r="A421" s="590">
        <f>A420+0.1</f>
        <v>8.1</v>
      </c>
      <c r="B421" s="591" t="s">
        <v>625</v>
      </c>
      <c r="C421" s="592">
        <v>85.86</v>
      </c>
      <c r="D421" s="512" t="s">
        <v>300</v>
      </c>
      <c r="E421" s="486" t="e">
        <f>VLOOKUP(B421,#REF!,7,FALSE)</f>
        <v>#REF!</v>
      </c>
      <c r="F421" s="479" t="e">
        <f t="shared" ref="F421:F427" si="19">+ROUND(E421*C421,2)</f>
        <v>#REF!</v>
      </c>
    </row>
    <row r="422" spans="1:6">
      <c r="A422" s="590">
        <f t="shared" ref="A422:A427" si="20">A421+0.1</f>
        <v>8.1999999999999993</v>
      </c>
      <c r="B422" s="591" t="s">
        <v>626</v>
      </c>
      <c r="C422" s="592">
        <v>9.58</v>
      </c>
      <c r="D422" s="512" t="s">
        <v>300</v>
      </c>
      <c r="E422" s="486" t="e">
        <f>VLOOKUP(B422,#REF!,7,FALSE)</f>
        <v>#REF!</v>
      </c>
      <c r="F422" s="479" t="e">
        <f t="shared" si="19"/>
        <v>#REF!</v>
      </c>
    </row>
    <row r="423" spans="1:6">
      <c r="A423" s="590">
        <f t="shared" si="20"/>
        <v>8.3000000000000007</v>
      </c>
      <c r="B423" s="591" t="s">
        <v>627</v>
      </c>
      <c r="C423" s="592">
        <v>141.96</v>
      </c>
      <c r="D423" s="512" t="s">
        <v>15</v>
      </c>
      <c r="E423" s="486" t="e">
        <f>VLOOKUP(B423,#REF!,7,FALSE)</f>
        <v>#REF!</v>
      </c>
      <c r="F423" s="479" t="e">
        <f t="shared" si="19"/>
        <v>#REF!</v>
      </c>
    </row>
    <row r="424" spans="1:6">
      <c r="A424" s="590">
        <f t="shared" si="20"/>
        <v>8.4</v>
      </c>
      <c r="B424" s="591" t="s">
        <v>628</v>
      </c>
      <c r="C424" s="592">
        <v>5</v>
      </c>
      <c r="D424" s="512" t="s">
        <v>15</v>
      </c>
      <c r="E424" s="486" t="e">
        <f>VLOOKUP(B424,#REF!,7,FALSE)</f>
        <v>#REF!</v>
      </c>
      <c r="F424" s="479" t="e">
        <f t="shared" si="19"/>
        <v>#REF!</v>
      </c>
    </row>
    <row r="425" spans="1:6">
      <c r="A425" s="590">
        <f t="shared" si="20"/>
        <v>8.5</v>
      </c>
      <c r="B425" s="591" t="s">
        <v>629</v>
      </c>
      <c r="C425" s="592">
        <v>45.26</v>
      </c>
      <c r="D425" s="512" t="s">
        <v>300</v>
      </c>
      <c r="E425" s="486" t="e">
        <f>VLOOKUP(B425,#REF!,7,FALSE)</f>
        <v>#REF!</v>
      </c>
      <c r="F425" s="479" t="e">
        <f t="shared" si="19"/>
        <v>#REF!</v>
      </c>
    </row>
    <row r="426" spans="1:6">
      <c r="A426" s="590">
        <f t="shared" si="20"/>
        <v>8.6</v>
      </c>
      <c r="B426" s="591" t="s">
        <v>630</v>
      </c>
      <c r="C426" s="592">
        <v>85.87</v>
      </c>
      <c r="D426" s="512" t="s">
        <v>300</v>
      </c>
      <c r="E426" s="486" t="e">
        <f>VLOOKUP(B426,#REF!,7,FALSE)</f>
        <v>#REF!</v>
      </c>
      <c r="F426" s="479" t="e">
        <f t="shared" si="19"/>
        <v>#REF!</v>
      </c>
    </row>
    <row r="427" spans="1:6">
      <c r="A427" s="590">
        <f t="shared" si="20"/>
        <v>8.6999999999999993</v>
      </c>
      <c r="B427" s="591" t="s">
        <v>631</v>
      </c>
      <c r="C427" s="592">
        <v>75.260000000000005</v>
      </c>
      <c r="D427" s="512" t="s">
        <v>300</v>
      </c>
      <c r="E427" s="486" t="e">
        <f>VLOOKUP(B427,#REF!,7,FALSE)</f>
        <v>#REF!</v>
      </c>
      <c r="F427" s="479" t="e">
        <f t="shared" si="19"/>
        <v>#REF!</v>
      </c>
    </row>
    <row r="428" spans="1:6">
      <c r="A428" s="591"/>
      <c r="B428" s="591"/>
      <c r="C428" s="511"/>
      <c r="D428" s="512"/>
      <c r="E428" s="486"/>
      <c r="F428" s="486"/>
    </row>
    <row r="429" spans="1:6">
      <c r="A429" s="588">
        <f>A420+1</f>
        <v>9</v>
      </c>
      <c r="B429" s="589" t="s">
        <v>632</v>
      </c>
      <c r="C429" s="511"/>
      <c r="D429" s="512"/>
      <c r="E429" s="486"/>
      <c r="F429" s="486"/>
    </row>
    <row r="430" spans="1:6">
      <c r="A430" s="590">
        <f>A429+0.1</f>
        <v>9.1</v>
      </c>
      <c r="B430" s="591" t="s">
        <v>633</v>
      </c>
      <c r="C430" s="511">
        <v>84.78</v>
      </c>
      <c r="D430" s="512" t="s">
        <v>300</v>
      </c>
      <c r="E430" s="486" t="e">
        <f>VLOOKUP(B430,#REF!,7,FALSE)</f>
        <v>#REF!</v>
      </c>
      <c r="F430" s="479" t="e">
        <f>+ROUND(E430*C430,2)</f>
        <v>#REF!</v>
      </c>
    </row>
    <row r="431" spans="1:6">
      <c r="A431" s="590">
        <f>A430+0.1</f>
        <v>9.1999999999999993</v>
      </c>
      <c r="B431" s="591" t="s">
        <v>634</v>
      </c>
      <c r="C431" s="511">
        <v>2.11</v>
      </c>
      <c r="D431" s="512" t="s">
        <v>300</v>
      </c>
      <c r="E431" s="486" t="e">
        <f>VLOOKUP(B431,#REF!,7,FALSE)</f>
        <v>#REF!</v>
      </c>
      <c r="F431" s="479" t="e">
        <f>+ROUND(E431*C431,2)</f>
        <v>#REF!</v>
      </c>
    </row>
    <row r="432" spans="1:6">
      <c r="A432" s="591"/>
      <c r="B432" s="591"/>
      <c r="C432" s="511"/>
      <c r="D432" s="512"/>
      <c r="E432" s="486"/>
      <c r="F432" s="486"/>
    </row>
    <row r="433" spans="1:6">
      <c r="A433" s="588">
        <f>A429+1</f>
        <v>10</v>
      </c>
      <c r="B433" s="589" t="s">
        <v>305</v>
      </c>
      <c r="C433" s="511"/>
      <c r="D433" s="512"/>
      <c r="E433" s="486"/>
      <c r="F433" s="486"/>
    </row>
    <row r="434" spans="1:6">
      <c r="A434" s="590">
        <f>A433+0.1</f>
        <v>10.1</v>
      </c>
      <c r="B434" s="591" t="s">
        <v>635</v>
      </c>
      <c r="C434" s="511">
        <v>4</v>
      </c>
      <c r="D434" s="512" t="s">
        <v>10</v>
      </c>
      <c r="E434" s="486" t="e">
        <f>VLOOKUP(B434,#REF!,7,FALSE)</f>
        <v>#REF!</v>
      </c>
      <c r="F434" s="479" t="e">
        <f t="shared" ref="F434:F457" si="21">+ROUND(E434*C434,2)</f>
        <v>#REF!</v>
      </c>
    </row>
    <row r="435" spans="1:6">
      <c r="A435" s="590">
        <f t="shared" ref="A435:A442" si="22">A434+0.1</f>
        <v>10.199999999999999</v>
      </c>
      <c r="B435" s="591" t="s">
        <v>636</v>
      </c>
      <c r="C435" s="511">
        <v>3</v>
      </c>
      <c r="D435" s="512" t="s">
        <v>10</v>
      </c>
      <c r="E435" s="486" t="e">
        <f>VLOOKUP(B435,#REF!,7,FALSE)</f>
        <v>#REF!</v>
      </c>
      <c r="F435" s="479" t="e">
        <f t="shared" si="21"/>
        <v>#REF!</v>
      </c>
    </row>
    <row r="436" spans="1:6">
      <c r="A436" s="590">
        <f t="shared" si="22"/>
        <v>10.3</v>
      </c>
      <c r="B436" s="591" t="s">
        <v>637</v>
      </c>
      <c r="C436" s="511">
        <v>1</v>
      </c>
      <c r="D436" s="512" t="s">
        <v>10</v>
      </c>
      <c r="E436" s="486" t="e">
        <f>VLOOKUP(B436,#REF!,7,FALSE)</f>
        <v>#REF!</v>
      </c>
      <c r="F436" s="479" t="e">
        <f t="shared" si="21"/>
        <v>#REF!</v>
      </c>
    </row>
    <row r="437" spans="1:6">
      <c r="A437" s="590">
        <f t="shared" si="22"/>
        <v>10.4</v>
      </c>
      <c r="B437" s="591" t="s">
        <v>638</v>
      </c>
      <c r="C437" s="511">
        <v>5</v>
      </c>
      <c r="D437" s="512" t="s">
        <v>10</v>
      </c>
      <c r="E437" s="486" t="e">
        <f>VLOOKUP(B437,#REF!,7,FALSE)</f>
        <v>#REF!</v>
      </c>
      <c r="F437" s="479" t="e">
        <f t="shared" si="21"/>
        <v>#REF!</v>
      </c>
    </row>
    <row r="438" spans="1:6">
      <c r="A438" s="590">
        <f t="shared" si="22"/>
        <v>10.5</v>
      </c>
      <c r="B438" s="591" t="s">
        <v>639</v>
      </c>
      <c r="C438" s="511">
        <v>3</v>
      </c>
      <c r="D438" s="512" t="s">
        <v>10</v>
      </c>
      <c r="E438" s="486" t="e">
        <f>VLOOKUP(B438,#REF!,7,FALSE)</f>
        <v>#REF!</v>
      </c>
      <c r="F438" s="479" t="e">
        <f t="shared" si="21"/>
        <v>#REF!</v>
      </c>
    </row>
    <row r="439" spans="1:6">
      <c r="A439" s="590">
        <f t="shared" si="22"/>
        <v>10.6</v>
      </c>
      <c r="B439" s="591" t="s">
        <v>640</v>
      </c>
      <c r="C439" s="511">
        <v>8</v>
      </c>
      <c r="D439" s="512" t="s">
        <v>10</v>
      </c>
      <c r="E439" s="486" t="e">
        <f>VLOOKUP(B439,#REF!,7,FALSE)</f>
        <v>#REF!</v>
      </c>
      <c r="F439" s="479" t="e">
        <f t="shared" si="21"/>
        <v>#REF!</v>
      </c>
    </row>
    <row r="440" spans="1:6">
      <c r="A440" s="590">
        <f t="shared" si="22"/>
        <v>10.7</v>
      </c>
      <c r="B440" s="591" t="s">
        <v>641</v>
      </c>
      <c r="C440" s="511">
        <v>3</v>
      </c>
      <c r="D440" s="512" t="s">
        <v>10</v>
      </c>
      <c r="E440" s="486" t="e">
        <f>VLOOKUP(B440,#REF!,7,FALSE)</f>
        <v>#REF!</v>
      </c>
      <c r="F440" s="479" t="e">
        <f t="shared" si="21"/>
        <v>#REF!</v>
      </c>
    </row>
    <row r="441" spans="1:6">
      <c r="A441" s="590">
        <f t="shared" si="22"/>
        <v>10.8</v>
      </c>
      <c r="B441" s="591" t="s">
        <v>642</v>
      </c>
      <c r="C441" s="511">
        <v>30</v>
      </c>
      <c r="D441" s="512" t="s">
        <v>10</v>
      </c>
      <c r="E441" s="486" t="e">
        <f>VLOOKUP(B441,#REF!,7,FALSE)</f>
        <v>#REF!</v>
      </c>
      <c r="F441" s="479" t="e">
        <f t="shared" si="21"/>
        <v>#REF!</v>
      </c>
    </row>
    <row r="442" spans="1:6">
      <c r="A442" s="590">
        <f t="shared" si="22"/>
        <v>10.9</v>
      </c>
      <c r="B442" s="591" t="s">
        <v>643</v>
      </c>
      <c r="C442" s="511">
        <v>4</v>
      </c>
      <c r="D442" s="512" t="s">
        <v>10</v>
      </c>
      <c r="E442" s="486" t="e">
        <f>VLOOKUP(B442,#REF!,7,FALSE)</f>
        <v>#REF!</v>
      </c>
      <c r="F442" s="479" t="e">
        <f t="shared" si="21"/>
        <v>#REF!</v>
      </c>
    </row>
    <row r="443" spans="1:6">
      <c r="A443" s="596">
        <v>10.1</v>
      </c>
      <c r="B443" s="591" t="s">
        <v>644</v>
      </c>
      <c r="C443" s="511">
        <v>1</v>
      </c>
      <c r="D443" s="512" t="s">
        <v>10</v>
      </c>
      <c r="E443" s="486" t="e">
        <f>VLOOKUP(B443,#REF!,7,FALSE)</f>
        <v>#REF!</v>
      </c>
      <c r="F443" s="479" t="e">
        <f t="shared" si="21"/>
        <v>#REF!</v>
      </c>
    </row>
    <row r="444" spans="1:6">
      <c r="A444" s="596">
        <f t="shared" ref="A444:A457" si="23">A443+0.01</f>
        <v>10.11</v>
      </c>
      <c r="B444" s="591" t="s">
        <v>645</v>
      </c>
      <c r="C444" s="511">
        <v>6</v>
      </c>
      <c r="D444" s="512" t="s">
        <v>10</v>
      </c>
      <c r="E444" s="486" t="e">
        <f>VLOOKUP(B444,#REF!,7,FALSE)</f>
        <v>#REF!</v>
      </c>
      <c r="F444" s="479" t="e">
        <f t="shared" si="21"/>
        <v>#REF!</v>
      </c>
    </row>
    <row r="445" spans="1:6">
      <c r="A445" s="596">
        <f t="shared" si="23"/>
        <v>10.119999999999999</v>
      </c>
      <c r="B445" s="591" t="s">
        <v>646</v>
      </c>
      <c r="C445" s="511">
        <v>1</v>
      </c>
      <c r="D445" s="512" t="s">
        <v>10</v>
      </c>
      <c r="E445" s="486" t="e">
        <f>VLOOKUP(B445,#REF!,7,FALSE)</f>
        <v>#REF!</v>
      </c>
      <c r="F445" s="479" t="e">
        <f t="shared" si="21"/>
        <v>#REF!</v>
      </c>
    </row>
    <row r="446" spans="1:6">
      <c r="A446" s="596">
        <f t="shared" si="23"/>
        <v>10.130000000000001</v>
      </c>
      <c r="B446" s="591" t="s">
        <v>647</v>
      </c>
      <c r="C446" s="511">
        <v>1</v>
      </c>
      <c r="D446" s="512" t="s">
        <v>10</v>
      </c>
      <c r="E446" s="486" t="e">
        <f>VLOOKUP(B446,#REF!,7,FALSE)</f>
        <v>#REF!</v>
      </c>
      <c r="F446" s="479" t="e">
        <f t="shared" si="21"/>
        <v>#REF!</v>
      </c>
    </row>
    <row r="447" spans="1:6">
      <c r="A447" s="596">
        <f t="shared" si="23"/>
        <v>10.14</v>
      </c>
      <c r="B447" s="591" t="s">
        <v>648</v>
      </c>
      <c r="C447" s="511">
        <v>2</v>
      </c>
      <c r="D447" s="512" t="s">
        <v>10</v>
      </c>
      <c r="E447" s="486" t="e">
        <f>VLOOKUP(B447,#REF!,7,FALSE)</f>
        <v>#REF!</v>
      </c>
      <c r="F447" s="479" t="e">
        <f t="shared" si="21"/>
        <v>#REF!</v>
      </c>
    </row>
    <row r="448" spans="1:6">
      <c r="A448" s="596">
        <f t="shared" si="23"/>
        <v>10.15</v>
      </c>
      <c r="B448" s="591" t="s">
        <v>649</v>
      </c>
      <c r="C448" s="511">
        <v>1</v>
      </c>
      <c r="D448" s="512" t="s">
        <v>10</v>
      </c>
      <c r="E448" s="486" t="e">
        <f>VLOOKUP(B448,#REF!,7,FALSE)</f>
        <v>#REF!</v>
      </c>
      <c r="F448" s="479" t="e">
        <f t="shared" si="21"/>
        <v>#REF!</v>
      </c>
    </row>
    <row r="449" spans="1:6">
      <c r="A449" s="899">
        <f t="shared" si="23"/>
        <v>10.16</v>
      </c>
      <c r="B449" s="864" t="s">
        <v>650</v>
      </c>
      <c r="C449" s="865">
        <v>1</v>
      </c>
      <c r="D449" s="866" t="s">
        <v>10</v>
      </c>
      <c r="E449" s="857" t="e">
        <f>VLOOKUP(B449,#REF!,7,FALSE)</f>
        <v>#REF!</v>
      </c>
      <c r="F449" s="858" t="e">
        <f t="shared" si="21"/>
        <v>#REF!</v>
      </c>
    </row>
    <row r="450" spans="1:6">
      <c r="A450" s="596">
        <f t="shared" si="23"/>
        <v>10.17</v>
      </c>
      <c r="B450" s="591" t="s">
        <v>651</v>
      </c>
      <c r="C450" s="511">
        <v>1</v>
      </c>
      <c r="D450" s="512" t="s">
        <v>10</v>
      </c>
      <c r="E450" s="486" t="e">
        <f>VLOOKUP(B450,#REF!,7,FALSE)</f>
        <v>#REF!</v>
      </c>
      <c r="F450" s="479" t="e">
        <f t="shared" si="21"/>
        <v>#REF!</v>
      </c>
    </row>
    <row r="451" spans="1:6">
      <c r="A451" s="596">
        <f t="shared" si="23"/>
        <v>10.18</v>
      </c>
      <c r="B451" s="591" t="s">
        <v>652</v>
      </c>
      <c r="C451" s="511">
        <v>1</v>
      </c>
      <c r="D451" s="512" t="s">
        <v>10</v>
      </c>
      <c r="E451" s="486" t="e">
        <f>VLOOKUP(B451,#REF!,7,FALSE)</f>
        <v>#REF!</v>
      </c>
      <c r="F451" s="479" t="e">
        <f t="shared" si="21"/>
        <v>#REF!</v>
      </c>
    </row>
    <row r="452" spans="1:6">
      <c r="A452" s="596">
        <f t="shared" si="23"/>
        <v>10.19</v>
      </c>
      <c r="B452" s="591" t="s">
        <v>653</v>
      </c>
      <c r="C452" s="511">
        <v>1</v>
      </c>
      <c r="D452" s="512" t="s">
        <v>10</v>
      </c>
      <c r="E452" s="486" t="e">
        <f>VLOOKUP(B452,#REF!,7,FALSE)</f>
        <v>#REF!</v>
      </c>
      <c r="F452" s="479" t="e">
        <f t="shared" si="21"/>
        <v>#REF!</v>
      </c>
    </row>
    <row r="453" spans="1:6">
      <c r="A453" s="596">
        <f t="shared" si="23"/>
        <v>10.199999999999999</v>
      </c>
      <c r="B453" s="591" t="s">
        <v>654</v>
      </c>
      <c r="C453" s="511">
        <v>9.59</v>
      </c>
      <c r="D453" s="512" t="s">
        <v>10</v>
      </c>
      <c r="E453" s="486" t="e">
        <f>VLOOKUP(B453,#REF!,7,FALSE)</f>
        <v>#REF!</v>
      </c>
      <c r="F453" s="479" t="e">
        <f t="shared" si="21"/>
        <v>#REF!</v>
      </c>
    </row>
    <row r="454" spans="1:6">
      <c r="A454" s="596">
        <f t="shared" si="23"/>
        <v>10.210000000000001</v>
      </c>
      <c r="B454" s="591" t="s">
        <v>655</v>
      </c>
      <c r="C454" s="511">
        <v>1</v>
      </c>
      <c r="D454" s="512" t="s">
        <v>500</v>
      </c>
      <c r="E454" s="486" t="e">
        <f>VLOOKUP(B454,#REF!,7,FALSE)</f>
        <v>#REF!</v>
      </c>
      <c r="F454" s="479" t="e">
        <f t="shared" si="21"/>
        <v>#REF!</v>
      </c>
    </row>
    <row r="455" spans="1:6">
      <c r="A455" s="596">
        <f t="shared" si="23"/>
        <v>10.220000000000001</v>
      </c>
      <c r="B455" s="591" t="s">
        <v>656</v>
      </c>
      <c r="C455" s="511">
        <v>1</v>
      </c>
      <c r="D455" s="512" t="s">
        <v>500</v>
      </c>
      <c r="E455" s="486" t="e">
        <f>VLOOKUP(B455,#REF!,7,FALSE)</f>
        <v>#REF!</v>
      </c>
      <c r="F455" s="479" t="e">
        <f t="shared" si="21"/>
        <v>#REF!</v>
      </c>
    </row>
    <row r="456" spans="1:6">
      <c r="A456" s="596">
        <f t="shared" si="23"/>
        <v>10.23</v>
      </c>
      <c r="B456" s="591" t="s">
        <v>657</v>
      </c>
      <c r="C456" s="511">
        <v>1</v>
      </c>
      <c r="D456" s="512" t="s">
        <v>500</v>
      </c>
      <c r="E456" s="486" t="e">
        <f>VLOOKUP(B456,#REF!,7,FALSE)</f>
        <v>#REF!</v>
      </c>
      <c r="F456" s="479" t="e">
        <f t="shared" si="21"/>
        <v>#REF!</v>
      </c>
    </row>
    <row r="457" spans="1:6">
      <c r="A457" s="596">
        <f t="shared" si="23"/>
        <v>10.24</v>
      </c>
      <c r="B457" s="591" t="s">
        <v>658</v>
      </c>
      <c r="C457" s="511">
        <v>1</v>
      </c>
      <c r="D457" s="512" t="s">
        <v>500</v>
      </c>
      <c r="E457" s="486" t="e">
        <f>VLOOKUP(B457,#REF!,7,FALSE)</f>
        <v>#REF!</v>
      </c>
      <c r="F457" s="479" t="e">
        <f t="shared" si="21"/>
        <v>#REF!</v>
      </c>
    </row>
    <row r="458" spans="1:6">
      <c r="A458" s="591"/>
      <c r="B458" s="591"/>
      <c r="C458" s="511"/>
      <c r="D458" s="512"/>
      <c r="E458" s="486"/>
      <c r="F458" s="486"/>
    </row>
    <row r="459" spans="1:6">
      <c r="A459" s="588">
        <f>A433+1</f>
        <v>11</v>
      </c>
      <c r="B459" s="589" t="s">
        <v>303</v>
      </c>
      <c r="C459" s="597"/>
      <c r="D459" s="521"/>
      <c r="E459" s="508"/>
      <c r="F459" s="508"/>
    </row>
    <row r="460" spans="1:6">
      <c r="A460" s="590">
        <f>A459+0.1</f>
        <v>11.1</v>
      </c>
      <c r="B460" s="591" t="s">
        <v>659</v>
      </c>
      <c r="C460" s="597">
        <v>23</v>
      </c>
      <c r="D460" s="521" t="s">
        <v>10</v>
      </c>
      <c r="E460" s="508" t="e">
        <f>VLOOKUP(B460,#REF!,7,FALSE)</f>
        <v>#REF!</v>
      </c>
      <c r="F460" s="516" t="e">
        <f t="shared" ref="F460:F473" si="24">+ROUND(E460*C460,2)</f>
        <v>#REF!</v>
      </c>
    </row>
    <row r="461" spans="1:6">
      <c r="A461" s="590">
        <f t="shared" ref="A461:A468" si="25">A460+0.1</f>
        <v>11.2</v>
      </c>
      <c r="B461" s="591" t="s">
        <v>660</v>
      </c>
      <c r="C461" s="597">
        <v>10</v>
      </c>
      <c r="D461" s="521" t="s">
        <v>10</v>
      </c>
      <c r="E461" s="508" t="e">
        <f>VLOOKUP(B461,#REF!,7,FALSE)</f>
        <v>#REF!</v>
      </c>
      <c r="F461" s="516" t="e">
        <f t="shared" si="24"/>
        <v>#REF!</v>
      </c>
    </row>
    <row r="462" spans="1:6">
      <c r="A462" s="590">
        <f t="shared" si="25"/>
        <v>11.3</v>
      </c>
      <c r="B462" s="591" t="s">
        <v>661</v>
      </c>
      <c r="C462" s="597">
        <v>2</v>
      </c>
      <c r="D462" s="521" t="s">
        <v>10</v>
      </c>
      <c r="E462" s="508" t="e">
        <f>VLOOKUP(B462,#REF!,7,FALSE)</f>
        <v>#REF!</v>
      </c>
      <c r="F462" s="516" t="e">
        <f t="shared" si="24"/>
        <v>#REF!</v>
      </c>
    </row>
    <row r="463" spans="1:6">
      <c r="A463" s="590">
        <f t="shared" si="25"/>
        <v>11.4</v>
      </c>
      <c r="B463" s="591" t="s">
        <v>662</v>
      </c>
      <c r="C463" s="597">
        <v>8</v>
      </c>
      <c r="D463" s="521" t="s">
        <v>10</v>
      </c>
      <c r="E463" s="508" t="e">
        <f>VLOOKUP(B463,#REF!,7,FALSE)</f>
        <v>#REF!</v>
      </c>
      <c r="F463" s="516" t="e">
        <f t="shared" si="24"/>
        <v>#REF!</v>
      </c>
    </row>
    <row r="464" spans="1:6">
      <c r="A464" s="590">
        <f t="shared" si="25"/>
        <v>11.5</v>
      </c>
      <c r="B464" s="591" t="s">
        <v>663</v>
      </c>
      <c r="C464" s="597">
        <v>2</v>
      </c>
      <c r="D464" s="521" t="s">
        <v>10</v>
      </c>
      <c r="E464" s="508" t="e">
        <f>VLOOKUP(B464,#REF!,7,FALSE)</f>
        <v>#REF!</v>
      </c>
      <c r="F464" s="516" t="e">
        <f t="shared" si="24"/>
        <v>#REF!</v>
      </c>
    </row>
    <row r="465" spans="1:6">
      <c r="A465" s="590">
        <f t="shared" si="25"/>
        <v>11.6</v>
      </c>
      <c r="B465" s="591" t="s">
        <v>664</v>
      </c>
      <c r="C465" s="597">
        <v>1</v>
      </c>
      <c r="D465" s="521" t="s">
        <v>10</v>
      </c>
      <c r="E465" s="508" t="e">
        <f>VLOOKUP(B465,#REF!,7,FALSE)</f>
        <v>#REF!</v>
      </c>
      <c r="F465" s="516" t="e">
        <f t="shared" si="24"/>
        <v>#REF!</v>
      </c>
    </row>
    <row r="466" spans="1:6">
      <c r="A466" s="590">
        <f t="shared" si="25"/>
        <v>11.7</v>
      </c>
      <c r="B466" s="591" t="s">
        <v>665</v>
      </c>
      <c r="C466" s="597">
        <v>3</v>
      </c>
      <c r="D466" s="521" t="s">
        <v>10</v>
      </c>
      <c r="E466" s="508" t="e">
        <f>VLOOKUP(B466,#REF!,7,FALSE)</f>
        <v>#REF!</v>
      </c>
      <c r="F466" s="516" t="e">
        <f t="shared" si="24"/>
        <v>#REF!</v>
      </c>
    </row>
    <row r="467" spans="1:6">
      <c r="A467" s="590">
        <f t="shared" si="25"/>
        <v>11.8</v>
      </c>
      <c r="B467" s="591" t="s">
        <v>666</v>
      </c>
      <c r="C467" s="597">
        <v>1</v>
      </c>
      <c r="D467" s="521" t="s">
        <v>10</v>
      </c>
      <c r="E467" s="508" t="e">
        <f>VLOOKUP(B467,#REF!,7,FALSE)</f>
        <v>#REF!</v>
      </c>
      <c r="F467" s="516" t="e">
        <f t="shared" si="24"/>
        <v>#REF!</v>
      </c>
    </row>
    <row r="468" spans="1:6">
      <c r="A468" s="590">
        <f t="shared" si="25"/>
        <v>11.9</v>
      </c>
      <c r="B468" s="591" t="s">
        <v>667</v>
      </c>
      <c r="C468" s="597">
        <v>2</v>
      </c>
      <c r="D468" s="521" t="s">
        <v>10</v>
      </c>
      <c r="E468" s="508" t="e">
        <f>VLOOKUP(B468,#REF!,7,FALSE)</f>
        <v>#REF!</v>
      </c>
      <c r="F468" s="516" t="e">
        <f t="shared" si="24"/>
        <v>#REF!</v>
      </c>
    </row>
    <row r="469" spans="1:6">
      <c r="A469" s="596">
        <v>11.1</v>
      </c>
      <c r="B469" s="591" t="s">
        <v>668</v>
      </c>
      <c r="C469" s="597">
        <v>2</v>
      </c>
      <c r="D469" s="521" t="s">
        <v>10</v>
      </c>
      <c r="E469" s="508" t="e">
        <f>VLOOKUP(B469,#REF!,7,FALSE)</f>
        <v>#REF!</v>
      </c>
      <c r="F469" s="516" t="e">
        <f t="shared" si="24"/>
        <v>#REF!</v>
      </c>
    </row>
    <row r="470" spans="1:6">
      <c r="A470" s="596">
        <f>A469+0.01</f>
        <v>11.11</v>
      </c>
      <c r="B470" s="591" t="s">
        <v>669</v>
      </c>
      <c r="C470" s="597">
        <v>4</v>
      </c>
      <c r="D470" s="521" t="s">
        <v>10</v>
      </c>
      <c r="E470" s="508" t="e">
        <f>VLOOKUP(B470,#REF!,7,FALSE)</f>
        <v>#REF!</v>
      </c>
      <c r="F470" s="516" t="e">
        <f t="shared" si="24"/>
        <v>#REF!</v>
      </c>
    </row>
    <row r="471" spans="1:6">
      <c r="A471" s="596">
        <f>A470+0.01</f>
        <v>11.12</v>
      </c>
      <c r="B471" s="591" t="s">
        <v>670</v>
      </c>
      <c r="C471" s="597">
        <v>4</v>
      </c>
      <c r="D471" s="521" t="s">
        <v>10</v>
      </c>
      <c r="E471" s="508" t="e">
        <f>VLOOKUP(B471,#REF!,7,FALSE)</f>
        <v>#REF!</v>
      </c>
      <c r="F471" s="516" t="e">
        <f t="shared" si="24"/>
        <v>#REF!</v>
      </c>
    </row>
    <row r="472" spans="1:6">
      <c r="A472" s="596">
        <f>A471+0.01</f>
        <v>11.13</v>
      </c>
      <c r="B472" s="591" t="s">
        <v>671</v>
      </c>
      <c r="C472" s="597">
        <v>1</v>
      </c>
      <c r="D472" s="521" t="s">
        <v>500</v>
      </c>
      <c r="E472" s="508" t="e">
        <f>VLOOKUP(B472,#REF!,7,FALSE)</f>
        <v>#REF!</v>
      </c>
      <c r="F472" s="516" t="e">
        <f t="shared" si="24"/>
        <v>#REF!</v>
      </c>
    </row>
    <row r="473" spans="1:6">
      <c r="A473" s="596">
        <f>A472+0.01</f>
        <v>11.14</v>
      </c>
      <c r="B473" s="591" t="s">
        <v>672</v>
      </c>
      <c r="C473" s="597">
        <v>1</v>
      </c>
      <c r="D473" s="521" t="s">
        <v>500</v>
      </c>
      <c r="E473" s="508" t="e">
        <f>VLOOKUP(B473,#REF!,7,FALSE)</f>
        <v>#REF!</v>
      </c>
      <c r="F473" s="516" t="e">
        <f t="shared" si="24"/>
        <v>#REF!</v>
      </c>
    </row>
    <row r="474" spans="1:6">
      <c r="A474" s="591"/>
      <c r="B474" s="591"/>
      <c r="C474" s="511"/>
      <c r="D474" s="512"/>
      <c r="E474" s="486"/>
      <c r="F474" s="486"/>
    </row>
    <row r="475" spans="1:6">
      <c r="A475" s="588">
        <f>A459+1</f>
        <v>12</v>
      </c>
      <c r="B475" s="589" t="s">
        <v>673</v>
      </c>
      <c r="C475" s="511"/>
      <c r="D475" s="512"/>
      <c r="E475" s="486"/>
      <c r="F475" s="486"/>
    </row>
    <row r="476" spans="1:6">
      <c r="A476" s="590">
        <f>A475+0.1</f>
        <v>12.1</v>
      </c>
      <c r="B476" s="591" t="s">
        <v>674</v>
      </c>
      <c r="C476" s="511">
        <v>110.83</v>
      </c>
      <c r="D476" s="512" t="s">
        <v>300</v>
      </c>
      <c r="E476" s="486" t="e">
        <f>VLOOKUP(B476,#REF!,7,FALSE)</f>
        <v>#REF!</v>
      </c>
      <c r="F476" s="479" t="e">
        <f>+ROUND(E476*C476,2)</f>
        <v>#REF!</v>
      </c>
    </row>
    <row r="477" spans="1:6">
      <c r="A477" s="590">
        <f>A476+0.1</f>
        <v>12.2</v>
      </c>
      <c r="B477" s="591" t="s">
        <v>675</v>
      </c>
      <c r="C477" s="511">
        <v>46.1</v>
      </c>
      <c r="D477" s="512" t="s">
        <v>15</v>
      </c>
      <c r="E477" s="486" t="e">
        <f>VLOOKUP(B477,#REF!,7,FALSE)</f>
        <v>#REF!</v>
      </c>
      <c r="F477" s="479" t="e">
        <f>+ROUND(E477*C477,2)</f>
        <v>#REF!</v>
      </c>
    </row>
    <row r="478" spans="1:6">
      <c r="A478" s="590">
        <f>A477+0.1</f>
        <v>12.3</v>
      </c>
      <c r="B478" s="591" t="s">
        <v>676</v>
      </c>
      <c r="C478" s="511">
        <v>179.86</v>
      </c>
      <c r="D478" s="512" t="s">
        <v>300</v>
      </c>
      <c r="E478" s="486" t="e">
        <f>VLOOKUP(B478,#REF!,7,FALSE)</f>
        <v>#REF!</v>
      </c>
      <c r="F478" s="479" t="e">
        <f>+ROUND(E478*C478,2)</f>
        <v>#REF!</v>
      </c>
    </row>
    <row r="479" spans="1:6">
      <c r="A479" s="590">
        <f>A478+0.1</f>
        <v>12.4</v>
      </c>
      <c r="B479" s="591" t="s">
        <v>677</v>
      </c>
      <c r="C479" s="511">
        <v>46.1</v>
      </c>
      <c r="D479" s="512" t="s">
        <v>15</v>
      </c>
      <c r="E479" s="486" t="e">
        <f>VLOOKUP(B479,#REF!,7,FALSE)</f>
        <v>#REF!</v>
      </c>
      <c r="F479" s="479" t="e">
        <f>+ROUND(E479*C479,2)</f>
        <v>#REF!</v>
      </c>
    </row>
    <row r="480" spans="1:6">
      <c r="A480" s="591"/>
      <c r="B480" s="591"/>
      <c r="C480" s="511"/>
      <c r="D480" s="512"/>
      <c r="E480" s="486"/>
      <c r="F480" s="486"/>
    </row>
    <row r="481" spans="1:6">
      <c r="A481" s="588">
        <f>A475+1</f>
        <v>13</v>
      </c>
      <c r="B481" s="589" t="s">
        <v>678</v>
      </c>
      <c r="C481" s="511"/>
      <c r="D481" s="512"/>
      <c r="E481" s="486"/>
      <c r="F481" s="486"/>
    </row>
    <row r="482" spans="1:6">
      <c r="A482" s="590">
        <f>+A481+0.1</f>
        <v>13.1</v>
      </c>
      <c r="B482" s="591" t="s">
        <v>679</v>
      </c>
      <c r="C482" s="511">
        <v>7.28</v>
      </c>
      <c r="D482" s="512" t="s">
        <v>406</v>
      </c>
      <c r="E482" s="486" t="e">
        <f>VLOOKUP(B482,#REF!,7,FALSE)</f>
        <v>#REF!</v>
      </c>
      <c r="F482" s="479" t="e">
        <f>+ROUND(E482*C482,2)</f>
        <v>#REF!</v>
      </c>
    </row>
    <row r="483" spans="1:6">
      <c r="A483" s="590">
        <f>+A482+0.1</f>
        <v>13.2</v>
      </c>
      <c r="B483" s="591" t="s">
        <v>680</v>
      </c>
      <c r="C483" s="511">
        <v>7.28</v>
      </c>
      <c r="D483" s="512" t="s">
        <v>406</v>
      </c>
      <c r="E483" s="486" t="e">
        <f>VLOOKUP(B483,#REF!,7,FALSE)</f>
        <v>#REF!</v>
      </c>
      <c r="F483" s="479" t="e">
        <f>+ROUND(E483*C483,2)</f>
        <v>#REF!</v>
      </c>
    </row>
    <row r="484" spans="1:6">
      <c r="A484" s="590">
        <f>+A483+0.1</f>
        <v>13.3</v>
      </c>
      <c r="B484" s="591" t="s">
        <v>681</v>
      </c>
      <c r="C484" s="511">
        <v>1</v>
      </c>
      <c r="D484" s="512" t="s">
        <v>500</v>
      </c>
      <c r="E484" s="486" t="e">
        <f>VLOOKUP(B484,#REF!,7,FALSE)</f>
        <v>#REF!</v>
      </c>
      <c r="F484" s="479" t="e">
        <f>+ROUND(E484*C484,2)</f>
        <v>#REF!</v>
      </c>
    </row>
    <row r="485" spans="1:6">
      <c r="A485" s="590">
        <f>+A484+0.1</f>
        <v>13.4</v>
      </c>
      <c r="B485" s="591" t="s">
        <v>682</v>
      </c>
      <c r="C485" s="511">
        <v>14.2</v>
      </c>
      <c r="D485" s="512" t="s">
        <v>406</v>
      </c>
      <c r="E485" s="486" t="e">
        <f>VLOOKUP(B485,#REF!,7,FALSE)</f>
        <v>#REF!</v>
      </c>
      <c r="F485" s="479" t="e">
        <f>+ROUND(E485*C485,2)</f>
        <v>#REF!</v>
      </c>
    </row>
    <row r="486" spans="1:6">
      <c r="A486" s="591"/>
      <c r="B486" s="591"/>
      <c r="C486" s="511"/>
      <c r="D486" s="512"/>
      <c r="E486" s="486"/>
      <c r="F486" s="486"/>
    </row>
    <row r="487" spans="1:6">
      <c r="A487" s="588">
        <f>A481+1</f>
        <v>14</v>
      </c>
      <c r="B487" s="589" t="s">
        <v>683</v>
      </c>
      <c r="C487" s="511"/>
      <c r="D487" s="512"/>
      <c r="E487" s="486"/>
      <c r="F487" s="486"/>
    </row>
    <row r="488" spans="1:6">
      <c r="A488" s="590">
        <f>A487+0.1</f>
        <v>14.1</v>
      </c>
      <c r="B488" s="591" t="s">
        <v>684</v>
      </c>
      <c r="C488" s="511">
        <v>422.88</v>
      </c>
      <c r="D488" s="512" t="s">
        <v>300</v>
      </c>
      <c r="E488" s="486" t="e">
        <f>VLOOKUP(B488,#REF!,7,FALSE)</f>
        <v>#REF!</v>
      </c>
      <c r="F488" s="479" t="e">
        <f>+ROUND(E488*C488,2)</f>
        <v>#REF!</v>
      </c>
    </row>
    <row r="489" spans="1:6">
      <c r="A489" s="590">
        <f>A488+0.1</f>
        <v>14.2</v>
      </c>
      <c r="B489" s="591" t="s">
        <v>685</v>
      </c>
      <c r="C489" s="511">
        <v>171</v>
      </c>
      <c r="D489" s="512" t="s">
        <v>300</v>
      </c>
      <c r="E489" s="486" t="e">
        <f>VLOOKUP(B489,#REF!,7,FALSE)</f>
        <v>#REF!</v>
      </c>
      <c r="F489" s="479" t="e">
        <f>+ROUND(E489*C489,2)</f>
        <v>#REF!</v>
      </c>
    </row>
    <row r="490" spans="1:6">
      <c r="A490" s="590">
        <f>A489+0.1</f>
        <v>14.3</v>
      </c>
      <c r="B490" s="591" t="s">
        <v>686</v>
      </c>
      <c r="C490" s="511">
        <v>108.31</v>
      </c>
      <c r="D490" s="512" t="s">
        <v>300</v>
      </c>
      <c r="E490" s="486" t="e">
        <f>VLOOKUP(B490,#REF!,7,FALSE)</f>
        <v>#REF!</v>
      </c>
      <c r="F490" s="479" t="e">
        <f>+ROUND(E490*C490,2)</f>
        <v>#REF!</v>
      </c>
    </row>
    <row r="491" spans="1:6">
      <c r="A491" s="590">
        <f>A490+0.1</f>
        <v>14.4</v>
      </c>
      <c r="B491" s="591" t="s">
        <v>687</v>
      </c>
      <c r="C491" s="511">
        <v>1</v>
      </c>
      <c r="D491" s="512" t="s">
        <v>500</v>
      </c>
      <c r="E491" s="486" t="e">
        <f>VLOOKUP(B491,#REF!,7,FALSE)</f>
        <v>#REF!</v>
      </c>
      <c r="F491" s="479" t="e">
        <f>+ROUND(E491*C491,2)</f>
        <v>#REF!</v>
      </c>
    </row>
    <row r="492" spans="1:6">
      <c r="A492" s="591"/>
      <c r="B492" s="591"/>
      <c r="C492" s="511"/>
      <c r="D492" s="512"/>
      <c r="E492" s="486"/>
      <c r="F492" s="486"/>
    </row>
    <row r="493" spans="1:6">
      <c r="A493" s="588">
        <f>A487+1</f>
        <v>15</v>
      </c>
      <c r="B493" s="589" t="s">
        <v>547</v>
      </c>
      <c r="C493" s="511"/>
      <c r="D493" s="512"/>
      <c r="E493" s="486"/>
      <c r="F493" s="486"/>
    </row>
    <row r="494" spans="1:6">
      <c r="A494" s="590">
        <f>A493+0.1</f>
        <v>15.1</v>
      </c>
      <c r="B494" s="591" t="s">
        <v>688</v>
      </c>
      <c r="C494" s="511">
        <v>1</v>
      </c>
      <c r="D494" s="512" t="s">
        <v>500</v>
      </c>
      <c r="E494" s="486" t="e">
        <f>VLOOKUP(B494,#REF!,7,FALSE)</f>
        <v>#REF!</v>
      </c>
      <c r="F494" s="479" t="e">
        <f t="shared" ref="F494:F500" si="26">+ROUND(E494*C494,2)</f>
        <v>#REF!</v>
      </c>
    </row>
    <row r="495" spans="1:6">
      <c r="A495" s="590">
        <f t="shared" ref="A495:A500" si="27">A494+0.1</f>
        <v>15.2</v>
      </c>
      <c r="B495" s="591" t="s">
        <v>689</v>
      </c>
      <c r="C495" s="511">
        <v>2</v>
      </c>
      <c r="D495" s="512" t="s">
        <v>10</v>
      </c>
      <c r="E495" s="486" t="e">
        <f>VLOOKUP(B495,#REF!,7,FALSE)</f>
        <v>#REF!</v>
      </c>
      <c r="F495" s="479" t="e">
        <f t="shared" si="26"/>
        <v>#REF!</v>
      </c>
    </row>
    <row r="496" spans="1:6">
      <c r="A496" s="590">
        <f t="shared" si="27"/>
        <v>15.3</v>
      </c>
      <c r="B496" s="591" t="s">
        <v>690</v>
      </c>
      <c r="C496" s="511">
        <v>1</v>
      </c>
      <c r="D496" s="512" t="s">
        <v>500</v>
      </c>
      <c r="E496" s="486" t="e">
        <f>VLOOKUP(B496,#REF!,7,FALSE)</f>
        <v>#REF!</v>
      </c>
      <c r="F496" s="479" t="e">
        <f t="shared" si="26"/>
        <v>#REF!</v>
      </c>
    </row>
    <row r="497" spans="1:6">
      <c r="A497" s="590">
        <f t="shared" si="27"/>
        <v>15.4</v>
      </c>
      <c r="B497" s="591" t="s">
        <v>691</v>
      </c>
      <c r="C497" s="511">
        <v>1</v>
      </c>
      <c r="D497" s="512" t="s">
        <v>500</v>
      </c>
      <c r="E497" s="486" t="e">
        <f>VLOOKUP(B497,#REF!,7,FALSE)</f>
        <v>#REF!</v>
      </c>
      <c r="F497" s="479" t="e">
        <f t="shared" si="26"/>
        <v>#REF!</v>
      </c>
    </row>
    <row r="498" spans="1:6">
      <c r="A498" s="590">
        <f t="shared" si="27"/>
        <v>15.5</v>
      </c>
      <c r="B498" s="591" t="s">
        <v>692</v>
      </c>
      <c r="C498" s="511">
        <v>1</v>
      </c>
      <c r="D498" s="512" t="s">
        <v>500</v>
      </c>
      <c r="E498" s="486" t="e">
        <f>VLOOKUP(B498,#REF!,7,FALSE)</f>
        <v>#REF!</v>
      </c>
      <c r="F498" s="479" t="e">
        <f t="shared" si="26"/>
        <v>#REF!</v>
      </c>
    </row>
    <row r="499" spans="1:6">
      <c r="A499" s="590">
        <f t="shared" si="27"/>
        <v>15.6</v>
      </c>
      <c r="B499" s="591" t="s">
        <v>693</v>
      </c>
      <c r="C499" s="511">
        <v>130.41</v>
      </c>
      <c r="D499" s="512" t="s">
        <v>304</v>
      </c>
      <c r="E499" s="486" t="e">
        <f>VLOOKUP(B499,#REF!,7,FALSE)</f>
        <v>#REF!</v>
      </c>
      <c r="F499" s="479" t="e">
        <f t="shared" si="26"/>
        <v>#REF!</v>
      </c>
    </row>
    <row r="500" spans="1:6">
      <c r="A500" s="590">
        <f t="shared" si="27"/>
        <v>15.7</v>
      </c>
      <c r="B500" s="591" t="s">
        <v>694</v>
      </c>
      <c r="C500" s="511">
        <v>1</v>
      </c>
      <c r="D500" s="512" t="s">
        <v>500</v>
      </c>
      <c r="E500" s="486" t="e">
        <f>VLOOKUP(B500,#REF!,7,FALSE)</f>
        <v>#REF!</v>
      </c>
      <c r="F500" s="479" t="e">
        <f t="shared" si="26"/>
        <v>#REF!</v>
      </c>
    </row>
    <row r="501" spans="1:6">
      <c r="A501" s="543"/>
      <c r="B501" s="544" t="s">
        <v>695</v>
      </c>
      <c r="C501" s="545"/>
      <c r="D501" s="546"/>
      <c r="E501" s="547"/>
      <c r="F501" s="548" t="e">
        <f>SUM(F362:F500)</f>
        <v>#REF!</v>
      </c>
    </row>
    <row r="502" spans="1:6">
      <c r="A502" s="509"/>
      <c r="B502" s="510"/>
      <c r="C502" s="511"/>
      <c r="D502" s="512"/>
      <c r="E502" s="486"/>
      <c r="F502" s="486"/>
    </row>
    <row r="503" spans="1:6">
      <c r="A503" s="504" t="s">
        <v>696</v>
      </c>
      <c r="B503" s="614" t="s">
        <v>906</v>
      </c>
      <c r="C503" s="597"/>
      <c r="D503" s="521"/>
      <c r="E503" s="508"/>
      <c r="F503" s="508"/>
    </row>
    <row r="504" spans="1:6">
      <c r="A504" s="509"/>
      <c r="B504" s="510"/>
      <c r="C504" s="511"/>
      <c r="D504" s="512"/>
      <c r="E504" s="486"/>
      <c r="F504" s="486" t="e">
        <f>+F501+F358+F318+F243+F163+F97+F60+F43</f>
        <v>#REF!</v>
      </c>
    </row>
    <row r="505" spans="1:6">
      <c r="A505" s="599">
        <v>1</v>
      </c>
      <c r="B505" s="600" t="s">
        <v>420</v>
      </c>
      <c r="C505" s="601"/>
      <c r="D505" s="602"/>
      <c r="E505" s="603"/>
      <c r="F505" s="771"/>
    </row>
    <row r="506" spans="1:6">
      <c r="A506" s="604">
        <f>A505+0.1</f>
        <v>1.1000000000000001</v>
      </c>
      <c r="B506" s="605" t="s">
        <v>697</v>
      </c>
      <c r="C506" s="601">
        <v>37.200000000000003</v>
      </c>
      <c r="D506" s="602" t="s">
        <v>15</v>
      </c>
      <c r="E506" s="603" t="e">
        <f>VLOOKUP(B506,#REF!,7,FALSE)</f>
        <v>#REF!</v>
      </c>
      <c r="F506" s="771" t="e">
        <f>ROUND(C506*E506,2)</f>
        <v>#REF!</v>
      </c>
    </row>
    <row r="507" spans="1:6">
      <c r="A507" s="606"/>
      <c r="B507" s="605"/>
      <c r="C507" s="601"/>
      <c r="D507" s="602"/>
      <c r="E507" s="607"/>
      <c r="F507" s="771"/>
    </row>
    <row r="508" spans="1:6" ht="25.5">
      <c r="A508" s="900">
        <v>2</v>
      </c>
      <c r="B508" s="901" t="s">
        <v>698</v>
      </c>
      <c r="C508" s="902">
        <v>1</v>
      </c>
      <c r="D508" s="903" t="s">
        <v>500</v>
      </c>
      <c r="E508" s="921" t="e">
        <f>VLOOKUP(B508,#REF!,7,FALSE)</f>
        <v>#REF!</v>
      </c>
      <c r="F508" s="904" t="e">
        <f>ROUND(C508*E508,2)</f>
        <v>#REF!</v>
      </c>
    </row>
    <row r="509" spans="1:6">
      <c r="A509" s="608"/>
      <c r="B509" s="609"/>
      <c r="C509" s="610"/>
      <c r="D509" s="611"/>
      <c r="E509" s="612"/>
      <c r="F509" s="508"/>
    </row>
    <row r="510" spans="1:6">
      <c r="A510" s="613">
        <v>3</v>
      </c>
      <c r="B510" s="614" t="s">
        <v>510</v>
      </c>
      <c r="C510" s="610"/>
      <c r="D510" s="611"/>
      <c r="E510" s="612"/>
      <c r="F510" s="508"/>
    </row>
    <row r="511" spans="1:6">
      <c r="A511" s="525">
        <v>3.1</v>
      </c>
      <c r="B511" s="615" t="s">
        <v>699</v>
      </c>
      <c r="C511" s="481">
        <v>2.9</v>
      </c>
      <c r="D511" s="616" t="s">
        <v>298</v>
      </c>
      <c r="E511" s="617" t="e">
        <f>VLOOKUP(B511,#REF!,7,FALSE)</f>
        <v>#REF!</v>
      </c>
      <c r="F511" s="486" t="e">
        <f>ROUND(C511*E511,2)</f>
        <v>#REF!</v>
      </c>
    </row>
    <row r="512" spans="1:6">
      <c r="A512" s="525">
        <v>3.2</v>
      </c>
      <c r="B512" s="618" t="s">
        <v>700</v>
      </c>
      <c r="C512" s="481">
        <v>0.64</v>
      </c>
      <c r="D512" s="616" t="s">
        <v>298</v>
      </c>
      <c r="E512" s="617" t="e">
        <f>VLOOKUP(B512,#REF!,7,FALSE)</f>
        <v>#REF!</v>
      </c>
      <c r="F512" s="486" t="e">
        <f>ROUND(C512*E512,2)</f>
        <v>#REF!</v>
      </c>
    </row>
    <row r="513" spans="1:6">
      <c r="A513" s="525">
        <v>3.3</v>
      </c>
      <c r="B513" s="618" t="s">
        <v>701</v>
      </c>
      <c r="C513" s="481">
        <v>0.36</v>
      </c>
      <c r="D513" s="616" t="s">
        <v>298</v>
      </c>
      <c r="E513" s="617" t="e">
        <f>VLOOKUP(B513,#REF!,7,FALSE)</f>
        <v>#REF!</v>
      </c>
      <c r="F513" s="486" t="e">
        <f>ROUND(C513*E513,2)</f>
        <v>#REF!</v>
      </c>
    </row>
    <row r="514" spans="1:6">
      <c r="A514" s="525">
        <v>3.4</v>
      </c>
      <c r="B514" s="615" t="s">
        <v>702</v>
      </c>
      <c r="C514" s="481">
        <v>0.22</v>
      </c>
      <c r="D514" s="616" t="s">
        <v>298</v>
      </c>
      <c r="E514" s="617" t="e">
        <f>VLOOKUP(B514,#REF!,7,FALSE)</f>
        <v>#REF!</v>
      </c>
      <c r="F514" s="772" t="e">
        <f>ROUND((C514*E514),2)</f>
        <v>#REF!</v>
      </c>
    </row>
    <row r="515" spans="1:6">
      <c r="A515" s="525">
        <v>3.5</v>
      </c>
      <c r="B515" s="615" t="s">
        <v>703</v>
      </c>
      <c r="C515" s="481">
        <v>0.74</v>
      </c>
      <c r="D515" s="616" t="s">
        <v>298</v>
      </c>
      <c r="E515" s="617" t="e">
        <f>VLOOKUP(B515,#REF!,7,FALSE)</f>
        <v>#REF!</v>
      </c>
      <c r="F515" s="772" t="e">
        <f>ROUND((C515*E515),2)</f>
        <v>#REF!</v>
      </c>
    </row>
    <row r="516" spans="1:6">
      <c r="A516" s="525">
        <v>3.6</v>
      </c>
      <c r="B516" s="618" t="s">
        <v>704</v>
      </c>
      <c r="C516" s="481">
        <v>0.24</v>
      </c>
      <c r="D516" s="616" t="s">
        <v>298</v>
      </c>
      <c r="E516" s="617" t="e">
        <f>VLOOKUP(B516,#REF!,7,FALSE)</f>
        <v>#REF!</v>
      </c>
      <c r="F516" s="486" t="e">
        <f>ROUND(C516*E516,2)</f>
        <v>#REF!</v>
      </c>
    </row>
    <row r="517" spans="1:6">
      <c r="A517" s="525">
        <v>3.7</v>
      </c>
      <c r="B517" s="615" t="s">
        <v>705</v>
      </c>
      <c r="C517" s="481">
        <v>1.62</v>
      </c>
      <c r="D517" s="616" t="s">
        <v>298</v>
      </c>
      <c r="E517" s="617" t="e">
        <f>VLOOKUP(B517,#REF!,7,FALSE)</f>
        <v>#REF!</v>
      </c>
      <c r="F517" s="486" t="e">
        <f>ROUND(C517*E517,2)</f>
        <v>#REF!</v>
      </c>
    </row>
    <row r="518" spans="1:6">
      <c r="A518" s="608"/>
      <c r="B518" s="510"/>
      <c r="C518" s="481"/>
      <c r="D518" s="473"/>
      <c r="E518" s="617"/>
      <c r="F518" s="486"/>
    </row>
    <row r="519" spans="1:6">
      <c r="A519" s="613">
        <v>4</v>
      </c>
      <c r="B519" s="598" t="s">
        <v>299</v>
      </c>
      <c r="C519" s="481"/>
      <c r="D519" s="473"/>
      <c r="E519" s="619"/>
      <c r="F519" s="486"/>
    </row>
    <row r="520" spans="1:6">
      <c r="A520" s="525">
        <v>4.0999999999999996</v>
      </c>
      <c r="B520" s="510" t="s">
        <v>706</v>
      </c>
      <c r="C520" s="481">
        <v>9.64</v>
      </c>
      <c r="D520" s="620" t="s">
        <v>300</v>
      </c>
      <c r="E520" s="617" t="e">
        <f>VLOOKUP(B520,#REF!,7,FALSE)</f>
        <v>#REF!</v>
      </c>
      <c r="F520" s="486" t="e">
        <f>ROUND(C520*E520,2)</f>
        <v>#REF!</v>
      </c>
    </row>
    <row r="521" spans="1:6">
      <c r="A521" s="525">
        <v>4.2</v>
      </c>
      <c r="B521" s="510" t="s">
        <v>707</v>
      </c>
      <c r="C521" s="481">
        <v>45.38</v>
      </c>
      <c r="D521" s="620" t="s">
        <v>300</v>
      </c>
      <c r="E521" s="617" t="e">
        <f>VLOOKUP(B521,#REF!,7,FALSE)</f>
        <v>#REF!</v>
      </c>
      <c r="F521" s="486" t="e">
        <f>ROUND(C521*E521,2)</f>
        <v>#REF!</v>
      </c>
    </row>
    <row r="522" spans="1:6">
      <c r="A522" s="525"/>
      <c r="B522" s="609"/>
      <c r="C522" s="610"/>
      <c r="D522" s="611"/>
      <c r="E522" s="622"/>
      <c r="F522" s="508"/>
    </row>
    <row r="523" spans="1:6">
      <c r="A523" s="613">
        <v>5</v>
      </c>
      <c r="B523" s="614" t="s">
        <v>516</v>
      </c>
      <c r="C523" s="610"/>
      <c r="D523" s="611"/>
      <c r="E523" s="612"/>
      <c r="F523" s="508"/>
    </row>
    <row r="524" spans="1:6">
      <c r="A524" s="525">
        <v>5.0999999999999996</v>
      </c>
      <c r="B524" s="615" t="s">
        <v>519</v>
      </c>
      <c r="C524" s="481">
        <v>19.54</v>
      </c>
      <c r="D524" s="620" t="s">
        <v>300</v>
      </c>
      <c r="E524" s="617" t="e">
        <f>VLOOKUP(B524,#REF!,7,FALSE)</f>
        <v>#REF!</v>
      </c>
      <c r="F524" s="486" t="e">
        <f t="shared" ref="F524:F534" si="28">ROUND(C524*E524,2)</f>
        <v>#REF!</v>
      </c>
    </row>
    <row r="525" spans="1:6">
      <c r="A525" s="525">
        <v>5.2</v>
      </c>
      <c r="B525" s="615" t="s">
        <v>708</v>
      </c>
      <c r="C525" s="481">
        <v>52.08</v>
      </c>
      <c r="D525" s="620" t="s">
        <v>300</v>
      </c>
      <c r="E525" s="617" t="e">
        <f>VLOOKUP(B525,#REF!,7,FALSE)</f>
        <v>#REF!</v>
      </c>
      <c r="F525" s="486" t="e">
        <f t="shared" si="28"/>
        <v>#REF!</v>
      </c>
    </row>
    <row r="526" spans="1:6">
      <c r="A526" s="525">
        <v>5.3</v>
      </c>
      <c r="B526" s="615" t="s">
        <v>709</v>
      </c>
      <c r="C526" s="481">
        <v>41.88</v>
      </c>
      <c r="D526" s="620" t="s">
        <v>300</v>
      </c>
      <c r="E526" s="617" t="e">
        <f>VLOOKUP(B526,#REF!,7,FALSE)</f>
        <v>#REF!</v>
      </c>
      <c r="F526" s="486" t="e">
        <f t="shared" si="28"/>
        <v>#REF!</v>
      </c>
    </row>
    <row r="527" spans="1:6">
      <c r="A527" s="525">
        <v>5.4</v>
      </c>
      <c r="B527" s="615" t="s">
        <v>710</v>
      </c>
      <c r="C527" s="481">
        <v>19.239999999999998</v>
      </c>
      <c r="D527" s="620" t="s">
        <v>300</v>
      </c>
      <c r="E527" s="617" t="e">
        <f>VLOOKUP(B527,#REF!,7,FALSE)</f>
        <v>#REF!</v>
      </c>
      <c r="F527" s="486" t="e">
        <f t="shared" si="28"/>
        <v>#REF!</v>
      </c>
    </row>
    <row r="528" spans="1:6">
      <c r="A528" s="525">
        <v>5.6</v>
      </c>
      <c r="B528" s="615" t="s">
        <v>544</v>
      </c>
      <c r="C528" s="481">
        <v>71.2</v>
      </c>
      <c r="D528" s="473" t="s">
        <v>15</v>
      </c>
      <c r="E528" s="617" t="e">
        <f>VLOOKUP(B528,#REF!,7,FALSE)</f>
        <v>#REF!</v>
      </c>
      <c r="F528" s="486" t="e">
        <f t="shared" si="28"/>
        <v>#REF!</v>
      </c>
    </row>
    <row r="529" spans="1:6">
      <c r="A529" s="525">
        <v>5.7</v>
      </c>
      <c r="B529" s="615" t="s">
        <v>315</v>
      </c>
      <c r="C529" s="481">
        <v>4.04</v>
      </c>
      <c r="D529" s="473" t="s">
        <v>15</v>
      </c>
      <c r="E529" s="622" t="e">
        <f>VLOOKUP(B529,#REF!,7,FALSE)</f>
        <v>#REF!</v>
      </c>
      <c r="F529" s="486" t="e">
        <f t="shared" si="28"/>
        <v>#REF!</v>
      </c>
    </row>
    <row r="530" spans="1:6">
      <c r="A530" s="525">
        <v>5.8</v>
      </c>
      <c r="B530" s="615" t="s">
        <v>675</v>
      </c>
      <c r="C530" s="481">
        <v>20.2</v>
      </c>
      <c r="D530" s="473" t="s">
        <v>15</v>
      </c>
      <c r="E530" s="622" t="e">
        <f>VLOOKUP(B530,#REF!,7,FALSE)</f>
        <v>#REF!</v>
      </c>
      <c r="F530" s="486" t="e">
        <f t="shared" si="28"/>
        <v>#REF!</v>
      </c>
    </row>
    <row r="531" spans="1:6">
      <c r="A531" s="555">
        <v>5.8</v>
      </c>
      <c r="B531" s="615" t="s">
        <v>711</v>
      </c>
      <c r="C531" s="481">
        <v>12.04</v>
      </c>
      <c r="D531" s="473" t="s">
        <v>15</v>
      </c>
      <c r="E531" s="617" t="e">
        <f>VLOOKUP(B531,#REF!,7,FALSE)</f>
        <v>#REF!</v>
      </c>
      <c r="F531" s="486" t="e">
        <f t="shared" si="28"/>
        <v>#REF!</v>
      </c>
    </row>
    <row r="532" spans="1:6">
      <c r="A532" s="555">
        <v>5.8</v>
      </c>
      <c r="B532" s="615" t="s">
        <v>712</v>
      </c>
      <c r="C532" s="481">
        <v>21.16</v>
      </c>
      <c r="D532" s="620" t="s">
        <v>300</v>
      </c>
      <c r="E532" s="922" t="e">
        <f>VLOOKUP(B532,#REF!,7,FALSE)</f>
        <v>#REF!</v>
      </c>
      <c r="F532" s="486" t="e">
        <f t="shared" si="28"/>
        <v>#REF!</v>
      </c>
    </row>
    <row r="533" spans="1:6">
      <c r="A533" s="555">
        <v>5.8</v>
      </c>
      <c r="B533" s="615" t="s">
        <v>713</v>
      </c>
      <c r="C533" s="481">
        <v>5.68</v>
      </c>
      <c r="D533" s="620" t="s">
        <v>300</v>
      </c>
      <c r="E533" s="617" t="e">
        <f>VLOOKUP(B533,#REF!,7,FALSE)</f>
        <v>#REF!</v>
      </c>
      <c r="F533" s="486" t="e">
        <f t="shared" si="28"/>
        <v>#REF!</v>
      </c>
    </row>
    <row r="534" spans="1:6">
      <c r="A534" s="525">
        <v>5.5</v>
      </c>
      <c r="B534" s="615" t="s">
        <v>714</v>
      </c>
      <c r="C534" s="481">
        <v>95.2</v>
      </c>
      <c r="D534" s="620" t="s">
        <v>300</v>
      </c>
      <c r="E534" s="617" t="e">
        <f>VLOOKUP(B534,#REF!,7,FALSE)</f>
        <v>#REF!</v>
      </c>
      <c r="F534" s="486" t="e">
        <f t="shared" si="28"/>
        <v>#REF!</v>
      </c>
    </row>
    <row r="535" spans="1:6">
      <c r="A535" s="525"/>
      <c r="B535" s="615"/>
      <c r="C535" s="481"/>
      <c r="D535" s="620"/>
      <c r="E535" s="619"/>
      <c r="F535" s="486"/>
    </row>
    <row r="536" spans="1:6">
      <c r="A536" s="524">
        <v>6</v>
      </c>
      <c r="B536" s="618" t="s">
        <v>715</v>
      </c>
      <c r="C536" s="481">
        <v>10.6</v>
      </c>
      <c r="D536" s="620" t="s">
        <v>300</v>
      </c>
      <c r="E536" s="922" t="e">
        <f>VLOOKUP(B536,#REF!,7,FALSE)</f>
        <v>#REF!</v>
      </c>
      <c r="F536" s="486" t="e">
        <f>ROUND(C536*E536,2)</f>
        <v>#REF!</v>
      </c>
    </row>
    <row r="537" spans="1:6">
      <c r="A537" s="524"/>
      <c r="B537" s="615"/>
      <c r="C537" s="481"/>
      <c r="D537" s="620"/>
      <c r="E537" s="617"/>
      <c r="F537" s="486"/>
    </row>
    <row r="538" spans="1:6">
      <c r="A538" s="524">
        <v>7</v>
      </c>
      <c r="B538" s="615" t="s">
        <v>716</v>
      </c>
      <c r="C538" s="481">
        <v>12.12</v>
      </c>
      <c r="D538" s="620" t="s">
        <v>300</v>
      </c>
      <c r="E538" s="617" t="e">
        <f>VLOOKUP(B538,#REF!,7,FALSE)</f>
        <v>#REF!</v>
      </c>
      <c r="F538" s="486" t="e">
        <f>ROUND(C538*E538,2)</f>
        <v>#REF!</v>
      </c>
    </row>
    <row r="539" spans="1:6">
      <c r="A539" s="524"/>
      <c r="B539" s="609"/>
      <c r="C539" s="610"/>
      <c r="D539" s="611"/>
      <c r="E539" s="622"/>
      <c r="F539" s="508"/>
    </row>
    <row r="540" spans="1:6">
      <c r="A540" s="498">
        <v>8</v>
      </c>
      <c r="B540" s="623" t="s">
        <v>717</v>
      </c>
      <c r="C540" s="481"/>
      <c r="D540" s="473"/>
      <c r="E540" s="617"/>
      <c r="F540" s="486"/>
    </row>
    <row r="541" spans="1:6">
      <c r="A541" s="555">
        <v>8.1</v>
      </c>
      <c r="B541" s="615" t="s">
        <v>718</v>
      </c>
      <c r="C541" s="481">
        <v>30.4</v>
      </c>
      <c r="D541" s="473" t="s">
        <v>15</v>
      </c>
      <c r="E541" s="922" t="e">
        <f>VLOOKUP(B541,#REF!,7,FALSE)</f>
        <v>#REF!</v>
      </c>
      <c r="F541" s="486" t="e">
        <f>ROUND(C541*E541,2)</f>
        <v>#REF!</v>
      </c>
    </row>
    <row r="542" spans="1:6">
      <c r="A542" s="555">
        <v>8.1999999999999993</v>
      </c>
      <c r="B542" s="618" t="s">
        <v>719</v>
      </c>
      <c r="C542" s="481">
        <v>2</v>
      </c>
      <c r="D542" s="473" t="s">
        <v>10</v>
      </c>
      <c r="E542" s="923" t="e">
        <f>VLOOKUP(B542,#REF!,7,FALSE)</f>
        <v>#REF!</v>
      </c>
      <c r="F542" s="486" t="e">
        <f>ROUND(C542*E542,2)</f>
        <v>#REF!</v>
      </c>
    </row>
    <row r="543" spans="1:6">
      <c r="A543" s="555">
        <v>8.3000000000000007</v>
      </c>
      <c r="B543" s="624" t="s">
        <v>720</v>
      </c>
      <c r="C543" s="625">
        <v>2</v>
      </c>
      <c r="D543" s="626" t="s">
        <v>10</v>
      </c>
      <c r="E543" s="922" t="e">
        <f>VLOOKUP(B543,#REF!,7,FALSE)</f>
        <v>#REF!</v>
      </c>
      <c r="F543" s="486" t="e">
        <f>ROUND(C543*E543,2)</f>
        <v>#REF!</v>
      </c>
    </row>
    <row r="544" spans="1:6">
      <c r="A544" s="498"/>
      <c r="B544" s="618"/>
      <c r="C544" s="481"/>
      <c r="D544" s="473"/>
      <c r="E544" s="619"/>
      <c r="F544" s="486"/>
    </row>
    <row r="545" spans="1:6">
      <c r="A545" s="498">
        <v>9</v>
      </c>
      <c r="B545" s="627" t="s">
        <v>721</v>
      </c>
      <c r="C545" s="481"/>
      <c r="D545" s="473"/>
      <c r="E545" s="628"/>
      <c r="F545" s="486"/>
    </row>
    <row r="546" spans="1:6">
      <c r="A546" s="555">
        <v>9.1</v>
      </c>
      <c r="B546" s="618" t="s">
        <v>722</v>
      </c>
      <c r="C546" s="481">
        <v>46.5</v>
      </c>
      <c r="D546" s="473" t="s">
        <v>304</v>
      </c>
      <c r="E546" s="923" t="e">
        <f>VLOOKUP(B546,#REF!,7,FALSE)</f>
        <v>#REF!</v>
      </c>
      <c r="F546" s="486" t="e">
        <f>ROUND(C546*E546,2)</f>
        <v>#REF!</v>
      </c>
    </row>
    <row r="547" spans="1:6">
      <c r="A547" s="555">
        <v>9.1999999999999993</v>
      </c>
      <c r="B547" s="624" t="s">
        <v>723</v>
      </c>
      <c r="C547" s="625">
        <v>2</v>
      </c>
      <c r="D547" s="626" t="s">
        <v>10</v>
      </c>
      <c r="E547" s="922" t="e">
        <f>VLOOKUP(B547,#REF!,7,FALSE)</f>
        <v>#REF!</v>
      </c>
      <c r="F547" s="486" t="e">
        <f>ROUND(C547*E547,2)</f>
        <v>#REF!</v>
      </c>
    </row>
    <row r="548" spans="1:6">
      <c r="A548" s="524"/>
      <c r="B548" s="518"/>
      <c r="C548" s="610"/>
      <c r="D548" s="611"/>
      <c r="E548" s="617"/>
      <c r="F548" s="486"/>
    </row>
    <row r="549" spans="1:6">
      <c r="A549" s="524">
        <v>10</v>
      </c>
      <c r="B549" s="629" t="s">
        <v>724</v>
      </c>
      <c r="C549" s="518"/>
      <c r="D549" s="519"/>
      <c r="E549" s="612"/>
      <c r="F549" s="508"/>
    </row>
    <row r="550" spans="1:6">
      <c r="A550" s="630">
        <v>10.1</v>
      </c>
      <c r="B550" s="624" t="s">
        <v>725</v>
      </c>
      <c r="C550" s="631">
        <v>2</v>
      </c>
      <c r="D550" s="626" t="s">
        <v>10</v>
      </c>
      <c r="E550" s="622" t="e">
        <f>VLOOKUP(B550,#REF!,7,FALSE)</f>
        <v>#REF!</v>
      </c>
      <c r="F550" s="479" t="e">
        <f t="shared" ref="F550:F562" si="29">ROUND(C550*E550,2)</f>
        <v>#REF!</v>
      </c>
    </row>
    <row r="551" spans="1:6">
      <c r="A551" s="630">
        <v>10.199999999999999</v>
      </c>
      <c r="B551" s="624" t="s">
        <v>726</v>
      </c>
      <c r="C551" s="631">
        <v>2</v>
      </c>
      <c r="D551" s="626" t="s">
        <v>10</v>
      </c>
      <c r="E551" s="622" t="e">
        <f>VLOOKUP(B551,#REF!,7,FALSE)</f>
        <v>#REF!</v>
      </c>
      <c r="F551" s="479" t="e">
        <f t="shared" si="29"/>
        <v>#REF!</v>
      </c>
    </row>
    <row r="552" spans="1:6">
      <c r="A552" s="630">
        <v>10.3</v>
      </c>
      <c r="B552" s="624" t="s">
        <v>324</v>
      </c>
      <c r="C552" s="631">
        <v>2</v>
      </c>
      <c r="D552" s="626" t="s">
        <v>10</v>
      </c>
      <c r="E552" s="622" t="e">
        <f>VLOOKUP(B552,#REF!,7,FALSE)</f>
        <v>#REF!</v>
      </c>
      <c r="F552" s="479" t="e">
        <f t="shared" si="29"/>
        <v>#REF!</v>
      </c>
    </row>
    <row r="553" spans="1:6">
      <c r="A553" s="630">
        <v>10.4</v>
      </c>
      <c r="B553" s="624" t="s">
        <v>638</v>
      </c>
      <c r="C553" s="631">
        <v>2</v>
      </c>
      <c r="D553" s="626" t="s">
        <v>10</v>
      </c>
      <c r="E553" s="622" t="e">
        <f>VLOOKUP(B553,#REF!,7,FALSE)</f>
        <v>#REF!</v>
      </c>
      <c r="F553" s="479" t="e">
        <f t="shared" si="29"/>
        <v>#REF!</v>
      </c>
    </row>
    <row r="554" spans="1:6">
      <c r="A554" s="630">
        <v>10.5</v>
      </c>
      <c r="B554" s="624" t="s">
        <v>727</v>
      </c>
      <c r="C554" s="631">
        <v>2</v>
      </c>
      <c r="D554" s="626" t="s">
        <v>10</v>
      </c>
      <c r="E554" s="622" t="e">
        <f>VLOOKUP(B554,#REF!,7,FALSE)</f>
        <v>#REF!</v>
      </c>
      <c r="F554" s="479" t="e">
        <f t="shared" si="29"/>
        <v>#REF!</v>
      </c>
    </row>
    <row r="555" spans="1:6">
      <c r="A555" s="630">
        <v>10.6</v>
      </c>
      <c r="B555" s="624" t="s">
        <v>728</v>
      </c>
      <c r="C555" s="631">
        <v>2</v>
      </c>
      <c r="D555" s="626" t="s">
        <v>10</v>
      </c>
      <c r="E555" s="924" t="e">
        <f>VLOOKUP(B555,#REF!,7,FALSE)</f>
        <v>#REF!</v>
      </c>
      <c r="F555" s="479" t="e">
        <f t="shared" si="29"/>
        <v>#REF!</v>
      </c>
    </row>
    <row r="556" spans="1:6">
      <c r="A556" s="630">
        <v>10.7</v>
      </c>
      <c r="B556" s="624" t="s">
        <v>729</v>
      </c>
      <c r="C556" s="631">
        <v>2</v>
      </c>
      <c r="D556" s="626" t="s">
        <v>10</v>
      </c>
      <c r="E556" s="622" t="e">
        <f>VLOOKUP(B556,#REF!,7,FALSE)</f>
        <v>#REF!</v>
      </c>
      <c r="F556" s="479" t="e">
        <f t="shared" si="29"/>
        <v>#REF!</v>
      </c>
    </row>
    <row r="557" spans="1:6">
      <c r="A557" s="630">
        <v>10.8</v>
      </c>
      <c r="B557" s="624" t="s">
        <v>730</v>
      </c>
      <c r="C557" s="631">
        <v>2</v>
      </c>
      <c r="D557" s="626" t="s">
        <v>10</v>
      </c>
      <c r="E557" s="924" t="e">
        <f>VLOOKUP(B557,#REF!,7,FALSE)</f>
        <v>#REF!</v>
      </c>
      <c r="F557" s="479" t="e">
        <f t="shared" si="29"/>
        <v>#REF!</v>
      </c>
    </row>
    <row r="558" spans="1:6">
      <c r="A558" s="630">
        <v>10.9</v>
      </c>
      <c r="B558" s="624" t="s">
        <v>731</v>
      </c>
      <c r="C558" s="631">
        <v>2</v>
      </c>
      <c r="D558" s="626" t="s">
        <v>10</v>
      </c>
      <c r="E558" s="924" t="e">
        <f>VLOOKUP(B558,#REF!,7,FALSE)</f>
        <v>#REF!</v>
      </c>
      <c r="F558" s="479" t="e">
        <f t="shared" si="29"/>
        <v>#REF!</v>
      </c>
    </row>
    <row r="559" spans="1:6">
      <c r="A559" s="632">
        <v>10.1</v>
      </c>
      <c r="B559" s="633" t="s">
        <v>732</v>
      </c>
      <c r="C559" s="631">
        <v>2</v>
      </c>
      <c r="D559" s="512" t="s">
        <v>10</v>
      </c>
      <c r="E559" s="924" t="e">
        <f>VLOOKUP(B559,#REF!,7,FALSE)</f>
        <v>#REF!</v>
      </c>
      <c r="F559" s="479" t="e">
        <f>ROUND(C559*E559,2)</f>
        <v>#REF!</v>
      </c>
    </row>
    <row r="560" spans="1:6">
      <c r="A560" s="509">
        <v>10.11</v>
      </c>
      <c r="B560" s="624" t="s">
        <v>733</v>
      </c>
      <c r="C560" s="631">
        <v>2</v>
      </c>
      <c r="D560" s="626" t="s">
        <v>10</v>
      </c>
      <c r="E560" s="924" t="e">
        <f>VLOOKUP(B560,#REF!,7,FALSE)</f>
        <v>#REF!</v>
      </c>
      <c r="F560" s="479" t="e">
        <f t="shared" si="29"/>
        <v>#REF!</v>
      </c>
    </row>
    <row r="561" spans="1:7" ht="25.5">
      <c r="A561" s="632">
        <v>10.119999999999999</v>
      </c>
      <c r="B561" s="618" t="s">
        <v>734</v>
      </c>
      <c r="C561" s="476">
        <v>1</v>
      </c>
      <c r="D561" s="512" t="s">
        <v>500</v>
      </c>
      <c r="E561" s="924" t="e">
        <f>VLOOKUP(B561,#REF!,7,FALSE)</f>
        <v>#REF!</v>
      </c>
      <c r="F561" s="479" t="e">
        <f t="shared" si="29"/>
        <v>#REF!</v>
      </c>
    </row>
    <row r="562" spans="1:7">
      <c r="A562" s="509">
        <v>10.130000000000001</v>
      </c>
      <c r="B562" s="624" t="s">
        <v>735</v>
      </c>
      <c r="C562" s="631">
        <v>1</v>
      </c>
      <c r="D562" s="512" t="s">
        <v>500</v>
      </c>
      <c r="E562" s="924" t="e">
        <f>VLOOKUP(B562,#REF!,7,FALSE)</f>
        <v>#REF!</v>
      </c>
      <c r="F562" s="479" t="e">
        <f t="shared" si="29"/>
        <v>#REF!</v>
      </c>
    </row>
    <row r="563" spans="1:7" ht="7.5" customHeight="1">
      <c r="A563" s="632"/>
      <c r="B563" s="633"/>
      <c r="C563" s="631"/>
      <c r="D563" s="626"/>
      <c r="E563" s="634"/>
      <c r="F563" s="479"/>
    </row>
    <row r="564" spans="1:7">
      <c r="A564" s="524">
        <v>11</v>
      </c>
      <c r="B564" s="614" t="s">
        <v>303</v>
      </c>
      <c r="C564" s="635"/>
      <c r="D564" s="611"/>
      <c r="E564" s="612"/>
      <c r="F564" s="508"/>
    </row>
    <row r="565" spans="1:7">
      <c r="A565" s="525">
        <v>11.1</v>
      </c>
      <c r="B565" s="518" t="s">
        <v>736</v>
      </c>
      <c r="C565" s="635">
        <v>2</v>
      </c>
      <c r="D565" s="611" t="s">
        <v>10</v>
      </c>
      <c r="E565" s="924" t="e">
        <f>VLOOKUP(B565,#REF!,7,FALSE)</f>
        <v>#REF!</v>
      </c>
      <c r="F565" s="508" t="e">
        <f>ROUND(C565*E565,2)</f>
        <v>#REF!</v>
      </c>
    </row>
    <row r="566" spans="1:7">
      <c r="A566" s="525">
        <v>11.2</v>
      </c>
      <c r="B566" s="518" t="s">
        <v>737</v>
      </c>
      <c r="C566" s="635">
        <v>12</v>
      </c>
      <c r="D566" s="611" t="s">
        <v>10</v>
      </c>
      <c r="E566" s="924" t="e">
        <f>VLOOKUP(B566,#REF!,7,FALSE)</f>
        <v>#REF!</v>
      </c>
      <c r="F566" s="508" t="e">
        <f>ROUND(C566*E566,2)</f>
        <v>#REF!</v>
      </c>
    </row>
    <row r="567" spans="1:7">
      <c r="A567" s="525">
        <v>11.3</v>
      </c>
      <c r="B567" s="519" t="s">
        <v>738</v>
      </c>
      <c r="C567" s="635">
        <v>6</v>
      </c>
      <c r="D567" s="611" t="s">
        <v>10</v>
      </c>
      <c r="E567" s="622" t="e">
        <f>VLOOKUP(B567,#REF!,7,FALSE)</f>
        <v>#REF!</v>
      </c>
      <c r="F567" s="508" t="e">
        <f>ROUND(C567*E567,2)</f>
        <v>#REF!</v>
      </c>
    </row>
    <row r="568" spans="1:7">
      <c r="A568" s="525">
        <v>11.4</v>
      </c>
      <c r="B568" s="519" t="s">
        <v>329</v>
      </c>
      <c r="C568" s="635">
        <v>6</v>
      </c>
      <c r="D568" s="611" t="s">
        <v>10</v>
      </c>
      <c r="E568" s="622" t="e">
        <f>VLOOKUP(B568,#REF!,7,FALSE)</f>
        <v>#REF!</v>
      </c>
      <c r="F568" s="508" t="e">
        <f>ROUND(C568*E568,2)</f>
        <v>#REF!</v>
      </c>
    </row>
    <row r="569" spans="1:7" ht="8.25" customHeight="1">
      <c r="A569" s="867"/>
      <c r="B569" s="868"/>
      <c r="C569" s="869"/>
      <c r="D569" s="870"/>
      <c r="E569" s="925"/>
      <c r="F569" s="871"/>
    </row>
    <row r="570" spans="1:7">
      <c r="A570" s="636">
        <v>12</v>
      </c>
      <c r="B570" s="484" t="s">
        <v>739</v>
      </c>
      <c r="C570" s="475">
        <v>0.5</v>
      </c>
      <c r="D570" s="512" t="s">
        <v>500</v>
      </c>
      <c r="E570" s="926" t="e">
        <f>VLOOKUP(B570,#REF!,7,FALSE)</f>
        <v>#REF!</v>
      </c>
      <c r="F570" s="492" t="e">
        <f>ROUND((C570*E570),2)</f>
        <v>#REF!</v>
      </c>
    </row>
    <row r="571" spans="1:7">
      <c r="A571" s="543"/>
      <c r="B571" s="544" t="s">
        <v>740</v>
      </c>
      <c r="C571" s="545"/>
      <c r="D571" s="546"/>
      <c r="E571" s="547"/>
      <c r="F571" s="548" t="e">
        <f>SUM(F506:F570)</f>
        <v>#REF!</v>
      </c>
      <c r="G571" s="779"/>
    </row>
    <row r="572" spans="1:7">
      <c r="A572" s="509"/>
      <c r="B572" s="510"/>
      <c r="C572" s="511"/>
      <c r="D572" s="512"/>
      <c r="E572" s="486"/>
      <c r="F572" s="486"/>
    </row>
    <row r="573" spans="1:7">
      <c r="A573" s="504" t="s">
        <v>741</v>
      </c>
      <c r="B573" s="614" t="s">
        <v>742</v>
      </c>
      <c r="C573" s="597"/>
      <c r="D573" s="521"/>
      <c r="E573" s="508"/>
      <c r="F573" s="508"/>
    </row>
    <row r="574" spans="1:7">
      <c r="A574" s="509"/>
      <c r="B574" s="510"/>
      <c r="C574" s="511"/>
      <c r="D574" s="512"/>
      <c r="E574" s="486"/>
      <c r="F574" s="486"/>
    </row>
    <row r="575" spans="1:7">
      <c r="A575" s="499">
        <v>1</v>
      </c>
      <c r="B575" s="637" t="s">
        <v>420</v>
      </c>
      <c r="C575" s="638"/>
      <c r="D575" s="534"/>
      <c r="E575" s="617"/>
      <c r="F575" s="639"/>
    </row>
    <row r="576" spans="1:7">
      <c r="A576" s="535">
        <f>A575+0.1</f>
        <v>1.1000000000000001</v>
      </c>
      <c r="B576" s="478" t="s">
        <v>697</v>
      </c>
      <c r="C576" s="638">
        <v>220.23</v>
      </c>
      <c r="D576" s="534" t="s">
        <v>300</v>
      </c>
      <c r="E576" s="927" t="e">
        <f>VLOOKUP(B576,#REF!,7,FALSE)</f>
        <v>#REF!</v>
      </c>
      <c r="F576" s="639" t="e">
        <f>ROUND(C576*E576,2)</f>
        <v>#REF!</v>
      </c>
    </row>
    <row r="577" spans="1:6">
      <c r="A577" s="535"/>
      <c r="B577" s="478"/>
      <c r="C577" s="638"/>
      <c r="D577" s="534"/>
      <c r="E577" s="617"/>
      <c r="F577" s="639"/>
    </row>
    <row r="578" spans="1:6">
      <c r="A578" s="499">
        <v>2</v>
      </c>
      <c r="B578" s="505" t="s">
        <v>296</v>
      </c>
      <c r="C578" s="474"/>
      <c r="D578" s="482"/>
      <c r="E578" s="617"/>
      <c r="F578" s="639"/>
    </row>
    <row r="579" spans="1:6">
      <c r="A579" s="532">
        <f>A578+0.1</f>
        <v>2.1</v>
      </c>
      <c r="B579" s="484" t="s">
        <v>743</v>
      </c>
      <c r="C579" s="638">
        <v>39.19</v>
      </c>
      <c r="D579" s="482" t="s">
        <v>364</v>
      </c>
      <c r="E579" s="617" t="e">
        <f>VLOOKUP(B579,#REF!,7,FALSE)</f>
        <v>#REF!</v>
      </c>
      <c r="F579" s="639" t="e">
        <f>ROUND(C579*E579,2)</f>
        <v>#REF!</v>
      </c>
    </row>
    <row r="580" spans="1:6">
      <c r="A580" s="532">
        <f>A579+0.1</f>
        <v>2.2000000000000002</v>
      </c>
      <c r="B580" s="661" t="s">
        <v>812</v>
      </c>
      <c r="C580" s="638">
        <v>23.95</v>
      </c>
      <c r="D580" s="482" t="s">
        <v>426</v>
      </c>
      <c r="E580" s="617" t="e">
        <f>VLOOKUP(B580,#REF!,7,FALSE)</f>
        <v>#REF!</v>
      </c>
      <c r="F580" s="639" t="e">
        <f t="shared" ref="F580:F643" si="30">ROUND(C580*E580,2)</f>
        <v>#REF!</v>
      </c>
    </row>
    <row r="581" spans="1:6">
      <c r="A581" s="532">
        <f>A580+0.1</f>
        <v>2.2999999999999998</v>
      </c>
      <c r="B581" s="484" t="s">
        <v>308</v>
      </c>
      <c r="C581" s="638">
        <v>18.29</v>
      </c>
      <c r="D581" s="482" t="s">
        <v>367</v>
      </c>
      <c r="E581" s="617" t="e">
        <f>VLOOKUP(B581,#REF!,7,FALSE)</f>
        <v>#REF!</v>
      </c>
      <c r="F581" s="639" t="e">
        <f t="shared" si="30"/>
        <v>#REF!</v>
      </c>
    </row>
    <row r="582" spans="1:6">
      <c r="A582" s="535"/>
      <c r="B582" s="640"/>
      <c r="C582" s="638"/>
      <c r="D582" s="482"/>
      <c r="E582" s="617"/>
      <c r="F582" s="639"/>
    </row>
    <row r="583" spans="1:6">
      <c r="A583" s="499">
        <v>3</v>
      </c>
      <c r="B583" s="505" t="s">
        <v>745</v>
      </c>
      <c r="C583" s="641"/>
      <c r="D583" s="534"/>
      <c r="E583" s="619"/>
      <c r="F583" s="639"/>
    </row>
    <row r="584" spans="1:6">
      <c r="A584" s="642">
        <f t="shared" ref="A584:A589" si="31">+A583+0.1</f>
        <v>3.1</v>
      </c>
      <c r="B584" s="484" t="s">
        <v>746</v>
      </c>
      <c r="C584" s="638">
        <v>4.54</v>
      </c>
      <c r="D584" s="534" t="s">
        <v>298</v>
      </c>
      <c r="E584" s="617" t="e">
        <f>VLOOKUP(B584,#REF!,7,FALSE)</f>
        <v>#REF!</v>
      </c>
      <c r="F584" s="639" t="e">
        <f t="shared" si="30"/>
        <v>#REF!</v>
      </c>
    </row>
    <row r="585" spans="1:6">
      <c r="A585" s="642">
        <f t="shared" si="31"/>
        <v>3.2</v>
      </c>
      <c r="B585" s="484" t="s">
        <v>747</v>
      </c>
      <c r="C585" s="638">
        <v>10.7</v>
      </c>
      <c r="D585" s="534" t="s">
        <v>298</v>
      </c>
      <c r="E585" s="617" t="e">
        <f>VLOOKUP(B585,#REF!,7,FALSE)</f>
        <v>#REF!</v>
      </c>
      <c r="F585" s="639" t="e">
        <f t="shared" si="30"/>
        <v>#REF!</v>
      </c>
    </row>
    <row r="586" spans="1:6">
      <c r="A586" s="642">
        <f t="shared" si="31"/>
        <v>3.3</v>
      </c>
      <c r="B586" s="643" t="s">
        <v>748</v>
      </c>
      <c r="C586" s="638">
        <v>1.18</v>
      </c>
      <c r="D586" s="534" t="s">
        <v>298</v>
      </c>
      <c r="E586" s="617" t="e">
        <f>VLOOKUP(B586,#REF!,7,FALSE)</f>
        <v>#REF!</v>
      </c>
      <c r="F586" s="639" t="e">
        <f t="shared" si="30"/>
        <v>#REF!</v>
      </c>
    </row>
    <row r="587" spans="1:6">
      <c r="A587" s="642">
        <f t="shared" si="31"/>
        <v>3.4</v>
      </c>
      <c r="B587" s="643" t="s">
        <v>749</v>
      </c>
      <c r="C587" s="638">
        <v>1.68</v>
      </c>
      <c r="D587" s="534" t="s">
        <v>298</v>
      </c>
      <c r="E587" s="617" t="e">
        <f>VLOOKUP(B587,#REF!,7,FALSE)</f>
        <v>#REF!</v>
      </c>
      <c r="F587" s="639" t="e">
        <f t="shared" si="30"/>
        <v>#REF!</v>
      </c>
    </row>
    <row r="588" spans="1:6">
      <c r="A588" s="642">
        <f t="shared" si="31"/>
        <v>3.5</v>
      </c>
      <c r="B588" s="643" t="s">
        <v>750</v>
      </c>
      <c r="C588" s="638">
        <v>2.04</v>
      </c>
      <c r="D588" s="534" t="s">
        <v>298</v>
      </c>
      <c r="E588" s="617" t="e">
        <f>VLOOKUP(B588,#REF!,7,FALSE)</f>
        <v>#REF!</v>
      </c>
      <c r="F588" s="639" t="e">
        <f t="shared" si="30"/>
        <v>#REF!</v>
      </c>
    </row>
    <row r="589" spans="1:6">
      <c r="A589" s="642">
        <f t="shared" si="31"/>
        <v>3.6</v>
      </c>
      <c r="B589" s="643" t="s">
        <v>751</v>
      </c>
      <c r="C589" s="638">
        <v>0.77</v>
      </c>
      <c r="D589" s="534" t="s">
        <v>298</v>
      </c>
      <c r="E589" s="617" t="e">
        <f>VLOOKUP(B589,#REF!,7,FALSE)</f>
        <v>#REF!</v>
      </c>
      <c r="F589" s="639" t="e">
        <f t="shared" si="30"/>
        <v>#REF!</v>
      </c>
    </row>
    <row r="590" spans="1:6">
      <c r="A590" s="535"/>
      <c r="B590" s="643"/>
      <c r="C590" s="638"/>
      <c r="D590" s="534"/>
      <c r="E590" s="617"/>
      <c r="F590" s="639"/>
    </row>
    <row r="591" spans="1:6">
      <c r="A591" s="499">
        <v>4</v>
      </c>
      <c r="B591" s="637" t="s">
        <v>299</v>
      </c>
      <c r="C591" s="638"/>
      <c r="D591" s="534"/>
      <c r="E591" s="617"/>
      <c r="F591" s="639"/>
    </row>
    <row r="592" spans="1:6">
      <c r="A592" s="532">
        <f>+A591+0.1</f>
        <v>4.0999999999999996</v>
      </c>
      <c r="B592" s="643" t="s">
        <v>752</v>
      </c>
      <c r="C592" s="638">
        <v>40.770000000000003</v>
      </c>
      <c r="D592" s="534" t="s">
        <v>300</v>
      </c>
      <c r="E592" s="617" t="e">
        <f>VLOOKUP(B592,#REF!,7,FALSE)</f>
        <v>#REF!</v>
      </c>
      <c r="F592" s="639" t="e">
        <f t="shared" si="30"/>
        <v>#REF!</v>
      </c>
    </row>
    <row r="593" spans="1:6">
      <c r="A593" s="532">
        <f>+A592+0.1</f>
        <v>4.2</v>
      </c>
      <c r="B593" s="643" t="s">
        <v>753</v>
      </c>
      <c r="C593" s="638">
        <v>221.12</v>
      </c>
      <c r="D593" s="534" t="s">
        <v>300</v>
      </c>
      <c r="E593" s="617" t="e">
        <f>VLOOKUP(B593,#REF!,7,FALSE)</f>
        <v>#REF!</v>
      </c>
      <c r="F593" s="639" t="e">
        <f t="shared" si="30"/>
        <v>#REF!</v>
      </c>
    </row>
    <row r="594" spans="1:6">
      <c r="A594" s="535"/>
      <c r="B594" s="643"/>
      <c r="C594" s="638"/>
      <c r="D594" s="534"/>
      <c r="E594" s="617"/>
      <c r="F594" s="639"/>
    </row>
    <row r="595" spans="1:6">
      <c r="A595" s="499">
        <v>5</v>
      </c>
      <c r="B595" s="637" t="s">
        <v>516</v>
      </c>
      <c r="C595" s="638"/>
      <c r="D595" s="534"/>
      <c r="E595" s="617"/>
      <c r="F595" s="639"/>
    </row>
    <row r="596" spans="1:6">
      <c r="A596" s="532">
        <v>5.0999999999999996</v>
      </c>
      <c r="B596" s="643" t="s">
        <v>754</v>
      </c>
      <c r="C596" s="638">
        <v>37.369999999999997</v>
      </c>
      <c r="D596" s="534" t="s">
        <v>300</v>
      </c>
      <c r="E596" s="617" t="e">
        <f>VLOOKUP(B596,#REF!,7,FALSE)</f>
        <v>#REF!</v>
      </c>
      <c r="F596" s="639" t="e">
        <f t="shared" si="30"/>
        <v>#REF!</v>
      </c>
    </row>
    <row r="597" spans="1:6">
      <c r="A597" s="532">
        <v>5.2</v>
      </c>
      <c r="B597" s="643" t="s">
        <v>755</v>
      </c>
      <c r="C597" s="483">
        <v>115.5</v>
      </c>
      <c r="D597" s="534" t="s">
        <v>300</v>
      </c>
      <c r="E597" s="617" t="e">
        <f>VLOOKUP(B597,#REF!,7,FALSE)</f>
        <v>#REF!</v>
      </c>
      <c r="F597" s="639" t="e">
        <f t="shared" si="30"/>
        <v>#REF!</v>
      </c>
    </row>
    <row r="598" spans="1:6">
      <c r="A598" s="532">
        <v>5.3</v>
      </c>
      <c r="B598" s="643" t="s">
        <v>756</v>
      </c>
      <c r="C598" s="638">
        <v>94.7</v>
      </c>
      <c r="D598" s="534" t="s">
        <v>300</v>
      </c>
      <c r="E598" s="617" t="e">
        <f>VLOOKUP(B598,#REF!,7,FALSE)</f>
        <v>#REF!</v>
      </c>
      <c r="F598" s="639" t="e">
        <f t="shared" si="30"/>
        <v>#REF!</v>
      </c>
    </row>
    <row r="599" spans="1:6">
      <c r="A599" s="532">
        <v>5.4</v>
      </c>
      <c r="B599" s="643" t="s">
        <v>757</v>
      </c>
      <c r="C599" s="638">
        <v>153.84</v>
      </c>
      <c r="D599" s="534" t="s">
        <v>300</v>
      </c>
      <c r="E599" s="617" t="e">
        <f>VLOOKUP(B599,#REF!,7,FALSE)</f>
        <v>#REF!</v>
      </c>
      <c r="F599" s="639" t="e">
        <f t="shared" si="30"/>
        <v>#REF!</v>
      </c>
    </row>
    <row r="600" spans="1:6">
      <c r="A600" s="535"/>
      <c r="B600" s="643"/>
      <c r="C600" s="641"/>
      <c r="D600" s="534"/>
      <c r="E600" s="619"/>
      <c r="F600" s="639"/>
    </row>
    <row r="601" spans="1:6">
      <c r="A601" s="644">
        <v>6</v>
      </c>
      <c r="B601" s="645" t="s">
        <v>758</v>
      </c>
      <c r="C601" s="534"/>
      <c r="D601" s="646"/>
      <c r="E601" s="647"/>
      <c r="F601" s="639"/>
    </row>
    <row r="602" spans="1:6">
      <c r="A602" s="648">
        <f t="shared" ref="A602:A610" si="32">+A601+0.1</f>
        <v>6.1</v>
      </c>
      <c r="B602" s="649" t="s">
        <v>759</v>
      </c>
      <c r="C602" s="533">
        <v>2589.79</v>
      </c>
      <c r="D602" s="646" t="s">
        <v>760</v>
      </c>
      <c r="E602" s="617" t="e">
        <f>VLOOKUP(B602,#REF!,7,FALSE)</f>
        <v>#REF!</v>
      </c>
      <c r="F602" s="639" t="e">
        <f t="shared" si="30"/>
        <v>#REF!</v>
      </c>
    </row>
    <row r="603" spans="1:6">
      <c r="A603" s="648">
        <f t="shared" si="32"/>
        <v>6.2</v>
      </c>
      <c r="B603" s="649" t="s">
        <v>761</v>
      </c>
      <c r="C603" s="533">
        <v>3627.81</v>
      </c>
      <c r="D603" s="646" t="s">
        <v>760</v>
      </c>
      <c r="E603" s="617" t="e">
        <f>VLOOKUP(B603,#REF!,7,FALSE)</f>
        <v>#REF!</v>
      </c>
      <c r="F603" s="639" t="e">
        <f t="shared" si="30"/>
        <v>#REF!</v>
      </c>
    </row>
    <row r="604" spans="1:6" ht="25.5">
      <c r="A604" s="648">
        <f t="shared" si="32"/>
        <v>6.3</v>
      </c>
      <c r="B604" s="649" t="s">
        <v>762</v>
      </c>
      <c r="C604" s="638">
        <v>212.2</v>
      </c>
      <c r="D604" s="534" t="s">
        <v>300</v>
      </c>
      <c r="E604" s="617" t="e">
        <f>VLOOKUP(B604,#REF!,7,FALSE)</f>
        <v>#REF!</v>
      </c>
      <c r="F604" s="639" t="e">
        <f t="shared" si="30"/>
        <v>#REF!</v>
      </c>
    </row>
    <row r="605" spans="1:6">
      <c r="A605" s="648">
        <f t="shared" si="32"/>
        <v>6.4</v>
      </c>
      <c r="B605" s="649" t="s">
        <v>763</v>
      </c>
      <c r="C605" s="638">
        <v>29.52</v>
      </c>
      <c r="D605" s="646" t="s">
        <v>760</v>
      </c>
      <c r="E605" s="617" t="e">
        <f>VLOOKUP(B605,#REF!,7,FALSE)</f>
        <v>#REF!</v>
      </c>
      <c r="F605" s="639" t="e">
        <f t="shared" si="30"/>
        <v>#REF!</v>
      </c>
    </row>
    <row r="606" spans="1:6">
      <c r="A606" s="648">
        <f t="shared" si="32"/>
        <v>6.5</v>
      </c>
      <c r="B606" s="649" t="s">
        <v>764</v>
      </c>
      <c r="C606" s="638">
        <v>74.989999999999995</v>
      </c>
      <c r="D606" s="646" t="s">
        <v>760</v>
      </c>
      <c r="E606" s="617" t="e">
        <f>VLOOKUP(B606,#REF!,7,FALSE)</f>
        <v>#REF!</v>
      </c>
      <c r="F606" s="639" t="e">
        <f t="shared" si="30"/>
        <v>#REF!</v>
      </c>
    </row>
    <row r="607" spans="1:6">
      <c r="A607" s="648">
        <f t="shared" si="32"/>
        <v>6.6</v>
      </c>
      <c r="B607" s="649" t="s">
        <v>765</v>
      </c>
      <c r="C607" s="638">
        <v>36.340000000000003</v>
      </c>
      <c r="D607" s="646" t="s">
        <v>760</v>
      </c>
      <c r="E607" s="617" t="e">
        <f>VLOOKUP(B607,#REF!,7,FALSE)</f>
        <v>#REF!</v>
      </c>
      <c r="F607" s="639" t="e">
        <f t="shared" si="30"/>
        <v>#REF!</v>
      </c>
    </row>
    <row r="608" spans="1:6">
      <c r="A608" s="648">
        <f t="shared" si="32"/>
        <v>6.7</v>
      </c>
      <c r="B608" s="649" t="s">
        <v>766</v>
      </c>
      <c r="C608" s="638">
        <v>88.57</v>
      </c>
      <c r="D608" s="646" t="s">
        <v>760</v>
      </c>
      <c r="E608" s="617" t="e">
        <f>VLOOKUP(B608,#REF!,7,FALSE)</f>
        <v>#REF!</v>
      </c>
      <c r="F608" s="639" t="e">
        <f t="shared" si="30"/>
        <v>#REF!</v>
      </c>
    </row>
    <row r="609" spans="1:6">
      <c r="A609" s="648">
        <f t="shared" si="32"/>
        <v>6.8</v>
      </c>
      <c r="B609" s="483" t="s">
        <v>767</v>
      </c>
      <c r="C609" s="638">
        <v>192</v>
      </c>
      <c r="D609" s="534" t="s">
        <v>10</v>
      </c>
      <c r="E609" s="617" t="e">
        <f>VLOOKUP(B609,#REF!,7,FALSE)</f>
        <v>#REF!</v>
      </c>
      <c r="F609" s="639" t="e">
        <f t="shared" si="30"/>
        <v>#REF!</v>
      </c>
    </row>
    <row r="610" spans="1:6" ht="25.5">
      <c r="A610" s="648">
        <f t="shared" si="32"/>
        <v>6.9</v>
      </c>
      <c r="B610" s="478" t="s">
        <v>768</v>
      </c>
      <c r="C610" s="638">
        <v>72</v>
      </c>
      <c r="D610" s="534" t="s">
        <v>10</v>
      </c>
      <c r="E610" s="617" t="e">
        <f>VLOOKUP(B610,#REF!,7,FALSE)</f>
        <v>#REF!</v>
      </c>
      <c r="F610" s="639" t="e">
        <f t="shared" si="30"/>
        <v>#REF!</v>
      </c>
    </row>
    <row r="611" spans="1:6">
      <c r="A611" s="638">
        <v>6.1</v>
      </c>
      <c r="B611" s="478" t="s">
        <v>769</v>
      </c>
      <c r="C611" s="638">
        <v>180</v>
      </c>
      <c r="D611" s="534" t="s">
        <v>10</v>
      </c>
      <c r="E611" s="617" t="e">
        <f>VLOOKUP(B611,#REF!,7,FALSE)</f>
        <v>#REF!</v>
      </c>
      <c r="F611" s="639" t="e">
        <f>ROUND(C611*E611,2)</f>
        <v>#REF!</v>
      </c>
    </row>
    <row r="612" spans="1:6">
      <c r="A612" s="535"/>
      <c r="B612" s="643"/>
      <c r="C612" s="638"/>
      <c r="D612" s="534"/>
      <c r="E612" s="617"/>
      <c r="F612" s="639"/>
    </row>
    <row r="613" spans="1:6">
      <c r="A613" s="499">
        <v>7</v>
      </c>
      <c r="B613" s="505" t="s">
        <v>305</v>
      </c>
      <c r="C613" s="474"/>
      <c r="D613" s="482"/>
      <c r="E613" s="617"/>
      <c r="F613" s="639">
        <f t="shared" si="30"/>
        <v>0</v>
      </c>
    </row>
    <row r="614" spans="1:6">
      <c r="A614" s="532">
        <f>+A613+0.1</f>
        <v>7.1</v>
      </c>
      <c r="B614" s="484" t="s">
        <v>726</v>
      </c>
      <c r="C614" s="474">
        <v>4</v>
      </c>
      <c r="D614" s="482" t="s">
        <v>10</v>
      </c>
      <c r="E614" s="617" t="e">
        <f>VLOOKUP(B614,#REF!,7,FALSE)</f>
        <v>#REF!</v>
      </c>
      <c r="F614" s="639" t="e">
        <f t="shared" si="30"/>
        <v>#REF!</v>
      </c>
    </row>
    <row r="615" spans="1:6">
      <c r="A615" s="532">
        <f>+A614+0.1</f>
        <v>7.2</v>
      </c>
      <c r="B615" s="510" t="s">
        <v>770</v>
      </c>
      <c r="C615" s="638">
        <v>2</v>
      </c>
      <c r="D615" s="482" t="s">
        <v>10</v>
      </c>
      <c r="E615" s="617" t="e">
        <f>VLOOKUP(B615,#REF!,7,FALSE)</f>
        <v>#REF!</v>
      </c>
      <c r="F615" s="639" t="e">
        <f t="shared" si="30"/>
        <v>#REF!</v>
      </c>
    </row>
    <row r="616" spans="1:6">
      <c r="A616" s="532">
        <f t="shared" ref="A616:A622" si="33">+A615+0.1</f>
        <v>7.3</v>
      </c>
      <c r="B616" s="484" t="s">
        <v>771</v>
      </c>
      <c r="C616" s="638">
        <v>2</v>
      </c>
      <c r="D616" s="482" t="s">
        <v>10</v>
      </c>
      <c r="E616" s="617" t="e">
        <f>VLOOKUP(B616,#REF!,7,FALSE)</f>
        <v>#REF!</v>
      </c>
      <c r="F616" s="639" t="e">
        <f t="shared" si="30"/>
        <v>#REF!</v>
      </c>
    </row>
    <row r="617" spans="1:6">
      <c r="A617" s="532">
        <f t="shared" si="33"/>
        <v>7.4</v>
      </c>
      <c r="B617" s="484" t="s">
        <v>772</v>
      </c>
      <c r="C617" s="638">
        <v>1</v>
      </c>
      <c r="D617" s="482" t="s">
        <v>10</v>
      </c>
      <c r="E617" s="617" t="e">
        <f>VLOOKUP(B617,#REF!,7,FALSE)</f>
        <v>#REF!</v>
      </c>
      <c r="F617" s="639" t="e">
        <f t="shared" si="30"/>
        <v>#REF!</v>
      </c>
    </row>
    <row r="618" spans="1:6">
      <c r="A618" s="532">
        <f t="shared" si="33"/>
        <v>7.5</v>
      </c>
      <c r="B618" s="484" t="s">
        <v>773</v>
      </c>
      <c r="C618" s="638">
        <v>1</v>
      </c>
      <c r="D618" s="482" t="s">
        <v>10</v>
      </c>
      <c r="E618" s="617" t="e">
        <f>VLOOKUP(B618,#REF!,7,FALSE)</f>
        <v>#REF!</v>
      </c>
      <c r="F618" s="639" t="e">
        <f t="shared" si="30"/>
        <v>#REF!</v>
      </c>
    </row>
    <row r="619" spans="1:6">
      <c r="A619" s="532">
        <f t="shared" si="33"/>
        <v>7.6</v>
      </c>
      <c r="B619" s="484" t="s">
        <v>774</v>
      </c>
      <c r="C619" s="638">
        <v>1</v>
      </c>
      <c r="D619" s="482" t="s">
        <v>10</v>
      </c>
      <c r="E619" s="617" t="e">
        <f>VLOOKUP(B619,#REF!,7,FALSE)</f>
        <v>#REF!</v>
      </c>
      <c r="F619" s="639" t="e">
        <f t="shared" si="30"/>
        <v>#REF!</v>
      </c>
    </row>
    <row r="620" spans="1:6">
      <c r="A620" s="532">
        <f t="shared" si="33"/>
        <v>7.7</v>
      </c>
      <c r="B620" s="484" t="s">
        <v>775</v>
      </c>
      <c r="C620" s="638">
        <v>4</v>
      </c>
      <c r="D620" s="482" t="s">
        <v>10</v>
      </c>
      <c r="E620" s="617" t="e">
        <f>VLOOKUP(B620,#REF!,7,FALSE)</f>
        <v>#REF!</v>
      </c>
      <c r="F620" s="639" t="e">
        <f t="shared" si="30"/>
        <v>#REF!</v>
      </c>
    </row>
    <row r="621" spans="1:6">
      <c r="A621" s="532">
        <f t="shared" si="33"/>
        <v>7.8</v>
      </c>
      <c r="B621" s="484" t="s">
        <v>776</v>
      </c>
      <c r="C621" s="638">
        <v>10.78</v>
      </c>
      <c r="D621" s="482" t="s">
        <v>15</v>
      </c>
      <c r="E621" s="617" t="e">
        <f>VLOOKUP(B621,#REF!,7,FALSE)</f>
        <v>#REF!</v>
      </c>
      <c r="F621" s="639" t="e">
        <f t="shared" si="30"/>
        <v>#REF!</v>
      </c>
    </row>
    <row r="622" spans="1:6">
      <c r="A622" s="532">
        <f t="shared" si="33"/>
        <v>7.9</v>
      </c>
      <c r="B622" s="484" t="s">
        <v>777</v>
      </c>
      <c r="C622" s="638">
        <v>3.95</v>
      </c>
      <c r="D622" s="482" t="s">
        <v>15</v>
      </c>
      <c r="E622" s="617" t="e">
        <f>VLOOKUP(B622,#REF!,7,FALSE)</f>
        <v>#REF!</v>
      </c>
      <c r="F622" s="639" t="e">
        <f t="shared" si="30"/>
        <v>#REF!</v>
      </c>
    </row>
    <row r="623" spans="1:6">
      <c r="A623" s="652">
        <v>7.1</v>
      </c>
      <c r="B623" s="484" t="s">
        <v>778</v>
      </c>
      <c r="C623" s="638">
        <v>15.3</v>
      </c>
      <c r="D623" s="482" t="s">
        <v>15</v>
      </c>
      <c r="E623" s="617" t="e">
        <f>VLOOKUP(B623,#REF!,7,FALSE)</f>
        <v>#REF!</v>
      </c>
      <c r="F623" s="639" t="e">
        <f t="shared" si="30"/>
        <v>#REF!</v>
      </c>
    </row>
    <row r="624" spans="1:6">
      <c r="A624" s="535">
        <v>7.11</v>
      </c>
      <c r="B624" s="484" t="s">
        <v>779</v>
      </c>
      <c r="C624" s="638">
        <v>11.34</v>
      </c>
      <c r="D624" s="482" t="s">
        <v>15</v>
      </c>
      <c r="E624" s="617" t="e">
        <f>VLOOKUP(B624,#REF!,7,FALSE)</f>
        <v>#REF!</v>
      </c>
      <c r="F624" s="639" t="e">
        <f t="shared" si="30"/>
        <v>#REF!</v>
      </c>
    </row>
    <row r="625" spans="1:6">
      <c r="A625" s="652">
        <v>7.12</v>
      </c>
      <c r="B625" s="484" t="s">
        <v>780</v>
      </c>
      <c r="C625" s="638">
        <v>3</v>
      </c>
      <c r="D625" s="482" t="s">
        <v>15</v>
      </c>
      <c r="E625" s="617" t="e">
        <f>VLOOKUP(B625,#REF!,7,FALSE)</f>
        <v>#REF!</v>
      </c>
      <c r="F625" s="639" t="e">
        <f t="shared" si="30"/>
        <v>#REF!</v>
      </c>
    </row>
    <row r="626" spans="1:6">
      <c r="A626" s="535">
        <v>7.13</v>
      </c>
      <c r="B626" s="484" t="s">
        <v>781</v>
      </c>
      <c r="C626" s="638">
        <v>15.3</v>
      </c>
      <c r="D626" s="482" t="s">
        <v>15</v>
      </c>
      <c r="E626" s="617" t="e">
        <f>VLOOKUP(B626,#REF!,7,FALSE)</f>
        <v>#REF!</v>
      </c>
      <c r="F626" s="639" t="e">
        <f t="shared" si="30"/>
        <v>#REF!</v>
      </c>
    </row>
    <row r="627" spans="1:6">
      <c r="A627" s="652">
        <v>7.14</v>
      </c>
      <c r="B627" s="484" t="s">
        <v>782</v>
      </c>
      <c r="C627" s="638">
        <v>9.42</v>
      </c>
      <c r="D627" s="482" t="s">
        <v>15</v>
      </c>
      <c r="E627" s="617" t="e">
        <f>VLOOKUP(B627,#REF!,7,FALSE)</f>
        <v>#REF!</v>
      </c>
      <c r="F627" s="639" t="e">
        <f t="shared" si="30"/>
        <v>#REF!</v>
      </c>
    </row>
    <row r="628" spans="1:6">
      <c r="A628" s="535">
        <v>7.15</v>
      </c>
      <c r="B628" s="484" t="s">
        <v>783</v>
      </c>
      <c r="C628" s="638">
        <v>1</v>
      </c>
      <c r="D628" s="482" t="s">
        <v>10</v>
      </c>
      <c r="E628" s="617" t="e">
        <f>VLOOKUP(B628,#REF!,7,FALSE)</f>
        <v>#REF!</v>
      </c>
      <c r="F628" s="639" t="e">
        <f t="shared" si="30"/>
        <v>#REF!</v>
      </c>
    </row>
    <row r="629" spans="1:6">
      <c r="A629" s="905">
        <v>7.16</v>
      </c>
      <c r="B629" s="906" t="s">
        <v>784</v>
      </c>
      <c r="C629" s="872">
        <v>1</v>
      </c>
      <c r="D629" s="907" t="s">
        <v>10</v>
      </c>
      <c r="E629" s="621" t="e">
        <f>VLOOKUP(B629,#REF!,7,FALSE)</f>
        <v>#REF!</v>
      </c>
      <c r="F629" s="651" t="e">
        <f t="shared" si="30"/>
        <v>#REF!</v>
      </c>
    </row>
    <row r="630" spans="1:6">
      <c r="A630" s="535">
        <v>7.17</v>
      </c>
      <c r="B630" s="484" t="s">
        <v>785</v>
      </c>
      <c r="C630" s="638">
        <v>1</v>
      </c>
      <c r="D630" s="482" t="s">
        <v>10</v>
      </c>
      <c r="E630" s="617" t="e">
        <f>VLOOKUP(B630,#REF!,7,FALSE)</f>
        <v>#REF!</v>
      </c>
      <c r="F630" s="639" t="e">
        <f t="shared" si="30"/>
        <v>#REF!</v>
      </c>
    </row>
    <row r="631" spans="1:6">
      <c r="A631" s="535"/>
      <c r="B631" s="484"/>
      <c r="C631" s="474"/>
      <c r="D631" s="482"/>
      <c r="E631" s="617"/>
      <c r="F631" s="639"/>
    </row>
    <row r="632" spans="1:6">
      <c r="A632" s="653">
        <v>8</v>
      </c>
      <c r="B632" s="654" t="s">
        <v>303</v>
      </c>
      <c r="C632" s="655"/>
      <c r="D632" s="538"/>
      <c r="E632" s="622"/>
      <c r="F632" s="656"/>
    </row>
    <row r="633" spans="1:6">
      <c r="A633" s="536">
        <f t="shared" ref="A633:A638" si="34">+A632+0.1</f>
        <v>8.1</v>
      </c>
      <c r="B633" s="518" t="s">
        <v>737</v>
      </c>
      <c r="C633" s="655">
        <v>15</v>
      </c>
      <c r="D633" s="538" t="s">
        <v>10</v>
      </c>
      <c r="E633" s="622" t="e">
        <f>VLOOKUP(B633,#REF!,7,FALSE)</f>
        <v>#REF!</v>
      </c>
      <c r="F633" s="656" t="e">
        <f t="shared" si="30"/>
        <v>#REF!</v>
      </c>
    </row>
    <row r="634" spans="1:6">
      <c r="A634" s="536">
        <f t="shared" si="34"/>
        <v>8.1999999999999993</v>
      </c>
      <c r="B634" s="518" t="s">
        <v>329</v>
      </c>
      <c r="C634" s="655">
        <v>4</v>
      </c>
      <c r="D634" s="538" t="s">
        <v>10</v>
      </c>
      <c r="E634" s="622" t="e">
        <f>VLOOKUP(B634,#REF!,7,FALSE)</f>
        <v>#REF!</v>
      </c>
      <c r="F634" s="656" t="e">
        <f t="shared" si="30"/>
        <v>#REF!</v>
      </c>
    </row>
    <row r="635" spans="1:6">
      <c r="A635" s="536">
        <f t="shared" si="34"/>
        <v>8.3000000000000007</v>
      </c>
      <c r="B635" s="526" t="s">
        <v>786</v>
      </c>
      <c r="C635" s="655">
        <v>1</v>
      </c>
      <c r="D635" s="657" t="s">
        <v>10</v>
      </c>
      <c r="E635" s="622" t="e">
        <f>VLOOKUP(B635,#REF!,7,FALSE)</f>
        <v>#REF!</v>
      </c>
      <c r="F635" s="656" t="e">
        <f t="shared" si="30"/>
        <v>#REF!</v>
      </c>
    </row>
    <row r="636" spans="1:6">
      <c r="A636" s="536">
        <f t="shared" si="34"/>
        <v>8.4</v>
      </c>
      <c r="B636" s="609" t="s">
        <v>787</v>
      </c>
      <c r="C636" s="655">
        <v>5</v>
      </c>
      <c r="D636" s="657" t="s">
        <v>10</v>
      </c>
      <c r="E636" s="622" t="e">
        <f>VLOOKUP(B636,#REF!,7,FALSE)</f>
        <v>#REF!</v>
      </c>
      <c r="F636" s="656" t="e">
        <f t="shared" si="30"/>
        <v>#REF!</v>
      </c>
    </row>
    <row r="637" spans="1:6">
      <c r="A637" s="536">
        <f t="shared" si="34"/>
        <v>8.5</v>
      </c>
      <c r="B637" s="526" t="s">
        <v>788</v>
      </c>
      <c r="C637" s="655">
        <v>2</v>
      </c>
      <c r="D637" s="657" t="s">
        <v>10</v>
      </c>
      <c r="E637" s="622" t="e">
        <f>VLOOKUP(B637,#REF!,7,FALSE)</f>
        <v>#REF!</v>
      </c>
      <c r="F637" s="656" t="e">
        <f t="shared" si="30"/>
        <v>#REF!</v>
      </c>
    </row>
    <row r="638" spans="1:6">
      <c r="A638" s="536">
        <f t="shared" si="34"/>
        <v>8.6</v>
      </c>
      <c r="B638" s="526" t="s">
        <v>789</v>
      </c>
      <c r="C638" s="655">
        <v>1</v>
      </c>
      <c r="D638" s="538" t="s">
        <v>10</v>
      </c>
      <c r="E638" s="622" t="e">
        <f>VLOOKUP(B638,#REF!,7,FALSE)</f>
        <v>#REF!</v>
      </c>
      <c r="F638" s="656" t="e">
        <f t="shared" si="30"/>
        <v>#REF!</v>
      </c>
    </row>
    <row r="639" spans="1:6">
      <c r="A639" s="535"/>
      <c r="B639" s="643"/>
      <c r="C639" s="638"/>
      <c r="D639" s="534"/>
      <c r="E639" s="617"/>
      <c r="F639" s="639"/>
    </row>
    <row r="640" spans="1:6">
      <c r="A640" s="499">
        <v>9</v>
      </c>
      <c r="B640" s="637" t="s">
        <v>790</v>
      </c>
      <c r="C640" s="638"/>
      <c r="D640" s="534"/>
      <c r="E640" s="617"/>
      <c r="F640" s="639"/>
    </row>
    <row r="641" spans="1:6">
      <c r="A641" s="532">
        <f>+A640+0.1</f>
        <v>9.1</v>
      </c>
      <c r="B641" s="658" t="s">
        <v>791</v>
      </c>
      <c r="C641" s="638">
        <v>162.24</v>
      </c>
      <c r="D641" s="534" t="s">
        <v>300</v>
      </c>
      <c r="E641" s="617" t="e">
        <f>VLOOKUP(B641,#REF!,7,FALSE)</f>
        <v>#REF!</v>
      </c>
      <c r="F641" s="639" t="e">
        <f t="shared" si="30"/>
        <v>#REF!</v>
      </c>
    </row>
    <row r="642" spans="1:6">
      <c r="A642" s="532">
        <f>+A641+0.1</f>
        <v>9.1999999999999993</v>
      </c>
      <c r="B642" s="478" t="s">
        <v>792</v>
      </c>
      <c r="C642" s="638">
        <v>93.43</v>
      </c>
      <c r="D642" s="534" t="s">
        <v>793</v>
      </c>
      <c r="E642" s="617" t="e">
        <f>VLOOKUP(B642,#REF!,7,FALSE)</f>
        <v>#REF!</v>
      </c>
      <c r="F642" s="639" t="e">
        <f t="shared" si="30"/>
        <v>#REF!</v>
      </c>
    </row>
    <row r="643" spans="1:6">
      <c r="A643" s="532">
        <f>+A642+0.1</f>
        <v>9.3000000000000007</v>
      </c>
      <c r="B643" s="478" t="s">
        <v>794</v>
      </c>
      <c r="C643" s="638">
        <v>6.14</v>
      </c>
      <c r="D643" s="534" t="s">
        <v>300</v>
      </c>
      <c r="E643" s="617" t="e">
        <f>VLOOKUP(B643,#REF!,7,FALSE)</f>
        <v>#REF!</v>
      </c>
      <c r="F643" s="639" t="e">
        <f t="shared" si="30"/>
        <v>#REF!</v>
      </c>
    </row>
    <row r="644" spans="1:6">
      <c r="A644" s="532">
        <f>+A643+0.1</f>
        <v>9.4</v>
      </c>
      <c r="B644" s="478" t="s">
        <v>795</v>
      </c>
      <c r="C644" s="638">
        <v>64.08</v>
      </c>
      <c r="D644" s="534" t="s">
        <v>300</v>
      </c>
      <c r="E644" s="617" t="e">
        <f>VLOOKUP(B644,#REF!,7,FALSE)</f>
        <v>#REF!</v>
      </c>
      <c r="F644" s="639" t="e">
        <f t="shared" ref="F644:F649" si="35">ROUND(C644*E644,2)</f>
        <v>#REF!</v>
      </c>
    </row>
    <row r="645" spans="1:6">
      <c r="A645" s="535"/>
      <c r="B645" s="643"/>
      <c r="C645" s="638"/>
      <c r="D645" s="534"/>
      <c r="E645" s="617"/>
      <c r="F645" s="639"/>
    </row>
    <row r="646" spans="1:6">
      <c r="A646" s="499">
        <v>10</v>
      </c>
      <c r="B646" s="637" t="s">
        <v>527</v>
      </c>
      <c r="C646" s="638"/>
      <c r="D646" s="534"/>
      <c r="E646" s="617"/>
      <c r="F646" s="639"/>
    </row>
    <row r="647" spans="1:6">
      <c r="A647" s="532">
        <f>+A646+0.1</f>
        <v>10.1</v>
      </c>
      <c r="B647" s="643" t="s">
        <v>796</v>
      </c>
      <c r="C647" s="638">
        <v>416.31</v>
      </c>
      <c r="D647" s="534" t="s">
        <v>300</v>
      </c>
      <c r="E647" s="617" t="e">
        <f>VLOOKUP(B647,#REF!,7,FALSE)</f>
        <v>#REF!</v>
      </c>
      <c r="F647" s="639" t="e">
        <f t="shared" si="35"/>
        <v>#REF!</v>
      </c>
    </row>
    <row r="648" spans="1:6">
      <c r="A648" s="532">
        <f>+A647+0.1</f>
        <v>10.199999999999999</v>
      </c>
      <c r="B648" s="643" t="s">
        <v>797</v>
      </c>
      <c r="C648" s="659">
        <v>237.7</v>
      </c>
      <c r="D648" s="534" t="s">
        <v>300</v>
      </c>
      <c r="E648" s="617" t="e">
        <f>VLOOKUP(B648,#REF!,7,FALSE)</f>
        <v>#REF!</v>
      </c>
      <c r="F648" s="639" t="e">
        <f t="shared" si="35"/>
        <v>#REF!</v>
      </c>
    </row>
    <row r="649" spans="1:6">
      <c r="A649" s="532">
        <f>+A648+0.1</f>
        <v>10.3</v>
      </c>
      <c r="B649" s="643" t="s">
        <v>798</v>
      </c>
      <c r="C649" s="638">
        <v>161.16999999999999</v>
      </c>
      <c r="D649" s="534" t="s">
        <v>300</v>
      </c>
      <c r="E649" s="617" t="e">
        <f>VLOOKUP(B649,#REF!,7,FALSE)</f>
        <v>#REF!</v>
      </c>
      <c r="F649" s="639" t="e">
        <f t="shared" si="35"/>
        <v>#REF!</v>
      </c>
    </row>
    <row r="650" spans="1:6">
      <c r="A650" s="535"/>
      <c r="B650" s="643"/>
      <c r="C650" s="638"/>
      <c r="D650" s="534"/>
      <c r="E650" s="617"/>
      <c r="F650" s="639"/>
    </row>
    <row r="651" spans="1:6">
      <c r="A651" s="499">
        <v>11</v>
      </c>
      <c r="B651" s="637" t="s">
        <v>799</v>
      </c>
      <c r="C651" s="638"/>
      <c r="D651" s="534"/>
      <c r="E651" s="617"/>
      <c r="F651" s="639"/>
    </row>
    <row r="652" spans="1:6">
      <c r="A652" s="532">
        <f>+A651+0.1</f>
        <v>11.1</v>
      </c>
      <c r="B652" s="643" t="s">
        <v>800</v>
      </c>
      <c r="C652" s="638">
        <v>1</v>
      </c>
      <c r="D652" s="534" t="s">
        <v>10</v>
      </c>
      <c r="E652" s="617" t="e">
        <f>VLOOKUP(B652,#REF!,7,FALSE)</f>
        <v>#REF!</v>
      </c>
      <c r="F652" s="639" t="e">
        <f>ROUND(C652*E652,2)</f>
        <v>#REF!</v>
      </c>
    </row>
    <row r="653" spans="1:6">
      <c r="A653" s="532">
        <f>+A652+0.1</f>
        <v>11.2</v>
      </c>
      <c r="B653" s="643" t="s">
        <v>801</v>
      </c>
      <c r="C653" s="638">
        <v>3</v>
      </c>
      <c r="D653" s="534" t="s">
        <v>10</v>
      </c>
      <c r="E653" s="617" t="e">
        <f>VLOOKUP(B653,#REF!,7,FALSE)</f>
        <v>#REF!</v>
      </c>
      <c r="F653" s="639" t="e">
        <f>ROUND(C653*E653,2)</f>
        <v>#REF!</v>
      </c>
    </row>
    <row r="654" spans="1:6">
      <c r="A654" s="532">
        <f>+A653+0.1</f>
        <v>11.3</v>
      </c>
      <c r="B654" s="643" t="s">
        <v>802</v>
      </c>
      <c r="C654" s="638">
        <v>2</v>
      </c>
      <c r="D654" s="534" t="s">
        <v>10</v>
      </c>
      <c r="E654" s="617" t="e">
        <f>VLOOKUP(B654,#REF!,7,FALSE)</f>
        <v>#REF!</v>
      </c>
      <c r="F654" s="639" t="e">
        <f>ROUND(C654*E654,2)</f>
        <v>#REF!</v>
      </c>
    </row>
    <row r="655" spans="1:6">
      <c r="A655" s="532">
        <f>+A653+0.1</f>
        <v>11.3</v>
      </c>
      <c r="B655" s="643" t="s">
        <v>803</v>
      </c>
      <c r="C655" s="638">
        <v>137.91999999999999</v>
      </c>
      <c r="D655" s="534" t="s">
        <v>304</v>
      </c>
      <c r="E655" s="516" t="e">
        <f>VLOOKUP(B655,#REF!,7,FALSE)</f>
        <v>#REF!</v>
      </c>
      <c r="F655" s="639" t="e">
        <f>ROUND(C655*E655,2)</f>
        <v>#REF!</v>
      </c>
    </row>
    <row r="656" spans="1:6">
      <c r="A656" s="535"/>
      <c r="B656" s="643"/>
      <c r="C656" s="638"/>
      <c r="D656" s="534"/>
      <c r="E656" s="617"/>
      <c r="F656" s="639"/>
    </row>
    <row r="657" spans="1:6">
      <c r="A657" s="499">
        <v>12</v>
      </c>
      <c r="B657" s="637" t="s">
        <v>804</v>
      </c>
      <c r="C657" s="638"/>
      <c r="D657" s="534"/>
      <c r="E657" s="617"/>
      <c r="F657" s="639"/>
    </row>
    <row r="658" spans="1:6" ht="25.5">
      <c r="A658" s="532">
        <f>+A657+0.1</f>
        <v>12.1</v>
      </c>
      <c r="B658" s="643" t="s">
        <v>805</v>
      </c>
      <c r="C658" s="638">
        <v>4</v>
      </c>
      <c r="D658" s="534" t="s">
        <v>10</v>
      </c>
      <c r="E658" s="617" t="e">
        <f>VLOOKUP(B658,#REF!,7,FALSE)</f>
        <v>#REF!</v>
      </c>
      <c r="F658" s="639" t="e">
        <f>ROUND(C658*E658,2)</f>
        <v>#REF!</v>
      </c>
    </row>
    <row r="659" spans="1:6" ht="25.5">
      <c r="A659" s="532">
        <f>+A658+0.1</f>
        <v>12.2</v>
      </c>
      <c r="B659" s="643" t="s">
        <v>806</v>
      </c>
      <c r="C659" s="638">
        <v>12.02</v>
      </c>
      <c r="D659" s="534" t="s">
        <v>300</v>
      </c>
      <c r="E659" s="617" t="e">
        <f>VLOOKUP(B659,#REF!,7,FALSE)</f>
        <v>#REF!</v>
      </c>
      <c r="F659" s="639" t="e">
        <f>ROUND(C659*E659,2)</f>
        <v>#REF!</v>
      </c>
    </row>
    <row r="660" spans="1:6">
      <c r="A660" s="532">
        <f>+A659+0.1</f>
        <v>12.3</v>
      </c>
      <c r="B660" s="478" t="s">
        <v>807</v>
      </c>
      <c r="C660" s="638">
        <v>43.33</v>
      </c>
      <c r="D660" s="534" t="s">
        <v>300</v>
      </c>
      <c r="E660" s="617" t="e">
        <f>VLOOKUP(B660,#REF!,7,FALSE)</f>
        <v>#REF!</v>
      </c>
      <c r="F660" s="639" t="e">
        <f>ROUND(C660*E660,2)</f>
        <v>#REF!</v>
      </c>
    </row>
    <row r="661" spans="1:6">
      <c r="A661" s="532">
        <f>+A660+0.1</f>
        <v>12.4</v>
      </c>
      <c r="B661" s="484" t="s">
        <v>808</v>
      </c>
      <c r="C661" s="638">
        <v>8</v>
      </c>
      <c r="D661" s="534" t="s">
        <v>793</v>
      </c>
      <c r="E661" s="617" t="e">
        <f>VLOOKUP(B661,#REF!,7,FALSE)</f>
        <v>#REF!</v>
      </c>
      <c r="F661" s="639" t="e">
        <f>ROUND(C661*E661,2)</f>
        <v>#REF!</v>
      </c>
    </row>
    <row r="662" spans="1:6">
      <c r="A662" s="532">
        <f>+A661+0.1</f>
        <v>12.5</v>
      </c>
      <c r="B662" s="484" t="s">
        <v>809</v>
      </c>
      <c r="C662" s="638">
        <v>2.4500000000000002</v>
      </c>
      <c r="D662" s="534" t="s">
        <v>300</v>
      </c>
      <c r="E662" s="672" t="e">
        <f>VLOOKUP(B662,#REF!,7,FALSE)</f>
        <v>#REF!</v>
      </c>
      <c r="F662" s="639" t="e">
        <f>ROUND(C662*E662,2)</f>
        <v>#REF!</v>
      </c>
    </row>
    <row r="663" spans="1:6">
      <c r="A663" s="893"/>
      <c r="B663" s="894" t="s">
        <v>810</v>
      </c>
      <c r="C663" s="895"/>
      <c r="D663" s="896"/>
      <c r="E663" s="897" t="e">
        <f>+SUM(E576:E662)</f>
        <v>#REF!</v>
      </c>
      <c r="F663" s="898" t="e">
        <f>SUM(F575:F662)</f>
        <v>#REF!</v>
      </c>
    </row>
    <row r="664" spans="1:6">
      <c r="A664" s="583"/>
      <c r="B664" s="500"/>
      <c r="C664" s="584"/>
      <c r="D664" s="585"/>
      <c r="E664" s="586"/>
      <c r="F664" s="587"/>
    </row>
    <row r="665" spans="1:6">
      <c r="A665" s="504" t="s">
        <v>811</v>
      </c>
      <c r="B665" s="614" t="s">
        <v>907</v>
      </c>
      <c r="C665" s="597"/>
      <c r="D665" s="521"/>
      <c r="E665" s="508"/>
      <c r="F665" s="508"/>
    </row>
    <row r="666" spans="1:6">
      <c r="A666" s="509"/>
      <c r="B666" s="510"/>
      <c r="C666" s="511"/>
      <c r="D666" s="512"/>
      <c r="E666" s="486"/>
      <c r="F666" s="486"/>
    </row>
    <row r="667" spans="1:6">
      <c r="A667" s="660">
        <v>1</v>
      </c>
      <c r="B667" s="661" t="s">
        <v>307</v>
      </c>
      <c r="C667" s="662">
        <v>1</v>
      </c>
      <c r="D667" s="663" t="s">
        <v>10</v>
      </c>
      <c r="E667" s="664" t="e">
        <f>VLOOKUP(B667,#REF!,7,FALSE)</f>
        <v>#REF!</v>
      </c>
      <c r="F667" s="665" t="e">
        <f t="shared" ref="F667:F725" si="36">ROUND(C667*E667,2)</f>
        <v>#REF!</v>
      </c>
    </row>
    <row r="668" spans="1:6">
      <c r="A668" s="666"/>
      <c r="B668" s="661"/>
      <c r="C668" s="662"/>
      <c r="D668" s="667"/>
      <c r="E668" s="664"/>
      <c r="F668" s="665"/>
    </row>
    <row r="669" spans="1:6">
      <c r="A669" s="668">
        <v>2</v>
      </c>
      <c r="B669" s="669" t="s">
        <v>296</v>
      </c>
      <c r="C669" s="662"/>
      <c r="D669" s="667"/>
      <c r="E669" s="664"/>
      <c r="F669" s="665"/>
    </row>
    <row r="670" spans="1:6">
      <c r="A670" s="670">
        <v>2.1</v>
      </c>
      <c r="B670" s="661" t="s">
        <v>743</v>
      </c>
      <c r="C670" s="662">
        <v>58.72</v>
      </c>
      <c r="D670" s="611" t="s">
        <v>298</v>
      </c>
      <c r="E670" s="664" t="e">
        <f>VLOOKUP(B670,#REF!,7,FALSE)</f>
        <v>#REF!</v>
      </c>
      <c r="F670" s="665" t="e">
        <f t="shared" si="36"/>
        <v>#REF!</v>
      </c>
    </row>
    <row r="671" spans="1:6">
      <c r="A671" s="670">
        <v>2.2000000000000002</v>
      </c>
      <c r="B671" s="661" t="s">
        <v>812</v>
      </c>
      <c r="C671" s="662">
        <v>38.64</v>
      </c>
      <c r="D671" s="611" t="s">
        <v>298</v>
      </c>
      <c r="E671" s="664" t="e">
        <f>VLOOKUP(B671,#REF!,7,FALSE)</f>
        <v>#REF!</v>
      </c>
      <c r="F671" s="665" t="e">
        <f t="shared" si="36"/>
        <v>#REF!</v>
      </c>
    </row>
    <row r="672" spans="1:6">
      <c r="A672" s="670">
        <v>2.2999999999999998</v>
      </c>
      <c r="B672" s="661" t="s">
        <v>308</v>
      </c>
      <c r="C672" s="662">
        <v>23.2</v>
      </c>
      <c r="D672" s="611" t="s">
        <v>298</v>
      </c>
      <c r="E672" s="664" t="e">
        <f>VLOOKUP(B672,#REF!,7,FALSE)</f>
        <v>#REF!</v>
      </c>
      <c r="F672" s="665" t="e">
        <f t="shared" si="36"/>
        <v>#REF!</v>
      </c>
    </row>
    <row r="673" spans="1:6">
      <c r="A673" s="671"/>
      <c r="B673" s="661"/>
      <c r="C673" s="662"/>
      <c r="D673" s="667"/>
      <c r="E673" s="664"/>
      <c r="F673" s="665"/>
    </row>
    <row r="674" spans="1:6">
      <c r="A674" s="668">
        <v>3</v>
      </c>
      <c r="B674" s="669" t="s">
        <v>813</v>
      </c>
      <c r="C674" s="662"/>
      <c r="D674" s="667"/>
      <c r="E674" s="664"/>
      <c r="F674" s="665"/>
    </row>
    <row r="675" spans="1:6">
      <c r="A675" s="670">
        <v>3.1</v>
      </c>
      <c r="B675" s="661" t="s">
        <v>338</v>
      </c>
      <c r="C675" s="662">
        <v>18.920000000000002</v>
      </c>
      <c r="D675" s="611" t="s">
        <v>298</v>
      </c>
      <c r="E675" s="672" t="e">
        <f>VLOOKUP(B675,#REF!,7,FALSE)</f>
        <v>#REF!</v>
      </c>
      <c r="F675" s="665" t="e">
        <f t="shared" si="36"/>
        <v>#REF!</v>
      </c>
    </row>
    <row r="676" spans="1:6">
      <c r="A676" s="670">
        <v>3.3</v>
      </c>
      <c r="B676" s="661" t="s">
        <v>814</v>
      </c>
      <c r="C676" s="662">
        <v>4.2</v>
      </c>
      <c r="D676" s="611" t="s">
        <v>298</v>
      </c>
      <c r="E676" s="672" t="e">
        <f>VLOOKUP(B676,#REF!,7,FALSE)</f>
        <v>#REF!</v>
      </c>
      <c r="F676" s="665" t="e">
        <f t="shared" si="36"/>
        <v>#REF!</v>
      </c>
    </row>
    <row r="677" spans="1:6">
      <c r="A677" s="670">
        <v>3.4</v>
      </c>
      <c r="B677" s="661" t="s">
        <v>815</v>
      </c>
      <c r="C677" s="662">
        <v>5.2</v>
      </c>
      <c r="D677" s="611" t="s">
        <v>298</v>
      </c>
      <c r="E677" s="672" t="e">
        <f>VLOOKUP(B677,#REF!,7,FALSE)</f>
        <v>#REF!</v>
      </c>
      <c r="F677" s="665" t="e">
        <f t="shared" si="36"/>
        <v>#REF!</v>
      </c>
    </row>
    <row r="678" spans="1:6">
      <c r="A678" s="670">
        <v>3.5</v>
      </c>
      <c r="B678" s="661" t="s">
        <v>816</v>
      </c>
      <c r="C678" s="662">
        <v>6.08</v>
      </c>
      <c r="D678" s="611" t="s">
        <v>298</v>
      </c>
      <c r="E678" s="672" t="e">
        <f>VLOOKUP(B678,#REF!,7,FALSE)</f>
        <v>#REF!</v>
      </c>
      <c r="F678" s="665" t="e">
        <f t="shared" si="36"/>
        <v>#REF!</v>
      </c>
    </row>
    <row r="679" spans="1:6">
      <c r="A679" s="670">
        <v>3.6</v>
      </c>
      <c r="B679" s="661" t="s">
        <v>817</v>
      </c>
      <c r="C679" s="662">
        <v>4.04</v>
      </c>
      <c r="D679" s="611" t="s">
        <v>298</v>
      </c>
      <c r="E679" s="672" t="e">
        <f>VLOOKUP(B679,#REF!,7,FALSE)</f>
        <v>#REF!</v>
      </c>
      <c r="F679" s="665" t="e">
        <f t="shared" si="36"/>
        <v>#REF!</v>
      </c>
    </row>
    <row r="680" spans="1:6">
      <c r="A680" s="670">
        <v>3.7</v>
      </c>
      <c r="B680" s="661" t="s">
        <v>818</v>
      </c>
      <c r="C680" s="662">
        <v>25.72</v>
      </c>
      <c r="D680" s="611" t="s">
        <v>298</v>
      </c>
      <c r="E680" s="672" t="e">
        <f>VLOOKUP(B680,#REF!,7,FALSE)</f>
        <v>#REF!</v>
      </c>
      <c r="F680" s="665" t="e">
        <f t="shared" si="36"/>
        <v>#REF!</v>
      </c>
    </row>
    <row r="681" spans="1:6" ht="25.5">
      <c r="A681" s="670">
        <v>3.8</v>
      </c>
      <c r="B681" s="673" t="s">
        <v>819</v>
      </c>
      <c r="C681" s="662">
        <v>23.84</v>
      </c>
      <c r="D681" s="611" t="s">
        <v>298</v>
      </c>
      <c r="E681" s="672" t="e">
        <f>VLOOKUP(B681,#REF!,7,FALSE)</f>
        <v>#REF!</v>
      </c>
      <c r="F681" s="665" t="e">
        <f t="shared" si="36"/>
        <v>#REF!</v>
      </c>
    </row>
    <row r="682" spans="1:6">
      <c r="A682" s="674"/>
      <c r="B682" s="661"/>
      <c r="C682" s="662"/>
      <c r="D682" s="667"/>
      <c r="E682" s="664"/>
      <c r="F682" s="665"/>
    </row>
    <row r="683" spans="1:6">
      <c r="A683" s="668">
        <v>4</v>
      </c>
      <c r="B683" s="669" t="s">
        <v>299</v>
      </c>
      <c r="C683" s="662"/>
      <c r="D683" s="667"/>
      <c r="E683" s="664"/>
      <c r="F683" s="665"/>
    </row>
    <row r="684" spans="1:6">
      <c r="A684" s="670">
        <v>4.2</v>
      </c>
      <c r="B684" s="661" t="s">
        <v>339</v>
      </c>
      <c r="C684" s="662">
        <v>56</v>
      </c>
      <c r="D684" s="521" t="s">
        <v>300</v>
      </c>
      <c r="E684" s="672" t="e">
        <f>VLOOKUP(B684,#REF!,7,FALSE)</f>
        <v>#REF!</v>
      </c>
      <c r="F684" s="665" t="e">
        <f t="shared" si="36"/>
        <v>#REF!</v>
      </c>
    </row>
    <row r="685" spans="1:6">
      <c r="A685" s="670">
        <v>4.3</v>
      </c>
      <c r="B685" s="661" t="s">
        <v>309</v>
      </c>
      <c r="C685" s="662">
        <v>462</v>
      </c>
      <c r="D685" s="521" t="s">
        <v>300</v>
      </c>
      <c r="E685" s="672" t="e">
        <f>VLOOKUP(B685,#REF!,7,FALSE)</f>
        <v>#REF!</v>
      </c>
      <c r="F685" s="665" t="e">
        <f t="shared" si="36"/>
        <v>#REF!</v>
      </c>
    </row>
    <row r="686" spans="1:6">
      <c r="A686" s="670">
        <v>4.4000000000000004</v>
      </c>
      <c r="B686" s="661" t="s">
        <v>310</v>
      </c>
      <c r="C686" s="662">
        <v>12.8</v>
      </c>
      <c r="D686" s="521" t="s">
        <v>300</v>
      </c>
      <c r="E686" s="672" t="e">
        <f>VLOOKUP(B686,#REF!,7,FALSE)</f>
        <v>#REF!</v>
      </c>
      <c r="F686" s="665" t="e">
        <f t="shared" si="36"/>
        <v>#REF!</v>
      </c>
    </row>
    <row r="687" spans="1:6">
      <c r="A687" s="671"/>
      <c r="B687" s="661"/>
      <c r="C687" s="662"/>
      <c r="D687" s="667"/>
      <c r="E687" s="664"/>
      <c r="F687" s="665"/>
    </row>
    <row r="688" spans="1:6">
      <c r="A688" s="675">
        <v>5</v>
      </c>
      <c r="B688" s="669" t="s">
        <v>301</v>
      </c>
      <c r="C688" s="662"/>
      <c r="D688" s="667"/>
      <c r="E688" s="664"/>
      <c r="F688" s="665"/>
    </row>
    <row r="689" spans="1:6">
      <c r="A689" s="676">
        <v>5.0999999999999996</v>
      </c>
      <c r="B689" s="661" t="s">
        <v>311</v>
      </c>
      <c r="C689" s="662">
        <v>214.2</v>
      </c>
      <c r="D689" s="521" t="s">
        <v>300</v>
      </c>
      <c r="E689" s="672" t="e">
        <f>VLOOKUP(B689,#REF!,7,FALSE)</f>
        <v>#REF!</v>
      </c>
      <c r="F689" s="665" t="e">
        <f t="shared" si="36"/>
        <v>#REF!</v>
      </c>
    </row>
    <row r="690" spans="1:6">
      <c r="A690" s="676">
        <v>5.2</v>
      </c>
      <c r="B690" s="661" t="s">
        <v>312</v>
      </c>
      <c r="C690" s="662">
        <v>416.8</v>
      </c>
      <c r="D690" s="521" t="s">
        <v>300</v>
      </c>
      <c r="E690" s="672" t="e">
        <f>VLOOKUP(B690,#REF!,7,FALSE)</f>
        <v>#REF!</v>
      </c>
      <c r="F690" s="665" t="e">
        <f t="shared" si="36"/>
        <v>#REF!</v>
      </c>
    </row>
    <row r="691" spans="1:6">
      <c r="A691" s="676">
        <v>5.3</v>
      </c>
      <c r="B691" s="661" t="s">
        <v>313</v>
      </c>
      <c r="C691" s="662">
        <v>413</v>
      </c>
      <c r="D691" s="521" t="s">
        <v>300</v>
      </c>
      <c r="E691" s="672" t="e">
        <f>VLOOKUP(B691,#REF!,7,FALSE)</f>
        <v>#REF!</v>
      </c>
      <c r="F691" s="665" t="e">
        <f t="shared" si="36"/>
        <v>#REF!</v>
      </c>
    </row>
    <row r="692" spans="1:6">
      <c r="A692" s="676">
        <v>5.4</v>
      </c>
      <c r="B692" s="661" t="s">
        <v>314</v>
      </c>
      <c r="C692" s="662">
        <v>631.20000000000005</v>
      </c>
      <c r="D692" s="521" t="s">
        <v>15</v>
      </c>
      <c r="E692" s="672" t="e">
        <f>VLOOKUP(B692,#REF!,7,FALSE)</f>
        <v>#REF!</v>
      </c>
      <c r="F692" s="665" t="e">
        <f t="shared" si="36"/>
        <v>#REF!</v>
      </c>
    </row>
    <row r="693" spans="1:6">
      <c r="A693" s="676">
        <v>5.5</v>
      </c>
      <c r="B693" s="661" t="s">
        <v>315</v>
      </c>
      <c r="C693" s="662">
        <v>108.68</v>
      </c>
      <c r="D693" s="663" t="s">
        <v>15</v>
      </c>
      <c r="E693" s="672" t="e">
        <f>VLOOKUP(B693,#REF!,7,FALSE)</f>
        <v>#REF!</v>
      </c>
      <c r="F693" s="665" t="e">
        <f t="shared" si="36"/>
        <v>#REF!</v>
      </c>
    </row>
    <row r="694" spans="1:6">
      <c r="A694" s="676">
        <v>5.6</v>
      </c>
      <c r="B694" s="661" t="s">
        <v>316</v>
      </c>
      <c r="C694" s="662">
        <v>250</v>
      </c>
      <c r="D694" s="521" t="s">
        <v>300</v>
      </c>
      <c r="E694" s="672" t="e">
        <f>VLOOKUP(B694,#REF!,7,FALSE)</f>
        <v>#REF!</v>
      </c>
      <c r="F694" s="665" t="e">
        <f t="shared" si="36"/>
        <v>#REF!</v>
      </c>
    </row>
    <row r="695" spans="1:6">
      <c r="A695" s="676">
        <v>5.7</v>
      </c>
      <c r="B695" s="677" t="s">
        <v>317</v>
      </c>
      <c r="C695" s="662">
        <v>1044</v>
      </c>
      <c r="D695" s="521" t="s">
        <v>300</v>
      </c>
      <c r="E695" s="672" t="e">
        <f>VLOOKUP(B695,#REF!,7,FALSE)</f>
        <v>#REF!</v>
      </c>
      <c r="F695" s="665" t="e">
        <f t="shared" si="36"/>
        <v>#REF!</v>
      </c>
    </row>
    <row r="696" spans="1:6">
      <c r="A696" s="676">
        <v>5.8</v>
      </c>
      <c r="B696" s="677" t="s">
        <v>318</v>
      </c>
      <c r="C696" s="662">
        <v>1044</v>
      </c>
      <c r="D696" s="521" t="s">
        <v>300</v>
      </c>
      <c r="E696" s="672" t="e">
        <f>VLOOKUP(B696,#REF!,7,FALSE)</f>
        <v>#REF!</v>
      </c>
      <c r="F696" s="665" t="e">
        <f t="shared" si="36"/>
        <v>#REF!</v>
      </c>
    </row>
    <row r="697" spans="1:6" ht="25.5">
      <c r="A697" s="676">
        <v>5.9</v>
      </c>
      <c r="B697" s="673" t="s">
        <v>343</v>
      </c>
      <c r="C697" s="678">
        <v>90</v>
      </c>
      <c r="D697" s="521" t="s">
        <v>300</v>
      </c>
      <c r="E697" s="679" t="e">
        <f>VLOOKUP(B697,#REF!,7,FALSE)</f>
        <v>#REF!</v>
      </c>
      <c r="F697" s="665" t="e">
        <f t="shared" si="36"/>
        <v>#REF!</v>
      </c>
    </row>
    <row r="698" spans="1:6">
      <c r="A698" s="680">
        <v>5.0999999999999996</v>
      </c>
      <c r="B698" s="673" t="s">
        <v>319</v>
      </c>
      <c r="C698" s="678">
        <v>214.2</v>
      </c>
      <c r="D698" s="521" t="s">
        <v>300</v>
      </c>
      <c r="E698" s="679" t="e">
        <f>VLOOKUP(B698,#REF!,7,FALSE)</f>
        <v>#REF!</v>
      </c>
      <c r="F698" s="665" t="e">
        <f t="shared" si="36"/>
        <v>#REF!</v>
      </c>
    </row>
    <row r="699" spans="1:6">
      <c r="A699" s="680">
        <v>5.1100000000000003</v>
      </c>
      <c r="B699" s="673" t="s">
        <v>345</v>
      </c>
      <c r="C699" s="678">
        <v>214.2</v>
      </c>
      <c r="D699" s="521" t="s">
        <v>300</v>
      </c>
      <c r="E699" s="679" t="e">
        <f>VLOOKUP(B699,#REF!,7,FALSE)</f>
        <v>#REF!</v>
      </c>
      <c r="F699" s="665" t="e">
        <f t="shared" si="36"/>
        <v>#REF!</v>
      </c>
    </row>
    <row r="700" spans="1:6">
      <c r="A700" s="680">
        <v>5.12</v>
      </c>
      <c r="B700" s="661" t="s">
        <v>320</v>
      </c>
      <c r="C700" s="662">
        <v>112</v>
      </c>
      <c r="D700" s="521" t="s">
        <v>300</v>
      </c>
      <c r="E700" s="672" t="e">
        <f>VLOOKUP(B700,#REF!,7,FALSE)</f>
        <v>#REF!</v>
      </c>
      <c r="F700" s="665" t="e">
        <f t="shared" si="36"/>
        <v>#REF!</v>
      </c>
    </row>
    <row r="701" spans="1:6">
      <c r="A701" s="680">
        <v>5.13</v>
      </c>
      <c r="B701" s="681" t="s">
        <v>820</v>
      </c>
      <c r="C701" s="662">
        <v>18</v>
      </c>
      <c r="D701" s="521" t="s">
        <v>15</v>
      </c>
      <c r="E701" s="928" t="e">
        <f>VLOOKUP(B701,#REF!,7,FALSE)</f>
        <v>#REF!</v>
      </c>
      <c r="F701" s="665" t="e">
        <f>ROUND(C701*E701,2)</f>
        <v>#REF!</v>
      </c>
    </row>
    <row r="702" spans="1:6">
      <c r="A702" s="671"/>
      <c r="B702" s="661"/>
      <c r="C702" s="662"/>
      <c r="D702" s="667"/>
      <c r="E702" s="664"/>
      <c r="F702" s="665"/>
    </row>
    <row r="703" spans="1:6">
      <c r="A703" s="668">
        <v>6</v>
      </c>
      <c r="B703" s="682" t="s">
        <v>302</v>
      </c>
      <c r="C703" s="662"/>
      <c r="D703" s="667"/>
      <c r="E703" s="664"/>
      <c r="F703" s="665"/>
    </row>
    <row r="704" spans="1:6">
      <c r="A704" s="683">
        <v>6.1</v>
      </c>
      <c r="B704" s="661" t="s">
        <v>321</v>
      </c>
      <c r="C704" s="662">
        <v>24</v>
      </c>
      <c r="D704" s="663" t="s">
        <v>10</v>
      </c>
      <c r="E704" s="672" t="e">
        <f>VLOOKUP(B704,#REF!,7,FALSE)</f>
        <v>#REF!</v>
      </c>
      <c r="F704" s="665" t="e">
        <f t="shared" si="36"/>
        <v>#REF!</v>
      </c>
    </row>
    <row r="705" spans="1:6">
      <c r="A705" s="683">
        <f>+A704+0.1</f>
        <v>6.2</v>
      </c>
      <c r="B705" s="673" t="s">
        <v>322</v>
      </c>
      <c r="C705" s="662">
        <v>24</v>
      </c>
      <c r="D705" s="663" t="s">
        <v>10</v>
      </c>
      <c r="E705" s="672" t="e">
        <f>VLOOKUP(B705,#REF!,7,FALSE)</f>
        <v>#REF!</v>
      </c>
      <c r="F705" s="665" t="e">
        <f t="shared" si="36"/>
        <v>#REF!</v>
      </c>
    </row>
    <row r="706" spans="1:6">
      <c r="A706" s="683">
        <f t="shared" ref="A706:A712" si="37">+A705+0.1</f>
        <v>6.3</v>
      </c>
      <c r="B706" s="673" t="s">
        <v>340</v>
      </c>
      <c r="C706" s="662">
        <v>8</v>
      </c>
      <c r="D706" s="663" t="s">
        <v>10</v>
      </c>
      <c r="E706" s="672" t="e">
        <f>VLOOKUP(B706,#REF!,7,FALSE)</f>
        <v>#REF!</v>
      </c>
      <c r="F706" s="665" t="e">
        <f t="shared" si="36"/>
        <v>#REF!</v>
      </c>
    </row>
    <row r="707" spans="1:6">
      <c r="A707" s="683">
        <f t="shared" si="37"/>
        <v>6.4</v>
      </c>
      <c r="B707" s="673" t="s">
        <v>344</v>
      </c>
      <c r="C707" s="662">
        <v>30</v>
      </c>
      <c r="D707" s="663" t="s">
        <v>300</v>
      </c>
      <c r="E707" s="672" t="e">
        <f>VLOOKUP(B707,#REF!,7,FALSE)</f>
        <v>#REF!</v>
      </c>
      <c r="F707" s="665" t="e">
        <f t="shared" si="36"/>
        <v>#REF!</v>
      </c>
    </row>
    <row r="708" spans="1:6">
      <c r="A708" s="683">
        <f t="shared" si="37"/>
        <v>6.5</v>
      </c>
      <c r="B708" s="661" t="s">
        <v>323</v>
      </c>
      <c r="C708" s="662">
        <v>16</v>
      </c>
      <c r="D708" s="663" t="s">
        <v>10</v>
      </c>
      <c r="E708" s="672" t="e">
        <f>VLOOKUP(B708,#REF!,7,FALSE)</f>
        <v>#REF!</v>
      </c>
      <c r="F708" s="665" t="e">
        <f t="shared" si="36"/>
        <v>#REF!</v>
      </c>
    </row>
    <row r="709" spans="1:6">
      <c r="A709" s="683">
        <f t="shared" si="37"/>
        <v>6.6</v>
      </c>
      <c r="B709" s="661" t="s">
        <v>324</v>
      </c>
      <c r="C709" s="662">
        <v>16</v>
      </c>
      <c r="D709" s="663" t="s">
        <v>10</v>
      </c>
      <c r="E709" s="672" t="e">
        <f>VLOOKUP(B709,#REF!,7,FALSE)</f>
        <v>#REF!</v>
      </c>
      <c r="F709" s="665" t="e">
        <f t="shared" si="36"/>
        <v>#REF!</v>
      </c>
    </row>
    <row r="710" spans="1:6">
      <c r="A710" s="683">
        <f t="shared" si="37"/>
        <v>6.7</v>
      </c>
      <c r="B710" s="661" t="s">
        <v>325</v>
      </c>
      <c r="C710" s="662">
        <v>8</v>
      </c>
      <c r="D710" s="663" t="s">
        <v>10</v>
      </c>
      <c r="E710" s="672" t="e">
        <f>VLOOKUP(B710,#REF!,7,FALSE)</f>
        <v>#REF!</v>
      </c>
      <c r="F710" s="665" t="e">
        <f t="shared" si="36"/>
        <v>#REF!</v>
      </c>
    </row>
    <row r="711" spans="1:6">
      <c r="A711" s="683">
        <f t="shared" si="37"/>
        <v>6.8</v>
      </c>
      <c r="B711" s="661" t="s">
        <v>326</v>
      </c>
      <c r="C711" s="662">
        <v>4</v>
      </c>
      <c r="D711" s="663" t="s">
        <v>10</v>
      </c>
      <c r="E711" s="846" t="e">
        <f>VLOOKUP(B711,#REF!,7,FALSE)</f>
        <v>#REF!</v>
      </c>
      <c r="F711" s="665" t="e">
        <f t="shared" si="36"/>
        <v>#REF!</v>
      </c>
    </row>
    <row r="712" spans="1:6">
      <c r="A712" s="683">
        <f t="shared" si="37"/>
        <v>6.9</v>
      </c>
      <c r="B712" s="661" t="s">
        <v>821</v>
      </c>
      <c r="C712" s="662">
        <v>140</v>
      </c>
      <c r="D712" s="663" t="s">
        <v>15</v>
      </c>
      <c r="E712" s="846" t="e">
        <f>VLOOKUP(B712,#REF!,7,FALSE)</f>
        <v>#REF!</v>
      </c>
      <c r="F712" s="665" t="e">
        <f t="shared" si="36"/>
        <v>#REF!</v>
      </c>
    </row>
    <row r="713" spans="1:6" ht="25.5">
      <c r="A713" s="684">
        <v>6.1</v>
      </c>
      <c r="B713" s="673" t="s">
        <v>327</v>
      </c>
      <c r="C713" s="662">
        <v>1</v>
      </c>
      <c r="D713" s="663" t="s">
        <v>306</v>
      </c>
      <c r="E713" s="664" t="e">
        <f>VLOOKUP(B713,#REF!,7,FALSE)</f>
        <v>#REF!</v>
      </c>
      <c r="F713" s="665" t="e">
        <f t="shared" si="36"/>
        <v>#REF!</v>
      </c>
    </row>
    <row r="714" spans="1:6">
      <c r="A714" s="684">
        <f>+A713+0.01</f>
        <v>6.11</v>
      </c>
      <c r="B714" s="673" t="s">
        <v>349</v>
      </c>
      <c r="C714" s="662">
        <v>24</v>
      </c>
      <c r="D714" s="663" t="s">
        <v>10</v>
      </c>
      <c r="E714" s="664" t="e">
        <f>VLOOKUP(B714,#REF!,7,FALSE)</f>
        <v>#REF!</v>
      </c>
      <c r="F714" s="665" t="e">
        <f t="shared" si="36"/>
        <v>#REF!</v>
      </c>
    </row>
    <row r="715" spans="1:6">
      <c r="A715" s="684">
        <f t="shared" ref="A715:A720" si="38">+A714+0.01</f>
        <v>6.12</v>
      </c>
      <c r="B715" s="673" t="s">
        <v>350</v>
      </c>
      <c r="C715" s="662">
        <v>24</v>
      </c>
      <c r="D715" s="663" t="s">
        <v>10</v>
      </c>
      <c r="E715" s="664" t="e">
        <f>VLOOKUP(B715,#REF!,7,FALSE)</f>
        <v>#REF!</v>
      </c>
      <c r="F715" s="665" t="e">
        <f t="shared" si="36"/>
        <v>#REF!</v>
      </c>
    </row>
    <row r="716" spans="1:6">
      <c r="A716" s="684">
        <f t="shared" si="38"/>
        <v>6.13</v>
      </c>
      <c r="B716" s="610" t="s">
        <v>346</v>
      </c>
      <c r="C716" s="662">
        <v>8</v>
      </c>
      <c r="D716" s="663" t="s">
        <v>10</v>
      </c>
      <c r="E716" s="664" t="e">
        <f>VLOOKUP(B716,#REF!,7,FALSE)</f>
        <v>#REF!</v>
      </c>
      <c r="F716" s="665" t="e">
        <f t="shared" si="36"/>
        <v>#REF!</v>
      </c>
    </row>
    <row r="717" spans="1:6">
      <c r="A717" s="684">
        <f t="shared" si="38"/>
        <v>6.14</v>
      </c>
      <c r="B717" s="681" t="s">
        <v>347</v>
      </c>
      <c r="C717" s="662">
        <v>8</v>
      </c>
      <c r="D717" s="663" t="s">
        <v>10</v>
      </c>
      <c r="E717" s="664" t="e">
        <f>VLOOKUP(B717,#REF!,7,FALSE)</f>
        <v>#REF!</v>
      </c>
      <c r="F717" s="665" t="e">
        <f t="shared" si="36"/>
        <v>#REF!</v>
      </c>
    </row>
    <row r="718" spans="1:6">
      <c r="A718" s="684">
        <f t="shared" si="38"/>
        <v>6.15</v>
      </c>
      <c r="B718" s="610" t="s">
        <v>348</v>
      </c>
      <c r="C718" s="662">
        <v>24</v>
      </c>
      <c r="D718" s="663" t="s">
        <v>10</v>
      </c>
      <c r="E718" s="664" t="e">
        <f>VLOOKUP(B718,#REF!,7,FALSE)</f>
        <v>#REF!</v>
      </c>
      <c r="F718" s="665" t="e">
        <f t="shared" si="36"/>
        <v>#REF!</v>
      </c>
    </row>
    <row r="719" spans="1:6" ht="13.5" customHeight="1">
      <c r="A719" s="684">
        <f t="shared" si="38"/>
        <v>6.16</v>
      </c>
      <c r="B719" s="673" t="s">
        <v>341</v>
      </c>
      <c r="C719" s="678">
        <v>4</v>
      </c>
      <c r="D719" s="663" t="s">
        <v>10</v>
      </c>
      <c r="E719" s="685" t="e">
        <f>VLOOKUP(B719,#REF!,7,FALSE)</f>
        <v>#REF!</v>
      </c>
      <c r="F719" s="665" t="e">
        <f t="shared" si="36"/>
        <v>#REF!</v>
      </c>
    </row>
    <row r="720" spans="1:6">
      <c r="A720" s="908">
        <f t="shared" si="38"/>
        <v>6.17</v>
      </c>
      <c r="B720" s="909" t="s">
        <v>342</v>
      </c>
      <c r="C720" s="844">
        <v>1</v>
      </c>
      <c r="D720" s="910" t="s">
        <v>306</v>
      </c>
      <c r="E720" s="911" t="e">
        <f>VLOOKUP(B720,#REF!,7,FALSE)</f>
        <v>#REF!</v>
      </c>
      <c r="F720" s="845" t="e">
        <f t="shared" si="36"/>
        <v>#REF!</v>
      </c>
    </row>
    <row r="721" spans="1:12">
      <c r="A721" s="671"/>
      <c r="B721" s="661"/>
      <c r="C721" s="662"/>
      <c r="D721" s="667"/>
      <c r="E721" s="664"/>
      <c r="F721" s="665"/>
    </row>
    <row r="722" spans="1:12">
      <c r="A722" s="668">
        <f>A703+1</f>
        <v>7</v>
      </c>
      <c r="B722" s="669" t="s">
        <v>717</v>
      </c>
      <c r="C722" s="662"/>
      <c r="D722" s="667"/>
      <c r="E722" s="664"/>
      <c r="F722" s="665"/>
    </row>
    <row r="723" spans="1:12">
      <c r="A723" s="686">
        <f>A722+0.1</f>
        <v>7.1</v>
      </c>
      <c r="B723" s="526" t="s">
        <v>822</v>
      </c>
      <c r="C723" s="687">
        <v>8</v>
      </c>
      <c r="D723" s="663" t="s">
        <v>10</v>
      </c>
      <c r="E723" s="923" t="e">
        <f>VLOOKUP(B723,#REF!,7,FALSE)</f>
        <v>#REF!</v>
      </c>
      <c r="F723" s="540" t="e">
        <f t="shared" si="36"/>
        <v>#REF!</v>
      </c>
    </row>
    <row r="724" spans="1:12">
      <c r="A724" s="686">
        <f>A723+0.1</f>
        <v>7.2</v>
      </c>
      <c r="B724" s="526" t="s">
        <v>823</v>
      </c>
      <c r="C724" s="687">
        <v>16</v>
      </c>
      <c r="D724" s="663" t="s">
        <v>10</v>
      </c>
      <c r="E724" s="679" t="e">
        <f>VLOOKUP(B724,#REF!,7,FALSE)</f>
        <v>#REF!</v>
      </c>
      <c r="F724" s="540" t="e">
        <f t="shared" si="36"/>
        <v>#REF!</v>
      </c>
      <c r="J724" s="780"/>
      <c r="K724" s="467"/>
      <c r="L724" s="781"/>
    </row>
    <row r="725" spans="1:12">
      <c r="A725" s="686">
        <f>A724+0.1</f>
        <v>7.3</v>
      </c>
      <c r="B725" s="526" t="s">
        <v>824</v>
      </c>
      <c r="C725" s="687">
        <v>8</v>
      </c>
      <c r="D725" s="663" t="s">
        <v>10</v>
      </c>
      <c r="E725" s="679" t="e">
        <f>VLOOKUP(B725,#REF!,7,FALSE)</f>
        <v>#REF!</v>
      </c>
      <c r="F725" s="540" t="e">
        <f t="shared" si="36"/>
        <v>#REF!</v>
      </c>
    </row>
    <row r="726" spans="1:12">
      <c r="A726" s="688"/>
      <c r="B726" s="689"/>
      <c r="C726" s="687"/>
      <c r="D726" s="527"/>
      <c r="E726" s="679"/>
      <c r="F726" s="540"/>
    </row>
    <row r="727" spans="1:12">
      <c r="A727" s="653">
        <f>A722+1</f>
        <v>8</v>
      </c>
      <c r="B727" s="614" t="s">
        <v>825</v>
      </c>
      <c r="C727" s="687"/>
      <c r="D727" s="527"/>
      <c r="E727" s="679"/>
      <c r="F727" s="540"/>
    </row>
    <row r="728" spans="1:12">
      <c r="A728" s="686">
        <f>A727+0.1</f>
        <v>8.1</v>
      </c>
      <c r="B728" s="609" t="s">
        <v>826</v>
      </c>
      <c r="C728" s="687">
        <v>126.56</v>
      </c>
      <c r="D728" s="527" t="s">
        <v>304</v>
      </c>
      <c r="E728" s="923" t="e">
        <f>VLOOKUP(B728,#REF!,7,FALSE)</f>
        <v>#REF!</v>
      </c>
      <c r="F728" s="540" t="e">
        <f>ROUND(C728*E728,2)</f>
        <v>#REF!</v>
      </c>
    </row>
    <row r="729" spans="1:12">
      <c r="A729" s="690"/>
      <c r="B729" s="691"/>
      <c r="C729" s="687"/>
      <c r="D729" s="527"/>
      <c r="E729" s="679"/>
      <c r="F729" s="540"/>
    </row>
    <row r="730" spans="1:12">
      <c r="A730" s="613">
        <f>A727+1</f>
        <v>9</v>
      </c>
      <c r="B730" s="609" t="s">
        <v>330</v>
      </c>
      <c r="C730" s="687">
        <v>1</v>
      </c>
      <c r="D730" s="527" t="s">
        <v>500</v>
      </c>
      <c r="E730" s="679" t="e">
        <f>VLOOKUP(B730,#REF!,7,FALSE)</f>
        <v>#REF!</v>
      </c>
      <c r="F730" s="540" t="e">
        <f>ROUND(C730*E730,2)</f>
        <v>#REF!</v>
      </c>
    </row>
    <row r="731" spans="1:12">
      <c r="A731" s="543"/>
      <c r="B731" s="544" t="s">
        <v>827</v>
      </c>
      <c r="C731" s="545"/>
      <c r="D731" s="546"/>
      <c r="E731" s="547"/>
      <c r="F731" s="548" t="e">
        <f>SUM(F667:F730)</f>
        <v>#REF!</v>
      </c>
      <c r="H731" s="779"/>
    </row>
    <row r="732" spans="1:12" s="5" customFormat="1">
      <c r="A732" s="583"/>
      <c r="B732" s="500"/>
      <c r="C732" s="584"/>
      <c r="D732" s="585"/>
      <c r="E732" s="586"/>
      <c r="F732" s="587"/>
    </row>
    <row r="733" spans="1:12">
      <c r="A733" s="504" t="s">
        <v>828</v>
      </c>
      <c r="B733" s="614" t="s">
        <v>829</v>
      </c>
      <c r="C733" s="597"/>
      <c r="D733" s="521"/>
      <c r="E733" s="508"/>
      <c r="F733" s="508"/>
    </row>
    <row r="734" spans="1:12">
      <c r="A734" s="509"/>
      <c r="B734" s="510"/>
      <c r="C734" s="511"/>
      <c r="D734" s="512"/>
      <c r="E734" s="486"/>
      <c r="F734" s="486"/>
    </row>
    <row r="735" spans="1:12">
      <c r="A735" s="499">
        <v>1</v>
      </c>
      <c r="B735" s="637" t="s">
        <v>420</v>
      </c>
      <c r="C735" s="638"/>
      <c r="D735" s="534"/>
      <c r="E735" s="486"/>
      <c r="F735" s="486"/>
    </row>
    <row r="736" spans="1:12">
      <c r="A736" s="532">
        <f>A735+0.1</f>
        <v>1.1000000000000001</v>
      </c>
      <c r="B736" s="478" t="s">
        <v>697</v>
      </c>
      <c r="C736" s="638">
        <v>37.06</v>
      </c>
      <c r="D736" s="534" t="s">
        <v>300</v>
      </c>
      <c r="E736" s="486" t="e">
        <f>VLOOKUP(B736,#REF!,7,FALSE)</f>
        <v>#REF!</v>
      </c>
      <c r="F736" s="639" t="e">
        <f t="shared" ref="F736:F749" si="39">ROUND(C736*E736,2)</f>
        <v>#REF!</v>
      </c>
    </row>
    <row r="737" spans="1:6">
      <c r="A737" s="509"/>
      <c r="B737" s="510"/>
      <c r="C737" s="511"/>
      <c r="D737" s="512"/>
      <c r="E737" s="486"/>
      <c r="F737" s="639"/>
    </row>
    <row r="738" spans="1:6">
      <c r="A738" s="499">
        <v>2</v>
      </c>
      <c r="B738" s="505" t="s">
        <v>296</v>
      </c>
      <c r="C738" s="474"/>
      <c r="D738" s="482"/>
      <c r="E738" s="486"/>
      <c r="F738" s="639">
        <f t="shared" si="39"/>
        <v>0</v>
      </c>
    </row>
    <row r="739" spans="1:6">
      <c r="A739" s="532">
        <f>A738+0.1</f>
        <v>2.1</v>
      </c>
      <c r="B739" s="484" t="s">
        <v>743</v>
      </c>
      <c r="C739" s="537">
        <v>13.27</v>
      </c>
      <c r="D739" s="482" t="s">
        <v>364</v>
      </c>
      <c r="E739" s="486" t="e">
        <f>VLOOKUP(B739,#REF!,7,FALSE)</f>
        <v>#REF!</v>
      </c>
      <c r="F739" s="639" t="e">
        <f t="shared" si="39"/>
        <v>#REF!</v>
      </c>
    </row>
    <row r="740" spans="1:6">
      <c r="A740" s="532">
        <f>A739+0.1</f>
        <v>2.2000000000000002</v>
      </c>
      <c r="B740" s="484" t="s">
        <v>744</v>
      </c>
      <c r="C740" s="537">
        <v>8.11</v>
      </c>
      <c r="D740" s="482" t="s">
        <v>426</v>
      </c>
      <c r="E740" s="486" t="e">
        <f>VLOOKUP(B740,#REF!,7,FALSE)</f>
        <v>#REF!</v>
      </c>
      <c r="F740" s="639" t="e">
        <f t="shared" si="39"/>
        <v>#REF!</v>
      </c>
    </row>
    <row r="741" spans="1:6">
      <c r="A741" s="532">
        <f>A740+0.1</f>
        <v>2.2999999999999998</v>
      </c>
      <c r="B741" s="484" t="s">
        <v>308</v>
      </c>
      <c r="C741" s="537">
        <v>6.71</v>
      </c>
      <c r="D741" s="482" t="s">
        <v>367</v>
      </c>
      <c r="E741" s="486" t="e">
        <f>VLOOKUP(B741,#REF!,7,FALSE)</f>
        <v>#REF!</v>
      </c>
      <c r="F741" s="639" t="e">
        <f t="shared" si="39"/>
        <v>#REF!</v>
      </c>
    </row>
    <row r="742" spans="1:6">
      <c r="A742" s="509"/>
      <c r="B742" s="510"/>
      <c r="C742" s="511"/>
      <c r="D742" s="512"/>
      <c r="E742" s="486"/>
      <c r="F742" s="639"/>
    </row>
    <row r="743" spans="1:6">
      <c r="A743" s="499">
        <v>3</v>
      </c>
      <c r="B743" s="505" t="s">
        <v>830</v>
      </c>
      <c r="C743" s="474"/>
      <c r="D743" s="482"/>
      <c r="E743" s="486"/>
      <c r="F743" s="639"/>
    </row>
    <row r="744" spans="1:6">
      <c r="A744" s="536">
        <f t="shared" ref="A744:A749" si="40">A743+0.1</f>
        <v>3.1</v>
      </c>
      <c r="B744" s="526" t="s">
        <v>831</v>
      </c>
      <c r="C744" s="537">
        <v>4.7300000000000004</v>
      </c>
      <c r="D744" s="657" t="s">
        <v>298</v>
      </c>
      <c r="E744" s="508" t="e">
        <f>VLOOKUP(B744,#REF!,7,FALSE)</f>
        <v>#REF!</v>
      </c>
      <c r="F744" s="656" t="e">
        <f t="shared" si="39"/>
        <v>#REF!</v>
      </c>
    </row>
    <row r="745" spans="1:6">
      <c r="A745" s="536">
        <f t="shared" si="40"/>
        <v>3.2</v>
      </c>
      <c r="B745" s="526" t="s">
        <v>832</v>
      </c>
      <c r="C745" s="537">
        <v>1.4</v>
      </c>
      <c r="D745" s="657" t="s">
        <v>298</v>
      </c>
      <c r="E745" s="508" t="e">
        <f>VLOOKUP(B745,#REF!,7,FALSE)</f>
        <v>#REF!</v>
      </c>
      <c r="F745" s="656" t="e">
        <f t="shared" si="39"/>
        <v>#REF!</v>
      </c>
    </row>
    <row r="746" spans="1:6">
      <c r="A746" s="536">
        <f t="shared" si="40"/>
        <v>3.3</v>
      </c>
      <c r="B746" s="526" t="s">
        <v>833</v>
      </c>
      <c r="C746" s="537">
        <v>0.86</v>
      </c>
      <c r="D746" s="657" t="s">
        <v>298</v>
      </c>
      <c r="E746" s="508" t="e">
        <f>VLOOKUP(B746,#REF!,7,FALSE)</f>
        <v>#REF!</v>
      </c>
      <c r="F746" s="656" t="e">
        <f t="shared" si="39"/>
        <v>#REF!</v>
      </c>
    </row>
    <row r="747" spans="1:6">
      <c r="A747" s="536">
        <f t="shared" si="40"/>
        <v>3.4</v>
      </c>
      <c r="B747" s="526" t="s">
        <v>834</v>
      </c>
      <c r="C747" s="537">
        <v>1.31</v>
      </c>
      <c r="D747" s="657" t="s">
        <v>298</v>
      </c>
      <c r="E747" s="508" t="e">
        <f>VLOOKUP(B747,#REF!,7,FALSE)</f>
        <v>#REF!</v>
      </c>
      <c r="F747" s="656" t="e">
        <f t="shared" si="39"/>
        <v>#REF!</v>
      </c>
    </row>
    <row r="748" spans="1:6" ht="25.5">
      <c r="A748" s="536">
        <f t="shared" si="40"/>
        <v>3.5</v>
      </c>
      <c r="B748" s="526" t="s">
        <v>835</v>
      </c>
      <c r="C748" s="597">
        <v>3.61</v>
      </c>
      <c r="D748" s="657" t="s">
        <v>298</v>
      </c>
      <c r="E748" s="508" t="e">
        <f>VLOOKUP(B748,#REF!,7,FALSE)</f>
        <v>#REF!</v>
      </c>
      <c r="F748" s="656" t="e">
        <f t="shared" si="39"/>
        <v>#REF!</v>
      </c>
    </row>
    <row r="749" spans="1:6">
      <c r="A749" s="536">
        <f t="shared" si="40"/>
        <v>3.6</v>
      </c>
      <c r="B749" s="609" t="s">
        <v>836</v>
      </c>
      <c r="C749" s="597">
        <v>3.96</v>
      </c>
      <c r="D749" s="657" t="s">
        <v>298</v>
      </c>
      <c r="E749" s="508" t="e">
        <f>VLOOKUP(B749,#REF!,7,FALSE)</f>
        <v>#REF!</v>
      </c>
      <c r="F749" s="656" t="e">
        <f t="shared" si="39"/>
        <v>#REF!</v>
      </c>
    </row>
    <row r="750" spans="1:6">
      <c r="A750" s="509"/>
      <c r="B750" s="510"/>
      <c r="C750" s="511"/>
      <c r="D750" s="512"/>
      <c r="E750" s="486"/>
      <c r="F750" s="486"/>
    </row>
    <row r="751" spans="1:6">
      <c r="A751" s="499">
        <v>4</v>
      </c>
      <c r="B751" s="637" t="s">
        <v>299</v>
      </c>
      <c r="C751" s="638"/>
      <c r="D751" s="534"/>
      <c r="E751" s="617"/>
      <c r="F751" s="639"/>
    </row>
    <row r="752" spans="1:6">
      <c r="A752" s="532">
        <f>+A751+0.1</f>
        <v>4.0999999999999996</v>
      </c>
      <c r="B752" s="643" t="s">
        <v>752</v>
      </c>
      <c r="C752" s="537">
        <v>16.079999999999998</v>
      </c>
      <c r="D752" s="534" t="s">
        <v>300</v>
      </c>
      <c r="E752" s="617" t="e">
        <f>#REF!</f>
        <v>#REF!</v>
      </c>
      <c r="F752" s="639" t="e">
        <f>ROUND(C752*E752,2)</f>
        <v>#REF!</v>
      </c>
    </row>
    <row r="753" spans="1:6">
      <c r="A753" s="532">
        <f>+A752+0.1</f>
        <v>4.2</v>
      </c>
      <c r="B753" s="643" t="s">
        <v>753</v>
      </c>
      <c r="C753" s="537">
        <v>67.650000000000006</v>
      </c>
      <c r="D753" s="534" t="s">
        <v>300</v>
      </c>
      <c r="E753" s="617" t="e">
        <f>#REF!</f>
        <v>#REF!</v>
      </c>
      <c r="F753" s="639" t="e">
        <f>ROUND(C753*E753,2)</f>
        <v>#REF!</v>
      </c>
    </row>
    <row r="754" spans="1:6">
      <c r="A754" s="535"/>
      <c r="B754" s="643"/>
      <c r="C754" s="638"/>
      <c r="D754" s="534"/>
      <c r="E754" s="617"/>
      <c r="F754" s="639"/>
    </row>
    <row r="755" spans="1:6">
      <c r="A755" s="499">
        <v>5</v>
      </c>
      <c r="B755" s="637" t="s">
        <v>516</v>
      </c>
      <c r="C755" s="638"/>
      <c r="D755" s="534"/>
      <c r="E755" s="617"/>
      <c r="F755" s="639"/>
    </row>
    <row r="756" spans="1:6">
      <c r="A756" s="532">
        <f>A755+0.1</f>
        <v>5.0999999999999996</v>
      </c>
      <c r="B756" s="643" t="s">
        <v>519</v>
      </c>
      <c r="C756" s="537">
        <v>211.65</v>
      </c>
      <c r="D756" s="534" t="s">
        <v>300</v>
      </c>
      <c r="E756" s="617" t="e">
        <f>VLOOKUP(B756,#REF!,7,FALSE)</f>
        <v>#REF!</v>
      </c>
      <c r="F756" s="639" t="e">
        <f t="shared" ref="F756:F763" si="41">ROUND(C756*E756,2)</f>
        <v>#REF!</v>
      </c>
    </row>
    <row r="757" spans="1:6">
      <c r="A757" s="532">
        <f t="shared" ref="A757:A763" si="42">A756+0.1</f>
        <v>5.2</v>
      </c>
      <c r="B757" s="643" t="s">
        <v>312</v>
      </c>
      <c r="C757" s="537">
        <v>144.22999999999999</v>
      </c>
      <c r="D757" s="534" t="s">
        <v>300</v>
      </c>
      <c r="E757" s="617" t="e">
        <f>VLOOKUP(B757,#REF!,7,FALSE)</f>
        <v>#REF!</v>
      </c>
      <c r="F757" s="639" t="e">
        <f t="shared" si="41"/>
        <v>#REF!</v>
      </c>
    </row>
    <row r="758" spans="1:6">
      <c r="A758" s="532">
        <f t="shared" si="42"/>
        <v>5.3</v>
      </c>
      <c r="B758" s="643" t="s">
        <v>756</v>
      </c>
      <c r="C758" s="537">
        <v>67.42</v>
      </c>
      <c r="D758" s="534" t="s">
        <v>300</v>
      </c>
      <c r="E758" s="617" t="e">
        <f>VLOOKUP(B758,#REF!,7,FALSE)</f>
        <v>#REF!</v>
      </c>
      <c r="F758" s="639" t="e">
        <f t="shared" si="41"/>
        <v>#REF!</v>
      </c>
    </row>
    <row r="759" spans="1:6">
      <c r="A759" s="532">
        <f t="shared" si="42"/>
        <v>5.4</v>
      </c>
      <c r="B759" s="643" t="s">
        <v>544</v>
      </c>
      <c r="C759" s="655">
        <v>62.2</v>
      </c>
      <c r="D759" s="534" t="s">
        <v>15</v>
      </c>
      <c r="E759" s="617" t="e">
        <f>VLOOKUP(B759,#REF!,7,FALSE)</f>
        <v>#REF!</v>
      </c>
      <c r="F759" s="639" t="e">
        <f t="shared" si="41"/>
        <v>#REF!</v>
      </c>
    </row>
    <row r="760" spans="1:6">
      <c r="A760" s="532">
        <f t="shared" si="42"/>
        <v>5.5</v>
      </c>
      <c r="B760" s="643" t="s">
        <v>837</v>
      </c>
      <c r="C760" s="655">
        <v>211.65</v>
      </c>
      <c r="D760" s="534" t="s">
        <v>300</v>
      </c>
      <c r="E760" s="617" t="e">
        <f>VLOOKUP(B760,#REF!,7,FALSE)</f>
        <v>#REF!</v>
      </c>
      <c r="F760" s="639" t="e">
        <f t="shared" si="41"/>
        <v>#REF!</v>
      </c>
    </row>
    <row r="761" spans="1:6">
      <c r="A761" s="532">
        <f t="shared" si="42"/>
        <v>5.6</v>
      </c>
      <c r="B761" s="643" t="s">
        <v>838</v>
      </c>
      <c r="C761" s="655">
        <v>211.65</v>
      </c>
      <c r="D761" s="534" t="s">
        <v>300</v>
      </c>
      <c r="E761" s="617" t="e">
        <f>VLOOKUP(B761,#REF!,7,FALSE)</f>
        <v>#REF!</v>
      </c>
      <c r="F761" s="639" t="e">
        <f t="shared" si="41"/>
        <v>#REF!</v>
      </c>
    </row>
    <row r="762" spans="1:6">
      <c r="A762" s="532">
        <f t="shared" si="42"/>
        <v>5.7</v>
      </c>
      <c r="B762" s="661" t="s">
        <v>315</v>
      </c>
      <c r="C762" s="655">
        <v>27.3</v>
      </c>
      <c r="D762" s="663" t="s">
        <v>15</v>
      </c>
      <c r="E762" s="617" t="e">
        <f>VLOOKUP(B762,#REF!,7,FALSE)</f>
        <v>#REF!</v>
      </c>
      <c r="F762" s="639" t="e">
        <f t="shared" si="41"/>
        <v>#REF!</v>
      </c>
    </row>
    <row r="763" spans="1:6">
      <c r="A763" s="532">
        <f t="shared" si="42"/>
        <v>5.8</v>
      </c>
      <c r="B763" s="661" t="s">
        <v>316</v>
      </c>
      <c r="C763" s="655">
        <v>32.99</v>
      </c>
      <c r="D763" s="521" t="s">
        <v>300</v>
      </c>
      <c r="E763" s="617" t="e">
        <f>VLOOKUP(B763,#REF!,7,FALSE)</f>
        <v>#REF!</v>
      </c>
      <c r="F763" s="639" t="e">
        <f t="shared" si="41"/>
        <v>#REF!</v>
      </c>
    </row>
    <row r="764" spans="1:6">
      <c r="A764" s="509"/>
      <c r="B764" s="510"/>
      <c r="C764" s="511"/>
      <c r="D764" s="512"/>
      <c r="E764" s="486"/>
      <c r="F764" s="486"/>
    </row>
    <row r="765" spans="1:6">
      <c r="A765" s="499">
        <v>6</v>
      </c>
      <c r="B765" s="505" t="s">
        <v>305</v>
      </c>
      <c r="C765" s="474"/>
      <c r="D765" s="482"/>
      <c r="E765" s="617"/>
      <c r="F765" s="639"/>
    </row>
    <row r="766" spans="1:6">
      <c r="A766" s="532">
        <f>+A765+0.1</f>
        <v>6.1</v>
      </c>
      <c r="B766" s="484" t="s">
        <v>726</v>
      </c>
      <c r="C766" s="520">
        <v>1</v>
      </c>
      <c r="D766" s="482" t="s">
        <v>10</v>
      </c>
      <c r="E766" s="617" t="e">
        <f>VLOOKUP(B766,#REF!,7,FALSE)</f>
        <v>#REF!</v>
      </c>
      <c r="F766" s="639" t="e">
        <f t="shared" ref="F766:F775" si="43">ROUND(C766*E766,2)</f>
        <v>#REF!</v>
      </c>
    </row>
    <row r="767" spans="1:6">
      <c r="A767" s="532">
        <f>+A766+0.1</f>
        <v>6.2</v>
      </c>
      <c r="B767" s="510" t="s">
        <v>770</v>
      </c>
      <c r="C767" s="655">
        <v>1</v>
      </c>
      <c r="D767" s="482" t="s">
        <v>10</v>
      </c>
      <c r="E767" s="617" t="e">
        <f>VLOOKUP(B767,#REF!,7,FALSE)</f>
        <v>#REF!</v>
      </c>
      <c r="F767" s="639" t="e">
        <f t="shared" si="43"/>
        <v>#REF!</v>
      </c>
    </row>
    <row r="768" spans="1:6">
      <c r="A768" s="532">
        <f t="shared" ref="A768:A774" si="44">+A767+0.1</f>
        <v>6.3</v>
      </c>
      <c r="B768" s="484" t="s">
        <v>771</v>
      </c>
      <c r="C768" s="655">
        <v>1</v>
      </c>
      <c r="D768" s="482" t="s">
        <v>10</v>
      </c>
      <c r="E768" s="617" t="e">
        <f>VLOOKUP(B768,#REF!,7,FALSE)</f>
        <v>#REF!</v>
      </c>
      <c r="F768" s="639" t="e">
        <f t="shared" si="43"/>
        <v>#REF!</v>
      </c>
    </row>
    <row r="769" spans="1:6">
      <c r="A769" s="532">
        <f t="shared" si="44"/>
        <v>6.4</v>
      </c>
      <c r="B769" s="484" t="s">
        <v>772</v>
      </c>
      <c r="C769" s="655">
        <v>1</v>
      </c>
      <c r="D769" s="482" t="s">
        <v>10</v>
      </c>
      <c r="E769" s="617" t="e">
        <f>VLOOKUP(B769,#REF!,7,FALSE)</f>
        <v>#REF!</v>
      </c>
      <c r="F769" s="639" t="e">
        <f t="shared" si="43"/>
        <v>#REF!</v>
      </c>
    </row>
    <row r="770" spans="1:6">
      <c r="A770" s="532">
        <f t="shared" si="44"/>
        <v>6.5</v>
      </c>
      <c r="B770" s="484" t="s">
        <v>773</v>
      </c>
      <c r="C770" s="655">
        <v>1</v>
      </c>
      <c r="D770" s="482" t="s">
        <v>10</v>
      </c>
      <c r="E770" s="617" t="e">
        <f>VLOOKUP(B770,#REF!,7,FALSE)</f>
        <v>#REF!</v>
      </c>
      <c r="F770" s="639" t="e">
        <f t="shared" si="43"/>
        <v>#REF!</v>
      </c>
    </row>
    <row r="771" spans="1:6">
      <c r="A771" s="532">
        <f t="shared" si="44"/>
        <v>6.6</v>
      </c>
      <c r="B771" s="484" t="s">
        <v>774</v>
      </c>
      <c r="C771" s="655">
        <v>1</v>
      </c>
      <c r="D771" s="482" t="s">
        <v>10</v>
      </c>
      <c r="E771" s="617" t="e">
        <f>VLOOKUP(B771,#REF!,7,FALSE)</f>
        <v>#REF!</v>
      </c>
      <c r="F771" s="639" t="e">
        <f t="shared" si="43"/>
        <v>#REF!</v>
      </c>
    </row>
    <row r="772" spans="1:6">
      <c r="A772" s="532">
        <f t="shared" si="44"/>
        <v>6.7</v>
      </c>
      <c r="B772" s="484" t="s">
        <v>775</v>
      </c>
      <c r="C772" s="655">
        <v>2</v>
      </c>
      <c r="D772" s="482" t="s">
        <v>10</v>
      </c>
      <c r="E772" s="617" t="e">
        <f>VLOOKUP(B772,#REF!,7,FALSE)</f>
        <v>#REF!</v>
      </c>
      <c r="F772" s="639" t="e">
        <f t="shared" si="43"/>
        <v>#REF!</v>
      </c>
    </row>
    <row r="773" spans="1:6">
      <c r="A773" s="532">
        <f t="shared" si="44"/>
        <v>6.8</v>
      </c>
      <c r="B773" s="484" t="s">
        <v>839</v>
      </c>
      <c r="C773" s="655">
        <v>1</v>
      </c>
      <c r="D773" s="482" t="s">
        <v>500</v>
      </c>
      <c r="E773" s="617" t="e">
        <f>VLOOKUP(B773,#REF!,7,FALSE)</f>
        <v>#REF!</v>
      </c>
      <c r="F773" s="639" t="e">
        <f t="shared" si="43"/>
        <v>#REF!</v>
      </c>
    </row>
    <row r="774" spans="1:6">
      <c r="A774" s="532">
        <f t="shared" si="44"/>
        <v>6.9</v>
      </c>
      <c r="B774" s="484" t="s">
        <v>840</v>
      </c>
      <c r="C774" s="655">
        <v>1</v>
      </c>
      <c r="D774" s="482" t="s">
        <v>500</v>
      </c>
      <c r="E774" s="617" t="e">
        <f>VLOOKUP(B774,#REF!,7,FALSE)</f>
        <v>#REF!</v>
      </c>
      <c r="F774" s="639" t="e">
        <f t="shared" si="43"/>
        <v>#REF!</v>
      </c>
    </row>
    <row r="775" spans="1:6">
      <c r="A775" s="652">
        <v>6.1</v>
      </c>
      <c r="B775" s="484" t="s">
        <v>841</v>
      </c>
      <c r="C775" s="655">
        <v>1</v>
      </c>
      <c r="D775" s="482" t="s">
        <v>500</v>
      </c>
      <c r="E775" s="617" t="e">
        <f>VLOOKUP(B775,#REF!,7,FALSE)</f>
        <v>#REF!</v>
      </c>
      <c r="F775" s="639" t="e">
        <f t="shared" si="43"/>
        <v>#REF!</v>
      </c>
    </row>
    <row r="776" spans="1:6">
      <c r="A776" s="535"/>
      <c r="B776" s="484"/>
      <c r="C776" s="474"/>
      <c r="D776" s="482"/>
      <c r="E776" s="617"/>
      <c r="F776" s="639"/>
    </row>
    <row r="777" spans="1:6">
      <c r="A777" s="499">
        <f>A765+1</f>
        <v>7</v>
      </c>
      <c r="B777" s="637" t="s">
        <v>842</v>
      </c>
      <c r="C777" s="638"/>
      <c r="D777" s="534"/>
      <c r="E777" s="617"/>
      <c r="F777" s="639"/>
    </row>
    <row r="778" spans="1:6">
      <c r="A778" s="532">
        <f>+A777+0.1</f>
        <v>7.1</v>
      </c>
      <c r="B778" s="658" t="s">
        <v>791</v>
      </c>
      <c r="C778" s="655">
        <v>33.590000000000003</v>
      </c>
      <c r="D778" s="534" t="s">
        <v>300</v>
      </c>
      <c r="E778" s="617" t="e">
        <f>VLOOKUP(B778,#REF!,7,FALSE)</f>
        <v>#REF!</v>
      </c>
      <c r="F778" s="639" t="e">
        <f>ROUND(C778*E778,2)</f>
        <v>#REF!</v>
      </c>
    </row>
    <row r="779" spans="1:6">
      <c r="A779" s="650">
        <f>+A778+0.1</f>
        <v>7.2</v>
      </c>
      <c r="B779" s="912" t="s">
        <v>792</v>
      </c>
      <c r="C779" s="913">
        <v>47.76</v>
      </c>
      <c r="D779" s="692" t="s">
        <v>793</v>
      </c>
      <c r="E779" s="621" t="e">
        <f>VLOOKUP(B779,#REF!,7,FALSE)</f>
        <v>#REF!</v>
      </c>
      <c r="F779" s="651" t="e">
        <f>ROUND(C779*E779,2)</f>
        <v>#REF!</v>
      </c>
    </row>
    <row r="780" spans="1:6">
      <c r="A780" s="535"/>
      <c r="B780" s="643"/>
      <c r="C780" s="638"/>
      <c r="D780" s="534"/>
      <c r="E780" s="617"/>
      <c r="F780" s="639"/>
    </row>
    <row r="781" spans="1:6">
      <c r="A781" s="499">
        <f>A777+1</f>
        <v>8</v>
      </c>
      <c r="B781" s="637" t="s">
        <v>799</v>
      </c>
      <c r="C781" s="638"/>
      <c r="D781" s="534"/>
      <c r="E781" s="617"/>
      <c r="F781" s="639"/>
    </row>
    <row r="782" spans="1:6">
      <c r="A782" s="532">
        <f t="shared" ref="A782:A787" si="45">+A781+0.1</f>
        <v>8.1</v>
      </c>
      <c r="B782" s="643" t="s">
        <v>843</v>
      </c>
      <c r="C782" s="655">
        <v>1</v>
      </c>
      <c r="D782" s="534" t="s">
        <v>10</v>
      </c>
      <c r="E782" s="617" t="e">
        <f>VLOOKUP(B782,#REF!,7,FALSE)</f>
        <v>#REF!</v>
      </c>
      <c r="F782" s="639" t="e">
        <f t="shared" ref="F782:F787" si="46">ROUND(C782*E782,2)</f>
        <v>#REF!</v>
      </c>
    </row>
    <row r="783" spans="1:6">
      <c r="A783" s="532">
        <f t="shared" si="45"/>
        <v>8.1999999999999993</v>
      </c>
      <c r="B783" s="643" t="s">
        <v>844</v>
      </c>
      <c r="C783" s="655">
        <v>3</v>
      </c>
      <c r="D783" s="534" t="s">
        <v>10</v>
      </c>
      <c r="E783" s="617" t="e">
        <f>VLOOKUP(B783,#REF!,7,FALSE)</f>
        <v>#REF!</v>
      </c>
      <c r="F783" s="639" t="e">
        <f t="shared" si="46"/>
        <v>#REF!</v>
      </c>
    </row>
    <row r="784" spans="1:6">
      <c r="A784" s="532">
        <f t="shared" si="45"/>
        <v>8.3000000000000007</v>
      </c>
      <c r="B784" s="643" t="s">
        <v>845</v>
      </c>
      <c r="C784" s="655">
        <v>1</v>
      </c>
      <c r="D784" s="534" t="s">
        <v>10</v>
      </c>
      <c r="E784" s="617" t="e">
        <f>VLOOKUP(B784,#REF!,7,FALSE)</f>
        <v>#REF!</v>
      </c>
      <c r="F784" s="639" t="e">
        <f t="shared" si="46"/>
        <v>#REF!</v>
      </c>
    </row>
    <row r="785" spans="1:6">
      <c r="A785" s="532">
        <f t="shared" si="45"/>
        <v>8.4</v>
      </c>
      <c r="B785" s="643" t="s">
        <v>846</v>
      </c>
      <c r="C785" s="655">
        <v>6</v>
      </c>
      <c r="D785" s="534" t="s">
        <v>10</v>
      </c>
      <c r="E785" s="617" t="e">
        <f>VLOOKUP(B785,#REF!,7,FALSE)</f>
        <v>#REF!</v>
      </c>
      <c r="F785" s="639" t="e">
        <f t="shared" si="46"/>
        <v>#REF!</v>
      </c>
    </row>
    <row r="786" spans="1:6">
      <c r="A786" s="532">
        <f t="shared" si="45"/>
        <v>8.5</v>
      </c>
      <c r="B786" s="643" t="s">
        <v>847</v>
      </c>
      <c r="C786" s="655">
        <v>1</v>
      </c>
      <c r="D786" s="534" t="s">
        <v>10</v>
      </c>
      <c r="E786" s="617" t="e">
        <f>VLOOKUP(B786,#REF!,7,FALSE)</f>
        <v>#REF!</v>
      </c>
      <c r="F786" s="639" t="e">
        <f t="shared" si="46"/>
        <v>#REF!</v>
      </c>
    </row>
    <row r="787" spans="1:6">
      <c r="A787" s="532">
        <f t="shared" si="45"/>
        <v>8.6</v>
      </c>
      <c r="B787" s="643" t="s">
        <v>848</v>
      </c>
      <c r="C787" s="655">
        <v>1</v>
      </c>
      <c r="D787" s="534" t="s">
        <v>10</v>
      </c>
      <c r="E787" s="617" t="e">
        <f>VLOOKUP(B787,#REF!,7,FALSE)</f>
        <v>#REF!</v>
      </c>
      <c r="F787" s="639" t="e">
        <f t="shared" si="46"/>
        <v>#REF!</v>
      </c>
    </row>
    <row r="788" spans="1:6">
      <c r="A788" s="535"/>
      <c r="B788" s="643"/>
      <c r="C788" s="638"/>
      <c r="D788" s="534"/>
      <c r="E788" s="617"/>
      <c r="F788" s="639"/>
    </row>
    <row r="789" spans="1:6">
      <c r="A789" s="499">
        <f>A781+1</f>
        <v>9</v>
      </c>
      <c r="B789" s="637" t="s">
        <v>849</v>
      </c>
      <c r="C789" s="638"/>
      <c r="D789" s="534"/>
      <c r="E789" s="617"/>
      <c r="F789" s="639"/>
    </row>
    <row r="790" spans="1:6">
      <c r="A790" s="532">
        <f>A789+0.1</f>
        <v>9.1</v>
      </c>
      <c r="B790" s="518" t="s">
        <v>850</v>
      </c>
      <c r="C790" s="638">
        <v>2</v>
      </c>
      <c r="D790" s="534" t="s">
        <v>10</v>
      </c>
      <c r="E790" s="617" t="e">
        <f>VLOOKUP(B790,#REF!,7,FALSE)</f>
        <v>#REF!</v>
      </c>
      <c r="F790" s="639" t="e">
        <f>ROUND(C790*E790,2)</f>
        <v>#REF!</v>
      </c>
    </row>
    <row r="791" spans="1:6">
      <c r="A791" s="532">
        <f>A790+0.1</f>
        <v>9.1999999999999993</v>
      </c>
      <c r="B791" s="518" t="s">
        <v>851</v>
      </c>
      <c r="C791" s="638">
        <v>2</v>
      </c>
      <c r="D791" s="534" t="s">
        <v>10</v>
      </c>
      <c r="E791" s="617" t="e">
        <f>VLOOKUP(B791,#REF!,7,FALSE)</f>
        <v>#REF!</v>
      </c>
      <c r="F791" s="639" t="e">
        <f>ROUND(C791*E791,2)</f>
        <v>#REF!</v>
      </c>
    </row>
    <row r="792" spans="1:6">
      <c r="A792" s="532">
        <f>A791+0.1</f>
        <v>9.3000000000000007</v>
      </c>
      <c r="B792" s="518" t="s">
        <v>852</v>
      </c>
      <c r="C792" s="638">
        <v>4</v>
      </c>
      <c r="D792" s="534" t="s">
        <v>10</v>
      </c>
      <c r="E792" s="617" t="e">
        <f>VLOOKUP(B792,#REF!,7,FALSE)</f>
        <v>#REF!</v>
      </c>
      <c r="F792" s="639" t="e">
        <f>ROUND(C792*E792,2)</f>
        <v>#REF!</v>
      </c>
    </row>
    <row r="793" spans="1:6">
      <c r="A793" s="532">
        <f>A792+0.1</f>
        <v>9.4</v>
      </c>
      <c r="B793" s="518" t="s">
        <v>853</v>
      </c>
      <c r="C793" s="638">
        <v>2</v>
      </c>
      <c r="D793" s="534" t="s">
        <v>10</v>
      </c>
      <c r="E793" s="617" t="e">
        <f>VLOOKUP(B793,#REF!,7,FALSE)</f>
        <v>#REF!</v>
      </c>
      <c r="F793" s="639" t="e">
        <f>ROUND(C793*E793,2)</f>
        <v>#REF!</v>
      </c>
    </row>
    <row r="794" spans="1:6">
      <c r="A794" s="535"/>
      <c r="B794" s="643"/>
      <c r="C794" s="638"/>
      <c r="D794" s="534"/>
      <c r="E794" s="617"/>
      <c r="F794" s="639"/>
    </row>
    <row r="795" spans="1:6">
      <c r="A795" s="499">
        <f>A789+1</f>
        <v>10</v>
      </c>
      <c r="B795" s="637" t="s">
        <v>547</v>
      </c>
      <c r="C795" s="638"/>
      <c r="D795" s="534"/>
      <c r="E795" s="617"/>
      <c r="F795" s="639"/>
    </row>
    <row r="796" spans="1:6">
      <c r="A796" s="532">
        <f>A795+0.1</f>
        <v>10.1</v>
      </c>
      <c r="B796" s="643" t="s">
        <v>854</v>
      </c>
      <c r="C796" s="655">
        <v>6</v>
      </c>
      <c r="D796" s="534" t="s">
        <v>15</v>
      </c>
      <c r="E796" s="617" t="e">
        <f>VLOOKUP(B796,#REF!,7,FALSE)</f>
        <v>#REF!</v>
      </c>
      <c r="F796" s="639" t="e">
        <f>ROUND(C796*E796,2)</f>
        <v>#REF!</v>
      </c>
    </row>
    <row r="797" spans="1:6">
      <c r="A797" s="532">
        <f>A796+0.1</f>
        <v>10.199999999999999</v>
      </c>
      <c r="B797" s="484" t="s">
        <v>809</v>
      </c>
      <c r="C797" s="655">
        <v>1.26</v>
      </c>
      <c r="D797" s="534" t="s">
        <v>300</v>
      </c>
      <c r="E797" s="617" t="e">
        <f>VLOOKUP(B797,#REF!,7,FALSE)</f>
        <v>#REF!</v>
      </c>
      <c r="F797" s="639" t="e">
        <f>ROUND(C797*E797,2)</f>
        <v>#REF!</v>
      </c>
    </row>
    <row r="798" spans="1:6" ht="25.5">
      <c r="A798" s="532">
        <f>A797+0.1</f>
        <v>10.3</v>
      </c>
      <c r="B798" s="484" t="s">
        <v>855</v>
      </c>
      <c r="C798" s="511">
        <v>1</v>
      </c>
      <c r="D798" s="512" t="s">
        <v>10</v>
      </c>
      <c r="E798" s="486" t="e">
        <f>VLOOKUP(B798,#REF!,7,FALSE)</f>
        <v>#REF!</v>
      </c>
      <c r="F798" s="639" t="e">
        <f>ROUND(C798*E798,2)</f>
        <v>#REF!</v>
      </c>
    </row>
    <row r="799" spans="1:6">
      <c r="A799" s="532">
        <f>A798+0.1</f>
        <v>10.4</v>
      </c>
      <c r="B799" s="484" t="s">
        <v>739</v>
      </c>
      <c r="C799" s="511">
        <v>1</v>
      </c>
      <c r="D799" s="512" t="s">
        <v>10</v>
      </c>
      <c r="E799" s="486" t="e">
        <f>VLOOKUP(B799,#REF!,7,FALSE)</f>
        <v>#REF!</v>
      </c>
      <c r="F799" s="639" t="e">
        <f>ROUND(C799*E799,2)</f>
        <v>#REF!</v>
      </c>
    </row>
    <row r="800" spans="1:6">
      <c r="A800" s="543"/>
      <c r="B800" s="544" t="s">
        <v>856</v>
      </c>
      <c r="C800" s="545"/>
      <c r="D800" s="546"/>
      <c r="E800" s="547"/>
      <c r="F800" s="548" t="e">
        <f>SUM(F736:F799)</f>
        <v>#REF!</v>
      </c>
    </row>
    <row r="801" spans="1:9">
      <c r="A801" s="539"/>
      <c r="B801" s="609"/>
      <c r="C801" s="597"/>
      <c r="D801" s="521"/>
      <c r="E801" s="508"/>
      <c r="F801" s="508"/>
    </row>
    <row r="802" spans="1:9">
      <c r="A802" s="504" t="s">
        <v>857</v>
      </c>
      <c r="B802" s="614" t="s">
        <v>858</v>
      </c>
      <c r="C802" s="597"/>
      <c r="D802" s="521"/>
      <c r="E802" s="508"/>
      <c r="F802" s="508"/>
    </row>
    <row r="803" spans="1:9">
      <c r="A803" s="504"/>
      <c r="B803" s="614"/>
      <c r="C803" s="597"/>
      <c r="D803" s="521"/>
      <c r="E803" s="508"/>
      <c r="F803" s="508"/>
    </row>
    <row r="804" spans="1:9">
      <c r="A804" s="693">
        <v>1</v>
      </c>
      <c r="B804" s="694" t="s">
        <v>859</v>
      </c>
      <c r="C804" s="695"/>
      <c r="D804" s="696"/>
      <c r="E804" s="697"/>
      <c r="F804" s="698"/>
    </row>
    <row r="805" spans="1:9">
      <c r="A805" s="699">
        <f>A804+0.1</f>
        <v>1.1000000000000001</v>
      </c>
      <c r="B805" s="700" t="s">
        <v>860</v>
      </c>
      <c r="C805" s="695">
        <v>40</v>
      </c>
      <c r="D805" s="701" t="s">
        <v>10</v>
      </c>
      <c r="E805" s="702" t="e">
        <f>VLOOKUP(B805,#REF!,7,FALSE)</f>
        <v>#REF!</v>
      </c>
      <c r="F805" s="540" t="e">
        <f>C805*E805</f>
        <v>#REF!</v>
      </c>
    </row>
    <row r="806" spans="1:9">
      <c r="A806" s="699">
        <f t="shared" ref="A806:A811" si="47">A805+0.1</f>
        <v>1.2</v>
      </c>
      <c r="B806" s="703" t="s">
        <v>861</v>
      </c>
      <c r="C806" s="704">
        <v>20</v>
      </c>
      <c r="D806" s="701" t="s">
        <v>10</v>
      </c>
      <c r="E806" s="697" t="e">
        <f>VLOOKUP(B806,#REF!,7,FALSE)</f>
        <v>#REF!</v>
      </c>
      <c r="F806" s="540" t="e">
        <f t="shared" ref="F806:F841" si="48">C806*E806</f>
        <v>#REF!</v>
      </c>
    </row>
    <row r="807" spans="1:9">
      <c r="A807" s="699">
        <f t="shared" si="47"/>
        <v>1.3</v>
      </c>
      <c r="B807" s="700" t="s">
        <v>862</v>
      </c>
      <c r="C807" s="704">
        <v>1500</v>
      </c>
      <c r="D807" s="701" t="s">
        <v>15</v>
      </c>
      <c r="E807" s="697" t="e">
        <f>VLOOKUP(B807,#REF!,7,FALSE)</f>
        <v>#REF!</v>
      </c>
      <c r="F807" s="540" t="e">
        <f t="shared" si="48"/>
        <v>#REF!</v>
      </c>
    </row>
    <row r="808" spans="1:9" ht="25.5">
      <c r="A808" s="699">
        <f t="shared" si="47"/>
        <v>1.4</v>
      </c>
      <c r="B808" s="700" t="s">
        <v>863</v>
      </c>
      <c r="C808" s="704">
        <v>10</v>
      </c>
      <c r="D808" s="701" t="s">
        <v>10</v>
      </c>
      <c r="E808" s="697" t="e">
        <f>VLOOKUP(B808,#REF!,7,FALSE)</f>
        <v>#REF!</v>
      </c>
      <c r="F808" s="540" t="e">
        <f t="shared" si="48"/>
        <v>#REF!</v>
      </c>
    </row>
    <row r="809" spans="1:9">
      <c r="A809" s="699">
        <f t="shared" si="47"/>
        <v>1.5</v>
      </c>
      <c r="B809" s="700" t="s">
        <v>864</v>
      </c>
      <c r="C809" s="704">
        <v>110</v>
      </c>
      <c r="D809" s="701" t="s">
        <v>10</v>
      </c>
      <c r="E809" s="697" t="e">
        <f>VLOOKUP(B809,#REF!,7,FALSE)</f>
        <v>#REF!</v>
      </c>
      <c r="F809" s="540" t="e">
        <f t="shared" si="48"/>
        <v>#REF!</v>
      </c>
    </row>
    <row r="810" spans="1:9">
      <c r="A810" s="699">
        <f t="shared" si="47"/>
        <v>1.6</v>
      </c>
      <c r="B810" s="703" t="s">
        <v>414</v>
      </c>
      <c r="C810" s="704">
        <v>20</v>
      </c>
      <c r="D810" s="701" t="s">
        <v>10</v>
      </c>
      <c r="E810" s="697" t="e">
        <f>VLOOKUP(B810,#REF!,7,FALSE)</f>
        <v>#REF!</v>
      </c>
      <c r="F810" s="540" t="e">
        <f t="shared" si="48"/>
        <v>#REF!</v>
      </c>
    </row>
    <row r="811" spans="1:9">
      <c r="A811" s="699">
        <f t="shared" si="47"/>
        <v>1.7</v>
      </c>
      <c r="B811" s="703" t="s">
        <v>865</v>
      </c>
      <c r="C811" s="704">
        <v>1</v>
      </c>
      <c r="D811" s="701" t="s">
        <v>10</v>
      </c>
      <c r="E811" s="697" t="e">
        <f>VLOOKUP(B811,#REF!,7,FALSE)</f>
        <v>#REF!</v>
      </c>
      <c r="F811" s="540" t="e">
        <f t="shared" si="48"/>
        <v>#REF!</v>
      </c>
    </row>
    <row r="812" spans="1:9">
      <c r="A812" s="699"/>
      <c r="B812" s="703"/>
      <c r="C812" s="704"/>
      <c r="D812" s="701"/>
      <c r="E812" s="697"/>
      <c r="F812" s="540"/>
    </row>
    <row r="813" spans="1:9">
      <c r="A813" s="705">
        <f>A804+1</f>
        <v>2</v>
      </c>
      <c r="B813" s="706" t="s">
        <v>866</v>
      </c>
      <c r="C813" s="704"/>
      <c r="D813" s="701"/>
      <c r="E813" s="697"/>
      <c r="F813" s="540"/>
    </row>
    <row r="814" spans="1:9">
      <c r="A814" s="707">
        <f t="shared" ref="A814:A819" si="49">A813+0.1</f>
        <v>2.1</v>
      </c>
      <c r="B814" s="700" t="s">
        <v>867</v>
      </c>
      <c r="C814" s="704">
        <v>12</v>
      </c>
      <c r="D814" s="701" t="s">
        <v>10</v>
      </c>
      <c r="E814" s="702" t="e">
        <f>VLOOKUP(B814,#REF!,7,FALSE)</f>
        <v>#REF!</v>
      </c>
      <c r="F814" s="540" t="e">
        <f t="shared" si="48"/>
        <v>#REF!</v>
      </c>
      <c r="H814" s="779"/>
      <c r="I814" s="779"/>
    </row>
    <row r="815" spans="1:9">
      <c r="A815" s="707">
        <f t="shared" si="49"/>
        <v>2.2000000000000002</v>
      </c>
      <c r="B815" s="700" t="s">
        <v>868</v>
      </c>
      <c r="C815" s="704">
        <v>24</v>
      </c>
      <c r="D815" s="701" t="s">
        <v>10</v>
      </c>
      <c r="E815" s="697" t="e">
        <f>VLOOKUP(B815,#REF!,7,FALSE)</f>
        <v>#REF!</v>
      </c>
      <c r="F815" s="540" t="e">
        <f t="shared" si="48"/>
        <v>#REF!</v>
      </c>
      <c r="H815" s="779"/>
      <c r="I815" s="779"/>
    </row>
    <row r="816" spans="1:9">
      <c r="A816" s="707">
        <f t="shared" si="49"/>
        <v>2.2999999999999998</v>
      </c>
      <c r="B816" s="700" t="s">
        <v>869</v>
      </c>
      <c r="C816" s="704">
        <v>12</v>
      </c>
      <c r="D816" s="701" t="s">
        <v>10</v>
      </c>
      <c r="E816" s="697" t="e">
        <f>VLOOKUP(B816,#REF!,7,FALSE)</f>
        <v>#REF!</v>
      </c>
      <c r="F816" s="540" t="e">
        <f t="shared" si="48"/>
        <v>#REF!</v>
      </c>
      <c r="H816" s="779"/>
      <c r="I816" s="779"/>
    </row>
    <row r="817" spans="1:9">
      <c r="A817" s="707">
        <f t="shared" si="49"/>
        <v>2.4</v>
      </c>
      <c r="B817" s="700" t="s">
        <v>870</v>
      </c>
      <c r="C817" s="704">
        <v>400</v>
      </c>
      <c r="D817" s="701" t="s">
        <v>15</v>
      </c>
      <c r="E817" s="697" t="e">
        <f>VLOOKUP(B817,#REF!,7,FALSE)</f>
        <v>#REF!</v>
      </c>
      <c r="F817" s="540" t="e">
        <f t="shared" si="48"/>
        <v>#REF!</v>
      </c>
      <c r="H817" s="779"/>
      <c r="I817" s="779"/>
    </row>
    <row r="818" spans="1:9">
      <c r="A818" s="707">
        <f t="shared" si="49"/>
        <v>2.5</v>
      </c>
      <c r="B818" s="700" t="s">
        <v>864</v>
      </c>
      <c r="C818" s="704">
        <v>49</v>
      </c>
      <c r="D818" s="701" t="s">
        <v>10</v>
      </c>
      <c r="E818" s="697" t="e">
        <f>VLOOKUP(B818,#REF!,7,FALSE)</f>
        <v>#REF!</v>
      </c>
      <c r="F818" s="540" t="e">
        <f t="shared" si="48"/>
        <v>#REF!</v>
      </c>
      <c r="H818" s="779"/>
      <c r="I818" s="779"/>
    </row>
    <row r="819" spans="1:9">
      <c r="A819" s="707">
        <f t="shared" si="49"/>
        <v>2.6</v>
      </c>
      <c r="B819" s="703" t="s">
        <v>865</v>
      </c>
      <c r="C819" s="704">
        <v>1</v>
      </c>
      <c r="D819" s="701" t="s">
        <v>10</v>
      </c>
      <c r="E819" s="697" t="e">
        <f>VLOOKUP(B819,#REF!,7,FALSE)</f>
        <v>#REF!</v>
      </c>
      <c r="F819" s="540" t="e">
        <f t="shared" si="48"/>
        <v>#REF!</v>
      </c>
      <c r="H819" s="779"/>
      <c r="I819" s="779"/>
    </row>
    <row r="820" spans="1:9">
      <c r="A820" s="707"/>
      <c r="B820" s="700"/>
      <c r="C820" s="704"/>
      <c r="D820" s="701"/>
      <c r="E820" s="697"/>
      <c r="F820" s="540"/>
    </row>
    <row r="821" spans="1:9">
      <c r="A821" s="708">
        <f>A813+1</f>
        <v>3</v>
      </c>
      <c r="B821" s="709" t="s">
        <v>871</v>
      </c>
      <c r="C821" s="704"/>
      <c r="D821" s="701"/>
      <c r="E821" s="697">
        <v>6</v>
      </c>
      <c r="F821" s="540"/>
    </row>
    <row r="822" spans="1:9">
      <c r="A822" s="707">
        <f t="shared" ref="A822:A827" si="50">A821+0.1</f>
        <v>3.1</v>
      </c>
      <c r="B822" s="700" t="s">
        <v>328</v>
      </c>
      <c r="C822" s="834">
        <v>24</v>
      </c>
      <c r="D822" s="701" t="s">
        <v>10</v>
      </c>
      <c r="E822" s="697" t="e">
        <f>VLOOKUP(B822,#REF!,7,FALSE)</f>
        <v>#REF!</v>
      </c>
      <c r="F822" s="540" t="e">
        <f t="shared" si="48"/>
        <v>#REF!</v>
      </c>
    </row>
    <row r="823" spans="1:9">
      <c r="A823" s="707">
        <f t="shared" si="50"/>
        <v>3.2</v>
      </c>
      <c r="B823" s="700" t="s">
        <v>872</v>
      </c>
      <c r="C823" s="834">
        <v>11</v>
      </c>
      <c r="D823" s="701" t="s">
        <v>10</v>
      </c>
      <c r="E823" s="697" t="e">
        <f>VLOOKUP(B823,#REF!,7,FALSE)</f>
        <v>#REF!</v>
      </c>
      <c r="F823" s="540" t="e">
        <f t="shared" si="48"/>
        <v>#REF!</v>
      </c>
    </row>
    <row r="824" spans="1:9">
      <c r="A824" s="707">
        <f t="shared" si="50"/>
        <v>3.3</v>
      </c>
      <c r="B824" s="710" t="s">
        <v>873</v>
      </c>
      <c r="C824" s="834">
        <v>371.43</v>
      </c>
      <c r="D824" s="611" t="s">
        <v>15</v>
      </c>
      <c r="E824" s="697" t="e">
        <f>VLOOKUP(B824,#REF!,7,FALSE)</f>
        <v>#REF!</v>
      </c>
      <c r="F824" s="540" t="e">
        <f t="shared" si="48"/>
        <v>#REF!</v>
      </c>
    </row>
    <row r="825" spans="1:9">
      <c r="A825" s="707">
        <f t="shared" si="50"/>
        <v>3.4</v>
      </c>
      <c r="B825" s="518" t="s">
        <v>874</v>
      </c>
      <c r="C825" s="835">
        <v>4</v>
      </c>
      <c r="D825" s="701" t="s">
        <v>10</v>
      </c>
      <c r="E825" s="697" t="e">
        <f>VLOOKUP(B825,#REF!,7,FALSE)</f>
        <v>#REF!</v>
      </c>
      <c r="F825" s="540" t="e">
        <f t="shared" si="48"/>
        <v>#REF!</v>
      </c>
    </row>
    <row r="826" spans="1:9">
      <c r="A826" s="707">
        <f t="shared" si="50"/>
        <v>3.5</v>
      </c>
      <c r="B826" s="710" t="s">
        <v>329</v>
      </c>
      <c r="C826" s="834">
        <v>11</v>
      </c>
      <c r="D826" s="701" t="s">
        <v>10</v>
      </c>
      <c r="E826" s="697" t="e">
        <f>VLOOKUP(B826,#REF!,7,FALSE)</f>
        <v>#REF!</v>
      </c>
      <c r="F826" s="540" t="e">
        <f t="shared" si="48"/>
        <v>#REF!</v>
      </c>
    </row>
    <row r="827" spans="1:9">
      <c r="A827" s="707">
        <f t="shared" si="50"/>
        <v>3.6</v>
      </c>
      <c r="B827" s="703" t="s">
        <v>865</v>
      </c>
      <c r="C827" s="834">
        <v>1</v>
      </c>
      <c r="D827" s="701" t="s">
        <v>10</v>
      </c>
      <c r="E827" s="697" t="e">
        <f>VLOOKUP(B827,#REF!,7,FALSE)</f>
        <v>#REF!</v>
      </c>
      <c r="F827" s="540" t="e">
        <f t="shared" si="48"/>
        <v>#REF!</v>
      </c>
    </row>
    <row r="828" spans="1:9">
      <c r="A828" s="713"/>
      <c r="B828" s="714"/>
      <c r="C828" s="715"/>
      <c r="D828" s="716"/>
      <c r="E828" s="717"/>
      <c r="F828" s="540"/>
    </row>
    <row r="829" spans="1:9">
      <c r="A829" s="708">
        <f>A821+1</f>
        <v>4</v>
      </c>
      <c r="B829" s="709" t="s">
        <v>875</v>
      </c>
      <c r="C829" s="704"/>
      <c r="D829" s="701"/>
      <c r="E829" s="697"/>
      <c r="F829" s="540"/>
    </row>
    <row r="830" spans="1:9">
      <c r="A830" s="707">
        <f>A829+0.1</f>
        <v>4.0999999999999996</v>
      </c>
      <c r="B830" s="700" t="s">
        <v>328</v>
      </c>
      <c r="C830" s="704">
        <v>8</v>
      </c>
      <c r="D830" s="701" t="s">
        <v>10</v>
      </c>
      <c r="E830" s="697" t="e">
        <f>VLOOKUP(B830,#REF!,7,FALSE)</f>
        <v>#REF!</v>
      </c>
      <c r="F830" s="540" t="e">
        <f t="shared" si="48"/>
        <v>#REF!</v>
      </c>
    </row>
    <row r="831" spans="1:9">
      <c r="A831" s="707">
        <f t="shared" ref="A831:A838" si="51">A830+0.1</f>
        <v>4.2</v>
      </c>
      <c r="B831" s="700" t="s">
        <v>872</v>
      </c>
      <c r="C831" s="704">
        <v>12</v>
      </c>
      <c r="D831" s="701" t="s">
        <v>10</v>
      </c>
      <c r="E831" s="697" t="e">
        <f>VLOOKUP(B831,#REF!,7,FALSE)</f>
        <v>#REF!</v>
      </c>
      <c r="F831" s="540" t="e">
        <f t="shared" si="48"/>
        <v>#REF!</v>
      </c>
    </row>
    <row r="832" spans="1:9">
      <c r="A832" s="707">
        <f t="shared" si="51"/>
        <v>4.3</v>
      </c>
      <c r="B832" s="710" t="s">
        <v>329</v>
      </c>
      <c r="C832" s="704">
        <v>3</v>
      </c>
      <c r="D832" s="701" t="s">
        <v>10</v>
      </c>
      <c r="E832" s="697" t="e">
        <f>VLOOKUP(B832,#REF!,7,FALSE)</f>
        <v>#REF!</v>
      </c>
      <c r="F832" s="540" t="e">
        <f t="shared" si="48"/>
        <v>#REF!</v>
      </c>
    </row>
    <row r="833" spans="1:6">
      <c r="A833" s="707">
        <f t="shared" si="51"/>
        <v>4.4000000000000004</v>
      </c>
      <c r="B833" s="710" t="s">
        <v>876</v>
      </c>
      <c r="C833" s="704">
        <v>1</v>
      </c>
      <c r="D833" s="701" t="s">
        <v>10</v>
      </c>
      <c r="E833" s="697" t="e">
        <f>VLOOKUP(B833,#REF!,7,FALSE)</f>
        <v>#REF!</v>
      </c>
      <c r="F833" s="540" t="e">
        <f t="shared" si="48"/>
        <v>#REF!</v>
      </c>
    </row>
    <row r="834" spans="1:6">
      <c r="A834" s="707">
        <f t="shared" si="51"/>
        <v>4.5</v>
      </c>
      <c r="B834" s="710" t="s">
        <v>786</v>
      </c>
      <c r="C834" s="704">
        <v>1</v>
      </c>
      <c r="D834" s="701" t="s">
        <v>10</v>
      </c>
      <c r="E834" s="697" t="e">
        <f>VLOOKUP(B834,#REF!,7,FALSE)</f>
        <v>#REF!</v>
      </c>
      <c r="F834" s="540" t="e">
        <f t="shared" si="48"/>
        <v>#REF!</v>
      </c>
    </row>
    <row r="835" spans="1:6">
      <c r="A835" s="707">
        <f t="shared" si="51"/>
        <v>4.5999999999999996</v>
      </c>
      <c r="B835" s="700" t="s">
        <v>872</v>
      </c>
      <c r="C835" s="704">
        <v>2</v>
      </c>
      <c r="D835" s="701" t="s">
        <v>10</v>
      </c>
      <c r="E835" s="697" t="e">
        <f>VLOOKUP(B835,#REF!,7,FALSE)</f>
        <v>#REF!</v>
      </c>
      <c r="F835" s="540" t="e">
        <f t="shared" si="48"/>
        <v>#REF!</v>
      </c>
    </row>
    <row r="836" spans="1:6">
      <c r="A836" s="707">
        <f t="shared" si="51"/>
        <v>4.7</v>
      </c>
      <c r="B836" s="518" t="s">
        <v>877</v>
      </c>
      <c r="C836" s="712">
        <v>1</v>
      </c>
      <c r="D836" s="701" t="s">
        <v>10</v>
      </c>
      <c r="E836" s="697" t="e">
        <f>VLOOKUP(B836,#REF!,7,FALSE)</f>
        <v>#REF!</v>
      </c>
      <c r="F836" s="540" t="e">
        <f t="shared" si="48"/>
        <v>#REF!</v>
      </c>
    </row>
    <row r="837" spans="1:6">
      <c r="A837" s="707">
        <f t="shared" si="51"/>
        <v>4.8</v>
      </c>
      <c r="B837" s="700" t="s">
        <v>878</v>
      </c>
      <c r="C837" s="704">
        <v>1</v>
      </c>
      <c r="D837" s="701" t="s">
        <v>10</v>
      </c>
      <c r="E837" s="697" t="e">
        <f>VLOOKUP(B837,#REF!,7,FALSE)</f>
        <v>#REF!</v>
      </c>
      <c r="F837" s="540" t="e">
        <f t="shared" si="48"/>
        <v>#REF!</v>
      </c>
    </row>
    <row r="838" spans="1:6">
      <c r="A838" s="914">
        <f t="shared" si="51"/>
        <v>4.9000000000000004</v>
      </c>
      <c r="B838" s="915" t="s">
        <v>879</v>
      </c>
      <c r="C838" s="916">
        <v>1</v>
      </c>
      <c r="D838" s="917" t="s">
        <v>10</v>
      </c>
      <c r="E838" s="918" t="e">
        <f>VLOOKUP(B838,#REF!,7,FALSE)</f>
        <v>#REF!</v>
      </c>
      <c r="F838" s="919" t="e">
        <f t="shared" si="48"/>
        <v>#REF!</v>
      </c>
    </row>
    <row r="839" spans="1:6">
      <c r="A839" s="700">
        <v>4.0999999999999996</v>
      </c>
      <c r="B839" s="710" t="s">
        <v>880</v>
      </c>
      <c r="C839" s="711">
        <v>300</v>
      </c>
      <c r="D839" s="611" t="s">
        <v>15</v>
      </c>
      <c r="E839" s="697" t="e">
        <f>VLOOKUP(B839,#REF!,7,FALSE)</f>
        <v>#REF!</v>
      </c>
      <c r="F839" s="540" t="e">
        <f t="shared" si="48"/>
        <v>#REF!</v>
      </c>
    </row>
    <row r="840" spans="1:6">
      <c r="A840" s="700">
        <f>A839+0.01</f>
        <v>4.1100000000000003</v>
      </c>
      <c r="B840" s="710" t="s">
        <v>873</v>
      </c>
      <c r="C840" s="711">
        <v>300</v>
      </c>
      <c r="D840" s="611" t="s">
        <v>15</v>
      </c>
      <c r="E840" s="697" t="e">
        <f>VLOOKUP(B840,#REF!,7,FALSE)</f>
        <v>#REF!</v>
      </c>
      <c r="F840" s="540" t="e">
        <f t="shared" si="48"/>
        <v>#REF!</v>
      </c>
    </row>
    <row r="841" spans="1:6">
      <c r="A841" s="700">
        <f>A840+0.01</f>
        <v>4.12</v>
      </c>
      <c r="B841" s="703" t="s">
        <v>865</v>
      </c>
      <c r="C841" s="704">
        <v>1</v>
      </c>
      <c r="D841" s="701" t="s">
        <v>10</v>
      </c>
      <c r="E841" s="697" t="e">
        <f>VLOOKUP(B841,#REF!,7,FALSE)</f>
        <v>#REF!</v>
      </c>
      <c r="F841" s="540" t="e">
        <f t="shared" si="48"/>
        <v>#REF!</v>
      </c>
    </row>
    <row r="842" spans="1:6">
      <c r="A842" s="713"/>
      <c r="B842" s="714"/>
      <c r="C842" s="715"/>
      <c r="D842" s="716"/>
      <c r="E842" s="717"/>
      <c r="F842" s="540"/>
    </row>
    <row r="843" spans="1:6">
      <c r="A843" s="708">
        <f>A829+1</f>
        <v>5</v>
      </c>
      <c r="B843" s="709" t="s">
        <v>883</v>
      </c>
      <c r="C843" s="715"/>
      <c r="D843" s="716"/>
      <c r="E843" s="717"/>
      <c r="F843" s="540"/>
    </row>
    <row r="844" spans="1:6">
      <c r="A844" s="699">
        <f t="shared" ref="A844:A849" si="52">A843+0.1</f>
        <v>5.0999999999999996</v>
      </c>
      <c r="B844" s="700" t="s">
        <v>881</v>
      </c>
      <c r="C844" s="695">
        <v>20</v>
      </c>
      <c r="D844" s="701" t="s">
        <v>10</v>
      </c>
      <c r="E844" s="702" t="e">
        <f>VLOOKUP(B844,#REF!,7,FALSE)</f>
        <v>#REF!</v>
      </c>
      <c r="F844" s="540" t="e">
        <f t="shared" ref="F844:F849" si="53">C844*E844</f>
        <v>#REF!</v>
      </c>
    </row>
    <row r="845" spans="1:6">
      <c r="A845" s="699">
        <f t="shared" si="52"/>
        <v>5.2</v>
      </c>
      <c r="B845" s="703" t="s">
        <v>861</v>
      </c>
      <c r="C845" s="704">
        <v>10</v>
      </c>
      <c r="D845" s="701" t="s">
        <v>10</v>
      </c>
      <c r="E845" s="697" t="e">
        <f>VLOOKUP(B845,#REF!,7,FALSE)</f>
        <v>#REF!</v>
      </c>
      <c r="F845" s="540" t="e">
        <f t="shared" si="53"/>
        <v>#REF!</v>
      </c>
    </row>
    <row r="846" spans="1:6">
      <c r="A846" s="699">
        <f t="shared" si="52"/>
        <v>5.3</v>
      </c>
      <c r="B846" s="700" t="s">
        <v>882</v>
      </c>
      <c r="C846" s="704">
        <v>950</v>
      </c>
      <c r="D846" s="701" t="s">
        <v>15</v>
      </c>
      <c r="E846" s="697" t="e">
        <f>VLOOKUP(B846,#REF!,7,FALSE)</f>
        <v>#REF!</v>
      </c>
      <c r="F846" s="540" t="e">
        <f t="shared" si="53"/>
        <v>#REF!</v>
      </c>
    </row>
    <row r="847" spans="1:6">
      <c r="A847" s="699">
        <f t="shared" si="52"/>
        <v>5.4</v>
      </c>
      <c r="B847" s="700" t="s">
        <v>864</v>
      </c>
      <c r="C847" s="704">
        <v>90</v>
      </c>
      <c r="D847" s="701" t="s">
        <v>10</v>
      </c>
      <c r="E847" s="697" t="e">
        <f>VLOOKUP(B847,#REF!,7,FALSE)</f>
        <v>#REF!</v>
      </c>
      <c r="F847" s="540" t="e">
        <f t="shared" si="53"/>
        <v>#REF!</v>
      </c>
    </row>
    <row r="848" spans="1:6">
      <c r="A848" s="699">
        <f t="shared" si="52"/>
        <v>5.5</v>
      </c>
      <c r="B848" s="703" t="s">
        <v>414</v>
      </c>
      <c r="C848" s="704">
        <v>10</v>
      </c>
      <c r="D848" s="701" t="s">
        <v>10</v>
      </c>
      <c r="E848" s="697" t="e">
        <f>VLOOKUP(B848,#REF!,7,FALSE)</f>
        <v>#REF!</v>
      </c>
      <c r="F848" s="540" t="e">
        <f t="shared" si="53"/>
        <v>#REF!</v>
      </c>
    </row>
    <row r="849" spans="1:6">
      <c r="A849" s="699">
        <f t="shared" si="52"/>
        <v>5.6</v>
      </c>
      <c r="B849" s="703" t="s">
        <v>865</v>
      </c>
      <c r="C849" s="704">
        <v>1</v>
      </c>
      <c r="D849" s="701" t="s">
        <v>10</v>
      </c>
      <c r="E849" s="697" t="e">
        <f>VLOOKUP(B849,#REF!,7,FALSE)</f>
        <v>#REF!</v>
      </c>
      <c r="F849" s="540" t="e">
        <f t="shared" si="53"/>
        <v>#REF!</v>
      </c>
    </row>
    <row r="850" spans="1:6">
      <c r="A850" s="699"/>
      <c r="B850" s="703"/>
      <c r="C850" s="704"/>
      <c r="D850" s="701"/>
      <c r="E850" s="697"/>
      <c r="F850" s="540"/>
    </row>
    <row r="851" spans="1:6" s="541" customFormat="1">
      <c r="A851" s="838"/>
      <c r="B851" s="839" t="s">
        <v>884</v>
      </c>
      <c r="C851" s="840"/>
      <c r="D851" s="841"/>
      <c r="E851" s="842"/>
      <c r="F851" s="847" t="e">
        <f>SUM(F805:F850)</f>
        <v>#REF!</v>
      </c>
    </row>
    <row r="852" spans="1:6">
      <c r="A852" s="583"/>
      <c r="B852" s="500"/>
      <c r="C852" s="584"/>
      <c r="D852" s="585"/>
      <c r="E852" s="586"/>
      <c r="F852" s="587"/>
    </row>
    <row r="853" spans="1:6" s="541" customFormat="1">
      <c r="A853" s="487"/>
      <c r="B853" s="488" t="s">
        <v>885</v>
      </c>
      <c r="C853" s="489"/>
      <c r="D853" s="490"/>
      <c r="E853" s="491"/>
      <c r="F853" s="773" t="e">
        <f>F163+F243+F318+F358+F501+F571+F663+F731+F800+F851</f>
        <v>#REF!</v>
      </c>
    </row>
    <row r="854" spans="1:6" s="541" customFormat="1">
      <c r="A854" s="493"/>
      <c r="B854" s="478"/>
      <c r="C854" s="494"/>
      <c r="D854" s="495"/>
      <c r="E854" s="496"/>
      <c r="F854" s="476"/>
    </row>
    <row r="855" spans="1:6" s="541" customFormat="1">
      <c r="A855" s="503" t="s">
        <v>71</v>
      </c>
      <c r="B855" s="497" t="s">
        <v>157</v>
      </c>
      <c r="C855" s="718"/>
      <c r="D855" s="482"/>
      <c r="E855" s="719"/>
      <c r="F855" s="476"/>
    </row>
    <row r="856" spans="1:6" s="541" customFormat="1" ht="15.75" customHeight="1">
      <c r="A856" s="720">
        <v>1</v>
      </c>
      <c r="B856" s="480" t="s">
        <v>886</v>
      </c>
      <c r="C856" s="718">
        <v>4</v>
      </c>
      <c r="D856" s="495" t="s">
        <v>10</v>
      </c>
      <c r="E856" s="719" t="e">
        <f>VLOOKUP(B856,#REF!,7,FALSE)</f>
        <v>#REF!</v>
      </c>
      <c r="F856" s="476"/>
    </row>
    <row r="857" spans="1:6" s="541" customFormat="1" ht="25.5">
      <c r="A857" s="721">
        <v>2</v>
      </c>
      <c r="B857" s="478" t="s">
        <v>887</v>
      </c>
      <c r="C857" s="474">
        <v>1</v>
      </c>
      <c r="D857" s="473" t="s">
        <v>135</v>
      </c>
      <c r="E857" s="479" t="e">
        <f>VLOOKUP(B857,#REF!,7,FALSE)</f>
        <v>#REF!</v>
      </c>
      <c r="F857" s="476"/>
    </row>
    <row r="858" spans="1:6" s="541" customFormat="1">
      <c r="A858" s="721">
        <v>3</v>
      </c>
      <c r="B858" s="478" t="s">
        <v>503</v>
      </c>
      <c r="C858" s="474"/>
      <c r="D858" s="473" t="s">
        <v>888</v>
      </c>
      <c r="E858" s="479" t="e">
        <f>VLOOKUP(B858,#REF!,7,FALSE)</f>
        <v>#REF!</v>
      </c>
      <c r="F858" s="476"/>
    </row>
    <row r="859" spans="1:6" s="541" customFormat="1">
      <c r="A859" s="487"/>
      <c r="B859" s="488" t="s">
        <v>889</v>
      </c>
      <c r="C859" s="489"/>
      <c r="D859" s="490"/>
      <c r="E859" s="491"/>
      <c r="F859" s="773">
        <f>SUM(F855:F858)</f>
        <v>0</v>
      </c>
    </row>
    <row r="860" spans="1:6" s="541" customFormat="1">
      <c r="A860" s="721"/>
      <c r="B860" s="478"/>
      <c r="C860" s="474"/>
      <c r="D860" s="473"/>
      <c r="E860" s="479"/>
      <c r="F860" s="476"/>
    </row>
    <row r="861" spans="1:6" s="541" customFormat="1">
      <c r="A861" s="722"/>
      <c r="B861" s="723" t="s">
        <v>227</v>
      </c>
      <c r="C861" s="724"/>
      <c r="D861" s="725"/>
      <c r="E861" s="726"/>
      <c r="F861" s="727" t="e">
        <f>F859+F853+F60+F43+F97</f>
        <v>#REF!</v>
      </c>
    </row>
    <row r="862" spans="1:6" s="541" customFormat="1">
      <c r="A862" s="728"/>
      <c r="B862" s="729" t="s">
        <v>227</v>
      </c>
      <c r="C862" s="730"/>
      <c r="D862" s="731"/>
      <c r="E862" s="732"/>
      <c r="F862" s="733" t="e">
        <f>F861</f>
        <v>#REF!</v>
      </c>
    </row>
    <row r="863" spans="1:6" s="541" customFormat="1">
      <c r="A863" s="477"/>
      <c r="B863" s="483"/>
      <c r="C863" s="476"/>
      <c r="D863" s="473"/>
      <c r="E863" s="479"/>
      <c r="F863" s="474"/>
    </row>
    <row r="864" spans="1:6" s="541" customFormat="1">
      <c r="A864" s="734"/>
      <c r="B864" s="735" t="s">
        <v>890</v>
      </c>
      <c r="C864" s="736"/>
      <c r="D864" s="611"/>
      <c r="E864" s="516"/>
      <c r="F864" s="520"/>
    </row>
    <row r="865" spans="1:6" s="541" customFormat="1">
      <c r="A865" s="734"/>
      <c r="B865" s="737" t="s">
        <v>332</v>
      </c>
      <c r="C865" s="738">
        <v>0.03</v>
      </c>
      <c r="D865" s="478"/>
      <c r="E865" s="739"/>
      <c r="F865" s="476" t="e">
        <f t="shared" ref="F865:F873" si="54">ROUND(C865*$F$861,2)</f>
        <v>#REF!</v>
      </c>
    </row>
    <row r="866" spans="1:6" s="541" customFormat="1">
      <c r="A866" s="734"/>
      <c r="B866" s="737" t="s">
        <v>331</v>
      </c>
      <c r="C866" s="738">
        <v>0.1</v>
      </c>
      <c r="D866" s="740"/>
      <c r="E866" s="739"/>
      <c r="F866" s="476" t="e">
        <f t="shared" si="54"/>
        <v>#REF!</v>
      </c>
    </row>
    <row r="867" spans="1:6" s="541" customFormat="1">
      <c r="A867" s="734"/>
      <c r="B867" s="737" t="s">
        <v>335</v>
      </c>
      <c r="C867" s="738">
        <v>0.04</v>
      </c>
      <c r="D867" s="740"/>
      <c r="E867" s="739"/>
      <c r="F867" s="476" t="e">
        <f t="shared" si="54"/>
        <v>#REF!</v>
      </c>
    </row>
    <row r="868" spans="1:6" s="541" customFormat="1">
      <c r="A868" s="734"/>
      <c r="B868" s="737" t="s">
        <v>336</v>
      </c>
      <c r="C868" s="738">
        <v>0.05</v>
      </c>
      <c r="D868" s="740"/>
      <c r="E868" s="739"/>
      <c r="F868" s="476" t="e">
        <f t="shared" si="54"/>
        <v>#REF!</v>
      </c>
    </row>
    <row r="869" spans="1:6" s="541" customFormat="1">
      <c r="A869" s="734"/>
      <c r="B869" s="737" t="s">
        <v>337</v>
      </c>
      <c r="C869" s="738">
        <v>0.03</v>
      </c>
      <c r="D869" s="740"/>
      <c r="E869" s="739"/>
      <c r="F869" s="476" t="e">
        <f t="shared" si="54"/>
        <v>#REF!</v>
      </c>
    </row>
    <row r="870" spans="1:6" s="541" customFormat="1">
      <c r="A870" s="734"/>
      <c r="B870" s="737" t="s">
        <v>333</v>
      </c>
      <c r="C870" s="738">
        <v>0.01</v>
      </c>
      <c r="D870" s="740"/>
      <c r="E870" s="739"/>
      <c r="F870" s="476" t="e">
        <f t="shared" si="54"/>
        <v>#REF!</v>
      </c>
    </row>
    <row r="871" spans="1:6" s="541" customFormat="1" ht="25.5">
      <c r="A871" s="734"/>
      <c r="B871" s="737" t="s">
        <v>891</v>
      </c>
      <c r="C871" s="741">
        <v>0.1</v>
      </c>
      <c r="D871" s="472"/>
      <c r="E871" s="719"/>
      <c r="F871" s="476" t="e">
        <f t="shared" si="54"/>
        <v>#REF!</v>
      </c>
    </row>
    <row r="872" spans="1:6" s="541" customFormat="1">
      <c r="A872" s="734"/>
      <c r="B872" s="737" t="s">
        <v>892</v>
      </c>
      <c r="C872" s="738">
        <v>1.4999999999999999E-2</v>
      </c>
      <c r="D872" s="740"/>
      <c r="E872" s="739"/>
      <c r="F872" s="476" t="e">
        <f t="shared" si="54"/>
        <v>#REF!</v>
      </c>
    </row>
    <row r="873" spans="1:6" s="541" customFormat="1">
      <c r="A873" s="734"/>
      <c r="B873" s="737" t="s">
        <v>893</v>
      </c>
      <c r="C873" s="741">
        <v>1E-3</v>
      </c>
      <c r="D873" s="742"/>
      <c r="E873" s="743"/>
      <c r="F873" s="476" t="e">
        <f t="shared" si="54"/>
        <v>#REF!</v>
      </c>
    </row>
    <row r="874" spans="1:6" s="541" customFormat="1">
      <c r="A874" s="734"/>
      <c r="B874" s="737" t="s">
        <v>894</v>
      </c>
      <c r="C874" s="744">
        <v>0.18</v>
      </c>
      <c r="D874" s="745"/>
      <c r="E874" s="516"/>
      <c r="F874" s="476" t="e">
        <f>ROUND(C874*$F$866,2)</f>
        <v>#REF!</v>
      </c>
    </row>
    <row r="875" spans="1:6" s="541" customFormat="1">
      <c r="A875" s="477"/>
      <c r="B875" s="509" t="s">
        <v>895</v>
      </c>
      <c r="C875" s="746">
        <v>0.1</v>
      </c>
      <c r="D875" s="747"/>
      <c r="E875" s="748"/>
      <c r="F875" s="476" t="e">
        <f>ROUND(C875*$F$861,2)</f>
        <v>#REF!</v>
      </c>
    </row>
    <row r="876" spans="1:6" s="541" customFormat="1">
      <c r="A876" s="734"/>
      <c r="B876" s="737" t="s">
        <v>334</v>
      </c>
      <c r="C876" s="738">
        <v>0.1</v>
      </c>
      <c r="D876" s="745"/>
      <c r="E876" s="743"/>
      <c r="F876" s="476" t="e">
        <f>ROUND(C876*$F$861,2)</f>
        <v>#REF!</v>
      </c>
    </row>
    <row r="877" spans="1:6" s="541" customFormat="1">
      <c r="A877" s="734"/>
      <c r="B877" s="509" t="s">
        <v>896</v>
      </c>
      <c r="C877" s="749">
        <v>1</v>
      </c>
      <c r="D877" s="495" t="s">
        <v>500</v>
      </c>
      <c r="E877" s="516"/>
      <c r="F877" s="476">
        <f>C877*E877</f>
        <v>0</v>
      </c>
    </row>
    <row r="878" spans="1:6" s="541" customFormat="1">
      <c r="A878" s="734"/>
      <c r="B878" s="509" t="s">
        <v>897</v>
      </c>
      <c r="C878" s="749">
        <v>1</v>
      </c>
      <c r="D878" s="495" t="s">
        <v>500</v>
      </c>
      <c r="E878" s="516"/>
      <c r="F878" s="476">
        <f>C878*E878</f>
        <v>0</v>
      </c>
    </row>
    <row r="879" spans="1:6" s="541" customFormat="1">
      <c r="A879" s="734"/>
      <c r="B879" s="509" t="s">
        <v>898</v>
      </c>
      <c r="C879" s="749">
        <v>1</v>
      </c>
      <c r="D879" s="495" t="s">
        <v>500</v>
      </c>
      <c r="E879" s="929"/>
      <c r="F879" s="476">
        <f>C879*E874</f>
        <v>0</v>
      </c>
    </row>
    <row r="880" spans="1:6" s="541" customFormat="1">
      <c r="A880" s="477"/>
      <c r="B880" s="750" t="s">
        <v>899</v>
      </c>
      <c r="C880" s="751"/>
      <c r="D880" s="473"/>
      <c r="E880" s="474"/>
      <c r="F880" s="752" t="e">
        <f>SUM(F865:F879)</f>
        <v>#REF!</v>
      </c>
    </row>
    <row r="881" spans="1:6" s="541" customFormat="1">
      <c r="A881" s="734"/>
      <c r="B881" s="519"/>
      <c r="C881" s="753"/>
      <c r="D881" s="611"/>
      <c r="E881" s="520"/>
      <c r="F881" s="520"/>
    </row>
    <row r="882" spans="1:6" s="541" customFormat="1">
      <c r="A882" s="754" t="s">
        <v>900</v>
      </c>
      <c r="B882" s="755" t="s">
        <v>901</v>
      </c>
      <c r="C882" s="756"/>
      <c r="D882" s="757"/>
      <c r="E882" s="758"/>
      <c r="F882" s="759" t="e">
        <f>F880+F862</f>
        <v>#REF!</v>
      </c>
    </row>
    <row r="883" spans="1:6" s="541" customFormat="1">
      <c r="A883" s="734"/>
      <c r="B883" s="760"/>
      <c r="C883" s="761"/>
      <c r="D883" s="611"/>
      <c r="E883" s="520"/>
      <c r="F883" s="520"/>
    </row>
    <row r="884" spans="1:6" s="541" customFormat="1">
      <c r="A884" s="762" t="s">
        <v>900</v>
      </c>
      <c r="B884" s="763" t="s">
        <v>902</v>
      </c>
      <c r="C884" s="764"/>
      <c r="D884" s="765"/>
      <c r="E884" s="766"/>
      <c r="F884" s="767" t="e">
        <f>SUM(F882:F883)</f>
        <v>#REF!</v>
      </c>
    </row>
  </sheetData>
  <sheetProtection algorithmName="SHA-512" hashValue="2KHJuzg10jMlUorJBEnPi6mYmXyWItH90IvzEBn4dzQ3xKklKlt06qeAumLptHj7vzDSPaZZfJPp6u3FMzDkbg==" saltValue="lkqo+xR99WmMrUl3/iSwvA==" spinCount="100000" sheet="1" objects="1" scenarios="1"/>
  <mergeCells count="6">
    <mergeCell ref="A8:F8"/>
    <mergeCell ref="A1:F1"/>
    <mergeCell ref="A2:F2"/>
    <mergeCell ref="A3:F3"/>
    <mergeCell ref="A4:F4"/>
    <mergeCell ref="A6:F6"/>
  </mergeCells>
  <printOptions horizontalCentered="1"/>
  <pageMargins left="0.19685039370078741" right="0.19685039370078741" top="0.19685039370078741" bottom="0.19685039370078741" header="0.19685039370078741" footer="0.19685039370078741"/>
  <pageSetup scale="85" orientation="portrait" r:id="rId1"/>
  <headerFooter>
    <oddFooter>&amp;C Construción Sistema de Saneamiento Arroyo Gurabo y su Entorno. Const. Vías y Paisajismo&amp;R&amp;P/&amp;N</oddFooter>
  </headerFooter>
  <rowBreaks count="16" manualBreakCount="16">
    <brk id="60" max="5" man="1"/>
    <brk id="111" max="5" man="1"/>
    <brk id="163" max="5" man="1"/>
    <brk id="222" max="5" man="1"/>
    <brk id="263" max="5" man="1"/>
    <brk id="318" max="5" man="1"/>
    <brk id="346" max="5" man="1"/>
    <brk id="390" max="5" man="1"/>
    <brk id="449" max="5" man="1"/>
    <brk id="508" max="5" man="1"/>
    <brk id="569" max="5" man="1"/>
    <brk id="629" max="5" man="1"/>
    <brk id="663" max="5" man="1"/>
    <brk id="720" max="5" man="1"/>
    <brk id="779" max="5" man="1"/>
    <brk id="838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721"/>
  <sheetViews>
    <sheetView view="pageBreakPreview" topLeftCell="A521" zoomScaleNormal="100" zoomScaleSheetLayoutView="100" workbookViewId="0">
      <selection activeCell="B530" sqref="B530"/>
    </sheetView>
  </sheetViews>
  <sheetFormatPr baseColWidth="10" defaultRowHeight="15.75"/>
  <cols>
    <col min="2" max="2" width="56.140625" style="949" customWidth="1"/>
    <col min="3" max="3" width="9.140625" style="947" bestFit="1" customWidth="1"/>
    <col min="4" max="4" width="20" style="1046" bestFit="1" customWidth="1"/>
    <col min="5" max="5" width="26.42578125" style="1047" customWidth="1"/>
  </cols>
  <sheetData>
    <row r="1" spans="2:5" ht="18.75">
      <c r="C1" s="976" t="s">
        <v>289</v>
      </c>
      <c r="D1" s="1042" t="s">
        <v>1022</v>
      </c>
      <c r="E1" s="1043" t="s">
        <v>1023</v>
      </c>
    </row>
    <row r="2" spans="2:5">
      <c r="B2" s="977" t="s">
        <v>1024</v>
      </c>
      <c r="C2" s="978"/>
      <c r="D2" s="1044"/>
      <c r="E2" s="1045"/>
    </row>
    <row r="4" spans="2:5">
      <c r="B4" s="949" t="s">
        <v>1580</v>
      </c>
      <c r="C4" s="947" t="s">
        <v>1000</v>
      </c>
      <c r="D4" s="1046">
        <v>75</v>
      </c>
    </row>
    <row r="5" spans="2:5">
      <c r="B5" s="949" t="s">
        <v>1581</v>
      </c>
      <c r="C5" s="947" t="s">
        <v>1088</v>
      </c>
      <c r="D5" s="1046">
        <v>35</v>
      </c>
    </row>
    <row r="6" spans="2:5">
      <c r="B6" s="949" t="s">
        <v>1582</v>
      </c>
      <c r="C6" s="947" t="s">
        <v>1088</v>
      </c>
      <c r="D6" s="1046">
        <v>45</v>
      </c>
    </row>
    <row r="7" spans="2:5">
      <c r="B7" s="949" t="s">
        <v>1017</v>
      </c>
      <c r="C7" s="947" t="s">
        <v>1025</v>
      </c>
      <c r="D7" s="1046">
        <v>7000</v>
      </c>
    </row>
    <row r="8" spans="2:5">
      <c r="B8" s="949" t="s">
        <v>1018</v>
      </c>
      <c r="C8" s="947" t="s">
        <v>1026</v>
      </c>
      <c r="D8" s="1046">
        <f>D16*23.83</f>
        <v>15489.5</v>
      </c>
    </row>
    <row r="9" spans="2:5">
      <c r="B9" s="949" t="s">
        <v>1019</v>
      </c>
      <c r="C9" s="947" t="s">
        <v>1026</v>
      </c>
      <c r="D9" s="1046">
        <f>D17*23.83</f>
        <v>15489.5</v>
      </c>
    </row>
    <row r="10" spans="2:5">
      <c r="B10" s="949" t="s">
        <v>943</v>
      </c>
      <c r="C10" s="947" t="s">
        <v>1027</v>
      </c>
      <c r="D10" s="1046">
        <v>737</v>
      </c>
    </row>
    <row r="11" spans="2:5">
      <c r="B11" s="949" t="s">
        <v>944</v>
      </c>
      <c r="C11" s="947" t="s">
        <v>1027</v>
      </c>
      <c r="D11" s="1046">
        <v>1364</v>
      </c>
    </row>
    <row r="12" spans="2:5">
      <c r="B12" s="949" t="s">
        <v>1028</v>
      </c>
      <c r="C12" s="947" t="s">
        <v>1000</v>
      </c>
      <c r="D12" s="1046">
        <f>36.05*2</f>
        <v>72.099999999999994</v>
      </c>
    </row>
    <row r="13" spans="2:5">
      <c r="B13" s="949" t="s">
        <v>973</v>
      </c>
      <c r="C13" s="947" t="s">
        <v>1000</v>
      </c>
      <c r="D13" s="1046">
        <v>120</v>
      </c>
    </row>
    <row r="14" spans="2:5">
      <c r="B14" s="949" t="s">
        <v>973</v>
      </c>
      <c r="C14" s="947" t="s">
        <v>1027</v>
      </c>
      <c r="D14" s="1046">
        <v>1364</v>
      </c>
    </row>
    <row r="15" spans="2:5">
      <c r="B15" s="949" t="s">
        <v>1029</v>
      </c>
      <c r="C15" s="947" t="s">
        <v>1027</v>
      </c>
      <c r="D15" s="1046">
        <v>659</v>
      </c>
    </row>
    <row r="16" spans="2:5">
      <c r="B16" s="949" t="s">
        <v>1030</v>
      </c>
      <c r="C16" s="947" t="s">
        <v>1027</v>
      </c>
      <c r="D16" s="1046">
        <v>650</v>
      </c>
    </row>
    <row r="17" spans="2:5">
      <c r="B17" s="949" t="s">
        <v>1031</v>
      </c>
      <c r="C17" s="947" t="s">
        <v>1027</v>
      </c>
      <c r="D17" s="1046">
        <v>650</v>
      </c>
    </row>
    <row r="18" spans="2:5">
      <c r="B18" s="949" t="s">
        <v>1032</v>
      </c>
      <c r="C18" s="947" t="s">
        <v>1027</v>
      </c>
      <c r="D18" s="1046">
        <v>1100</v>
      </c>
    </row>
    <row r="19" spans="2:5">
      <c r="B19" s="949" t="s">
        <v>1033</v>
      </c>
      <c r="C19" s="947" t="s">
        <v>1027</v>
      </c>
      <c r="D19" s="1046">
        <v>1255</v>
      </c>
    </row>
    <row r="20" spans="2:5">
      <c r="B20" s="949" t="s">
        <v>1034</v>
      </c>
      <c r="C20" s="947" t="s">
        <v>1027</v>
      </c>
      <c r="D20" s="1046">
        <v>1569</v>
      </c>
    </row>
    <row r="21" spans="2:5">
      <c r="B21" s="949" t="s">
        <v>1035</v>
      </c>
      <c r="C21" s="947" t="s">
        <v>1027</v>
      </c>
      <c r="D21" s="1046">
        <v>1977</v>
      </c>
    </row>
    <row r="22" spans="2:5">
      <c r="B22" s="949" t="s">
        <v>924</v>
      </c>
      <c r="C22" s="947" t="s">
        <v>1036</v>
      </c>
      <c r="D22" s="1046">
        <v>0</v>
      </c>
    </row>
    <row r="23" spans="2:5" ht="47.25">
      <c r="B23" s="949" t="s">
        <v>1037</v>
      </c>
      <c r="C23" s="947" t="s">
        <v>1026</v>
      </c>
      <c r="D23" s="1046">
        <f>H23</f>
        <v>0</v>
      </c>
      <c r="E23" s="1047" t="s">
        <v>1038</v>
      </c>
    </row>
    <row r="24" spans="2:5" ht="31.5">
      <c r="B24" s="949" t="s">
        <v>1039</v>
      </c>
      <c r="C24" s="947" t="s">
        <v>1026</v>
      </c>
      <c r="D24" s="1046">
        <f>H24</f>
        <v>0</v>
      </c>
      <c r="E24" s="1047" t="s">
        <v>1038</v>
      </c>
    </row>
    <row r="25" spans="2:5" ht="31.5">
      <c r="B25" s="949" t="s">
        <v>1040</v>
      </c>
      <c r="C25" s="947" t="s">
        <v>1000</v>
      </c>
      <c r="D25" s="1046">
        <f>H25</f>
        <v>0</v>
      </c>
      <c r="E25" s="1047" t="s">
        <v>1038</v>
      </c>
    </row>
    <row r="26" spans="2:5">
      <c r="B26" s="949" t="s">
        <v>1041</v>
      </c>
      <c r="C26" s="947" t="s">
        <v>1042</v>
      </c>
      <c r="D26" s="1046">
        <f>H26</f>
        <v>0</v>
      </c>
      <c r="E26" s="1047" t="s">
        <v>1038</v>
      </c>
    </row>
    <row r="27" spans="2:5">
      <c r="B27" s="949" t="s">
        <v>1043</v>
      </c>
      <c r="C27" s="947" t="s">
        <v>1042</v>
      </c>
      <c r="D27" s="1046">
        <v>1959</v>
      </c>
    </row>
    <row r="28" spans="2:5">
      <c r="B28" s="949" t="s">
        <v>1044</v>
      </c>
      <c r="C28" s="947" t="s">
        <v>1045</v>
      </c>
      <c r="D28" s="1046">
        <v>35</v>
      </c>
    </row>
    <row r="29" spans="2:5">
      <c r="B29" s="949" t="s">
        <v>1046</v>
      </c>
      <c r="C29" s="947" t="s">
        <v>1045</v>
      </c>
      <c r="D29" s="1046">
        <v>25</v>
      </c>
    </row>
    <row r="30" spans="2:5">
      <c r="B30" s="949" t="s">
        <v>1047</v>
      </c>
      <c r="C30" s="947" t="s">
        <v>1045</v>
      </c>
      <c r="D30" s="1046">
        <f>+D29*2</f>
        <v>50</v>
      </c>
    </row>
    <row r="31" spans="2:5">
      <c r="B31" s="949" t="s">
        <v>1048</v>
      </c>
      <c r="C31" s="947" t="s">
        <v>1000</v>
      </c>
      <c r="D31" s="1046">
        <v>10</v>
      </c>
    </row>
    <row r="32" spans="2:5">
      <c r="B32" s="949" t="s">
        <v>1049</v>
      </c>
      <c r="C32" s="947" t="s">
        <v>1050</v>
      </c>
      <c r="D32" s="1046">
        <v>63</v>
      </c>
    </row>
    <row r="33" spans="2:4">
      <c r="B33" s="949" t="s">
        <v>1051</v>
      </c>
      <c r="C33" s="947" t="s">
        <v>1000</v>
      </c>
      <c r="D33" s="1046">
        <v>120</v>
      </c>
    </row>
    <row r="34" spans="2:4">
      <c r="B34" s="949" t="s">
        <v>1052</v>
      </c>
      <c r="C34" s="947" t="s">
        <v>1000</v>
      </c>
      <c r="D34" s="1046">
        <v>50</v>
      </c>
    </row>
    <row r="35" spans="2:4">
      <c r="B35" s="949" t="s">
        <v>1053</v>
      </c>
      <c r="C35" s="947" t="s">
        <v>1000</v>
      </c>
    </row>
    <row r="36" spans="2:4">
      <c r="B36" s="949" t="s">
        <v>1054</v>
      </c>
      <c r="C36" s="947" t="s">
        <v>1000</v>
      </c>
    </row>
    <row r="37" spans="2:4">
      <c r="B37" s="949" t="s">
        <v>1055</v>
      </c>
      <c r="C37" s="947" t="s">
        <v>1056</v>
      </c>
      <c r="D37" s="1046">
        <v>600</v>
      </c>
    </row>
    <row r="38" spans="2:4">
      <c r="B38" s="949" t="s">
        <v>1057</v>
      </c>
      <c r="C38" s="947" t="s">
        <v>1000</v>
      </c>
      <c r="D38" s="1046">
        <v>150</v>
      </c>
    </row>
    <row r="39" spans="2:4">
      <c r="B39" s="949" t="s">
        <v>1058</v>
      </c>
      <c r="C39" s="947" t="s">
        <v>1042</v>
      </c>
      <c r="D39" s="1046">
        <v>600</v>
      </c>
    </row>
    <row r="40" spans="2:4">
      <c r="B40" s="949" t="s">
        <v>1059</v>
      </c>
      <c r="C40" s="947" t="s">
        <v>1042</v>
      </c>
      <c r="D40" s="1046">
        <v>200</v>
      </c>
    </row>
    <row r="41" spans="2:4">
      <c r="B41" s="949" t="s">
        <v>920</v>
      </c>
      <c r="C41" s="947" t="s">
        <v>1027</v>
      </c>
      <c r="D41" s="1046">
        <f>680000/23.83</f>
        <v>28535.46</v>
      </c>
    </row>
    <row r="42" spans="2:4" ht="31.5">
      <c r="B42" s="949" t="s">
        <v>1060</v>
      </c>
      <c r="C42" s="947" t="s">
        <v>1026</v>
      </c>
      <c r="D42" s="1046">
        <v>180000</v>
      </c>
    </row>
    <row r="43" spans="2:4">
      <c r="B43" s="949" t="s">
        <v>1061</v>
      </c>
      <c r="C43" s="947" t="s">
        <v>1062</v>
      </c>
      <c r="D43" s="1046">
        <v>420</v>
      </c>
    </row>
    <row r="44" spans="2:4">
      <c r="B44" s="949" t="s">
        <v>1063</v>
      </c>
      <c r="C44" s="947" t="s">
        <v>1000</v>
      </c>
      <c r="D44" s="1046">
        <v>130</v>
      </c>
    </row>
    <row r="45" spans="2:4">
      <c r="B45" s="949" t="s">
        <v>1064</v>
      </c>
      <c r="C45" s="947" t="s">
        <v>1000</v>
      </c>
      <c r="D45" s="1046">
        <v>114</v>
      </c>
    </row>
    <row r="46" spans="2:4">
      <c r="B46" s="949" t="s">
        <v>1065</v>
      </c>
      <c r="C46" s="947" t="s">
        <v>1045</v>
      </c>
      <c r="D46" s="1046">
        <f>115*1.25</f>
        <v>143.75</v>
      </c>
    </row>
    <row r="47" spans="2:4">
      <c r="B47" s="949" t="s">
        <v>1066</v>
      </c>
      <c r="C47" s="947" t="s">
        <v>1045</v>
      </c>
      <c r="D47" s="1046">
        <v>144</v>
      </c>
    </row>
    <row r="48" spans="2:4">
      <c r="B48" s="949" t="s">
        <v>1067</v>
      </c>
      <c r="C48" s="947" t="s">
        <v>1045</v>
      </c>
      <c r="D48" s="1046">
        <v>125</v>
      </c>
    </row>
    <row r="49" spans="2:4">
      <c r="B49" s="949" t="s">
        <v>1068</v>
      </c>
      <c r="C49" s="947" t="s">
        <v>1042</v>
      </c>
      <c r="D49" s="1046">
        <v>800</v>
      </c>
    </row>
    <row r="50" spans="2:4">
      <c r="B50" s="949" t="s">
        <v>1069</v>
      </c>
      <c r="C50" s="947" t="s">
        <v>1000</v>
      </c>
      <c r="D50" s="1046">
        <v>200</v>
      </c>
    </row>
    <row r="51" spans="2:4">
      <c r="B51" s="949" t="s">
        <v>1070</v>
      </c>
      <c r="C51" s="947" t="s">
        <v>1000</v>
      </c>
      <c r="D51" s="1046">
        <v>235</v>
      </c>
    </row>
    <row r="52" spans="2:4">
      <c r="B52" s="949" t="s">
        <v>1071</v>
      </c>
      <c r="C52" s="947" t="s">
        <v>1000</v>
      </c>
      <c r="D52" s="1046">
        <v>150</v>
      </c>
    </row>
    <row r="53" spans="2:4">
      <c r="B53" s="949" t="s">
        <v>1072</v>
      </c>
      <c r="C53" s="947" t="s">
        <v>1045</v>
      </c>
      <c r="D53" s="1046">
        <v>351</v>
      </c>
    </row>
    <row r="54" spans="2:4">
      <c r="B54" s="949" t="s">
        <v>959</v>
      </c>
      <c r="C54" s="947" t="s">
        <v>1000</v>
      </c>
      <c r="D54" s="1046">
        <v>50</v>
      </c>
    </row>
    <row r="55" spans="2:4" ht="31.5">
      <c r="B55" s="949" t="s">
        <v>960</v>
      </c>
      <c r="C55" s="947" t="s">
        <v>1000</v>
      </c>
      <c r="D55" s="1046">
        <v>196</v>
      </c>
    </row>
    <row r="56" spans="2:4">
      <c r="B56" s="949" t="s">
        <v>1073</v>
      </c>
      <c r="C56" s="947" t="s">
        <v>1045</v>
      </c>
      <c r="D56" s="1046">
        <v>125</v>
      </c>
    </row>
    <row r="57" spans="2:4">
      <c r="B57" s="949" t="s">
        <v>1074</v>
      </c>
      <c r="C57" s="947" t="s">
        <v>1056</v>
      </c>
      <c r="D57" s="1046">
        <v>1</v>
      </c>
    </row>
    <row r="58" spans="2:4">
      <c r="B58" s="949" t="s">
        <v>1075</v>
      </c>
      <c r="C58" s="947" t="s">
        <v>1056</v>
      </c>
      <c r="D58" s="1046">
        <v>3</v>
      </c>
    </row>
    <row r="59" spans="2:4">
      <c r="B59" s="949" t="s">
        <v>1076</v>
      </c>
      <c r="C59" s="947" t="s">
        <v>1056</v>
      </c>
      <c r="D59" s="1046">
        <v>24</v>
      </c>
    </row>
    <row r="60" spans="2:4">
      <c r="B60" s="949" t="s">
        <v>1077</v>
      </c>
      <c r="C60" s="947" t="s">
        <v>1056</v>
      </c>
      <c r="D60" s="1046">
        <v>22</v>
      </c>
    </row>
    <row r="61" spans="2:4">
      <c r="B61" s="949" t="s">
        <v>1078</v>
      </c>
      <c r="C61" s="947" t="s">
        <v>1000</v>
      </c>
      <c r="D61" s="1046">
        <v>190</v>
      </c>
    </row>
    <row r="62" spans="2:4">
      <c r="B62" s="949" t="s">
        <v>1079</v>
      </c>
      <c r="C62" s="947" t="s">
        <v>1000</v>
      </c>
      <c r="D62" s="1046">
        <v>52</v>
      </c>
    </row>
    <row r="63" spans="2:4">
      <c r="B63" s="949" t="s">
        <v>1080</v>
      </c>
      <c r="C63" s="947" t="s">
        <v>1000</v>
      </c>
      <c r="D63" s="1046">
        <v>26</v>
      </c>
    </row>
    <row r="64" spans="2:4">
      <c r="B64" s="949" t="s">
        <v>1081</v>
      </c>
      <c r="C64" s="947" t="s">
        <v>1045</v>
      </c>
      <c r="D64" s="1046">
        <v>65</v>
      </c>
    </row>
    <row r="65" spans="2:5">
      <c r="B65" s="949" t="s">
        <v>1082</v>
      </c>
      <c r="C65" s="947" t="s">
        <v>1045</v>
      </c>
      <c r="D65" s="1046">
        <f>D64</f>
        <v>65</v>
      </c>
    </row>
    <row r="66" spans="2:5">
      <c r="B66" s="949" t="s">
        <v>1083</v>
      </c>
      <c r="C66" s="947" t="s">
        <v>1000</v>
      </c>
      <c r="D66" s="1046">
        <v>10</v>
      </c>
    </row>
    <row r="67" spans="2:5">
      <c r="B67" s="949" t="s">
        <v>1084</v>
      </c>
      <c r="C67" s="947" t="s">
        <v>1000</v>
      </c>
      <c r="D67" s="1046">
        <v>65</v>
      </c>
    </row>
    <row r="68" spans="2:5">
      <c r="B68" s="949" t="s">
        <v>1085</v>
      </c>
      <c r="C68" s="947" t="s">
        <v>1045</v>
      </c>
      <c r="D68" s="1046">
        <v>352</v>
      </c>
    </row>
    <row r="69" spans="2:5">
      <c r="B69" s="949" t="s">
        <v>1086</v>
      </c>
      <c r="C69" s="947" t="s">
        <v>1045</v>
      </c>
      <c r="D69" s="1046">
        <v>49</v>
      </c>
    </row>
    <row r="70" spans="2:5">
      <c r="B70" s="949" t="s">
        <v>1087</v>
      </c>
      <c r="C70" s="947" t="s">
        <v>1088</v>
      </c>
      <c r="D70" s="1048">
        <v>200</v>
      </c>
    </row>
    <row r="71" spans="2:5">
      <c r="B71" s="949" t="s">
        <v>1089</v>
      </c>
      <c r="C71" s="947" t="s">
        <v>1088</v>
      </c>
      <c r="D71" s="1048">
        <v>505</v>
      </c>
    </row>
    <row r="72" spans="2:5">
      <c r="B72" s="949" t="s">
        <v>1090</v>
      </c>
      <c r="C72" s="947" t="s">
        <v>1042</v>
      </c>
      <c r="D72" s="1048">
        <v>365</v>
      </c>
    </row>
    <row r="73" spans="2:5">
      <c r="B73" s="949" t="s">
        <v>1091</v>
      </c>
      <c r="C73" s="947" t="s">
        <v>1050</v>
      </c>
      <c r="D73" s="1048">
        <v>8</v>
      </c>
    </row>
    <row r="74" spans="2:5">
      <c r="B74" s="949" t="s">
        <v>1092</v>
      </c>
      <c r="C74" s="947" t="s">
        <v>1050</v>
      </c>
      <c r="D74" s="1046">
        <f>2110.17*1.18</f>
        <v>2490</v>
      </c>
      <c r="E74" s="1047" t="s">
        <v>1093</v>
      </c>
    </row>
    <row r="75" spans="2:5" ht="31.5">
      <c r="B75" s="949" t="s">
        <v>1094</v>
      </c>
      <c r="C75" s="947" t="s">
        <v>1050</v>
      </c>
      <c r="D75" s="1046">
        <f>2817.8*1.18</f>
        <v>3325</v>
      </c>
      <c r="E75" s="1047" t="s">
        <v>1093</v>
      </c>
    </row>
    <row r="76" spans="2:5">
      <c r="B76" s="949" t="s">
        <v>1095</v>
      </c>
      <c r="C76" s="947" t="s">
        <v>1050</v>
      </c>
      <c r="D76" s="1046">
        <v>1800</v>
      </c>
      <c r="E76" s="1047" t="s">
        <v>1093</v>
      </c>
    </row>
    <row r="77" spans="2:5" ht="47.25">
      <c r="B77" s="949" t="s">
        <v>1096</v>
      </c>
      <c r="C77" s="947" t="s">
        <v>10</v>
      </c>
      <c r="D77" s="1046">
        <v>45000</v>
      </c>
    </row>
    <row r="78" spans="2:5">
      <c r="B78" s="949" t="s">
        <v>1097</v>
      </c>
      <c r="C78" s="947" t="s">
        <v>1045</v>
      </c>
      <c r="D78" s="1046">
        <v>35</v>
      </c>
    </row>
    <row r="79" spans="2:5">
      <c r="B79" s="949" t="s">
        <v>921</v>
      </c>
      <c r="C79" s="947" t="s">
        <v>1027</v>
      </c>
      <c r="D79" s="1046">
        <v>1719</v>
      </c>
    </row>
    <row r="80" spans="2:5">
      <c r="B80" s="949" t="s">
        <v>922</v>
      </c>
      <c r="C80" s="947" t="s">
        <v>1027</v>
      </c>
      <c r="D80" s="1046">
        <v>737</v>
      </c>
    </row>
    <row r="81" spans="2:4">
      <c r="B81" s="949" t="s">
        <v>931</v>
      </c>
      <c r="C81" s="947" t="s">
        <v>1027</v>
      </c>
      <c r="D81" s="1046">
        <v>650</v>
      </c>
    </row>
    <row r="82" spans="2:4">
      <c r="B82" s="949" t="s">
        <v>1098</v>
      </c>
      <c r="C82" s="947" t="s">
        <v>1027</v>
      </c>
      <c r="D82" s="1046">
        <v>650</v>
      </c>
    </row>
    <row r="83" spans="2:4">
      <c r="B83" s="949" t="s">
        <v>1099</v>
      </c>
      <c r="C83" s="947" t="s">
        <v>1026</v>
      </c>
      <c r="D83" s="1046">
        <v>650</v>
      </c>
    </row>
    <row r="84" spans="2:4">
      <c r="B84" s="949" t="s">
        <v>1100</v>
      </c>
      <c r="C84" s="947" t="s">
        <v>1000</v>
      </c>
      <c r="D84" s="1046">
        <f>32.09+18.87</f>
        <v>50.96</v>
      </c>
    </row>
    <row r="85" spans="2:4">
      <c r="B85" s="949" t="s">
        <v>1101</v>
      </c>
      <c r="C85" s="947" t="s">
        <v>1000</v>
      </c>
      <c r="D85" s="1046">
        <f>32.09+18.87</f>
        <v>50.96</v>
      </c>
    </row>
    <row r="86" spans="2:4">
      <c r="B86" s="949" t="s">
        <v>1102</v>
      </c>
      <c r="C86" s="947" t="s">
        <v>1000</v>
      </c>
      <c r="D86" s="1046">
        <v>32</v>
      </c>
    </row>
    <row r="87" spans="2:4">
      <c r="B87" s="949" t="s">
        <v>1103</v>
      </c>
      <c r="C87" s="947" t="s">
        <v>1000</v>
      </c>
      <c r="D87" s="1046">
        <f>8.5*56.9</f>
        <v>483.65</v>
      </c>
    </row>
    <row r="88" spans="2:4">
      <c r="B88" s="949" t="s">
        <v>1104</v>
      </c>
      <c r="C88" s="947" t="s">
        <v>1027</v>
      </c>
      <c r="D88" s="1046">
        <v>737</v>
      </c>
    </row>
    <row r="89" spans="2:4">
      <c r="B89" s="949" t="s">
        <v>1105</v>
      </c>
      <c r="C89" s="947" t="s">
        <v>1106</v>
      </c>
      <c r="D89" s="1046">
        <v>1700</v>
      </c>
    </row>
    <row r="90" spans="2:4">
      <c r="B90" s="949" t="s">
        <v>1107</v>
      </c>
      <c r="C90" s="947" t="s">
        <v>1000</v>
      </c>
      <c r="D90" s="1046">
        <v>103</v>
      </c>
    </row>
    <row r="91" spans="2:4">
      <c r="B91" s="949" t="s">
        <v>1108</v>
      </c>
      <c r="C91" s="947" t="s">
        <v>1109</v>
      </c>
      <c r="D91" s="1046">
        <v>12</v>
      </c>
    </row>
    <row r="92" spans="2:4">
      <c r="B92" s="949" t="s">
        <v>1110</v>
      </c>
      <c r="C92" s="947" t="s">
        <v>1000</v>
      </c>
      <c r="D92" s="1046">
        <v>154</v>
      </c>
    </row>
    <row r="93" spans="2:4">
      <c r="B93" s="949" t="s">
        <v>1111</v>
      </c>
      <c r="C93" s="947" t="s">
        <v>1045</v>
      </c>
      <c r="D93" s="1046">
        <v>52</v>
      </c>
    </row>
    <row r="94" spans="2:4">
      <c r="B94" s="949" t="s">
        <v>1112</v>
      </c>
      <c r="C94" s="947" t="s">
        <v>1045</v>
      </c>
      <c r="D94" s="1046">
        <v>55</v>
      </c>
    </row>
    <row r="95" spans="2:4">
      <c r="B95" s="949" t="s">
        <v>1113</v>
      </c>
      <c r="C95" s="947" t="s">
        <v>1000</v>
      </c>
      <c r="D95" s="1046">
        <v>103</v>
      </c>
    </row>
    <row r="96" spans="2:4">
      <c r="B96" s="949" t="s">
        <v>1114</v>
      </c>
      <c r="C96" s="947" t="s">
        <v>1000</v>
      </c>
      <c r="D96" s="1046">
        <v>130</v>
      </c>
    </row>
    <row r="97" spans="2:4">
      <c r="B97" s="949" t="s">
        <v>1115</v>
      </c>
      <c r="C97" s="947" t="s">
        <v>1000</v>
      </c>
      <c r="D97" s="1046">
        <v>143</v>
      </c>
    </row>
    <row r="98" spans="2:4">
      <c r="B98" s="949" t="s">
        <v>1116</v>
      </c>
      <c r="C98" s="947" t="s">
        <v>1000</v>
      </c>
      <c r="D98" s="1046">
        <v>164</v>
      </c>
    </row>
    <row r="99" spans="2:4">
      <c r="B99" s="949" t="s">
        <v>1117</v>
      </c>
      <c r="C99" s="947" t="s">
        <v>1000</v>
      </c>
      <c r="D99" s="1046">
        <v>25</v>
      </c>
    </row>
    <row r="100" spans="2:4">
      <c r="B100" s="949" t="s">
        <v>1118</v>
      </c>
      <c r="C100" s="947" t="s">
        <v>1088</v>
      </c>
      <c r="D100" s="1046">
        <v>95</v>
      </c>
    </row>
    <row r="101" spans="2:4" ht="31.5">
      <c r="B101" s="979" t="s">
        <v>1119</v>
      </c>
      <c r="C101" s="947" t="s">
        <v>1000</v>
      </c>
      <c r="D101" s="1046">
        <v>143</v>
      </c>
    </row>
    <row r="102" spans="2:4" ht="31.5">
      <c r="B102" s="979" t="s">
        <v>1120</v>
      </c>
      <c r="C102" s="947" t="s">
        <v>1000</v>
      </c>
      <c r="D102" s="1046">
        <v>30</v>
      </c>
    </row>
    <row r="103" spans="2:4">
      <c r="B103" s="979" t="s">
        <v>1121</v>
      </c>
      <c r="C103" s="947" t="s">
        <v>1062</v>
      </c>
      <c r="D103" s="1046">
        <v>420</v>
      </c>
    </row>
    <row r="104" spans="2:4">
      <c r="B104" s="979" t="s">
        <v>1122</v>
      </c>
    </row>
    <row r="105" spans="2:4">
      <c r="B105" s="979" t="s">
        <v>1123</v>
      </c>
      <c r="C105" s="947" t="s">
        <v>1042</v>
      </c>
      <c r="D105" s="1046">
        <v>400</v>
      </c>
    </row>
    <row r="106" spans="2:4">
      <c r="B106" s="979" t="s">
        <v>961</v>
      </c>
      <c r="C106" s="947" t="s">
        <v>1000</v>
      </c>
      <c r="D106" s="1046">
        <v>75</v>
      </c>
    </row>
    <row r="107" spans="2:4">
      <c r="B107" s="979" t="s">
        <v>1124</v>
      </c>
      <c r="C107" s="947" t="s">
        <v>1000</v>
      </c>
      <c r="D107" s="1046">
        <f>1.5*58.7</f>
        <v>88.05</v>
      </c>
    </row>
    <row r="108" spans="2:4">
      <c r="B108" s="979" t="s">
        <v>1125</v>
      </c>
      <c r="C108" s="947" t="s">
        <v>1106</v>
      </c>
      <c r="D108" s="1046">
        <v>1065</v>
      </c>
    </row>
    <row r="109" spans="2:4">
      <c r="B109" s="979" t="s">
        <v>1126</v>
      </c>
      <c r="C109" s="947" t="s">
        <v>1106</v>
      </c>
      <c r="D109" s="1046">
        <v>1065</v>
      </c>
    </row>
    <row r="110" spans="2:4">
      <c r="B110" s="979" t="s">
        <v>1127</v>
      </c>
      <c r="C110" s="947" t="s">
        <v>1106</v>
      </c>
      <c r="D110" s="1046">
        <v>530</v>
      </c>
    </row>
    <row r="111" spans="2:4">
      <c r="B111" s="979" t="s">
        <v>1128</v>
      </c>
      <c r="C111" s="947" t="s">
        <v>1106</v>
      </c>
      <c r="D111" s="1046">
        <v>1700</v>
      </c>
    </row>
    <row r="112" spans="2:4">
      <c r="B112" s="979" t="s">
        <v>1129</v>
      </c>
      <c r="C112" s="947" t="s">
        <v>1106</v>
      </c>
      <c r="D112" s="1046">
        <v>1450</v>
      </c>
    </row>
    <row r="113" spans="2:4">
      <c r="B113" s="979" t="s">
        <v>1130</v>
      </c>
      <c r="C113" s="947" t="s">
        <v>1106</v>
      </c>
      <c r="D113" s="1046">
        <v>1460</v>
      </c>
    </row>
    <row r="114" spans="2:4" ht="31.5">
      <c r="B114" s="979" t="s">
        <v>1131</v>
      </c>
      <c r="C114" s="947" t="s">
        <v>1045</v>
      </c>
      <c r="D114" s="1046">
        <v>400</v>
      </c>
    </row>
    <row r="115" spans="2:4" ht="31.5">
      <c r="B115" s="979" t="s">
        <v>1132</v>
      </c>
      <c r="C115" s="947" t="s">
        <v>1045</v>
      </c>
      <c r="D115" s="1046">
        <v>211</v>
      </c>
    </row>
    <row r="116" spans="2:4">
      <c r="B116" s="979" t="s">
        <v>1133</v>
      </c>
      <c r="C116" s="947" t="s">
        <v>1045</v>
      </c>
      <c r="D116" s="1046">
        <v>171</v>
      </c>
    </row>
    <row r="117" spans="2:4" ht="31.5">
      <c r="B117" s="979" t="s">
        <v>1134</v>
      </c>
      <c r="C117" s="947" t="s">
        <v>1000</v>
      </c>
      <c r="D117" s="1046">
        <v>25</v>
      </c>
    </row>
    <row r="118" spans="2:4">
      <c r="B118" s="979" t="s">
        <v>1135</v>
      </c>
      <c r="C118" s="947" t="s">
        <v>1045</v>
      </c>
      <c r="D118" s="1046">
        <v>171</v>
      </c>
    </row>
    <row r="119" spans="2:4">
      <c r="B119" s="979" t="s">
        <v>1136</v>
      </c>
      <c r="C119" s="947" t="s">
        <v>1000</v>
      </c>
      <c r="D119" s="1046">
        <v>30</v>
      </c>
    </row>
    <row r="120" spans="2:4">
      <c r="B120" s="979" t="s">
        <v>1137</v>
      </c>
      <c r="C120" s="947" t="s">
        <v>1062</v>
      </c>
      <c r="D120" s="1046">
        <v>420</v>
      </c>
    </row>
    <row r="121" spans="2:4" ht="47.25">
      <c r="B121" s="979" t="s">
        <v>1138</v>
      </c>
      <c r="C121" s="947" t="s">
        <v>1139</v>
      </c>
      <c r="D121" s="1046">
        <v>171</v>
      </c>
    </row>
    <row r="122" spans="2:4">
      <c r="B122" s="979" t="s">
        <v>1140</v>
      </c>
      <c r="C122" s="947" t="s">
        <v>1000</v>
      </c>
      <c r="D122" s="1046">
        <f>47.18+39.65</f>
        <v>86.83</v>
      </c>
    </row>
    <row r="123" spans="2:4">
      <c r="B123" s="949" t="s">
        <v>1141</v>
      </c>
      <c r="C123" s="947" t="s">
        <v>1045</v>
      </c>
      <c r="D123" s="1046">
        <v>71</v>
      </c>
    </row>
    <row r="124" spans="2:4">
      <c r="B124" s="949" t="s">
        <v>1142</v>
      </c>
      <c r="C124" s="947" t="s">
        <v>1045</v>
      </c>
      <c r="D124" s="1046">
        <v>71</v>
      </c>
    </row>
    <row r="125" spans="2:4">
      <c r="B125" s="949" t="s">
        <v>1143</v>
      </c>
      <c r="C125" s="947" t="s">
        <v>1045</v>
      </c>
      <c r="D125" s="1046">
        <v>71</v>
      </c>
    </row>
    <row r="126" spans="2:4">
      <c r="B126" s="949" t="s">
        <v>1144</v>
      </c>
      <c r="C126" s="947" t="s">
        <v>10</v>
      </c>
      <c r="D126" s="1046">
        <v>45</v>
      </c>
    </row>
    <row r="127" spans="2:4">
      <c r="B127" s="949" t="s">
        <v>1145</v>
      </c>
      <c r="C127" s="947" t="s">
        <v>1000</v>
      </c>
      <c r="D127" s="1046">
        <v>35</v>
      </c>
    </row>
    <row r="128" spans="2:4">
      <c r="B128" s="949" t="s">
        <v>1146</v>
      </c>
      <c r="C128" s="947" t="s">
        <v>1025</v>
      </c>
      <c r="D128" s="1046">
        <v>0</v>
      </c>
    </row>
    <row r="129" spans="2:4">
      <c r="B129" s="949" t="s">
        <v>1147</v>
      </c>
      <c r="C129" s="947" t="s">
        <v>1026</v>
      </c>
      <c r="D129" s="1046">
        <f>100000*1.2</f>
        <v>120000</v>
      </c>
    </row>
    <row r="130" spans="2:4">
      <c r="B130" s="949" t="s">
        <v>1148</v>
      </c>
      <c r="C130" s="947" t="s">
        <v>1026</v>
      </c>
      <c r="D130" s="1046">
        <f>45000*1.2</f>
        <v>54000</v>
      </c>
    </row>
    <row r="131" spans="2:4">
      <c r="B131" s="949" t="s">
        <v>1149</v>
      </c>
      <c r="C131" s="947" t="s">
        <v>1026</v>
      </c>
      <c r="D131" s="1046">
        <f>35000*1.2</f>
        <v>42000</v>
      </c>
    </row>
    <row r="132" spans="2:4">
      <c r="B132" s="949" t="s">
        <v>1150</v>
      </c>
      <c r="C132" s="947" t="s">
        <v>1026</v>
      </c>
      <c r="D132" s="1046">
        <f>70000*1.2</f>
        <v>84000</v>
      </c>
    </row>
    <row r="133" spans="2:4">
      <c r="B133" s="949" t="s">
        <v>1151</v>
      </c>
      <c r="C133" s="947" t="s">
        <v>1026</v>
      </c>
      <c r="D133" s="1046">
        <f>+D130</f>
        <v>54000</v>
      </c>
    </row>
    <row r="134" spans="2:4">
      <c r="B134" s="949" t="s">
        <v>1152</v>
      </c>
      <c r="C134" s="947" t="s">
        <v>1026</v>
      </c>
      <c r="D134" s="1046">
        <f>40000*1.2</f>
        <v>48000</v>
      </c>
    </row>
    <row r="135" spans="2:4">
      <c r="B135" s="949" t="s">
        <v>1153</v>
      </c>
      <c r="C135" s="947" t="s">
        <v>1025</v>
      </c>
      <c r="D135" s="1046">
        <v>4000</v>
      </c>
    </row>
    <row r="136" spans="2:4">
      <c r="B136" s="949" t="s">
        <v>1154</v>
      </c>
      <c r="C136" s="947" t="s">
        <v>1025</v>
      </c>
      <c r="D136" s="1046">
        <v>6000</v>
      </c>
    </row>
    <row r="137" spans="2:4">
      <c r="B137" s="949" t="s">
        <v>1155</v>
      </c>
      <c r="C137" s="947" t="s">
        <v>1025</v>
      </c>
      <c r="D137" s="1046">
        <v>1000</v>
      </c>
    </row>
    <row r="138" spans="2:4">
      <c r="B138" s="949" t="s">
        <v>1156</v>
      </c>
      <c r="C138" s="947" t="s">
        <v>1000</v>
      </c>
      <c r="D138" s="1046">
        <v>12</v>
      </c>
    </row>
    <row r="139" spans="2:4">
      <c r="B139" s="949" t="s">
        <v>1157</v>
      </c>
      <c r="C139" s="947" t="s">
        <v>1042</v>
      </c>
      <c r="D139" s="1046">
        <f>20*58.7</f>
        <v>1174</v>
      </c>
    </row>
    <row r="140" spans="2:4">
      <c r="B140" s="949" t="s">
        <v>1158</v>
      </c>
      <c r="C140" s="947" t="s">
        <v>1000</v>
      </c>
      <c r="D140" s="1046">
        <v>650</v>
      </c>
    </row>
    <row r="141" spans="2:4">
      <c r="B141" s="949" t="s">
        <v>1159</v>
      </c>
      <c r="C141" s="947" t="s">
        <v>1042</v>
      </c>
      <c r="D141" s="1046">
        <v>4500</v>
      </c>
    </row>
    <row r="142" spans="2:4">
      <c r="B142" s="949" t="s">
        <v>1160</v>
      </c>
      <c r="C142" s="947" t="s">
        <v>1042</v>
      </c>
      <c r="D142" s="1046">
        <v>3833</v>
      </c>
    </row>
    <row r="143" spans="2:4">
      <c r="B143" s="949" t="s">
        <v>1161</v>
      </c>
      <c r="C143" s="947" t="s">
        <v>1045</v>
      </c>
      <c r="D143" s="1046">
        <v>80</v>
      </c>
    </row>
    <row r="144" spans="2:4">
      <c r="B144" s="949" t="s">
        <v>1162</v>
      </c>
      <c r="C144" s="947" t="s">
        <v>1045</v>
      </c>
      <c r="D144" s="1046">
        <v>180</v>
      </c>
    </row>
    <row r="145" spans="2:5">
      <c r="B145" s="949" t="s">
        <v>963</v>
      </c>
      <c r="C145" s="947" t="s">
        <v>1045</v>
      </c>
      <c r="D145" s="1046">
        <v>150</v>
      </c>
    </row>
    <row r="146" spans="2:5">
      <c r="B146" s="949" t="s">
        <v>964</v>
      </c>
      <c r="C146" s="947" t="s">
        <v>1045</v>
      </c>
      <c r="D146" s="1046">
        <v>25</v>
      </c>
    </row>
    <row r="147" spans="2:5">
      <c r="B147" s="949" t="s">
        <v>1555</v>
      </c>
      <c r="C147" s="947" t="s">
        <v>1000</v>
      </c>
      <c r="D147" s="1046">
        <v>50</v>
      </c>
    </row>
    <row r="148" spans="2:5">
      <c r="B148" s="949" t="s">
        <v>1163</v>
      </c>
      <c r="C148" s="947" t="s">
        <v>1000</v>
      </c>
      <c r="D148" s="1046">
        <v>150</v>
      </c>
    </row>
    <row r="149" spans="2:5">
      <c r="B149" s="949" t="s">
        <v>984</v>
      </c>
      <c r="C149" s="947" t="s">
        <v>1106</v>
      </c>
      <c r="D149" s="1046">
        <v>3000</v>
      </c>
    </row>
    <row r="150" spans="2:5">
      <c r="B150" s="949" t="s">
        <v>996</v>
      </c>
      <c r="C150" s="947" t="s">
        <v>1164</v>
      </c>
      <c r="D150" s="1046">
        <v>350</v>
      </c>
    </row>
    <row r="151" spans="2:5">
      <c r="B151" s="949" t="s">
        <v>1564</v>
      </c>
      <c r="C151" s="947" t="s">
        <v>1088</v>
      </c>
      <c r="D151" s="1046">
        <v>65</v>
      </c>
    </row>
    <row r="152" spans="2:5">
      <c r="B152" s="949" t="s">
        <v>1571</v>
      </c>
      <c r="C152" s="947" t="s">
        <v>1050</v>
      </c>
      <c r="D152" s="1046">
        <v>1195.48</v>
      </c>
    </row>
    <row r="153" spans="2:5">
      <c r="B153" s="949" t="s">
        <v>1732</v>
      </c>
      <c r="C153" s="947" t="s">
        <v>1225</v>
      </c>
      <c r="D153" s="1046">
        <v>90</v>
      </c>
    </row>
    <row r="154" spans="2:5">
      <c r="B154" s="977" t="s">
        <v>1165</v>
      </c>
      <c r="C154" s="978"/>
      <c r="D154" s="1044"/>
      <c r="E154" s="1045"/>
    </row>
    <row r="155" spans="2:5">
      <c r="E155" s="1061"/>
    </row>
    <row r="156" spans="2:5">
      <c r="B156" s="949" t="s">
        <v>1577</v>
      </c>
      <c r="C156" s="947" t="s">
        <v>1042</v>
      </c>
      <c r="D156" s="1046">
        <v>15000</v>
      </c>
      <c r="E156" s="1061"/>
    </row>
    <row r="159" spans="2:5">
      <c r="B159" s="949" t="s">
        <v>1575</v>
      </c>
      <c r="C159" s="947" t="s">
        <v>1000</v>
      </c>
      <c r="D159" s="1046">
        <v>2200</v>
      </c>
    </row>
    <row r="160" spans="2:5" ht="31.5">
      <c r="B160" s="949" t="s">
        <v>1012</v>
      </c>
      <c r="C160" s="947" t="s">
        <v>1106</v>
      </c>
      <c r="D160" s="1046">
        <v>93000</v>
      </c>
    </row>
    <row r="161" spans="2:5" ht="31.5">
      <c r="B161" s="949" t="s">
        <v>967</v>
      </c>
      <c r="C161" s="947" t="s">
        <v>1088</v>
      </c>
      <c r="D161" s="1046">
        <v>95</v>
      </c>
    </row>
    <row r="162" spans="2:5" ht="63">
      <c r="B162" s="980" t="s">
        <v>968</v>
      </c>
      <c r="C162" s="981" t="s">
        <v>1088</v>
      </c>
      <c r="D162" s="1046">
        <v>130</v>
      </c>
    </row>
    <row r="163" spans="2:5">
      <c r="B163" s="949" t="s">
        <v>1521</v>
      </c>
      <c r="C163" s="947" t="s">
        <v>1106</v>
      </c>
      <c r="D163" s="1046">
        <v>900</v>
      </c>
    </row>
    <row r="164" spans="2:5">
      <c r="B164" s="949" t="s">
        <v>989</v>
      </c>
      <c r="C164" s="947" t="s">
        <v>1106</v>
      </c>
      <c r="D164" s="1046">
        <v>5</v>
      </c>
    </row>
    <row r="165" spans="2:5">
      <c r="B165" s="949" t="s">
        <v>1721</v>
      </c>
      <c r="C165" s="947" t="s">
        <v>1166</v>
      </c>
      <c r="D165" s="1046">
        <v>5800</v>
      </c>
    </row>
    <row r="166" spans="2:5">
      <c r="B166" s="949" t="s">
        <v>1722</v>
      </c>
      <c r="C166" s="947" t="s">
        <v>1166</v>
      </c>
      <c r="D166" s="1046">
        <v>6100</v>
      </c>
    </row>
    <row r="167" spans="2:5">
      <c r="B167" s="949" t="s">
        <v>951</v>
      </c>
      <c r="C167" s="947" t="s">
        <v>1042</v>
      </c>
      <c r="D167" s="1046">
        <v>5200</v>
      </c>
    </row>
    <row r="168" spans="2:5">
      <c r="B168" s="949" t="s">
        <v>942</v>
      </c>
      <c r="C168" s="947" t="s">
        <v>1042</v>
      </c>
      <c r="D168" s="1046">
        <v>1250</v>
      </c>
    </row>
    <row r="169" spans="2:5">
      <c r="B169" s="949" t="s">
        <v>945</v>
      </c>
      <c r="C169" s="947" t="s">
        <v>1167</v>
      </c>
      <c r="D169" s="1046">
        <v>350</v>
      </c>
    </row>
    <row r="170" spans="2:5">
      <c r="B170" s="949" t="s">
        <v>941</v>
      </c>
      <c r="C170" s="947" t="s">
        <v>1168</v>
      </c>
      <c r="D170" s="1046">
        <v>330</v>
      </c>
    </row>
    <row r="171" spans="2:5">
      <c r="B171" s="949" t="s">
        <v>946</v>
      </c>
      <c r="C171" s="947" t="s">
        <v>1168</v>
      </c>
      <c r="D171" s="1046">
        <v>6</v>
      </c>
    </row>
    <row r="172" spans="2:5">
      <c r="B172" s="949" t="s">
        <v>1169</v>
      </c>
      <c r="C172" s="947" t="s">
        <v>1056</v>
      </c>
      <c r="D172" s="1046">
        <f>22.46*1.18+22500/13000</f>
        <v>28.23</v>
      </c>
      <c r="E172" s="1047" t="s">
        <v>1170</v>
      </c>
    </row>
    <row r="173" spans="2:5">
      <c r="B173" s="949" t="s">
        <v>1171</v>
      </c>
      <c r="C173" s="947" t="s">
        <v>1056</v>
      </c>
      <c r="D173" s="1046">
        <f>27.54*1.18+22500/13000</f>
        <v>34.229999999999997</v>
      </c>
      <c r="E173" s="1047" t="s">
        <v>1170</v>
      </c>
    </row>
    <row r="174" spans="2:5">
      <c r="B174" s="949" t="s">
        <v>1172</v>
      </c>
      <c r="C174" s="947" t="s">
        <v>1056</v>
      </c>
      <c r="D174" s="1046">
        <f>467981.88/4263</f>
        <v>109.78</v>
      </c>
      <c r="E174" s="1047" t="s">
        <v>1170</v>
      </c>
    </row>
    <row r="175" spans="2:5">
      <c r="B175" s="949" t="s">
        <v>1013</v>
      </c>
      <c r="C175" s="947" t="s">
        <v>1056</v>
      </c>
      <c r="D175" s="1046">
        <v>25000</v>
      </c>
    </row>
    <row r="176" spans="2:5">
      <c r="B176" s="949" t="s">
        <v>1014</v>
      </c>
      <c r="C176" s="947" t="s">
        <v>1056</v>
      </c>
      <c r="D176" s="1046">
        <v>26500</v>
      </c>
    </row>
    <row r="177" spans="2:5">
      <c r="B177" s="949" t="s">
        <v>1015</v>
      </c>
      <c r="C177" s="947" t="s">
        <v>1056</v>
      </c>
      <c r="D177" s="1046">
        <v>10000</v>
      </c>
    </row>
    <row r="178" spans="2:5">
      <c r="B178" s="949" t="s">
        <v>1016</v>
      </c>
      <c r="C178" s="947" t="s">
        <v>1025</v>
      </c>
      <c r="D178" s="1046">
        <v>50000</v>
      </c>
    </row>
    <row r="179" spans="2:5">
      <c r="B179" s="949" t="s">
        <v>1173</v>
      </c>
      <c r="C179" s="947" t="s">
        <v>1167</v>
      </c>
      <c r="D179" s="1046">
        <v>300</v>
      </c>
      <c r="E179" s="1047" t="s">
        <v>1174</v>
      </c>
    </row>
    <row r="180" spans="2:5">
      <c r="B180" s="949" t="s">
        <v>1175</v>
      </c>
      <c r="C180" s="947" t="s">
        <v>1167</v>
      </c>
      <c r="D180" s="1046">
        <f>18*19</f>
        <v>342</v>
      </c>
      <c r="E180" s="1047" t="s">
        <v>1174</v>
      </c>
    </row>
    <row r="181" spans="2:5">
      <c r="B181" s="949" t="s">
        <v>1176</v>
      </c>
      <c r="C181" s="947" t="s">
        <v>1167</v>
      </c>
      <c r="D181" s="1046">
        <f>+D179</f>
        <v>300</v>
      </c>
      <c r="E181" s="1047" t="s">
        <v>1174</v>
      </c>
    </row>
    <row r="182" spans="2:5">
      <c r="B182" s="949" t="s">
        <v>1177</v>
      </c>
      <c r="C182" s="947" t="s">
        <v>1167</v>
      </c>
      <c r="D182" s="1046">
        <f>+D180</f>
        <v>342</v>
      </c>
      <c r="E182" s="1047" t="s">
        <v>1174</v>
      </c>
    </row>
    <row r="183" spans="2:5">
      <c r="B183" s="949" t="s">
        <v>957</v>
      </c>
      <c r="C183" s="947" t="s">
        <v>1042</v>
      </c>
      <c r="D183" s="1046">
        <v>6700</v>
      </c>
      <c r="E183" s="1047" t="s">
        <v>1723</v>
      </c>
    </row>
    <row r="184" spans="2:5">
      <c r="B184" s="949" t="s">
        <v>994</v>
      </c>
      <c r="C184" s="947" t="s">
        <v>1042</v>
      </c>
      <c r="D184" s="1046">
        <v>6600</v>
      </c>
      <c r="E184" s="1047" t="s">
        <v>1723</v>
      </c>
    </row>
    <row r="185" spans="2:5">
      <c r="B185" s="949" t="s">
        <v>1178</v>
      </c>
      <c r="C185" s="947" t="s">
        <v>1042</v>
      </c>
      <c r="D185" s="1046">
        <v>7200</v>
      </c>
      <c r="E185" s="1047" t="s">
        <v>1179</v>
      </c>
    </row>
    <row r="186" spans="2:5">
      <c r="B186" s="949" t="s">
        <v>1180</v>
      </c>
      <c r="C186" s="947" t="s">
        <v>1042</v>
      </c>
      <c r="D186" s="1046">
        <v>7500</v>
      </c>
      <c r="E186" s="1047" t="s">
        <v>1179</v>
      </c>
    </row>
    <row r="187" spans="2:5" ht="31.5">
      <c r="B187" s="949" t="s">
        <v>1181</v>
      </c>
      <c r="C187" s="947" t="s">
        <v>1042</v>
      </c>
      <c r="D187" s="1046">
        <f>6655+230</f>
        <v>6885</v>
      </c>
    </row>
    <row r="188" spans="2:5">
      <c r="B188" s="949" t="s">
        <v>1182</v>
      </c>
      <c r="C188" s="947" t="s">
        <v>1183</v>
      </c>
      <c r="D188" s="1046">
        <v>1700</v>
      </c>
    </row>
    <row r="189" spans="2:5">
      <c r="B189" s="949" t="s">
        <v>1002</v>
      </c>
      <c r="C189" s="947" t="s">
        <v>1167</v>
      </c>
      <c r="D189" s="1046">
        <f>+D195</f>
        <v>1000</v>
      </c>
      <c r="E189" s="1047" t="s">
        <v>1174</v>
      </c>
    </row>
    <row r="190" spans="2:5">
      <c r="B190" s="949" t="s">
        <v>1184</v>
      </c>
      <c r="C190" s="947" t="s">
        <v>1167</v>
      </c>
      <c r="D190" s="1046">
        <f>40*18</f>
        <v>720</v>
      </c>
      <c r="E190" s="1047" t="s">
        <v>1174</v>
      </c>
    </row>
    <row r="191" spans="2:5">
      <c r="B191" s="949" t="s">
        <v>1185</v>
      </c>
      <c r="C191" s="947" t="s">
        <v>1186</v>
      </c>
      <c r="D191" s="1046">
        <f>24.8*58.7</f>
        <v>1455.76</v>
      </c>
    </row>
    <row r="192" spans="2:5">
      <c r="B192" s="949" t="s">
        <v>1187</v>
      </c>
      <c r="C192" s="947" t="s">
        <v>1186</v>
      </c>
      <c r="D192" s="1046">
        <f>20*58.7</f>
        <v>1174</v>
      </c>
    </row>
    <row r="193" spans="2:5">
      <c r="B193" s="949" t="s">
        <v>1188</v>
      </c>
      <c r="C193" s="947" t="s">
        <v>1062</v>
      </c>
      <c r="D193" s="1046">
        <v>3150</v>
      </c>
      <c r="E193" s="1047" t="s">
        <v>1720</v>
      </c>
    </row>
    <row r="194" spans="2:5">
      <c r="B194" s="949" t="s">
        <v>1189</v>
      </c>
      <c r="C194" s="947" t="s">
        <v>1190</v>
      </c>
      <c r="D194" s="1046">
        <v>58</v>
      </c>
    </row>
    <row r="195" spans="2:5">
      <c r="B195" s="949" t="s">
        <v>1191</v>
      </c>
      <c r="C195" s="947" t="s">
        <v>1042</v>
      </c>
      <c r="D195" s="1049">
        <v>1000</v>
      </c>
      <c r="E195" s="1047" t="s">
        <v>1174</v>
      </c>
    </row>
    <row r="196" spans="2:5">
      <c r="B196" s="949" t="s">
        <v>1192</v>
      </c>
      <c r="C196" s="947" t="s">
        <v>1042</v>
      </c>
      <c r="D196" s="1049">
        <v>900</v>
      </c>
      <c r="E196" s="1047" t="s">
        <v>1174</v>
      </c>
    </row>
    <row r="197" spans="2:5">
      <c r="B197" s="949" t="s">
        <v>1193</v>
      </c>
      <c r="C197" s="947" t="s">
        <v>1167</v>
      </c>
      <c r="D197" s="1046">
        <f>35*18</f>
        <v>630</v>
      </c>
      <c r="E197" s="1047" t="s">
        <v>1174</v>
      </c>
    </row>
    <row r="198" spans="2:5">
      <c r="B198" s="949" t="s">
        <v>1193</v>
      </c>
      <c r="C198" s="947" t="s">
        <v>1167</v>
      </c>
      <c r="D198" s="1046">
        <f>+D197</f>
        <v>630</v>
      </c>
      <c r="E198" s="1047" t="s">
        <v>1174</v>
      </c>
    </row>
    <row r="199" spans="2:5">
      <c r="B199" s="949" t="s">
        <v>936</v>
      </c>
      <c r="C199" s="947" t="s">
        <v>1042</v>
      </c>
      <c r="D199" s="1046">
        <v>500</v>
      </c>
      <c r="E199" s="1047" t="s">
        <v>1174</v>
      </c>
    </row>
    <row r="200" spans="2:5">
      <c r="B200" s="949" t="s">
        <v>940</v>
      </c>
      <c r="C200" s="947" t="s">
        <v>1042</v>
      </c>
      <c r="D200" s="1046">
        <v>550</v>
      </c>
      <c r="E200" s="1047" t="s">
        <v>1174</v>
      </c>
    </row>
    <row r="201" spans="2:5">
      <c r="B201" s="949" t="s">
        <v>937</v>
      </c>
      <c r="C201" s="947" t="s">
        <v>1167</v>
      </c>
      <c r="D201" s="1050">
        <f>18*19</f>
        <v>342</v>
      </c>
      <c r="E201" s="1047" t="s">
        <v>1174</v>
      </c>
    </row>
    <row r="202" spans="2:5">
      <c r="B202" s="949" t="s">
        <v>990</v>
      </c>
      <c r="C202" s="947" t="s">
        <v>1042</v>
      </c>
      <c r="D202" s="1046">
        <v>200</v>
      </c>
      <c r="E202" s="1047" t="s">
        <v>1174</v>
      </c>
    </row>
    <row r="203" spans="2:5">
      <c r="B203" s="949" t="s">
        <v>991</v>
      </c>
      <c r="C203" s="947" t="s">
        <v>1167</v>
      </c>
      <c r="D203" s="1046">
        <f>25*20</f>
        <v>500</v>
      </c>
      <c r="E203" s="1047" t="s">
        <v>1174</v>
      </c>
    </row>
    <row r="204" spans="2:5">
      <c r="B204" s="949" t="s">
        <v>1004</v>
      </c>
      <c r="C204" s="947" t="s">
        <v>1183</v>
      </c>
      <c r="D204" s="1046">
        <v>1</v>
      </c>
    </row>
    <row r="205" spans="2:5" ht="31.5">
      <c r="B205" s="949" t="s">
        <v>1194</v>
      </c>
      <c r="C205" s="947" t="s">
        <v>1190</v>
      </c>
      <c r="D205" s="1046">
        <v>50</v>
      </c>
      <c r="E205" s="1047" t="s">
        <v>1195</v>
      </c>
    </row>
    <row r="206" spans="2:5" ht="31.5">
      <c r="B206" s="949" t="s">
        <v>915</v>
      </c>
      <c r="C206" s="947" t="s">
        <v>1196</v>
      </c>
      <c r="D206" s="1046">
        <v>65</v>
      </c>
      <c r="E206" s="1047" t="s">
        <v>1195</v>
      </c>
    </row>
    <row r="207" spans="2:5">
      <c r="B207" s="949" t="s">
        <v>916</v>
      </c>
      <c r="C207" s="947" t="s">
        <v>1197</v>
      </c>
      <c r="D207" s="1046">
        <v>65</v>
      </c>
      <c r="E207" s="1047" t="s">
        <v>1198</v>
      </c>
    </row>
    <row r="208" spans="2:5" ht="31.5">
      <c r="B208" s="949" t="s">
        <v>1199</v>
      </c>
      <c r="C208" s="947" t="s">
        <v>1056</v>
      </c>
      <c r="D208" s="1046">
        <v>250</v>
      </c>
      <c r="E208" s="1047" t="s">
        <v>1195</v>
      </c>
    </row>
    <row r="209" spans="2:4">
      <c r="B209" s="949" t="s">
        <v>1662</v>
      </c>
      <c r="C209" s="947" t="s">
        <v>1617</v>
      </c>
      <c r="D209" s="1046">
        <v>25000</v>
      </c>
    </row>
    <row r="210" spans="2:4">
      <c r="B210" s="949" t="s">
        <v>1583</v>
      </c>
      <c r="C210" s="947" t="s">
        <v>1557</v>
      </c>
      <c r="D210" s="1046">
        <v>280</v>
      </c>
    </row>
    <row r="211" spans="2:4">
      <c r="B211" s="949" t="s">
        <v>1584</v>
      </c>
      <c r="C211" s="947" t="s">
        <v>1557</v>
      </c>
      <c r="D211" s="1046">
        <v>280</v>
      </c>
    </row>
    <row r="212" spans="2:4">
      <c r="B212" s="949" t="s">
        <v>1686</v>
      </c>
      <c r="C212" s="947" t="s">
        <v>1000</v>
      </c>
      <c r="D212" s="1046">
        <v>1840</v>
      </c>
    </row>
    <row r="213" spans="2:4">
      <c r="B213" s="949" t="s">
        <v>1685</v>
      </c>
      <c r="C213" s="947" t="s">
        <v>1042</v>
      </c>
      <c r="D213" s="1046">
        <v>1350</v>
      </c>
    </row>
    <row r="214" spans="2:4">
      <c r="B214" s="949" t="s">
        <v>1590</v>
      </c>
      <c r="C214" s="947" t="s">
        <v>1000</v>
      </c>
      <c r="D214" s="1046">
        <v>1850</v>
      </c>
    </row>
    <row r="215" spans="2:4">
      <c r="B215" s="949" t="s">
        <v>1595</v>
      </c>
      <c r="C215" s="947" t="s">
        <v>1000</v>
      </c>
      <c r="D215" s="1046">
        <v>1850</v>
      </c>
    </row>
    <row r="216" spans="2:4">
      <c r="B216" s="949" t="s">
        <v>1591</v>
      </c>
      <c r="C216" s="947" t="s">
        <v>1088</v>
      </c>
      <c r="D216" s="1046">
        <v>750</v>
      </c>
    </row>
    <row r="217" spans="2:4">
      <c r="B217" s="949" t="s">
        <v>1592</v>
      </c>
      <c r="C217" s="947" t="s">
        <v>1088</v>
      </c>
      <c r="D217" s="1046">
        <v>750</v>
      </c>
    </row>
    <row r="218" spans="2:4">
      <c r="B218" s="949" t="s">
        <v>1593</v>
      </c>
      <c r="C218" s="947" t="s">
        <v>1000</v>
      </c>
      <c r="D218" s="1046">
        <v>1550</v>
      </c>
    </row>
    <row r="219" spans="2:4">
      <c r="B219" s="949" t="s">
        <v>1594</v>
      </c>
      <c r="C219" s="947" t="s">
        <v>1000</v>
      </c>
      <c r="D219" s="1046">
        <v>1400</v>
      </c>
    </row>
    <row r="220" spans="2:4">
      <c r="B220" s="949" t="s">
        <v>1659</v>
      </c>
      <c r="C220" s="947" t="s">
        <v>1056</v>
      </c>
      <c r="D220" s="1046">
        <v>6300.2</v>
      </c>
    </row>
    <row r="221" spans="2:4">
      <c r="B221" s="949" t="s">
        <v>1596</v>
      </c>
      <c r="C221" s="947" t="s">
        <v>1056</v>
      </c>
      <c r="D221" s="1046">
        <v>12550</v>
      </c>
    </row>
    <row r="222" spans="2:4">
      <c r="B222" s="949" t="s">
        <v>1597</v>
      </c>
      <c r="C222" s="947" t="s">
        <v>1056</v>
      </c>
      <c r="D222" s="1046">
        <v>10818.43</v>
      </c>
    </row>
    <row r="223" spans="2:4">
      <c r="B223" s="949" t="s">
        <v>1687</v>
      </c>
      <c r="C223" s="947" t="s">
        <v>1056</v>
      </c>
      <c r="D223" s="1046">
        <v>12490.3</v>
      </c>
    </row>
    <row r="224" spans="2:4">
      <c r="B224" s="949" t="s">
        <v>1688</v>
      </c>
      <c r="C224" s="947" t="s">
        <v>1000</v>
      </c>
      <c r="D224" s="1046">
        <v>2600</v>
      </c>
    </row>
    <row r="225" spans="2:4">
      <c r="B225" s="949" t="s">
        <v>1598</v>
      </c>
      <c r="C225" s="947" t="s">
        <v>1056</v>
      </c>
      <c r="D225" s="1046">
        <v>12500.36</v>
      </c>
    </row>
    <row r="226" spans="2:4">
      <c r="B226" s="949" t="s">
        <v>1599</v>
      </c>
      <c r="C226" s="947" t="s">
        <v>1056</v>
      </c>
      <c r="D226" s="1046">
        <v>5010.2700000000004</v>
      </c>
    </row>
    <row r="227" spans="2:4">
      <c r="B227" s="949" t="s">
        <v>1600</v>
      </c>
      <c r="C227" s="947" t="s">
        <v>1056</v>
      </c>
      <c r="D227" s="1046">
        <v>5360</v>
      </c>
    </row>
    <row r="228" spans="2:4">
      <c r="B228" s="949" t="s">
        <v>1601</v>
      </c>
      <c r="C228" s="947" t="s">
        <v>1056</v>
      </c>
      <c r="D228" s="1046">
        <v>1355.36</v>
      </c>
    </row>
    <row r="229" spans="2:4">
      <c r="B229" s="949" t="s">
        <v>1602</v>
      </c>
      <c r="C229" s="947" t="s">
        <v>1056</v>
      </c>
      <c r="D229" s="1046">
        <v>2530</v>
      </c>
    </row>
    <row r="230" spans="2:4">
      <c r="B230" s="949" t="s">
        <v>1603</v>
      </c>
      <c r="C230" s="947" t="s">
        <v>1056</v>
      </c>
      <c r="D230" s="1046">
        <v>1355.36</v>
      </c>
    </row>
    <row r="231" spans="2:4">
      <c r="B231" s="949" t="s">
        <v>1658</v>
      </c>
      <c r="C231" s="947" t="s">
        <v>1056</v>
      </c>
      <c r="D231" s="1046">
        <v>1759.3</v>
      </c>
    </row>
    <row r="232" spans="2:4">
      <c r="B232" s="949" t="s">
        <v>1604</v>
      </c>
      <c r="C232" s="947" t="s">
        <v>1056</v>
      </c>
      <c r="D232" s="1046">
        <f>+D230*1.5</f>
        <v>2033.04</v>
      </c>
    </row>
    <row r="233" spans="2:4">
      <c r="B233" s="949" t="s">
        <v>1605</v>
      </c>
      <c r="C233" s="947" t="s">
        <v>1056</v>
      </c>
      <c r="D233" s="1046">
        <v>9681.15</v>
      </c>
    </row>
    <row r="234" spans="2:4">
      <c r="B234" s="949" t="s">
        <v>1606</v>
      </c>
      <c r="C234" s="947" t="s">
        <v>1056</v>
      </c>
      <c r="D234" s="1046">
        <v>5056.96</v>
      </c>
    </row>
    <row r="235" spans="2:4">
      <c r="B235" s="949" t="s">
        <v>1607</v>
      </c>
      <c r="C235" s="947" t="s">
        <v>1056</v>
      </c>
      <c r="D235" s="1046">
        <v>134613.47</v>
      </c>
    </row>
    <row r="236" spans="2:4">
      <c r="B236" s="949" t="s">
        <v>1608</v>
      </c>
      <c r="C236" s="947" t="s">
        <v>1056</v>
      </c>
      <c r="D236" s="1046">
        <v>64843.11</v>
      </c>
    </row>
    <row r="237" spans="2:4">
      <c r="B237" s="949" t="s">
        <v>1609</v>
      </c>
      <c r="C237" s="947" t="s">
        <v>1056</v>
      </c>
      <c r="D237" s="1046">
        <v>2360</v>
      </c>
    </row>
    <row r="238" spans="2:4">
      <c r="B238" s="949" t="s">
        <v>1610</v>
      </c>
      <c r="C238" s="947" t="s">
        <v>1056</v>
      </c>
      <c r="D238" s="1046">
        <v>13000</v>
      </c>
    </row>
    <row r="239" spans="2:4">
      <c r="B239" s="949" t="s">
        <v>1612</v>
      </c>
      <c r="C239" s="947" t="s">
        <v>1056</v>
      </c>
      <c r="D239" s="1046">
        <v>340000</v>
      </c>
    </row>
    <row r="240" spans="2:4">
      <c r="B240" s="949" t="s">
        <v>1611</v>
      </c>
      <c r="C240" s="947" t="s">
        <v>1056</v>
      </c>
      <c r="D240" s="1046">
        <v>75500</v>
      </c>
    </row>
    <row r="241" spans="2:4">
      <c r="B241" s="949" t="s">
        <v>1613</v>
      </c>
      <c r="C241" s="947" t="s">
        <v>1056</v>
      </c>
      <c r="D241" s="1046">
        <v>9000</v>
      </c>
    </row>
    <row r="242" spans="2:4">
      <c r="B242" s="949" t="s">
        <v>1614</v>
      </c>
      <c r="C242" s="947" t="s">
        <v>1056</v>
      </c>
      <c r="D242" s="1046">
        <v>12000</v>
      </c>
    </row>
    <row r="243" spans="2:4">
      <c r="B243" s="949" t="s">
        <v>1615</v>
      </c>
      <c r="C243" s="947" t="s">
        <v>1000</v>
      </c>
      <c r="D243" s="1046">
        <v>1500</v>
      </c>
    </row>
    <row r="244" spans="2:4">
      <c r="B244" s="949" t="s">
        <v>1616</v>
      </c>
      <c r="C244" s="947" t="s">
        <v>1617</v>
      </c>
      <c r="D244" s="1046">
        <v>35000</v>
      </c>
    </row>
    <row r="245" spans="2:4">
      <c r="B245" s="949" t="s">
        <v>1618</v>
      </c>
      <c r="C245" s="947" t="s">
        <v>1617</v>
      </c>
      <c r="D245" s="1046">
        <v>12000</v>
      </c>
    </row>
    <row r="246" spans="2:4">
      <c r="B246" s="949" t="s">
        <v>1619</v>
      </c>
      <c r="C246" s="947" t="s">
        <v>1617</v>
      </c>
      <c r="D246" s="1046">
        <v>15000</v>
      </c>
    </row>
    <row r="247" spans="2:4">
      <c r="B247" s="949" t="s">
        <v>1657</v>
      </c>
      <c r="C247" s="947" t="s">
        <v>1056</v>
      </c>
      <c r="D247" s="1046">
        <v>3757.4</v>
      </c>
    </row>
    <row r="248" spans="2:4">
      <c r="B248" s="949" t="s">
        <v>1620</v>
      </c>
      <c r="C248" s="947" t="s">
        <v>1056</v>
      </c>
      <c r="D248" s="1046">
        <v>1907</v>
      </c>
    </row>
    <row r="249" spans="2:4">
      <c r="B249" s="949" t="s">
        <v>1621</v>
      </c>
      <c r="C249" s="947" t="s">
        <v>1056</v>
      </c>
      <c r="D249" s="1046">
        <v>1936</v>
      </c>
    </row>
    <row r="250" spans="2:4">
      <c r="B250" s="949" t="s">
        <v>1623</v>
      </c>
      <c r="C250" s="947" t="s">
        <v>1056</v>
      </c>
      <c r="D250" s="1046">
        <v>1996</v>
      </c>
    </row>
    <row r="251" spans="2:4">
      <c r="B251" s="949" t="s">
        <v>1622</v>
      </c>
      <c r="C251" s="947" t="s">
        <v>1056</v>
      </c>
      <c r="D251" s="1046">
        <v>2133</v>
      </c>
    </row>
    <row r="252" spans="2:4">
      <c r="B252" s="949" t="s">
        <v>1624</v>
      </c>
      <c r="C252" s="947" t="s">
        <v>1056</v>
      </c>
      <c r="D252" s="1046">
        <v>3098</v>
      </c>
    </row>
    <row r="253" spans="2:4">
      <c r="B253" s="949" t="s">
        <v>1625</v>
      </c>
      <c r="C253" s="947" t="s">
        <v>1056</v>
      </c>
      <c r="D253" s="1046">
        <v>5350</v>
      </c>
    </row>
    <row r="254" spans="2:4">
      <c r="B254" s="949" t="s">
        <v>1626</v>
      </c>
      <c r="C254" s="947" t="s">
        <v>1056</v>
      </c>
      <c r="D254" s="1046">
        <v>1050</v>
      </c>
    </row>
    <row r="255" spans="2:4">
      <c r="B255" s="949" t="s">
        <v>1627</v>
      </c>
      <c r="C255" s="947" t="s">
        <v>1056</v>
      </c>
      <c r="D255" s="1046">
        <v>32409</v>
      </c>
    </row>
    <row r="256" spans="2:4">
      <c r="B256" s="949" t="s">
        <v>1628</v>
      </c>
      <c r="C256" s="947" t="s">
        <v>1056</v>
      </c>
      <c r="D256" s="1046">
        <v>750</v>
      </c>
    </row>
    <row r="257" spans="2:4">
      <c r="B257" s="949" t="s">
        <v>1629</v>
      </c>
      <c r="C257" s="947" t="s">
        <v>1056</v>
      </c>
      <c r="D257" s="1046">
        <v>1050</v>
      </c>
    </row>
    <row r="258" spans="2:4">
      <c r="B258" s="949" t="s">
        <v>1630</v>
      </c>
      <c r="C258" s="947" t="s">
        <v>1056</v>
      </c>
      <c r="D258" s="1046">
        <v>1800</v>
      </c>
    </row>
    <row r="259" spans="2:4">
      <c r="B259" s="949" t="s">
        <v>1631</v>
      </c>
      <c r="C259" s="947" t="s">
        <v>1056</v>
      </c>
      <c r="D259" s="1046">
        <v>8342.2999999999993</v>
      </c>
    </row>
    <row r="260" spans="2:4">
      <c r="B260" s="949" t="s">
        <v>1632</v>
      </c>
      <c r="C260" s="947" t="s">
        <v>1056</v>
      </c>
      <c r="D260" s="1046">
        <v>4500</v>
      </c>
    </row>
    <row r="261" spans="2:4">
      <c r="B261" s="949" t="s">
        <v>1633</v>
      </c>
      <c r="C261" s="947" t="s">
        <v>1056</v>
      </c>
      <c r="D261" s="1046">
        <v>35000</v>
      </c>
    </row>
    <row r="262" spans="2:4">
      <c r="B262" s="949" t="s">
        <v>1634</v>
      </c>
      <c r="C262" s="947" t="s">
        <v>406</v>
      </c>
      <c r="D262" s="1046">
        <v>2800</v>
      </c>
    </row>
    <row r="263" spans="2:4">
      <c r="B263" s="949" t="s">
        <v>1635</v>
      </c>
      <c r="C263" s="947" t="s">
        <v>406</v>
      </c>
      <c r="D263" s="1046">
        <v>2800</v>
      </c>
    </row>
    <row r="264" spans="2:4">
      <c r="B264" s="949" t="s">
        <v>1636</v>
      </c>
      <c r="C264" s="947" t="s">
        <v>500</v>
      </c>
      <c r="D264" s="1046">
        <v>4500</v>
      </c>
    </row>
    <row r="265" spans="2:4">
      <c r="B265" s="949" t="s">
        <v>1637</v>
      </c>
      <c r="C265" s="947" t="s">
        <v>406</v>
      </c>
      <c r="D265" s="1046">
        <v>1300</v>
      </c>
    </row>
    <row r="266" spans="2:4">
      <c r="B266" s="949" t="s">
        <v>1638</v>
      </c>
      <c r="C266" s="947" t="s">
        <v>140</v>
      </c>
      <c r="D266" s="1046">
        <v>13000</v>
      </c>
    </row>
    <row r="267" spans="2:4">
      <c r="B267" s="949" t="s">
        <v>1639</v>
      </c>
      <c r="C267" s="947" t="s">
        <v>1056</v>
      </c>
      <c r="D267" s="1046">
        <v>3500</v>
      </c>
    </row>
    <row r="268" spans="2:4">
      <c r="B268" s="949" t="s">
        <v>1640</v>
      </c>
      <c r="C268" s="947" t="s">
        <v>1109</v>
      </c>
      <c r="D268" s="1046">
        <v>2790</v>
      </c>
    </row>
    <row r="269" spans="2:4">
      <c r="B269" s="949" t="s">
        <v>1641</v>
      </c>
      <c r="C269" s="947" t="s">
        <v>1409</v>
      </c>
      <c r="D269" s="1046">
        <v>1600</v>
      </c>
    </row>
    <row r="270" spans="2:4">
      <c r="B270" s="949" t="s">
        <v>1642</v>
      </c>
      <c r="C270" s="947" t="s">
        <v>1109</v>
      </c>
      <c r="D270" s="1046">
        <v>9000</v>
      </c>
    </row>
    <row r="271" spans="2:4">
      <c r="B271" s="949" t="s">
        <v>1643</v>
      </c>
      <c r="C271" s="947" t="s">
        <v>1109</v>
      </c>
      <c r="D271" s="1046">
        <v>7000</v>
      </c>
    </row>
    <row r="272" spans="2:4">
      <c r="B272" s="949" t="s">
        <v>1644</v>
      </c>
      <c r="C272" s="947" t="s">
        <v>1056</v>
      </c>
      <c r="D272" s="1046">
        <v>12000</v>
      </c>
    </row>
    <row r="273" spans="2:4">
      <c r="B273" s="949" t="s">
        <v>1645</v>
      </c>
      <c r="C273" s="947" t="s">
        <v>1088</v>
      </c>
      <c r="D273" s="1046">
        <v>150</v>
      </c>
    </row>
    <row r="274" spans="2:4">
      <c r="B274" s="949" t="s">
        <v>1646</v>
      </c>
      <c r="C274" s="947" t="s">
        <v>1557</v>
      </c>
      <c r="D274" s="1046">
        <v>4500</v>
      </c>
    </row>
    <row r="275" spans="2:4">
      <c r="B275" s="949" t="s">
        <v>1647</v>
      </c>
      <c r="C275" s="947" t="s">
        <v>1056</v>
      </c>
      <c r="D275" s="1046">
        <v>1300</v>
      </c>
    </row>
    <row r="276" spans="2:4">
      <c r="B276" s="949" t="s">
        <v>1648</v>
      </c>
      <c r="C276" s="947" t="s">
        <v>1056</v>
      </c>
      <c r="D276" s="1046">
        <v>7800</v>
      </c>
    </row>
    <row r="277" spans="2:4">
      <c r="B277" s="949" t="s">
        <v>1649</v>
      </c>
      <c r="C277" s="947" t="s">
        <v>140</v>
      </c>
      <c r="D277" s="1046">
        <v>6000</v>
      </c>
    </row>
    <row r="278" spans="2:4">
      <c r="B278" s="949" t="s">
        <v>1650</v>
      </c>
      <c r="C278" s="947" t="s">
        <v>1056</v>
      </c>
      <c r="D278" s="1046">
        <v>3915</v>
      </c>
    </row>
    <row r="279" spans="2:4">
      <c r="B279" s="949" t="s">
        <v>1653</v>
      </c>
      <c r="C279" s="947" t="s">
        <v>1617</v>
      </c>
      <c r="D279" s="1046">
        <v>3000</v>
      </c>
    </row>
    <row r="280" spans="2:4">
      <c r="B280" s="949" t="s">
        <v>1660</v>
      </c>
      <c r="C280" s="947" t="s">
        <v>1056</v>
      </c>
      <c r="D280" s="1046">
        <v>800</v>
      </c>
    </row>
    <row r="281" spans="2:4">
      <c r="B281" s="949" t="s">
        <v>1661</v>
      </c>
      <c r="C281" s="947" t="s">
        <v>1109</v>
      </c>
      <c r="D281" s="1046">
        <v>13000</v>
      </c>
    </row>
    <row r="282" spans="2:4">
      <c r="B282" s="949" t="s">
        <v>1655</v>
      </c>
      <c r="C282" s="947" t="s">
        <v>140</v>
      </c>
      <c r="D282" s="1046">
        <v>12000</v>
      </c>
    </row>
    <row r="283" spans="2:4">
      <c r="B283" s="949" t="s">
        <v>1664</v>
      </c>
      <c r="C283" s="947" t="s">
        <v>1088</v>
      </c>
      <c r="D283" s="1046">
        <v>53.85</v>
      </c>
    </row>
    <row r="284" spans="2:4">
      <c r="B284" s="949" t="s">
        <v>1665</v>
      </c>
      <c r="C284" s="947" t="s">
        <v>1088</v>
      </c>
      <c r="D284" s="1046">
        <v>50</v>
      </c>
    </row>
    <row r="285" spans="2:4">
      <c r="B285" s="949" t="s">
        <v>1666</v>
      </c>
      <c r="C285" s="947" t="s">
        <v>1088</v>
      </c>
      <c r="D285" s="1046">
        <v>45.23</v>
      </c>
    </row>
    <row r="286" spans="2:4">
      <c r="B286" s="949" t="s">
        <v>1667</v>
      </c>
      <c r="C286" s="947" t="s">
        <v>1088</v>
      </c>
      <c r="D286" s="1046">
        <v>45.85</v>
      </c>
    </row>
    <row r="287" spans="2:4">
      <c r="B287" s="949" t="s">
        <v>1668</v>
      </c>
      <c r="C287" s="947" t="s">
        <v>1088</v>
      </c>
      <c r="D287" s="1046">
        <v>42.25</v>
      </c>
    </row>
    <row r="288" spans="2:4">
      <c r="B288" s="949" t="s">
        <v>1669</v>
      </c>
      <c r="C288" s="947" t="s">
        <v>1088</v>
      </c>
      <c r="D288" s="1046">
        <v>36.08</v>
      </c>
    </row>
    <row r="289" spans="2:4">
      <c r="B289" s="949" t="s">
        <v>1673</v>
      </c>
      <c r="C289" s="947" t="s">
        <v>1088</v>
      </c>
      <c r="D289" s="1046">
        <v>30.57</v>
      </c>
    </row>
    <row r="290" spans="2:4">
      <c r="B290" s="949" t="s">
        <v>1670</v>
      </c>
      <c r="C290" s="947" t="s">
        <v>1056</v>
      </c>
      <c r="D290" s="1046">
        <v>1225</v>
      </c>
    </row>
    <row r="291" spans="2:4">
      <c r="B291" s="949" t="s">
        <v>1671</v>
      </c>
      <c r="C291" s="947" t="s">
        <v>1056</v>
      </c>
      <c r="D291" s="1046">
        <v>960</v>
      </c>
    </row>
    <row r="292" spans="2:4">
      <c r="B292" s="949" t="s">
        <v>1672</v>
      </c>
      <c r="C292" s="947" t="s">
        <v>1056</v>
      </c>
      <c r="D292" s="1046">
        <v>860</v>
      </c>
    </row>
    <row r="293" spans="2:4">
      <c r="B293" s="949" t="s">
        <v>1674</v>
      </c>
      <c r="C293" s="947" t="s">
        <v>1056</v>
      </c>
      <c r="D293" s="1046">
        <v>1845.98</v>
      </c>
    </row>
    <row r="294" spans="2:4">
      <c r="B294" s="949" t="s">
        <v>1675</v>
      </c>
      <c r="C294" s="947" t="s">
        <v>1056</v>
      </c>
      <c r="D294" s="1046">
        <v>9350</v>
      </c>
    </row>
    <row r="295" spans="2:4">
      <c r="B295" s="949" t="s">
        <v>1676</v>
      </c>
      <c r="C295" s="947" t="s">
        <v>1000</v>
      </c>
      <c r="D295" s="1046">
        <v>1450.3</v>
      </c>
    </row>
    <row r="296" spans="2:4">
      <c r="B296" s="949" t="s">
        <v>1677</v>
      </c>
      <c r="C296" s="947" t="s">
        <v>1088</v>
      </c>
      <c r="D296" s="1046">
        <f>1451.3/6</f>
        <v>241.88</v>
      </c>
    </row>
    <row r="297" spans="2:4">
      <c r="B297" s="949" t="s">
        <v>1678</v>
      </c>
      <c r="C297" s="947" t="s">
        <v>1679</v>
      </c>
      <c r="D297" s="1046">
        <v>860</v>
      </c>
    </row>
    <row r="298" spans="2:4">
      <c r="B298" s="949" t="s">
        <v>1680</v>
      </c>
      <c r="C298" s="947" t="s">
        <v>1409</v>
      </c>
      <c r="D298" s="1046">
        <v>170</v>
      </c>
    </row>
    <row r="299" spans="2:4" ht="47.25">
      <c r="B299" s="949" t="s">
        <v>1681</v>
      </c>
      <c r="C299" s="947" t="s">
        <v>1056</v>
      </c>
      <c r="D299" s="1046">
        <v>35000</v>
      </c>
    </row>
    <row r="300" spans="2:4" ht="47.25">
      <c r="B300" s="949" t="s">
        <v>1682</v>
      </c>
      <c r="C300" s="947" t="s">
        <v>1000</v>
      </c>
      <c r="D300" s="1046">
        <v>12600</v>
      </c>
    </row>
    <row r="301" spans="2:4">
      <c r="B301" s="949" t="s">
        <v>1689</v>
      </c>
      <c r="C301" s="947" t="s">
        <v>1056</v>
      </c>
      <c r="D301" s="1046">
        <v>1300</v>
      </c>
    </row>
    <row r="302" spans="2:4">
      <c r="B302" s="949" t="s">
        <v>1690</v>
      </c>
      <c r="C302" s="947" t="s">
        <v>1056</v>
      </c>
      <c r="D302" s="1046">
        <v>980</v>
      </c>
    </row>
    <row r="303" spans="2:4">
      <c r="B303" s="949" t="s">
        <v>1691</v>
      </c>
      <c r="C303" s="947" t="s">
        <v>1056</v>
      </c>
      <c r="D303" s="1046">
        <v>4900</v>
      </c>
    </row>
    <row r="304" spans="2:4">
      <c r="B304" s="949" t="s">
        <v>1692</v>
      </c>
      <c r="C304" s="947" t="s">
        <v>1056</v>
      </c>
      <c r="D304" s="1046">
        <v>6000</v>
      </c>
    </row>
    <row r="305" spans="2:5">
      <c r="B305" s="949" t="s">
        <v>1693</v>
      </c>
      <c r="C305" s="947" t="s">
        <v>1056</v>
      </c>
      <c r="D305" s="1046">
        <v>2600</v>
      </c>
    </row>
    <row r="306" spans="2:5">
      <c r="B306" s="949" t="s">
        <v>1694</v>
      </c>
      <c r="C306" s="947" t="s">
        <v>1056</v>
      </c>
      <c r="D306" s="1046">
        <f>18350*1.18</f>
        <v>21653</v>
      </c>
    </row>
    <row r="307" spans="2:5">
      <c r="B307" s="949" t="s">
        <v>1695</v>
      </c>
      <c r="C307" s="947" t="s">
        <v>1109</v>
      </c>
      <c r="D307" s="1046">
        <v>40000</v>
      </c>
    </row>
    <row r="308" spans="2:5" ht="31.5">
      <c r="B308" s="949" t="s">
        <v>1696</v>
      </c>
      <c r="C308" s="947" t="s">
        <v>1409</v>
      </c>
      <c r="D308" s="1046">
        <v>280</v>
      </c>
      <c r="E308" s="1047" t="s">
        <v>1727</v>
      </c>
    </row>
    <row r="309" spans="2:5">
      <c r="B309" s="949" t="s">
        <v>1700</v>
      </c>
      <c r="C309" s="947" t="s">
        <v>1056</v>
      </c>
      <c r="D309" s="1046">
        <v>9800</v>
      </c>
    </row>
    <row r="310" spans="2:5">
      <c r="B310" s="949" t="s">
        <v>1701</v>
      </c>
      <c r="C310" s="947" t="s">
        <v>1056</v>
      </c>
      <c r="D310" s="1046">
        <v>6500</v>
      </c>
    </row>
    <row r="311" spans="2:5">
      <c r="B311" s="949" t="s">
        <v>1702</v>
      </c>
      <c r="C311" s="947" t="s">
        <v>1056</v>
      </c>
      <c r="D311" s="1046">
        <v>6500</v>
      </c>
    </row>
    <row r="312" spans="2:5">
      <c r="B312" s="949" t="s">
        <v>1703</v>
      </c>
      <c r="C312" s="947" t="s">
        <v>1056</v>
      </c>
      <c r="D312" s="1046">
        <v>9560</v>
      </c>
    </row>
    <row r="313" spans="2:5" ht="31.5">
      <c r="B313" s="949" t="s">
        <v>1003</v>
      </c>
      <c r="D313" s="1046">
        <v>400</v>
      </c>
      <c r="E313" s="1047" t="s">
        <v>1195</v>
      </c>
    </row>
    <row r="314" spans="2:5">
      <c r="B314" s="949" t="s">
        <v>1200</v>
      </c>
      <c r="C314" s="947" t="s">
        <v>1056</v>
      </c>
      <c r="D314" s="1046">
        <v>44</v>
      </c>
      <c r="E314" s="1047" t="s">
        <v>1170</v>
      </c>
    </row>
    <row r="315" spans="2:5">
      <c r="B315" s="949" t="s">
        <v>1201</v>
      </c>
      <c r="C315" s="947" t="s">
        <v>1056</v>
      </c>
      <c r="D315" s="1046">
        <f>31.17*1.18</f>
        <v>36.78</v>
      </c>
      <c r="E315" s="1047" t="s">
        <v>1170</v>
      </c>
    </row>
    <row r="316" spans="2:5">
      <c r="B316" s="949" t="s">
        <v>1578</v>
      </c>
      <c r="C316" s="947" t="s">
        <v>1056</v>
      </c>
      <c r="D316" s="1046">
        <v>25</v>
      </c>
      <c r="E316" s="1047" t="s">
        <v>1170</v>
      </c>
    </row>
    <row r="317" spans="2:5">
      <c r="B317" s="949" t="s">
        <v>1202</v>
      </c>
      <c r="C317" s="947" t="s">
        <v>1056</v>
      </c>
      <c r="D317" s="1046">
        <v>8</v>
      </c>
      <c r="E317" s="1047" t="s">
        <v>1170</v>
      </c>
    </row>
    <row r="318" spans="2:5">
      <c r="B318" s="949" t="s">
        <v>1203</v>
      </c>
      <c r="C318" s="947" t="s">
        <v>1056</v>
      </c>
      <c r="D318" s="1046">
        <v>5</v>
      </c>
      <c r="E318" s="1047" t="s">
        <v>1170</v>
      </c>
    </row>
    <row r="319" spans="2:5">
      <c r="B319" s="949" t="s">
        <v>1579</v>
      </c>
      <c r="C319" s="947" t="s">
        <v>1056</v>
      </c>
      <c r="D319" s="1046">
        <v>3</v>
      </c>
      <c r="E319" s="1047" t="s">
        <v>1170</v>
      </c>
    </row>
    <row r="320" spans="2:5">
      <c r="B320" s="949" t="s">
        <v>962</v>
      </c>
      <c r="C320" s="947" t="s">
        <v>1042</v>
      </c>
      <c r="D320" s="1046">
        <v>9560</v>
      </c>
    </row>
    <row r="321" spans="2:5">
      <c r="B321" s="949" t="s">
        <v>1204</v>
      </c>
      <c r="C321" s="947" t="s">
        <v>1042</v>
      </c>
      <c r="D321" s="1046">
        <v>6174</v>
      </c>
    </row>
    <row r="322" spans="2:5">
      <c r="B322" s="949" t="s">
        <v>1205</v>
      </c>
      <c r="C322" s="947" t="s">
        <v>1042</v>
      </c>
      <c r="D322" s="1046">
        <v>5985</v>
      </c>
    </row>
    <row r="323" spans="2:5">
      <c r="B323" s="949" t="s">
        <v>958</v>
      </c>
      <c r="C323" s="947" t="s">
        <v>1042</v>
      </c>
      <c r="D323" s="1046">
        <v>6820</v>
      </c>
    </row>
    <row r="324" spans="2:5">
      <c r="B324" s="949" t="s">
        <v>1206</v>
      </c>
      <c r="C324" s="947" t="s">
        <v>1197</v>
      </c>
      <c r="D324" s="1046">
        <v>230</v>
      </c>
      <c r="E324" s="1047" t="s">
        <v>1207</v>
      </c>
    </row>
    <row r="325" spans="2:5">
      <c r="B325" s="949" t="s">
        <v>1208</v>
      </c>
      <c r="C325" s="947" t="s">
        <v>1183</v>
      </c>
      <c r="D325" s="1046">
        <v>1025</v>
      </c>
      <c r="E325" s="1047" t="s">
        <v>1207</v>
      </c>
    </row>
    <row r="326" spans="2:5">
      <c r="B326" s="949" t="s">
        <v>1684</v>
      </c>
      <c r="C326" s="947" t="s">
        <v>1183</v>
      </c>
      <c r="D326" s="1046">
        <v>1025</v>
      </c>
      <c r="E326" s="1047" t="s">
        <v>1207</v>
      </c>
    </row>
    <row r="327" spans="2:5">
      <c r="B327" s="949" t="s">
        <v>1209</v>
      </c>
      <c r="C327" s="947" t="s">
        <v>1025</v>
      </c>
      <c r="D327" s="1046">
        <v>0</v>
      </c>
    </row>
    <row r="328" spans="2:5">
      <c r="B328" s="949" t="s">
        <v>1210</v>
      </c>
      <c r="C328" s="947" t="s">
        <v>1050</v>
      </c>
      <c r="D328" s="1048">
        <v>33</v>
      </c>
      <c r="E328" s="1051"/>
    </row>
    <row r="329" spans="2:5">
      <c r="B329" s="949" t="s">
        <v>1211</v>
      </c>
      <c r="C329" s="947" t="s">
        <v>1050</v>
      </c>
      <c r="D329" s="1048">
        <v>611</v>
      </c>
      <c r="E329" s="1051"/>
    </row>
    <row r="330" spans="2:5">
      <c r="B330" s="949" t="s">
        <v>1212</v>
      </c>
      <c r="C330" s="947" t="s">
        <v>1190</v>
      </c>
      <c r="D330" s="1048">
        <v>43</v>
      </c>
      <c r="E330" s="1051"/>
    </row>
    <row r="331" spans="2:5">
      <c r="B331" s="949" t="s">
        <v>1213</v>
      </c>
      <c r="C331" s="947" t="s">
        <v>1050</v>
      </c>
      <c r="D331" s="1048">
        <v>178</v>
      </c>
      <c r="E331" s="1051"/>
    </row>
    <row r="332" spans="2:5">
      <c r="B332" s="949" t="s">
        <v>1214</v>
      </c>
      <c r="C332" s="947" t="s">
        <v>1050</v>
      </c>
      <c r="D332" s="1048">
        <v>62</v>
      </c>
      <c r="E332" s="1051"/>
    </row>
    <row r="333" spans="2:5">
      <c r="B333" s="949" t="s">
        <v>1215</v>
      </c>
      <c r="C333" s="947" t="s">
        <v>1050</v>
      </c>
      <c r="D333" s="1048">
        <v>52</v>
      </c>
      <c r="E333" s="1051"/>
    </row>
    <row r="334" spans="2:5">
      <c r="B334" s="949" t="s">
        <v>1216</v>
      </c>
      <c r="C334" s="947" t="s">
        <v>1050</v>
      </c>
      <c r="D334" s="1048">
        <v>188</v>
      </c>
      <c r="E334" s="1051"/>
    </row>
    <row r="335" spans="2:5">
      <c r="B335" s="949" t="s">
        <v>1217</v>
      </c>
      <c r="C335" s="947" t="s">
        <v>1050</v>
      </c>
      <c r="D335" s="1048">
        <v>63</v>
      </c>
      <c r="E335" s="1051"/>
    </row>
    <row r="336" spans="2:5">
      <c r="B336" s="949" t="s">
        <v>1210</v>
      </c>
      <c r="C336" s="947" t="s">
        <v>1050</v>
      </c>
      <c r="D336" s="1048">
        <v>33</v>
      </c>
      <c r="E336" s="1051"/>
    </row>
    <row r="337" spans="2:5">
      <c r="B337" s="949" t="s">
        <v>1218</v>
      </c>
      <c r="C337" s="947" t="s">
        <v>1050</v>
      </c>
      <c r="D337" s="1048">
        <v>1139</v>
      </c>
      <c r="E337" s="1051"/>
    </row>
    <row r="338" spans="2:5">
      <c r="B338" s="949" t="s">
        <v>1219</v>
      </c>
      <c r="C338" s="947" t="s">
        <v>1050</v>
      </c>
      <c r="D338" s="1048">
        <v>596</v>
      </c>
      <c r="E338" s="1051"/>
    </row>
    <row r="339" spans="2:5">
      <c r="B339" s="949" t="s">
        <v>1220</v>
      </c>
      <c r="C339" s="947" t="s">
        <v>1050</v>
      </c>
      <c r="D339" s="1048">
        <v>702</v>
      </c>
      <c r="E339" s="1051"/>
    </row>
    <row r="340" spans="2:5">
      <c r="B340" s="982" t="s">
        <v>1221</v>
      </c>
      <c r="C340" s="947" t="s">
        <v>1000</v>
      </c>
      <c r="D340" s="1048">
        <f>+'[50]Analisis Parque lineal'!G1493</f>
        <v>358.96</v>
      </c>
      <c r="E340" s="1051"/>
    </row>
    <row r="341" spans="2:5">
      <c r="B341" s="982" t="s">
        <v>1562</v>
      </c>
      <c r="C341" s="947" t="s">
        <v>1106</v>
      </c>
      <c r="D341" s="1048">
        <v>10000</v>
      </c>
      <c r="E341" s="1051"/>
    </row>
    <row r="342" spans="2:5">
      <c r="B342" s="982" t="s">
        <v>1563</v>
      </c>
      <c r="C342" s="947" t="s">
        <v>1106</v>
      </c>
      <c r="D342" s="1048">
        <v>13500</v>
      </c>
      <c r="E342" s="1051"/>
    </row>
    <row r="343" spans="2:5">
      <c r="B343" s="982" t="s">
        <v>1566</v>
      </c>
      <c r="C343" s="947" t="s">
        <v>1050</v>
      </c>
      <c r="D343" s="1048">
        <v>186.92</v>
      </c>
      <c r="E343" s="1051"/>
    </row>
    <row r="344" spans="2:5">
      <c r="B344" s="982" t="s">
        <v>1567</v>
      </c>
      <c r="C344" s="947" t="s">
        <v>1050</v>
      </c>
      <c r="D344" s="1048">
        <v>92</v>
      </c>
      <c r="E344" s="1051"/>
    </row>
    <row r="345" spans="2:5">
      <c r="B345" s="982" t="s">
        <v>1568</v>
      </c>
      <c r="C345" s="947" t="s">
        <v>1050</v>
      </c>
      <c r="D345" s="1048">
        <v>29</v>
      </c>
      <c r="E345" s="1051"/>
    </row>
    <row r="346" spans="2:5">
      <c r="B346" s="982" t="s">
        <v>1569</v>
      </c>
      <c r="C346" s="947" t="s">
        <v>1050</v>
      </c>
      <c r="D346" s="1048">
        <v>40.07</v>
      </c>
      <c r="E346" s="1051"/>
    </row>
    <row r="347" spans="2:5">
      <c r="B347" s="982" t="s">
        <v>1287</v>
      </c>
      <c r="C347" s="947" t="s">
        <v>1050</v>
      </c>
      <c r="D347" s="1048">
        <v>70.09</v>
      </c>
      <c r="E347" s="1051"/>
    </row>
    <row r="348" spans="2:5">
      <c r="B348" s="982" t="s">
        <v>1570</v>
      </c>
      <c r="C348" s="947" t="s">
        <v>1050</v>
      </c>
      <c r="D348" s="1048">
        <v>57.02</v>
      </c>
      <c r="E348" s="1051"/>
    </row>
    <row r="349" spans="2:5">
      <c r="B349" s="982" t="s">
        <v>1728</v>
      </c>
      <c r="C349" s="947" t="s">
        <v>1000</v>
      </c>
      <c r="D349" s="1048">
        <v>8627.5</v>
      </c>
      <c r="E349" s="1051"/>
    </row>
    <row r="350" spans="2:5">
      <c r="B350" s="982"/>
      <c r="D350" s="1048"/>
      <c r="E350" s="1051"/>
    </row>
    <row r="351" spans="2:5">
      <c r="B351" s="982"/>
      <c r="D351" s="1048"/>
      <c r="E351" s="1051"/>
    </row>
    <row r="352" spans="2:5">
      <c r="B352" s="982"/>
      <c r="D352" s="1048"/>
      <c r="E352" s="1051"/>
    </row>
    <row r="353" spans="2:5" ht="23.25" customHeight="1">
      <c r="B353" s="982"/>
      <c r="D353" s="1048"/>
      <c r="E353" s="1051"/>
    </row>
    <row r="354" spans="2:5">
      <c r="B354" s="982"/>
      <c r="D354" s="1048"/>
      <c r="E354" s="1051"/>
    </row>
    <row r="355" spans="2:5" ht="31.5">
      <c r="B355" s="949" t="s">
        <v>1222</v>
      </c>
      <c r="C355" s="947" t="s">
        <v>1042</v>
      </c>
      <c r="D355" s="1048">
        <v>5569</v>
      </c>
      <c r="E355" s="1051"/>
    </row>
    <row r="356" spans="2:5">
      <c r="B356" s="949" t="s">
        <v>1223</v>
      </c>
      <c r="C356" s="947" t="s">
        <v>1042</v>
      </c>
      <c r="D356" s="1048">
        <v>7514</v>
      </c>
      <c r="E356" s="1051"/>
    </row>
    <row r="357" spans="2:5">
      <c r="B357" s="949" t="s">
        <v>1224</v>
      </c>
      <c r="C357" s="947" t="s">
        <v>1225</v>
      </c>
      <c r="D357" s="1048">
        <v>114</v>
      </c>
      <c r="E357" s="1051"/>
    </row>
    <row r="358" spans="2:5">
      <c r="B358" s="949" t="s">
        <v>1226</v>
      </c>
      <c r="C358" s="947" t="s">
        <v>1000</v>
      </c>
      <c r="D358" s="1048">
        <f>'[51]Analisis Parque lineal'!G1491</f>
        <v>1323.38</v>
      </c>
      <c r="E358" s="1051"/>
    </row>
    <row r="359" spans="2:5">
      <c r="B359" s="949" t="s">
        <v>1227</v>
      </c>
      <c r="C359" s="947" t="s">
        <v>1088</v>
      </c>
      <c r="D359" s="1048">
        <f>'[51]Analisis Parque lineal'!G1544*2</f>
        <v>129.65</v>
      </c>
      <c r="E359" s="1051"/>
    </row>
    <row r="360" spans="2:5">
      <c r="B360" s="949" t="s">
        <v>1228</v>
      </c>
      <c r="C360" s="947" t="s">
        <v>1042</v>
      </c>
      <c r="D360" s="1048">
        <f>'[51]Analisis Parque lineal'!G1027</f>
        <v>309.76</v>
      </c>
      <c r="E360" s="1051"/>
    </row>
    <row r="361" spans="2:5" ht="31.5">
      <c r="B361" s="949" t="s">
        <v>1547</v>
      </c>
      <c r="C361" s="947" t="s">
        <v>10</v>
      </c>
      <c r="D361" s="1046">
        <v>42244</v>
      </c>
      <c r="E361" s="1047" t="s">
        <v>1229</v>
      </c>
    </row>
    <row r="362" spans="2:5" ht="31.5">
      <c r="B362" s="949" t="s">
        <v>1230</v>
      </c>
      <c r="C362" s="947" t="s">
        <v>10</v>
      </c>
      <c r="D362" s="1046">
        <f>31288.13*1.18</f>
        <v>36919.99</v>
      </c>
      <c r="E362" s="1047" t="s">
        <v>1093</v>
      </c>
    </row>
    <row r="363" spans="2:5">
      <c r="B363" s="949" t="s">
        <v>1549</v>
      </c>
      <c r="C363" s="947" t="s">
        <v>1106</v>
      </c>
      <c r="D363" s="1046">
        <f>12105.93*1.18</f>
        <v>14285</v>
      </c>
      <c r="E363" s="1047" t="s">
        <v>1093</v>
      </c>
    </row>
    <row r="364" spans="2:5">
      <c r="B364" s="949" t="s">
        <v>1550</v>
      </c>
      <c r="C364" s="947" t="s">
        <v>1322</v>
      </c>
      <c r="D364" s="1046">
        <v>1895</v>
      </c>
    </row>
    <row r="365" spans="2:5">
      <c r="B365" s="949" t="s">
        <v>1551</v>
      </c>
      <c r="C365" s="947" t="s">
        <v>1322</v>
      </c>
      <c r="D365" s="1046">
        <v>1895</v>
      </c>
    </row>
    <row r="366" spans="2:5">
      <c r="B366" s="949" t="s">
        <v>1552</v>
      </c>
      <c r="C366" s="947" t="s">
        <v>1322</v>
      </c>
      <c r="D366" s="1046">
        <v>1895</v>
      </c>
    </row>
    <row r="367" spans="2:5">
      <c r="B367" s="949" t="s">
        <v>1548</v>
      </c>
      <c r="C367" s="947" t="s">
        <v>1106</v>
      </c>
      <c r="D367" s="1046">
        <v>8900</v>
      </c>
      <c r="E367" s="1047" t="s">
        <v>1093</v>
      </c>
    </row>
    <row r="368" spans="2:5">
      <c r="B368" s="949" t="s">
        <v>1231</v>
      </c>
      <c r="C368" s="947" t="s">
        <v>1062</v>
      </c>
      <c r="D368" s="1046">
        <v>3150</v>
      </c>
    </row>
    <row r="369" spans="2:5" ht="31.5">
      <c r="B369" s="949" t="s">
        <v>1232</v>
      </c>
      <c r="C369" s="947" t="s">
        <v>1233</v>
      </c>
      <c r="D369" s="1046">
        <f>3*3375</f>
        <v>10125</v>
      </c>
      <c r="E369" s="1047" t="s">
        <v>1234</v>
      </c>
    </row>
    <row r="370" spans="2:5" ht="31.5">
      <c r="B370" s="949" t="s">
        <v>914</v>
      </c>
      <c r="C370" s="947" t="s">
        <v>1190</v>
      </c>
      <c r="D370" s="1046">
        <v>50</v>
      </c>
      <c r="E370" s="1047" t="s">
        <v>1195</v>
      </c>
    </row>
    <row r="371" spans="2:5">
      <c r="B371" s="949" t="s">
        <v>1338</v>
      </c>
      <c r="C371" s="947" t="s">
        <v>1339</v>
      </c>
      <c r="D371" s="1046">
        <v>11635.98</v>
      </c>
    </row>
    <row r="372" spans="2:5" ht="31.5">
      <c r="B372" s="949" t="s">
        <v>1235</v>
      </c>
      <c r="C372" s="947" t="s">
        <v>1196</v>
      </c>
      <c r="D372" s="1046">
        <v>65</v>
      </c>
      <c r="E372" s="1047" t="s">
        <v>1195</v>
      </c>
    </row>
    <row r="373" spans="2:5">
      <c r="B373" s="949" t="s">
        <v>1236</v>
      </c>
      <c r="C373" s="947" t="s">
        <v>1197</v>
      </c>
      <c r="D373" s="1046">
        <v>395</v>
      </c>
      <c r="E373" s="1047" t="s">
        <v>1198</v>
      </c>
    </row>
    <row r="374" spans="2:5" ht="31.5">
      <c r="B374" s="949" t="s">
        <v>917</v>
      </c>
      <c r="C374" s="947" t="s">
        <v>1050</v>
      </c>
      <c r="D374" s="1046">
        <v>250</v>
      </c>
      <c r="E374" s="1047" t="s">
        <v>1195</v>
      </c>
    </row>
    <row r="375" spans="2:5">
      <c r="B375" s="949" t="s">
        <v>1237</v>
      </c>
      <c r="C375" s="947" t="s">
        <v>1183</v>
      </c>
      <c r="D375" s="1046">
        <v>2995</v>
      </c>
      <c r="E375" s="1047" t="s">
        <v>1198</v>
      </c>
    </row>
    <row r="376" spans="2:5">
      <c r="B376" s="949" t="s">
        <v>956</v>
      </c>
      <c r="C376" s="947" t="s">
        <v>1238</v>
      </c>
      <c r="D376" s="1046">
        <v>20500</v>
      </c>
      <c r="E376" s="1047" t="s">
        <v>1726</v>
      </c>
    </row>
    <row r="377" spans="2:5">
      <c r="B377" s="949" t="s">
        <v>1572</v>
      </c>
      <c r="C377" s="947" t="s">
        <v>1239</v>
      </c>
      <c r="D377" s="1046">
        <f>3.84*56.9</f>
        <v>218.5</v>
      </c>
    </row>
    <row r="378" spans="2:5">
      <c r="B378" s="949" t="s">
        <v>1240</v>
      </c>
      <c r="C378" s="947" t="s">
        <v>1183</v>
      </c>
      <c r="D378" s="1046">
        <v>175</v>
      </c>
    </row>
    <row r="379" spans="2:5">
      <c r="B379" s="949" t="s">
        <v>1241</v>
      </c>
      <c r="C379" s="947" t="s">
        <v>1106</v>
      </c>
      <c r="D379" s="1046">
        <v>4750</v>
      </c>
      <c r="E379" s="1047" t="s">
        <v>1198</v>
      </c>
    </row>
    <row r="380" spans="2:5" ht="31.5">
      <c r="B380" s="949" t="s">
        <v>1242</v>
      </c>
      <c r="C380" s="947" t="s">
        <v>1106</v>
      </c>
      <c r="D380" s="1046">
        <v>2000</v>
      </c>
      <c r="E380" s="1047" t="s">
        <v>1195</v>
      </c>
    </row>
    <row r="381" spans="2:5" ht="31.5">
      <c r="B381" s="949" t="s">
        <v>1243</v>
      </c>
      <c r="C381" s="947" t="s">
        <v>1106</v>
      </c>
      <c r="D381" s="1046">
        <v>2150</v>
      </c>
      <c r="E381" s="1047" t="s">
        <v>1195</v>
      </c>
    </row>
    <row r="382" spans="2:5">
      <c r="B382" s="979" t="s">
        <v>1244</v>
      </c>
      <c r="C382" s="947" t="s">
        <v>1106</v>
      </c>
      <c r="D382" s="1046">
        <v>1575</v>
      </c>
      <c r="E382" s="1047" t="s">
        <v>1198</v>
      </c>
    </row>
    <row r="383" spans="2:5" ht="31.5">
      <c r="B383" s="949" t="s">
        <v>1565</v>
      </c>
      <c r="C383" s="947" t="s">
        <v>1106</v>
      </c>
      <c r="D383" s="1046">
        <f>+(D382+D384)/2</f>
        <v>1106</v>
      </c>
      <c r="E383" s="1047" t="s">
        <v>1195</v>
      </c>
    </row>
    <row r="384" spans="2:5" ht="31.5">
      <c r="B384" s="949" t="s">
        <v>1245</v>
      </c>
      <c r="C384" s="947" t="s">
        <v>1106</v>
      </c>
      <c r="D384" s="1046">
        <v>637</v>
      </c>
      <c r="E384" s="1047" t="s">
        <v>1195</v>
      </c>
    </row>
    <row r="385" spans="2:5" ht="31.5">
      <c r="B385" s="949" t="s">
        <v>1246</v>
      </c>
      <c r="C385" s="947" t="s">
        <v>1106</v>
      </c>
      <c r="D385" s="1046">
        <v>230</v>
      </c>
      <c r="E385" s="1047" t="s">
        <v>1195</v>
      </c>
    </row>
    <row r="386" spans="2:5" ht="31.5">
      <c r="B386" s="949" t="s">
        <v>1247</v>
      </c>
      <c r="C386" s="947" t="s">
        <v>1106</v>
      </c>
      <c r="D386" s="1046">
        <v>100</v>
      </c>
      <c r="E386" s="1047" t="s">
        <v>1195</v>
      </c>
    </row>
    <row r="387" spans="2:5" ht="31.5">
      <c r="B387" s="949" t="s">
        <v>1248</v>
      </c>
      <c r="C387" s="947" t="s">
        <v>1106</v>
      </c>
      <c r="D387" s="1046">
        <v>109</v>
      </c>
      <c r="E387" s="1047" t="s">
        <v>1195</v>
      </c>
    </row>
    <row r="388" spans="2:5">
      <c r="B388" s="949" t="s">
        <v>1249</v>
      </c>
      <c r="C388" s="947" t="s">
        <v>1106</v>
      </c>
      <c r="D388" s="1046">
        <v>25</v>
      </c>
      <c r="E388" s="1047" t="s">
        <v>1234</v>
      </c>
    </row>
    <row r="389" spans="2:5" ht="31.5">
      <c r="B389" s="949" t="s">
        <v>1250</v>
      </c>
      <c r="C389" s="947" t="s">
        <v>1106</v>
      </c>
      <c r="D389" s="1046">
        <v>90</v>
      </c>
      <c r="E389" s="1047" t="s">
        <v>1195</v>
      </c>
    </row>
    <row r="390" spans="2:5" ht="31.5">
      <c r="B390" s="949" t="s">
        <v>1251</v>
      </c>
      <c r="C390" s="947" t="s">
        <v>1106</v>
      </c>
      <c r="D390" s="1046">
        <v>30</v>
      </c>
      <c r="E390" s="1047" t="s">
        <v>1195</v>
      </c>
    </row>
    <row r="391" spans="2:5">
      <c r="B391" s="949" t="s">
        <v>1252</v>
      </c>
      <c r="C391" s="947" t="s">
        <v>1106</v>
      </c>
      <c r="D391" s="1046">
        <v>145</v>
      </c>
      <c r="E391" s="1047" t="s">
        <v>1198</v>
      </c>
    </row>
    <row r="392" spans="2:5" ht="31.5">
      <c r="B392" s="949" t="s">
        <v>1253</v>
      </c>
      <c r="C392" s="947" t="s">
        <v>1106</v>
      </c>
      <c r="D392" s="1046">
        <v>30</v>
      </c>
      <c r="E392" s="1047" t="s">
        <v>1195</v>
      </c>
    </row>
    <row r="393" spans="2:5" ht="31.5">
      <c r="B393" s="949" t="s">
        <v>1254</v>
      </c>
      <c r="C393" s="947" t="s">
        <v>1106</v>
      </c>
      <c r="D393" s="1046">
        <v>625</v>
      </c>
      <c r="E393" s="1047" t="s">
        <v>1195</v>
      </c>
    </row>
    <row r="394" spans="2:5" ht="31.5">
      <c r="B394" s="949" t="s">
        <v>1255</v>
      </c>
      <c r="C394" s="947" t="s">
        <v>1106</v>
      </c>
      <c r="D394" s="1046">
        <v>35</v>
      </c>
      <c r="E394" s="1047" t="s">
        <v>1195</v>
      </c>
    </row>
    <row r="395" spans="2:5" ht="31.5">
      <c r="B395" s="949" t="s">
        <v>1256</v>
      </c>
      <c r="C395" s="947" t="s">
        <v>1106</v>
      </c>
      <c r="D395" s="1046">
        <v>55</v>
      </c>
      <c r="E395" s="1047" t="s">
        <v>1195</v>
      </c>
    </row>
    <row r="396" spans="2:5" ht="31.5">
      <c r="B396" s="949" t="s">
        <v>1257</v>
      </c>
      <c r="C396" s="947" t="s">
        <v>1183</v>
      </c>
      <c r="D396" s="1046">
        <v>995</v>
      </c>
      <c r="E396" s="1047" t="s">
        <v>1195</v>
      </c>
    </row>
    <row r="397" spans="2:5" ht="31.5">
      <c r="B397" s="949" t="s">
        <v>1258</v>
      </c>
      <c r="C397" s="947" t="s">
        <v>1106</v>
      </c>
      <c r="D397" s="1046">
        <v>150</v>
      </c>
      <c r="E397" s="1047" t="s">
        <v>1195</v>
      </c>
    </row>
    <row r="398" spans="2:5">
      <c r="B398" s="949" t="s">
        <v>1259</v>
      </c>
      <c r="C398" s="947" t="s">
        <v>1106</v>
      </c>
      <c r="D398" s="1046">
        <v>1795</v>
      </c>
      <c r="E398" s="1047" t="s">
        <v>1198</v>
      </c>
    </row>
    <row r="399" spans="2:5" ht="31.5">
      <c r="B399" s="949" t="s">
        <v>1260</v>
      </c>
      <c r="C399" s="947" t="s">
        <v>1106</v>
      </c>
      <c r="D399" s="1046">
        <v>1300</v>
      </c>
      <c r="E399" s="1047" t="s">
        <v>1195</v>
      </c>
    </row>
    <row r="400" spans="2:5" ht="31.5">
      <c r="B400" s="949" t="s">
        <v>1261</v>
      </c>
      <c r="C400" s="947" t="s">
        <v>1106</v>
      </c>
      <c r="D400" s="1046">
        <v>250</v>
      </c>
      <c r="E400" s="1047" t="s">
        <v>1195</v>
      </c>
    </row>
    <row r="401" spans="2:5" ht="31.5">
      <c r="B401" s="949" t="s">
        <v>1262</v>
      </c>
      <c r="C401" s="947" t="s">
        <v>1106</v>
      </c>
      <c r="D401" s="1046">
        <v>20</v>
      </c>
      <c r="E401" s="1047" t="s">
        <v>1195</v>
      </c>
    </row>
    <row r="402" spans="2:5" ht="31.5">
      <c r="B402" s="949" t="s">
        <v>1263</v>
      </c>
      <c r="C402" s="947" t="s">
        <v>1106</v>
      </c>
      <c r="D402" s="1046">
        <v>30</v>
      </c>
      <c r="E402" s="1047" t="s">
        <v>1195</v>
      </c>
    </row>
    <row r="403" spans="2:5" ht="31.5">
      <c r="B403" s="979" t="s">
        <v>1264</v>
      </c>
      <c r="C403" s="947" t="s">
        <v>1106</v>
      </c>
      <c r="D403" s="1046">
        <v>35</v>
      </c>
      <c r="E403" s="1047" t="s">
        <v>1195</v>
      </c>
    </row>
    <row r="404" spans="2:5" ht="31.5">
      <c r="B404" s="949" t="s">
        <v>1265</v>
      </c>
      <c r="C404" s="947" t="s">
        <v>1196</v>
      </c>
      <c r="D404" s="1046">
        <v>825</v>
      </c>
      <c r="E404" s="1047" t="s">
        <v>1195</v>
      </c>
    </row>
    <row r="405" spans="2:5" ht="31.5">
      <c r="B405" s="949" t="s">
        <v>1266</v>
      </c>
      <c r="C405" s="947" t="s">
        <v>1106</v>
      </c>
      <c r="D405" s="1046">
        <v>120</v>
      </c>
      <c r="E405" s="1047" t="s">
        <v>1195</v>
      </c>
    </row>
    <row r="406" spans="2:5" ht="31.5">
      <c r="B406" s="949" t="s">
        <v>1267</v>
      </c>
      <c r="C406" s="947" t="s">
        <v>1106</v>
      </c>
      <c r="D406" s="1046">
        <v>250</v>
      </c>
      <c r="E406" s="1047" t="s">
        <v>1198</v>
      </c>
    </row>
    <row r="407" spans="2:5" ht="31.5">
      <c r="B407" s="949" t="s">
        <v>1268</v>
      </c>
      <c r="C407" s="947" t="s">
        <v>1106</v>
      </c>
      <c r="D407" s="1046">
        <v>120</v>
      </c>
      <c r="E407" s="1047" t="s">
        <v>1195</v>
      </c>
    </row>
    <row r="408" spans="2:5" ht="31.5">
      <c r="B408" s="949" t="s">
        <v>1269</v>
      </c>
      <c r="C408" s="947" t="s">
        <v>1270</v>
      </c>
      <c r="D408" s="1046">
        <v>20</v>
      </c>
      <c r="E408" s="1047" t="s">
        <v>1195</v>
      </c>
    </row>
    <row r="409" spans="2:5" ht="31.5">
      <c r="B409" s="949" t="s">
        <v>1271</v>
      </c>
      <c r="C409" s="947" t="s">
        <v>1106</v>
      </c>
      <c r="D409" s="1046">
        <v>85</v>
      </c>
      <c r="E409" s="1047" t="s">
        <v>1195</v>
      </c>
    </row>
    <row r="410" spans="2:5" ht="31.5">
      <c r="B410" s="949" t="s">
        <v>1272</v>
      </c>
      <c r="C410" s="947" t="s">
        <v>1270</v>
      </c>
      <c r="D410" s="1046">
        <v>95</v>
      </c>
      <c r="E410" s="1047" t="s">
        <v>1195</v>
      </c>
    </row>
    <row r="411" spans="2:5">
      <c r="B411" s="949" t="s">
        <v>1273</v>
      </c>
      <c r="C411" s="947" t="s">
        <v>1106</v>
      </c>
      <c r="D411" s="1046">
        <v>21</v>
      </c>
      <c r="E411" s="1047" t="s">
        <v>1234</v>
      </c>
    </row>
    <row r="412" spans="2:5">
      <c r="B412" s="949" t="s">
        <v>1274</v>
      </c>
      <c r="C412" s="947" t="s">
        <v>1106</v>
      </c>
      <c r="D412" s="1046">
        <v>195</v>
      </c>
      <c r="E412" s="1047" t="s">
        <v>1198</v>
      </c>
    </row>
    <row r="413" spans="2:5" ht="31.5">
      <c r="B413" s="949" t="s">
        <v>1275</v>
      </c>
      <c r="C413" s="947" t="s">
        <v>1106</v>
      </c>
      <c r="D413" s="1046">
        <v>63</v>
      </c>
      <c r="E413" s="1047" t="s">
        <v>1234</v>
      </c>
    </row>
    <row r="414" spans="2:5">
      <c r="B414" s="949" t="s">
        <v>1276</v>
      </c>
      <c r="C414" s="947" t="s">
        <v>1225</v>
      </c>
      <c r="D414" s="1046">
        <v>395</v>
      </c>
      <c r="E414" s="1047" t="s">
        <v>1198</v>
      </c>
    </row>
    <row r="415" spans="2:5">
      <c r="B415" s="949" t="s">
        <v>1277</v>
      </c>
      <c r="C415" s="947" t="s">
        <v>1106</v>
      </c>
      <c r="D415" s="1046">
        <v>395</v>
      </c>
      <c r="E415" s="1047" t="s">
        <v>1198</v>
      </c>
    </row>
    <row r="416" spans="2:5">
      <c r="B416" s="949" t="s">
        <v>1278</v>
      </c>
      <c r="C416" s="947" t="s">
        <v>1106</v>
      </c>
      <c r="D416" s="1046">
        <v>96</v>
      </c>
      <c r="E416" s="1047" t="s">
        <v>1234</v>
      </c>
    </row>
    <row r="417" spans="2:5">
      <c r="B417" s="949" t="s">
        <v>1279</v>
      </c>
      <c r="C417" s="947" t="s">
        <v>1106</v>
      </c>
      <c r="D417" s="1046">
        <v>7975</v>
      </c>
      <c r="E417" s="1047" t="s">
        <v>1198</v>
      </c>
    </row>
    <row r="418" spans="2:5">
      <c r="B418" s="949" t="s">
        <v>1280</v>
      </c>
      <c r="C418" s="947" t="s">
        <v>1106</v>
      </c>
      <c r="D418" s="1046">
        <v>475</v>
      </c>
      <c r="E418" s="1047" t="s">
        <v>1198</v>
      </c>
    </row>
    <row r="419" spans="2:5" ht="31.5">
      <c r="B419" s="949" t="s">
        <v>1281</v>
      </c>
      <c r="C419" s="947" t="s">
        <v>1106</v>
      </c>
      <c r="D419" s="1046">
        <v>85</v>
      </c>
      <c r="E419" s="1047" t="s">
        <v>1195</v>
      </c>
    </row>
    <row r="420" spans="2:5">
      <c r="B420" s="949" t="s">
        <v>1282</v>
      </c>
      <c r="C420" s="947" t="s">
        <v>1106</v>
      </c>
      <c r="D420" s="1046">
        <v>240</v>
      </c>
      <c r="E420" s="1047" t="s">
        <v>1234</v>
      </c>
    </row>
    <row r="421" spans="2:5" ht="31.5">
      <c r="B421" s="949" t="s">
        <v>1283</v>
      </c>
      <c r="C421" s="947" t="s">
        <v>1106</v>
      </c>
      <c r="D421" s="1046">
        <v>20</v>
      </c>
      <c r="E421" s="1047" t="s">
        <v>1195</v>
      </c>
    </row>
    <row r="422" spans="2:5" ht="31.5">
      <c r="B422" s="949" t="s">
        <v>1284</v>
      </c>
      <c r="C422" s="947" t="s">
        <v>1106</v>
      </c>
      <c r="D422" s="1046">
        <v>35</v>
      </c>
      <c r="E422" s="1047" t="s">
        <v>1195</v>
      </c>
    </row>
    <row r="423" spans="2:5" ht="31.5">
      <c r="B423" s="949" t="s">
        <v>1285</v>
      </c>
      <c r="C423" s="947" t="s">
        <v>1106</v>
      </c>
      <c r="D423" s="1046">
        <v>1395</v>
      </c>
      <c r="E423" s="1047" t="s">
        <v>1198</v>
      </c>
    </row>
    <row r="424" spans="2:5" ht="31.5">
      <c r="B424" s="949" t="s">
        <v>1286</v>
      </c>
      <c r="C424" s="947" t="s">
        <v>1106</v>
      </c>
      <c r="D424" s="1046">
        <v>725</v>
      </c>
      <c r="E424" s="1047" t="s">
        <v>1195</v>
      </c>
    </row>
    <row r="425" spans="2:5" ht="31.5">
      <c r="B425" s="949" t="s">
        <v>1278</v>
      </c>
      <c r="C425" s="947" t="s">
        <v>1106</v>
      </c>
      <c r="D425" s="1046">
        <v>85</v>
      </c>
      <c r="E425" s="1047" t="s">
        <v>1195</v>
      </c>
    </row>
    <row r="426" spans="2:5" ht="31.5">
      <c r="B426" s="949" t="s">
        <v>1287</v>
      </c>
      <c r="C426" s="947" t="s">
        <v>1106</v>
      </c>
      <c r="D426" s="1053">
        <v>85</v>
      </c>
      <c r="E426" s="1047" t="s">
        <v>1195</v>
      </c>
    </row>
    <row r="427" spans="2:5">
      <c r="B427" s="949" t="s">
        <v>1288</v>
      </c>
      <c r="C427" s="947" t="s">
        <v>1045</v>
      </c>
      <c r="D427" s="1046">
        <v>550</v>
      </c>
      <c r="E427" s="1047" t="s">
        <v>1174</v>
      </c>
    </row>
    <row r="428" spans="2:5">
      <c r="B428" s="949" t="s">
        <v>1289</v>
      </c>
      <c r="C428" s="947" t="s">
        <v>1045</v>
      </c>
      <c r="D428" s="1046">
        <v>320</v>
      </c>
      <c r="E428" s="1047" t="s">
        <v>1174</v>
      </c>
    </row>
    <row r="429" spans="2:5" ht="31.5">
      <c r="B429" s="949" t="s">
        <v>1290</v>
      </c>
      <c r="C429" s="947" t="s">
        <v>1045</v>
      </c>
      <c r="D429" s="1046">
        <f>1274/5.9</f>
        <v>215.93</v>
      </c>
      <c r="E429" s="1047" t="s">
        <v>1195</v>
      </c>
    </row>
    <row r="430" spans="2:5">
      <c r="B430" s="949" t="s">
        <v>1291</v>
      </c>
      <c r="C430" s="947" t="s">
        <v>1167</v>
      </c>
      <c r="D430" s="1046">
        <f>+D199</f>
        <v>500</v>
      </c>
      <c r="E430" s="1047" t="s">
        <v>1174</v>
      </c>
    </row>
    <row r="431" spans="2:5">
      <c r="B431" s="949" t="s">
        <v>1292</v>
      </c>
      <c r="C431" s="947" t="s">
        <v>1167</v>
      </c>
      <c r="D431" s="1046">
        <v>550</v>
      </c>
      <c r="E431" s="1047" t="s">
        <v>1174</v>
      </c>
    </row>
    <row r="432" spans="2:5">
      <c r="B432" s="949" t="s">
        <v>1293</v>
      </c>
      <c r="C432" s="947" t="s">
        <v>1000</v>
      </c>
      <c r="D432" s="1046">
        <f>6*1.18*58.7</f>
        <v>415.6</v>
      </c>
      <c r="E432" s="1047" t="s">
        <v>1294</v>
      </c>
    </row>
    <row r="433" spans="2:5">
      <c r="B433" s="949" t="s">
        <v>1295</v>
      </c>
      <c r="C433" s="947" t="s">
        <v>1000</v>
      </c>
      <c r="D433" s="1046">
        <f>+(2.7*1.18+0.3)*58.6</f>
        <v>204.28</v>
      </c>
      <c r="E433" s="1047" t="s">
        <v>1294</v>
      </c>
    </row>
    <row r="434" spans="2:5" ht="31.5">
      <c r="B434" s="949" t="s">
        <v>1296</v>
      </c>
      <c r="C434" s="947" t="s">
        <v>1062</v>
      </c>
      <c r="D434" s="1046">
        <f>+D193</f>
        <v>3150</v>
      </c>
      <c r="E434" s="1047" t="s">
        <v>1195</v>
      </c>
    </row>
    <row r="435" spans="2:5" ht="31.5">
      <c r="B435" s="949" t="s">
        <v>1297</v>
      </c>
      <c r="C435" s="947" t="s">
        <v>1062</v>
      </c>
      <c r="D435" s="1046">
        <f>+D434</f>
        <v>3150</v>
      </c>
      <c r="E435" s="1047" t="s">
        <v>1195</v>
      </c>
    </row>
    <row r="436" spans="2:5" ht="31.5">
      <c r="B436" s="949" t="s">
        <v>1298</v>
      </c>
      <c r="C436" s="947" t="s">
        <v>1190</v>
      </c>
      <c r="D436" s="1046">
        <v>65</v>
      </c>
      <c r="E436" s="1047" t="s">
        <v>1195</v>
      </c>
    </row>
    <row r="437" spans="2:5" ht="31.5">
      <c r="B437" s="949" t="s">
        <v>1299</v>
      </c>
      <c r="C437" s="947" t="s">
        <v>1190</v>
      </c>
      <c r="D437" s="1046">
        <v>68</v>
      </c>
      <c r="E437" s="1047" t="s">
        <v>1195</v>
      </c>
    </row>
    <row r="438" spans="2:5">
      <c r="B438" s="949" t="s">
        <v>1589</v>
      </c>
      <c r="C438" s="947" t="s">
        <v>1106</v>
      </c>
      <c r="D438" s="1046">
        <v>8000</v>
      </c>
    </row>
    <row r="439" spans="2:5">
      <c r="B439" s="949" t="s">
        <v>1300</v>
      </c>
      <c r="C439" s="947" t="s">
        <v>1000</v>
      </c>
      <c r="D439" s="1046">
        <f>55*56.9</f>
        <v>3129.5</v>
      </c>
      <c r="E439" s="1047" t="s">
        <v>1301</v>
      </c>
    </row>
    <row r="440" spans="2:5">
      <c r="B440" s="949" t="s">
        <v>1302</v>
      </c>
      <c r="C440" s="947" t="s">
        <v>1000</v>
      </c>
      <c r="D440" s="1046">
        <v>772</v>
      </c>
    </row>
    <row r="441" spans="2:5">
      <c r="B441" s="949" t="s">
        <v>1303</v>
      </c>
      <c r="C441" s="947" t="s">
        <v>1238</v>
      </c>
      <c r="D441" s="1046">
        <v>13482</v>
      </c>
    </row>
    <row r="442" spans="2:5">
      <c r="B442" s="949" t="s">
        <v>1304</v>
      </c>
      <c r="C442" s="947" t="s">
        <v>1056</v>
      </c>
      <c r="D442" s="1046">
        <v>7</v>
      </c>
    </row>
    <row r="443" spans="2:5">
      <c r="B443" s="949" t="s">
        <v>1586</v>
      </c>
      <c r="C443" s="947" t="s">
        <v>1056</v>
      </c>
      <c r="D443" s="1046">
        <f>13300*1.18</f>
        <v>15694</v>
      </c>
      <c r="E443" s="1047" t="s">
        <v>1724</v>
      </c>
    </row>
    <row r="444" spans="2:5" ht="31.5">
      <c r="B444" s="949" t="s">
        <v>1305</v>
      </c>
      <c r="C444" s="947" t="s">
        <v>1056</v>
      </c>
      <c r="D444" s="1046">
        <v>8500</v>
      </c>
      <c r="E444" s="1047" t="s">
        <v>1724</v>
      </c>
    </row>
    <row r="445" spans="2:5">
      <c r="B445" s="949" t="s">
        <v>1307</v>
      </c>
      <c r="C445" s="947" t="s">
        <v>1000</v>
      </c>
      <c r="D445" s="1046">
        <f>15*56.9</f>
        <v>853.5</v>
      </c>
    </row>
    <row r="446" spans="2:5">
      <c r="B446" s="949" t="s">
        <v>1308</v>
      </c>
      <c r="C446" s="947" t="s">
        <v>1045</v>
      </c>
      <c r="D446" s="1046">
        <f>4*56.9</f>
        <v>227.6</v>
      </c>
    </row>
    <row r="447" spans="2:5" ht="31.5">
      <c r="B447" s="949" t="s">
        <v>1309</v>
      </c>
      <c r="C447" s="947" t="s">
        <v>1056</v>
      </c>
      <c r="D447" s="1046">
        <v>8500</v>
      </c>
      <c r="E447" s="1047" t="s">
        <v>1724</v>
      </c>
    </row>
    <row r="448" spans="2:5" ht="31.5">
      <c r="B448" s="949" t="s">
        <v>1310</v>
      </c>
      <c r="C448" s="947" t="s">
        <v>1056</v>
      </c>
      <c r="D448" s="1046">
        <v>49000</v>
      </c>
      <c r="E448" s="1047" t="s">
        <v>1306</v>
      </c>
    </row>
    <row r="449" spans="2:5" ht="31.5">
      <c r="B449" s="979" t="s">
        <v>1587</v>
      </c>
      <c r="C449" s="947" t="s">
        <v>1056</v>
      </c>
      <c r="D449" s="1046">
        <f>+D444</f>
        <v>8500</v>
      </c>
      <c r="E449" s="1047" t="s">
        <v>1306</v>
      </c>
    </row>
    <row r="450" spans="2:5">
      <c r="B450" s="979" t="s">
        <v>1697</v>
      </c>
      <c r="C450" s="947" t="s">
        <v>1056</v>
      </c>
      <c r="D450" s="1046">
        <v>9800</v>
      </c>
    </row>
    <row r="451" spans="2:5">
      <c r="B451" s="979" t="s">
        <v>1698</v>
      </c>
      <c r="C451" s="947" t="s">
        <v>1056</v>
      </c>
      <c r="D451" s="1046">
        <v>10600</v>
      </c>
    </row>
    <row r="452" spans="2:5" ht="31.5">
      <c r="B452" s="979" t="s">
        <v>1588</v>
      </c>
      <c r="C452" s="947" t="s">
        <v>1056</v>
      </c>
      <c r="D452" s="1046">
        <v>8500</v>
      </c>
      <c r="E452" s="1047" t="s">
        <v>1724</v>
      </c>
    </row>
    <row r="453" spans="2:5">
      <c r="B453" s="949" t="s">
        <v>998</v>
      </c>
      <c r="C453" s="947" t="s">
        <v>1042</v>
      </c>
      <c r="D453" s="1046">
        <f>4800-400</f>
        <v>4400</v>
      </c>
      <c r="E453" s="1047" t="s">
        <v>1311</v>
      </c>
    </row>
    <row r="454" spans="2:5">
      <c r="B454" s="949" t="s">
        <v>1312</v>
      </c>
      <c r="C454" s="947" t="s">
        <v>1056</v>
      </c>
      <c r="D454" s="1046">
        <v>450</v>
      </c>
      <c r="E454" s="1047" t="s">
        <v>1198</v>
      </c>
    </row>
    <row r="455" spans="2:5">
      <c r="B455" s="949" t="s">
        <v>1313</v>
      </c>
      <c r="C455" s="947" t="s">
        <v>1056</v>
      </c>
      <c r="D455" s="1046">
        <v>3775</v>
      </c>
      <c r="E455" s="1047" t="s">
        <v>1198</v>
      </c>
    </row>
    <row r="456" spans="2:5">
      <c r="B456" s="949" t="s">
        <v>1314</v>
      </c>
      <c r="C456" s="947" t="s">
        <v>1056</v>
      </c>
      <c r="D456" s="1046">
        <v>395</v>
      </c>
      <c r="E456" s="1047" t="s">
        <v>1198</v>
      </c>
    </row>
    <row r="457" spans="2:5">
      <c r="B457" s="949" t="s">
        <v>1315</v>
      </c>
      <c r="C457" s="947" t="s">
        <v>1056</v>
      </c>
      <c r="D457" s="1046">
        <v>20</v>
      </c>
      <c r="E457" s="1047" t="s">
        <v>1234</v>
      </c>
    </row>
    <row r="458" spans="2:5" ht="31.5">
      <c r="B458" s="949" t="s">
        <v>1316</v>
      </c>
      <c r="C458" s="947" t="s">
        <v>1056</v>
      </c>
      <c r="D458" s="1046">
        <v>67343</v>
      </c>
    </row>
    <row r="459" spans="2:5">
      <c r="B459" s="949" t="s">
        <v>1317</v>
      </c>
      <c r="C459" s="947" t="s">
        <v>1042</v>
      </c>
      <c r="D459" s="1046">
        <f>5650+300</f>
        <v>5950</v>
      </c>
      <c r="E459" s="1047" t="s">
        <v>1318</v>
      </c>
    </row>
    <row r="460" spans="2:5">
      <c r="B460" s="949" t="s">
        <v>1319</v>
      </c>
      <c r="C460" s="947" t="s">
        <v>1000</v>
      </c>
    </row>
    <row r="461" spans="2:5">
      <c r="B461" s="949" t="s">
        <v>1320</v>
      </c>
      <c r="C461" s="947" t="s">
        <v>1197</v>
      </c>
      <c r="D461" s="1046">
        <v>395</v>
      </c>
      <c r="E461" s="1047" t="s">
        <v>1198</v>
      </c>
    </row>
    <row r="462" spans="2:5">
      <c r="B462" s="949" t="s">
        <v>1321</v>
      </c>
      <c r="C462" s="947" t="s">
        <v>1322</v>
      </c>
      <c r="D462" s="1046">
        <v>1895</v>
      </c>
      <c r="E462" s="1047" t="s">
        <v>1234</v>
      </c>
    </row>
    <row r="463" spans="2:5">
      <c r="B463" s="949" t="s">
        <v>1323</v>
      </c>
      <c r="C463" s="947" t="s">
        <v>1056</v>
      </c>
      <c r="D463" s="1046">
        <v>1063</v>
      </c>
      <c r="E463" s="1047" t="s">
        <v>1234</v>
      </c>
    </row>
    <row r="464" spans="2:5">
      <c r="B464" s="949" t="s">
        <v>1324</v>
      </c>
      <c r="C464" s="947" t="s">
        <v>1056</v>
      </c>
    </row>
    <row r="465" spans="2:4">
      <c r="B465" s="949" t="s">
        <v>1325</v>
      </c>
      <c r="C465" s="947" t="s">
        <v>1056</v>
      </c>
      <c r="D465" s="1046">
        <v>75000</v>
      </c>
    </row>
    <row r="466" spans="2:4">
      <c r="B466" s="949" t="s">
        <v>1326</v>
      </c>
      <c r="C466" s="947" t="s">
        <v>1025</v>
      </c>
      <c r="D466" s="1046">
        <v>5</v>
      </c>
    </row>
    <row r="467" spans="2:4">
      <c r="B467" s="949" t="s">
        <v>1327</v>
      </c>
      <c r="C467" s="947" t="s">
        <v>1000</v>
      </c>
      <c r="D467" s="1046">
        <v>5</v>
      </c>
    </row>
    <row r="468" spans="2:4">
      <c r="B468" s="949" t="s">
        <v>1328</v>
      </c>
      <c r="C468" s="947" t="s">
        <v>1190</v>
      </c>
      <c r="D468" s="1046">
        <v>56</v>
      </c>
    </row>
    <row r="469" spans="2:4">
      <c r="B469" s="949" t="s">
        <v>1329</v>
      </c>
      <c r="C469" s="947" t="s">
        <v>10</v>
      </c>
      <c r="D469" s="1046">
        <v>700</v>
      </c>
    </row>
    <row r="470" spans="2:4">
      <c r="B470" s="949" t="s">
        <v>1330</v>
      </c>
      <c r="C470" s="947" t="s">
        <v>1331</v>
      </c>
      <c r="D470" s="1046">
        <v>32</v>
      </c>
    </row>
    <row r="471" spans="2:4">
      <c r="B471" s="949" t="s">
        <v>1332</v>
      </c>
      <c r="C471" s="947" t="s">
        <v>1331</v>
      </c>
      <c r="D471" s="1046">
        <v>32</v>
      </c>
    </row>
    <row r="472" spans="2:4">
      <c r="B472" s="949" t="s">
        <v>1333</v>
      </c>
      <c r="C472" s="947" t="s">
        <v>1056</v>
      </c>
      <c r="D472" s="1046">
        <v>143</v>
      </c>
    </row>
    <row r="473" spans="2:4">
      <c r="B473" s="949" t="s">
        <v>1334</v>
      </c>
      <c r="C473" s="947" t="s">
        <v>10</v>
      </c>
      <c r="D473" s="1046">
        <v>80</v>
      </c>
    </row>
    <row r="474" spans="2:4">
      <c r="B474" s="1055" t="s">
        <v>1525</v>
      </c>
      <c r="C474" s="947" t="s">
        <v>10</v>
      </c>
      <c r="D474" s="1046">
        <f>33265.68*1.08</f>
        <v>35926.93</v>
      </c>
    </row>
    <row r="475" spans="2:4">
      <c r="B475" s="1055" t="s">
        <v>1008</v>
      </c>
      <c r="C475" s="947" t="s">
        <v>10</v>
      </c>
      <c r="D475" s="1046">
        <f>21169.07*1.08</f>
        <v>22862.6</v>
      </c>
    </row>
    <row r="476" spans="2:4">
      <c r="B476" s="1055" t="s">
        <v>1522</v>
      </c>
      <c r="C476" s="947" t="s">
        <v>10</v>
      </c>
      <c r="D476" s="1046">
        <f>33265.68*1.08</f>
        <v>35926.93</v>
      </c>
    </row>
    <row r="477" spans="2:4">
      <c r="B477" s="1055" t="s">
        <v>1523</v>
      </c>
      <c r="C477" s="947" t="s">
        <v>10</v>
      </c>
      <c r="D477" s="1046">
        <f>21169.07*1.08</f>
        <v>22862.6</v>
      </c>
    </row>
    <row r="478" spans="2:4">
      <c r="B478" s="1055" t="s">
        <v>1524</v>
      </c>
      <c r="C478" s="947" t="s">
        <v>10</v>
      </c>
      <c r="D478" s="1046">
        <v>22300</v>
      </c>
    </row>
    <row r="479" spans="2:4">
      <c r="B479" s="1055" t="s">
        <v>458</v>
      </c>
      <c r="C479" s="947" t="s">
        <v>10</v>
      </c>
      <c r="D479" s="1046">
        <v>28000</v>
      </c>
    </row>
    <row r="480" spans="2:4">
      <c r="B480" s="1055" t="s">
        <v>459</v>
      </c>
      <c r="C480" s="947" t="s">
        <v>10</v>
      </c>
      <c r="D480" s="1046">
        <v>45000</v>
      </c>
    </row>
    <row r="481" spans="2:5">
      <c r="B481" s="1055" t="s">
        <v>460</v>
      </c>
      <c r="C481" s="947" t="s">
        <v>10</v>
      </c>
      <c r="D481" s="1046">
        <v>35926.93</v>
      </c>
    </row>
    <row r="482" spans="2:5">
      <c r="B482" s="949" t="s">
        <v>1010</v>
      </c>
      <c r="C482" s="947" t="s">
        <v>10</v>
      </c>
      <c r="D482" s="1046">
        <f>+'[50]Presupuesto Las ballenas'!G23+'[50]Presupuesto Las ballenas'!G27+'[50]Presupuesto Las ballenas'!G30+'[50]Presupuesto Las ballenas'!G32</f>
        <v>895343.5</v>
      </c>
    </row>
    <row r="483" spans="2:5">
      <c r="B483" s="949" t="s">
        <v>1011</v>
      </c>
      <c r="C483" s="947" t="s">
        <v>140</v>
      </c>
      <c r="D483" s="1046">
        <v>95500</v>
      </c>
    </row>
    <row r="484" spans="2:5">
      <c r="B484" s="949" t="s">
        <v>1009</v>
      </c>
      <c r="C484" s="947" t="s">
        <v>1000</v>
      </c>
      <c r="D484" s="1046">
        <v>1320</v>
      </c>
    </row>
    <row r="485" spans="2:5">
      <c r="B485" s="949" t="s">
        <v>1335</v>
      </c>
      <c r="C485" s="947" t="s">
        <v>1336</v>
      </c>
      <c r="D485" s="1046">
        <f>65*4.67</f>
        <v>303.55</v>
      </c>
      <c r="E485" s="1047" t="s">
        <v>1207</v>
      </c>
    </row>
    <row r="486" spans="2:5">
      <c r="B486" s="949" t="s">
        <v>1337</v>
      </c>
      <c r="C486" s="947" t="s">
        <v>1336</v>
      </c>
      <c r="D486" s="1046">
        <f>61.36*8</f>
        <v>490.88</v>
      </c>
      <c r="E486" s="1047" t="s">
        <v>1207</v>
      </c>
    </row>
    <row r="487" spans="2:5">
      <c r="B487" s="949" t="s">
        <v>1338</v>
      </c>
      <c r="C487" s="947" t="s">
        <v>1339</v>
      </c>
      <c r="D487" s="1046">
        <v>11636</v>
      </c>
      <c r="E487" s="1047" t="s">
        <v>1340</v>
      </c>
    </row>
    <row r="488" spans="2:5">
      <c r="B488" s="949" t="s">
        <v>1341</v>
      </c>
      <c r="C488" s="947" t="s">
        <v>1106</v>
      </c>
      <c r="D488" s="1046">
        <v>6500</v>
      </c>
    </row>
    <row r="489" spans="2:5">
      <c r="B489" s="949" t="s">
        <v>1342</v>
      </c>
      <c r="C489" s="947" t="s">
        <v>1056</v>
      </c>
      <c r="D489" s="1046">
        <v>232</v>
      </c>
    </row>
    <row r="490" spans="2:5">
      <c r="B490" s="949" t="s">
        <v>1343</v>
      </c>
      <c r="C490" s="947" t="s">
        <v>1056</v>
      </c>
      <c r="D490" s="1046">
        <v>299</v>
      </c>
    </row>
    <row r="491" spans="2:5">
      <c r="B491" s="949" t="s">
        <v>1344</v>
      </c>
      <c r="C491" s="947" t="s">
        <v>1345</v>
      </c>
      <c r="D491" s="1046">
        <v>1419</v>
      </c>
    </row>
    <row r="492" spans="2:5">
      <c r="B492" s="949" t="s">
        <v>1346</v>
      </c>
      <c r="C492" s="947" t="s">
        <v>1190</v>
      </c>
      <c r="D492" s="1046">
        <v>165</v>
      </c>
    </row>
    <row r="493" spans="2:5">
      <c r="B493" s="949" t="s">
        <v>1347</v>
      </c>
      <c r="C493" s="947" t="s">
        <v>1190</v>
      </c>
      <c r="D493" s="1046">
        <v>158</v>
      </c>
    </row>
    <row r="494" spans="2:5">
      <c r="B494" s="949" t="s">
        <v>1348</v>
      </c>
      <c r="C494" s="947" t="s">
        <v>1056</v>
      </c>
      <c r="D494" s="1046">
        <v>120</v>
      </c>
    </row>
    <row r="495" spans="2:5">
      <c r="B495" s="949" t="s">
        <v>1349</v>
      </c>
      <c r="C495" s="947" t="s">
        <v>1350</v>
      </c>
      <c r="D495" s="1046">
        <v>8</v>
      </c>
    </row>
    <row r="496" spans="2:5">
      <c r="B496" s="949" t="s">
        <v>1351</v>
      </c>
      <c r="C496" s="947" t="s">
        <v>1196</v>
      </c>
      <c r="D496" s="1046">
        <v>532</v>
      </c>
    </row>
    <row r="497" spans="2:4">
      <c r="B497" s="949" t="s">
        <v>1352</v>
      </c>
      <c r="C497" s="947" t="s">
        <v>1106</v>
      </c>
      <c r="D497" s="1046">
        <v>209</v>
      </c>
    </row>
    <row r="498" spans="2:4">
      <c r="B498" s="949" t="s">
        <v>1353</v>
      </c>
      <c r="C498" s="947" t="s">
        <v>1106</v>
      </c>
      <c r="D498" s="1046">
        <v>5044</v>
      </c>
    </row>
    <row r="499" spans="2:4">
      <c r="B499" s="949" t="s">
        <v>1354</v>
      </c>
      <c r="C499" s="947" t="s">
        <v>1106</v>
      </c>
      <c r="D499" s="1046">
        <v>31580</v>
      </c>
    </row>
    <row r="500" spans="2:4">
      <c r="B500" s="949" t="s">
        <v>1355</v>
      </c>
      <c r="C500" s="947" t="s">
        <v>1106</v>
      </c>
      <c r="D500" s="1046">
        <v>669</v>
      </c>
    </row>
    <row r="501" spans="2:4">
      <c r="B501" s="949" t="s">
        <v>1356</v>
      </c>
      <c r="C501" s="947" t="s">
        <v>1106</v>
      </c>
      <c r="D501" s="1046">
        <v>1939</v>
      </c>
    </row>
    <row r="502" spans="2:4">
      <c r="B502" s="949" t="s">
        <v>1357</v>
      </c>
      <c r="C502" s="947" t="s">
        <v>1106</v>
      </c>
      <c r="D502" s="1046">
        <v>260</v>
      </c>
    </row>
    <row r="503" spans="2:4">
      <c r="B503" s="949" t="s">
        <v>1358</v>
      </c>
      <c r="C503" s="947" t="s">
        <v>1106</v>
      </c>
      <c r="D503" s="1046">
        <v>797</v>
      </c>
    </row>
    <row r="504" spans="2:4">
      <c r="B504" s="949" t="s">
        <v>1359</v>
      </c>
      <c r="C504" s="947" t="s">
        <v>1106</v>
      </c>
      <c r="D504" s="1046">
        <v>192</v>
      </c>
    </row>
    <row r="505" spans="2:4">
      <c r="B505" s="949" t="s">
        <v>1360</v>
      </c>
      <c r="C505" s="947" t="s">
        <v>1106</v>
      </c>
      <c r="D505" s="1046">
        <v>156</v>
      </c>
    </row>
    <row r="506" spans="2:4">
      <c r="B506" s="949" t="s">
        <v>1361</v>
      </c>
      <c r="C506" s="947" t="s">
        <v>1190</v>
      </c>
      <c r="D506" s="1046">
        <v>93</v>
      </c>
    </row>
    <row r="507" spans="2:4">
      <c r="B507" s="949" t="s">
        <v>1362</v>
      </c>
      <c r="C507" s="947" t="s">
        <v>1106</v>
      </c>
      <c r="D507" s="1046">
        <v>52</v>
      </c>
    </row>
    <row r="508" spans="2:4">
      <c r="B508" s="949" t="s">
        <v>1363</v>
      </c>
      <c r="C508" s="947" t="s">
        <v>1056</v>
      </c>
      <c r="D508" s="1046">
        <v>278</v>
      </c>
    </row>
    <row r="509" spans="2:4">
      <c r="B509" s="949" t="s">
        <v>1364</v>
      </c>
      <c r="C509" s="947" t="s">
        <v>1106</v>
      </c>
      <c r="D509" s="1046">
        <v>3290</v>
      </c>
    </row>
    <row r="510" spans="2:4">
      <c r="B510" s="949" t="s">
        <v>969</v>
      </c>
      <c r="C510" s="947" t="s">
        <v>1106</v>
      </c>
      <c r="D510" s="1046">
        <v>200</v>
      </c>
    </row>
    <row r="511" spans="2:4">
      <c r="B511" s="949" t="s">
        <v>970</v>
      </c>
      <c r="C511" s="947" t="s">
        <v>1106</v>
      </c>
      <c r="D511" s="1046">
        <v>4257</v>
      </c>
    </row>
    <row r="512" spans="2:4">
      <c r="B512" s="949" t="s">
        <v>971</v>
      </c>
      <c r="C512" s="947" t="s">
        <v>1106</v>
      </c>
      <c r="D512" s="1046">
        <v>280</v>
      </c>
    </row>
    <row r="513" spans="2:4">
      <c r="B513" s="949" t="s">
        <v>972</v>
      </c>
      <c r="C513" s="947" t="s">
        <v>1106</v>
      </c>
      <c r="D513" s="1046">
        <v>1420</v>
      </c>
    </row>
    <row r="514" spans="2:4">
      <c r="B514" s="949" t="s">
        <v>974</v>
      </c>
      <c r="C514" s="947" t="s">
        <v>1106</v>
      </c>
      <c r="D514" s="1046">
        <f>30300*1.18</f>
        <v>35754</v>
      </c>
    </row>
    <row r="515" spans="2:4">
      <c r="B515" s="949" t="s">
        <v>975</v>
      </c>
      <c r="C515" s="947" t="s">
        <v>1106</v>
      </c>
      <c r="D515" s="1046">
        <f>19100*1.18</f>
        <v>22538</v>
      </c>
    </row>
    <row r="516" spans="2:4">
      <c r="B516" s="949" t="s">
        <v>976</v>
      </c>
      <c r="C516" s="947" t="s">
        <v>1225</v>
      </c>
      <c r="D516" s="1046">
        <f>41.76*1.1</f>
        <v>45.94</v>
      </c>
    </row>
    <row r="517" spans="2:4" ht="31.5">
      <c r="B517" s="949" t="s">
        <v>977</v>
      </c>
      <c r="C517" s="947" t="s">
        <v>1106</v>
      </c>
      <c r="D517" s="1046">
        <v>8900</v>
      </c>
    </row>
    <row r="518" spans="2:4">
      <c r="B518" s="949" t="s">
        <v>978</v>
      </c>
      <c r="C518" s="947" t="s">
        <v>1106</v>
      </c>
      <c r="D518" s="1046">
        <v>4700</v>
      </c>
    </row>
    <row r="519" spans="2:4">
      <c r="B519" s="949" t="s">
        <v>979</v>
      </c>
      <c r="C519" s="947" t="s">
        <v>1106</v>
      </c>
      <c r="D519" s="1046">
        <v>5900</v>
      </c>
    </row>
    <row r="520" spans="2:4" ht="31.5">
      <c r="B520" s="949" t="s">
        <v>980</v>
      </c>
      <c r="C520" s="947" t="s">
        <v>1106</v>
      </c>
      <c r="D520" s="1046">
        <v>73675</v>
      </c>
    </row>
    <row r="521" spans="2:4" ht="31.5">
      <c r="B521" s="949" t="s">
        <v>981</v>
      </c>
      <c r="C521" s="947" t="s">
        <v>1106</v>
      </c>
      <c r="D521" s="1046">
        <v>9900</v>
      </c>
    </row>
    <row r="522" spans="2:4">
      <c r="B522" s="949" t="s">
        <v>982</v>
      </c>
      <c r="C522" s="947" t="s">
        <v>1106</v>
      </c>
      <c r="D522" s="1046">
        <v>2300</v>
      </c>
    </row>
    <row r="523" spans="2:4">
      <c r="B523" s="949" t="s">
        <v>983</v>
      </c>
      <c r="C523" s="947" t="s">
        <v>1365</v>
      </c>
      <c r="D523" s="1046">
        <v>58</v>
      </c>
    </row>
    <row r="524" spans="2:4">
      <c r="B524" s="949" t="s">
        <v>995</v>
      </c>
      <c r="C524" s="947" t="s">
        <v>1042</v>
      </c>
      <c r="D524" s="1046">
        <v>750</v>
      </c>
    </row>
    <row r="525" spans="2:4">
      <c r="B525" s="949" t="s">
        <v>1001</v>
      </c>
      <c r="C525" s="947" t="s">
        <v>1106</v>
      </c>
      <c r="D525" s="1046">
        <v>15000</v>
      </c>
    </row>
    <row r="526" spans="2:4">
      <c r="B526" s="949" t="s">
        <v>1006</v>
      </c>
      <c r="C526" s="947" t="s">
        <v>1106</v>
      </c>
      <c r="D526" s="1046">
        <v>5396</v>
      </c>
    </row>
    <row r="527" spans="2:4">
      <c r="B527" s="949" t="s">
        <v>1576</v>
      </c>
      <c r="C527" s="947" t="s">
        <v>1000</v>
      </c>
      <c r="D527" s="1046">
        <v>120</v>
      </c>
    </row>
    <row r="529" spans="2:4">
      <c r="B529" s="949" t="s">
        <v>1706</v>
      </c>
      <c r="C529" s="947" t="s">
        <v>1106</v>
      </c>
      <c r="D529" s="1046">
        <v>12000</v>
      </c>
    </row>
    <row r="530" spans="2:4">
      <c r="B530" s="949" t="s">
        <v>1707</v>
      </c>
      <c r="C530" s="947" t="s">
        <v>1106</v>
      </c>
      <c r="D530" s="1046">
        <v>22000</v>
      </c>
    </row>
    <row r="531" spans="2:4">
      <c r="B531" s="949" t="s">
        <v>1708</v>
      </c>
      <c r="C531" s="947" t="s">
        <v>1088</v>
      </c>
      <c r="D531" s="1046">
        <v>500</v>
      </c>
    </row>
    <row r="532" spans="2:4">
      <c r="B532" s="949" t="s">
        <v>1709</v>
      </c>
      <c r="C532" s="947" t="s">
        <v>1106</v>
      </c>
      <c r="D532" s="1046">
        <v>2800</v>
      </c>
    </row>
    <row r="533" spans="2:4">
      <c r="B533" s="949" t="s">
        <v>1710</v>
      </c>
      <c r="C533" s="947" t="s">
        <v>1106</v>
      </c>
      <c r="D533" s="1046">
        <f>195*1.18</f>
        <v>230.1</v>
      </c>
    </row>
    <row r="534" spans="2:4">
      <c r="B534" s="949" t="s">
        <v>1711</v>
      </c>
      <c r="C534" s="947" t="s">
        <v>1106</v>
      </c>
      <c r="D534" s="1046">
        <v>3500</v>
      </c>
    </row>
    <row r="535" spans="2:4">
      <c r="B535" s="949" t="s">
        <v>1704</v>
      </c>
      <c r="C535" s="947" t="s">
        <v>1109</v>
      </c>
      <c r="D535" s="1046">
        <v>45000</v>
      </c>
    </row>
    <row r="536" spans="2:4">
      <c r="B536" s="949" t="s">
        <v>1712</v>
      </c>
      <c r="C536" s="947" t="s">
        <v>1106</v>
      </c>
      <c r="D536" s="1046">
        <v>3500</v>
      </c>
    </row>
    <row r="537" spans="2:4">
      <c r="B537" s="949" t="s">
        <v>1713</v>
      </c>
      <c r="C537" s="947" t="s">
        <v>1106</v>
      </c>
      <c r="D537" s="1046">
        <v>2690.3</v>
      </c>
    </row>
    <row r="538" spans="2:4">
      <c r="B538" s="949" t="s">
        <v>1705</v>
      </c>
      <c r="C538" s="947" t="s">
        <v>1088</v>
      </c>
      <c r="D538" s="1046">
        <v>350</v>
      </c>
    </row>
    <row r="539" spans="2:4">
      <c r="B539" s="949" t="s">
        <v>873</v>
      </c>
      <c r="C539" s="947" t="s">
        <v>1088</v>
      </c>
      <c r="D539" s="1046">
        <v>55</v>
      </c>
    </row>
    <row r="540" spans="2:4">
      <c r="B540" s="949" t="s">
        <v>1714</v>
      </c>
      <c r="C540" s="947" t="s">
        <v>1106</v>
      </c>
      <c r="D540" s="1046">
        <v>9002.0499999999993</v>
      </c>
    </row>
    <row r="541" spans="2:4">
      <c r="B541" s="949" t="s">
        <v>1715</v>
      </c>
      <c r="C541" s="947" t="s">
        <v>1106</v>
      </c>
      <c r="D541" s="1046">
        <v>9247.83</v>
      </c>
    </row>
    <row r="542" spans="2:4">
      <c r="B542" s="949" t="s">
        <v>1716</v>
      </c>
      <c r="C542" s="947" t="s">
        <v>1106</v>
      </c>
      <c r="D542" s="1046">
        <v>986.6</v>
      </c>
    </row>
    <row r="543" spans="2:4">
      <c r="B543" s="949" t="s">
        <v>879</v>
      </c>
      <c r="C543" s="947" t="s">
        <v>1106</v>
      </c>
      <c r="D543" s="1046">
        <v>1169</v>
      </c>
    </row>
    <row r="544" spans="2:4">
      <c r="B544" s="949" t="s">
        <v>880</v>
      </c>
      <c r="C544" s="947" t="s">
        <v>1088</v>
      </c>
      <c r="D544" s="1046">
        <v>65</v>
      </c>
    </row>
    <row r="545" spans="2:5">
      <c r="B545" s="949" t="s">
        <v>873</v>
      </c>
      <c r="C545" s="947" t="s">
        <v>1088</v>
      </c>
      <c r="D545" s="1046">
        <v>45</v>
      </c>
    </row>
    <row r="554" spans="2:5">
      <c r="B554" s="977" t="s">
        <v>1366</v>
      </c>
      <c r="C554" s="978"/>
      <c r="D554" s="1044"/>
      <c r="E554" s="1045"/>
    </row>
    <row r="556" spans="2:5">
      <c r="B556" s="983" t="s">
        <v>1367</v>
      </c>
    </row>
    <row r="557" spans="2:5">
      <c r="B557" s="949" t="s">
        <v>1368</v>
      </c>
      <c r="C557" s="947" t="s">
        <v>1000</v>
      </c>
      <c r="D557" s="1046">
        <v>150</v>
      </c>
      <c r="E557" s="1047" t="s">
        <v>1038</v>
      </c>
    </row>
    <row r="558" spans="2:5">
      <c r="B558" s="949" t="s">
        <v>1369</v>
      </c>
      <c r="C558" s="947" t="s">
        <v>1056</v>
      </c>
      <c r="D558" s="1046">
        <v>997.5</v>
      </c>
      <c r="E558" s="1047" t="s">
        <v>1038</v>
      </c>
    </row>
    <row r="559" spans="2:5">
      <c r="B559" s="949" t="s">
        <v>1370</v>
      </c>
      <c r="C559" s="947" t="s">
        <v>1056</v>
      </c>
      <c r="D559" s="1046">
        <v>997.5</v>
      </c>
      <c r="E559" s="1047" t="s">
        <v>1038</v>
      </c>
    </row>
    <row r="560" spans="2:5">
      <c r="B560" s="949" t="s">
        <v>1371</v>
      </c>
      <c r="C560" s="947" t="s">
        <v>1056</v>
      </c>
      <c r="D560" s="1056">
        <v>997.5</v>
      </c>
      <c r="E560" s="1047" t="s">
        <v>1038</v>
      </c>
    </row>
    <row r="561" spans="2:5">
      <c r="B561" s="949" t="s">
        <v>482</v>
      </c>
      <c r="C561" s="947" t="s">
        <v>1056</v>
      </c>
      <c r="D561" s="1056">
        <v>998.5</v>
      </c>
      <c r="E561" s="1047" t="s">
        <v>1038</v>
      </c>
    </row>
    <row r="562" spans="2:5">
      <c r="B562" s="949" t="s">
        <v>1535</v>
      </c>
      <c r="C562" s="947" t="s">
        <v>1056</v>
      </c>
      <c r="D562" s="1056">
        <v>997.5</v>
      </c>
      <c r="E562" s="1047" t="s">
        <v>1038</v>
      </c>
    </row>
    <row r="563" spans="2:5">
      <c r="B563" s="949" t="s">
        <v>1372</v>
      </c>
      <c r="C563" s="947" t="s">
        <v>1056</v>
      </c>
      <c r="D563" s="1046">
        <v>997.5</v>
      </c>
      <c r="E563" s="1047" t="s">
        <v>1038</v>
      </c>
    </row>
    <row r="564" spans="2:5">
      <c r="B564" s="949" t="s">
        <v>1533</v>
      </c>
      <c r="C564" s="947" t="s">
        <v>1056</v>
      </c>
      <c r="D564" s="1046">
        <v>1050</v>
      </c>
      <c r="E564" s="1047" t="s">
        <v>1038</v>
      </c>
    </row>
    <row r="565" spans="2:5">
      <c r="B565" s="949" t="s">
        <v>1373</v>
      </c>
      <c r="C565" s="947" t="s">
        <v>1056</v>
      </c>
      <c r="D565" s="1046">
        <v>1050</v>
      </c>
      <c r="E565" s="1047" t="s">
        <v>1038</v>
      </c>
    </row>
    <row r="566" spans="2:5">
      <c r="B566" s="949" t="s">
        <v>1374</v>
      </c>
      <c r="C566" s="947" t="s">
        <v>1056</v>
      </c>
      <c r="D566" s="1046">
        <v>997.5</v>
      </c>
      <c r="E566" s="1047" t="s">
        <v>1038</v>
      </c>
    </row>
    <row r="567" spans="2:5">
      <c r="B567" s="949" t="s">
        <v>1530</v>
      </c>
      <c r="C567" s="947" t="s">
        <v>1056</v>
      </c>
      <c r="D567" s="1046">
        <v>997.5</v>
      </c>
      <c r="E567" s="1047" t="s">
        <v>1038</v>
      </c>
    </row>
    <row r="568" spans="2:5">
      <c r="B568" s="949" t="s">
        <v>1531</v>
      </c>
      <c r="C568" s="947" t="s">
        <v>1056</v>
      </c>
      <c r="D568" s="1046">
        <v>997.5</v>
      </c>
      <c r="E568" s="1047" t="s">
        <v>1038</v>
      </c>
    </row>
    <row r="569" spans="2:5">
      <c r="B569" s="949" t="s">
        <v>1375</v>
      </c>
      <c r="C569" s="947" t="s">
        <v>1056</v>
      </c>
      <c r="D569" s="1046">
        <v>997.5</v>
      </c>
      <c r="E569" s="1047" t="s">
        <v>1038</v>
      </c>
    </row>
    <row r="570" spans="2:5">
      <c r="B570" s="949" t="s">
        <v>1376</v>
      </c>
      <c r="C570" s="947" t="s">
        <v>1056</v>
      </c>
      <c r="D570" s="1046">
        <v>997.5</v>
      </c>
      <c r="E570" s="1047" t="s">
        <v>1038</v>
      </c>
    </row>
    <row r="571" spans="2:5">
      <c r="B571" s="949" t="s">
        <v>1377</v>
      </c>
      <c r="C571" s="947" t="s">
        <v>1056</v>
      </c>
      <c r="D571" s="1046">
        <v>997.5</v>
      </c>
      <c r="E571" s="1047" t="s">
        <v>1038</v>
      </c>
    </row>
    <row r="572" spans="2:5">
      <c r="B572" s="949" t="s">
        <v>1378</v>
      </c>
      <c r="C572" s="947" t="s">
        <v>1056</v>
      </c>
      <c r="D572" s="1046">
        <v>997.5</v>
      </c>
      <c r="E572" s="1047" t="s">
        <v>1038</v>
      </c>
    </row>
    <row r="573" spans="2:5">
      <c r="B573" s="949" t="s">
        <v>1379</v>
      </c>
      <c r="C573" s="947" t="s">
        <v>1056</v>
      </c>
      <c r="D573" s="1046">
        <v>997.5</v>
      </c>
      <c r="E573" s="1047" t="s">
        <v>1038</v>
      </c>
    </row>
    <row r="574" spans="2:5">
      <c r="B574" s="949" t="s">
        <v>1532</v>
      </c>
      <c r="C574" s="947" t="s">
        <v>1056</v>
      </c>
      <c r="D574" s="1046">
        <v>997.5</v>
      </c>
      <c r="E574" s="1047" t="s">
        <v>1038</v>
      </c>
    </row>
    <row r="575" spans="2:5">
      <c r="B575" s="949" t="s">
        <v>1380</v>
      </c>
      <c r="C575" s="947" t="s">
        <v>1056</v>
      </c>
      <c r="D575" s="1046">
        <v>2100</v>
      </c>
      <c r="E575" s="1047" t="s">
        <v>1038</v>
      </c>
    </row>
    <row r="576" spans="2:5">
      <c r="B576" s="949" t="s">
        <v>1381</v>
      </c>
      <c r="C576" s="947" t="s">
        <v>1056</v>
      </c>
      <c r="D576" s="1046">
        <v>945</v>
      </c>
      <c r="E576" s="1047" t="s">
        <v>1038</v>
      </c>
    </row>
    <row r="577" spans="2:5">
      <c r="B577" s="949" t="s">
        <v>1382</v>
      </c>
      <c r="C577" s="947" t="s">
        <v>1056</v>
      </c>
      <c r="D577" s="1046">
        <v>945</v>
      </c>
      <c r="E577" s="1047" t="s">
        <v>1038</v>
      </c>
    </row>
    <row r="578" spans="2:5">
      <c r="B578" s="949" t="s">
        <v>1383</v>
      </c>
      <c r="C578" s="947" t="s">
        <v>1056</v>
      </c>
      <c r="D578" s="1046">
        <v>945</v>
      </c>
      <c r="E578" s="1047" t="s">
        <v>1038</v>
      </c>
    </row>
    <row r="579" spans="2:5">
      <c r="B579" s="949" t="s">
        <v>1384</v>
      </c>
      <c r="C579" s="947" t="s">
        <v>1056</v>
      </c>
      <c r="D579" s="1046">
        <v>945</v>
      </c>
      <c r="E579" s="1047" t="s">
        <v>1038</v>
      </c>
    </row>
    <row r="580" spans="2:5">
      <c r="B580" s="949" t="s">
        <v>1385</v>
      </c>
      <c r="C580" s="947" t="s">
        <v>1056</v>
      </c>
      <c r="D580" s="1046">
        <v>6000</v>
      </c>
      <c r="E580" s="1047" t="s">
        <v>1038</v>
      </c>
    </row>
    <row r="581" spans="2:5">
      <c r="B581" s="949" t="s">
        <v>1386</v>
      </c>
      <c r="C581" s="947" t="s">
        <v>1056</v>
      </c>
      <c r="D581" s="1046">
        <v>577.5</v>
      </c>
      <c r="E581" s="1047" t="s">
        <v>1038</v>
      </c>
    </row>
    <row r="582" spans="2:5">
      <c r="B582" s="949" t="s">
        <v>1387</v>
      </c>
      <c r="C582" s="947" t="s">
        <v>1056</v>
      </c>
      <c r="D582" s="1046">
        <v>4725</v>
      </c>
      <c r="E582" s="1047" t="s">
        <v>1038</v>
      </c>
    </row>
    <row r="583" spans="2:5">
      <c r="B583" s="949" t="s">
        <v>1388</v>
      </c>
      <c r="C583" s="947" t="s">
        <v>1056</v>
      </c>
      <c r="D583" s="1046">
        <v>6000</v>
      </c>
      <c r="E583" s="1047" t="s">
        <v>1038</v>
      </c>
    </row>
    <row r="584" spans="2:5">
      <c r="B584" s="949" t="s">
        <v>1389</v>
      </c>
      <c r="C584" s="947" t="s">
        <v>1056</v>
      </c>
      <c r="D584" s="1046">
        <v>6000</v>
      </c>
      <c r="E584" s="1047" t="s">
        <v>1038</v>
      </c>
    </row>
    <row r="585" spans="2:5">
      <c r="B585" s="949" t="s">
        <v>1390</v>
      </c>
      <c r="C585" s="947" t="s">
        <v>1056</v>
      </c>
      <c r="D585" s="1046">
        <v>147</v>
      </c>
      <c r="E585" s="1047" t="s">
        <v>1038</v>
      </c>
    </row>
    <row r="586" spans="2:5">
      <c r="B586" s="949" t="s">
        <v>1391</v>
      </c>
      <c r="C586" s="947" t="s">
        <v>1056</v>
      </c>
      <c r="D586" s="1046">
        <v>147</v>
      </c>
      <c r="E586" s="1047" t="s">
        <v>1038</v>
      </c>
    </row>
    <row r="587" spans="2:5">
      <c r="B587" s="949" t="s">
        <v>1392</v>
      </c>
      <c r="C587" s="947" t="s">
        <v>1056</v>
      </c>
      <c r="D587" s="1046">
        <v>183.75</v>
      </c>
      <c r="E587" s="1047" t="s">
        <v>1038</v>
      </c>
    </row>
    <row r="588" spans="2:5">
      <c r="B588" s="949" t="s">
        <v>1393</v>
      </c>
      <c r="C588" s="947" t="s">
        <v>1056</v>
      </c>
      <c r="D588" s="1046">
        <v>78.75</v>
      </c>
      <c r="E588" s="1047" t="s">
        <v>1038</v>
      </c>
    </row>
    <row r="589" spans="2:5">
      <c r="B589" s="949" t="s">
        <v>1394</v>
      </c>
      <c r="C589" s="947" t="s">
        <v>1056</v>
      </c>
      <c r="D589" s="1046">
        <v>84</v>
      </c>
      <c r="E589" s="1047" t="s">
        <v>1038</v>
      </c>
    </row>
    <row r="590" spans="2:5">
      <c r="B590" s="949" t="s">
        <v>1395</v>
      </c>
      <c r="C590" s="947" t="s">
        <v>1042</v>
      </c>
      <c r="D590" s="1049">
        <v>1000</v>
      </c>
      <c r="E590" s="1047" t="s">
        <v>1038</v>
      </c>
    </row>
    <row r="591" spans="2:5">
      <c r="B591" s="949" t="s">
        <v>1396</v>
      </c>
      <c r="C591" s="947" t="s">
        <v>1056</v>
      </c>
      <c r="D591" s="1046">
        <v>40</v>
      </c>
      <c r="E591" s="1047" t="s">
        <v>1038</v>
      </c>
    </row>
    <row r="592" spans="2:5">
      <c r="B592" s="949" t="s">
        <v>1397</v>
      </c>
      <c r="C592" s="947" t="s">
        <v>1042</v>
      </c>
      <c r="D592" s="1046">
        <v>1890</v>
      </c>
      <c r="E592" s="1047" t="s">
        <v>1038</v>
      </c>
    </row>
    <row r="593" spans="2:5">
      <c r="B593" s="949" t="s">
        <v>1398</v>
      </c>
      <c r="C593" s="947" t="s">
        <v>1056</v>
      </c>
      <c r="D593" s="1046">
        <v>42</v>
      </c>
      <c r="E593" s="1047" t="s">
        <v>1038</v>
      </c>
    </row>
    <row r="594" spans="2:5">
      <c r="B594" s="949" t="s">
        <v>1538</v>
      </c>
      <c r="C594" s="947" t="s">
        <v>1056</v>
      </c>
      <c r="D594" s="1046">
        <v>51</v>
      </c>
      <c r="E594" s="1047" t="s">
        <v>1038</v>
      </c>
    </row>
    <row r="595" spans="2:5">
      <c r="B595" s="949" t="s">
        <v>1399</v>
      </c>
      <c r="C595" s="947" t="s">
        <v>1056</v>
      </c>
      <c r="D595" s="1046">
        <v>42</v>
      </c>
      <c r="E595" s="1047" t="s">
        <v>1038</v>
      </c>
    </row>
    <row r="596" spans="2:5">
      <c r="B596" s="949" t="s">
        <v>1400</v>
      </c>
      <c r="C596" s="947" t="s">
        <v>1056</v>
      </c>
      <c r="D596" s="1046">
        <v>52.5</v>
      </c>
      <c r="E596" s="1047" t="s">
        <v>1038</v>
      </c>
    </row>
    <row r="597" spans="2:5">
      <c r="B597" s="949" t="s">
        <v>1401</v>
      </c>
      <c r="C597" s="947" t="s">
        <v>1056</v>
      </c>
      <c r="D597" s="1046">
        <v>68.25</v>
      </c>
      <c r="E597" s="1047" t="s">
        <v>1038</v>
      </c>
    </row>
    <row r="598" spans="2:5">
      <c r="B598" s="949" t="s">
        <v>1536</v>
      </c>
      <c r="C598" s="947" t="s">
        <v>1056</v>
      </c>
      <c r="D598" s="1046">
        <v>69.25</v>
      </c>
      <c r="E598" s="1047" t="s">
        <v>1038</v>
      </c>
    </row>
    <row r="599" spans="2:5">
      <c r="B599" s="949" t="s">
        <v>1537</v>
      </c>
      <c r="C599" s="947" t="s">
        <v>1056</v>
      </c>
      <c r="D599" s="1046">
        <v>73</v>
      </c>
      <c r="E599" s="1047" t="s">
        <v>1038</v>
      </c>
    </row>
    <row r="600" spans="2:5">
      <c r="B600" s="949" t="s">
        <v>1402</v>
      </c>
      <c r="C600" s="947" t="s">
        <v>1056</v>
      </c>
      <c r="D600" s="1046">
        <v>26.25</v>
      </c>
      <c r="E600" s="1047" t="s">
        <v>1038</v>
      </c>
    </row>
    <row r="601" spans="2:5">
      <c r="B601" s="949" t="s">
        <v>1541</v>
      </c>
      <c r="C601" s="947" t="s">
        <v>1056</v>
      </c>
      <c r="D601" s="1046">
        <v>46.3</v>
      </c>
      <c r="E601" s="1047" t="s">
        <v>1038</v>
      </c>
    </row>
    <row r="602" spans="2:5">
      <c r="B602" s="949" t="s">
        <v>1403</v>
      </c>
      <c r="C602" s="947" t="s">
        <v>1056</v>
      </c>
      <c r="D602" s="1046">
        <v>1575</v>
      </c>
      <c r="E602" s="1047" t="s">
        <v>1038</v>
      </c>
    </row>
    <row r="603" spans="2:5">
      <c r="B603" s="949" t="s">
        <v>1539</v>
      </c>
      <c r="C603" s="947" t="s">
        <v>1056</v>
      </c>
      <c r="D603" s="1046">
        <v>200</v>
      </c>
      <c r="E603" s="1047" t="s">
        <v>1038</v>
      </c>
    </row>
    <row r="604" spans="2:5">
      <c r="B604" s="949" t="s">
        <v>1404</v>
      </c>
      <c r="C604" s="947" t="s">
        <v>1056</v>
      </c>
      <c r="D604" s="1046">
        <v>47.25</v>
      </c>
      <c r="E604" s="1047" t="s">
        <v>1038</v>
      </c>
    </row>
    <row r="605" spans="2:5">
      <c r="B605" s="949" t="s">
        <v>1405</v>
      </c>
      <c r="C605" s="947" t="s">
        <v>1056</v>
      </c>
      <c r="D605" s="1046">
        <v>131.25</v>
      </c>
      <c r="E605" s="1047" t="s">
        <v>1038</v>
      </c>
    </row>
    <row r="606" spans="2:5">
      <c r="B606" s="949" t="s">
        <v>1406</v>
      </c>
      <c r="C606" s="947" t="s">
        <v>1056</v>
      </c>
      <c r="D606" s="1046">
        <v>472.5</v>
      </c>
      <c r="E606" s="1047" t="s">
        <v>1038</v>
      </c>
    </row>
    <row r="607" spans="2:5">
      <c r="B607" s="949" t="s">
        <v>1407</v>
      </c>
      <c r="C607" s="947" t="s">
        <v>1056</v>
      </c>
      <c r="D607" s="1046">
        <v>7350</v>
      </c>
      <c r="E607" s="1047" t="s">
        <v>1038</v>
      </c>
    </row>
    <row r="608" spans="2:5">
      <c r="B608" s="949" t="s">
        <v>1540</v>
      </c>
      <c r="C608" s="947" t="s">
        <v>1056</v>
      </c>
      <c r="D608" s="1046">
        <v>325</v>
      </c>
      <c r="E608" s="1047" t="s">
        <v>1038</v>
      </c>
    </row>
    <row r="609" spans="2:5">
      <c r="B609" s="949" t="s">
        <v>1526</v>
      </c>
      <c r="C609" s="947" t="s">
        <v>1106</v>
      </c>
      <c r="D609" s="1046">
        <v>5600</v>
      </c>
      <c r="E609" s="1047" t="s">
        <v>1038</v>
      </c>
    </row>
    <row r="610" spans="2:5">
      <c r="B610" s="949" t="s">
        <v>1371</v>
      </c>
      <c r="C610" s="947" t="s">
        <v>1106</v>
      </c>
      <c r="D610" s="1046">
        <v>945</v>
      </c>
      <c r="E610" s="1047" t="s">
        <v>1038</v>
      </c>
    </row>
    <row r="611" spans="2:5">
      <c r="B611" s="949" t="s">
        <v>1527</v>
      </c>
      <c r="C611" s="947" t="s">
        <v>1106</v>
      </c>
      <c r="D611" s="1046">
        <v>945</v>
      </c>
      <c r="E611" s="1047" t="s">
        <v>1038</v>
      </c>
    </row>
    <row r="612" spans="2:5">
      <c r="B612" s="949" t="s">
        <v>1528</v>
      </c>
      <c r="C612" s="947" t="s">
        <v>1106</v>
      </c>
      <c r="D612" s="1046">
        <v>1000</v>
      </c>
      <c r="E612" s="1047" t="s">
        <v>1038</v>
      </c>
    </row>
    <row r="613" spans="2:5">
      <c r="B613" s="949" t="s">
        <v>1529</v>
      </c>
      <c r="C613" s="947" t="s">
        <v>1056</v>
      </c>
      <c r="D613" s="1046">
        <v>472.5</v>
      </c>
      <c r="E613" s="1047" t="s">
        <v>1038</v>
      </c>
    </row>
    <row r="614" spans="2:5">
      <c r="B614" s="949" t="s">
        <v>1534</v>
      </c>
      <c r="C614" s="947" t="s">
        <v>1056</v>
      </c>
      <c r="D614" s="1046">
        <v>472.5</v>
      </c>
      <c r="E614" s="1047" t="s">
        <v>1038</v>
      </c>
    </row>
    <row r="615" spans="2:5">
      <c r="B615" s="949" t="s">
        <v>1543</v>
      </c>
      <c r="C615" s="947" t="s">
        <v>1109</v>
      </c>
      <c r="D615" s="1046">
        <v>12000</v>
      </c>
    </row>
    <row r="616" spans="2:5">
      <c r="B616" s="949" t="s">
        <v>1542</v>
      </c>
      <c r="C616" s="947" t="s">
        <v>1056</v>
      </c>
      <c r="D616" s="1046">
        <v>150</v>
      </c>
    </row>
    <row r="617" spans="2:5" ht="47.25">
      <c r="B617" s="949" t="s">
        <v>1007</v>
      </c>
      <c r="C617" s="947" t="s">
        <v>140</v>
      </c>
      <c r="D617" s="1046">
        <v>5000</v>
      </c>
      <c r="E617" s="1047" t="s">
        <v>1038</v>
      </c>
    </row>
    <row r="618" spans="2:5" ht="31.5">
      <c r="B618" s="949" t="s">
        <v>1408</v>
      </c>
      <c r="C618" s="947" t="s">
        <v>1056</v>
      </c>
      <c r="D618" s="1046">
        <v>75</v>
      </c>
      <c r="E618" s="1047" t="s">
        <v>1038</v>
      </c>
    </row>
    <row r="619" spans="2:5" ht="78.75">
      <c r="B619" s="949" t="s">
        <v>966</v>
      </c>
      <c r="C619" s="947" t="s">
        <v>1409</v>
      </c>
      <c r="D619" s="1046">
        <v>356</v>
      </c>
      <c r="E619" s="1047" t="s">
        <v>1719</v>
      </c>
    </row>
    <row r="620" spans="2:5">
      <c r="B620" s="949" t="s">
        <v>1410</v>
      </c>
      <c r="C620" s="947" t="s">
        <v>10</v>
      </c>
      <c r="D620" s="1046">
        <v>1000</v>
      </c>
    </row>
    <row r="621" spans="2:5" ht="31.5">
      <c r="B621" s="949" t="s">
        <v>1411</v>
      </c>
      <c r="C621" s="947" t="s">
        <v>10</v>
      </c>
      <c r="D621" s="1046">
        <f>42000*1.18</f>
        <v>49560</v>
      </c>
      <c r="E621" s="1047" t="s">
        <v>1412</v>
      </c>
    </row>
    <row r="622" spans="2:5" ht="31.5">
      <c r="B622" s="949" t="s">
        <v>1413</v>
      </c>
      <c r="C622" s="947" t="s">
        <v>1000</v>
      </c>
      <c r="D622" s="1046">
        <v>36</v>
      </c>
    </row>
    <row r="623" spans="2:5">
      <c r="B623" s="949" t="s">
        <v>1414</v>
      </c>
      <c r="C623" s="947" t="s">
        <v>1106</v>
      </c>
      <c r="D623" s="1046">
        <f>1250*1.18</f>
        <v>1475</v>
      </c>
    </row>
    <row r="624" spans="2:5">
      <c r="B624" s="949" t="s">
        <v>1415</v>
      </c>
      <c r="C624" s="947" t="s">
        <v>1000</v>
      </c>
      <c r="D624" s="1046">
        <f>55*56.9*0.9</f>
        <v>2816.55</v>
      </c>
      <c r="E624" s="1047" t="s">
        <v>1416</v>
      </c>
    </row>
    <row r="625" spans="2:5" ht="31.5">
      <c r="B625" s="949" t="s">
        <v>1417</v>
      </c>
      <c r="C625" s="947" t="s">
        <v>1000</v>
      </c>
      <c r="D625" s="1046">
        <f>160*56.9*0.9</f>
        <v>8193.6</v>
      </c>
      <c r="E625" s="1047" t="s">
        <v>1416</v>
      </c>
    </row>
    <row r="626" spans="2:5" ht="47.25">
      <c r="B626" s="949" t="s">
        <v>1418</v>
      </c>
      <c r="C626" s="947" t="s">
        <v>1000</v>
      </c>
      <c r="D626" s="1046">
        <f>135*56.9*0.9</f>
        <v>6913.35</v>
      </c>
      <c r="E626" s="1047" t="s">
        <v>1416</v>
      </c>
    </row>
    <row r="627" spans="2:5">
      <c r="B627" s="949" t="s">
        <v>1544</v>
      </c>
      <c r="C627" s="947" t="s">
        <v>1106</v>
      </c>
      <c r="D627" s="1046">
        <v>8000</v>
      </c>
    </row>
    <row r="628" spans="2:5" ht="31.5">
      <c r="B628" s="949" t="s">
        <v>1419</v>
      </c>
      <c r="C628" s="947" t="s">
        <v>10</v>
      </c>
      <c r="D628" s="1046">
        <f>12118.64*1.18</f>
        <v>14300</v>
      </c>
      <c r="E628" s="1047" t="s">
        <v>1420</v>
      </c>
    </row>
    <row r="629" spans="2:5" ht="31.5">
      <c r="B629" s="949" t="s">
        <v>1421</v>
      </c>
      <c r="C629" s="947" t="s">
        <v>10</v>
      </c>
      <c r="D629" s="1046">
        <f>9745.76*1.18</f>
        <v>11500</v>
      </c>
      <c r="E629" s="1047" t="s">
        <v>1420</v>
      </c>
    </row>
    <row r="630" spans="2:5" ht="31.5">
      <c r="B630" s="949" t="s">
        <v>1422</v>
      </c>
      <c r="C630" s="947" t="s">
        <v>10</v>
      </c>
      <c r="D630" s="1046">
        <f>10338.98*1.18</f>
        <v>12200</v>
      </c>
      <c r="E630" s="1047" t="s">
        <v>1420</v>
      </c>
    </row>
    <row r="631" spans="2:5" ht="31.5">
      <c r="B631" s="949" t="s">
        <v>1423</v>
      </c>
      <c r="C631" s="947" t="s">
        <v>10</v>
      </c>
      <c r="D631" s="1046">
        <f>7754.24*1.18</f>
        <v>9150</v>
      </c>
      <c r="E631" s="1047" t="s">
        <v>1420</v>
      </c>
    </row>
    <row r="632" spans="2:5" ht="31.5">
      <c r="B632" s="949" t="s">
        <v>1424</v>
      </c>
      <c r="C632" s="947" t="s">
        <v>10</v>
      </c>
      <c r="D632" s="1046">
        <f>8898.31*1.18</f>
        <v>10500.01</v>
      </c>
      <c r="E632" s="1047" t="s">
        <v>1420</v>
      </c>
    </row>
    <row r="633" spans="2:5" ht="31.5">
      <c r="B633" s="949" t="s">
        <v>1425</v>
      </c>
      <c r="C633" s="947" t="s">
        <v>10</v>
      </c>
      <c r="D633" s="1046">
        <f>9406.78*1.18</f>
        <v>11100</v>
      </c>
      <c r="E633" s="1047" t="s">
        <v>1420</v>
      </c>
    </row>
    <row r="634" spans="2:5">
      <c r="B634" s="949" t="s">
        <v>1426</v>
      </c>
      <c r="C634" s="947" t="s">
        <v>10</v>
      </c>
      <c r="D634" s="1046">
        <f>13983.05*1.18</f>
        <v>16500</v>
      </c>
      <c r="E634" s="1047" t="s">
        <v>1420</v>
      </c>
    </row>
    <row r="635" spans="2:5" ht="31.5">
      <c r="B635" s="949" t="s">
        <v>1427</v>
      </c>
      <c r="C635" s="947" t="s">
        <v>10</v>
      </c>
      <c r="D635" s="1046">
        <f>+D629</f>
        <v>11500</v>
      </c>
      <c r="E635" s="1047" t="s">
        <v>1420</v>
      </c>
    </row>
    <row r="636" spans="2:5" ht="31.5">
      <c r="B636" s="949" t="s">
        <v>1428</v>
      </c>
      <c r="C636" s="947" t="s">
        <v>1429</v>
      </c>
      <c r="D636" s="1046">
        <v>280</v>
      </c>
    </row>
    <row r="637" spans="2:5">
      <c r="B637" s="949" t="s">
        <v>1430</v>
      </c>
    </row>
    <row r="638" spans="2:5">
      <c r="B638" s="949" t="s">
        <v>1431</v>
      </c>
    </row>
    <row r="639" spans="2:5">
      <c r="B639" s="949" t="s">
        <v>1432</v>
      </c>
    </row>
    <row r="640" spans="2:5" ht="47.25">
      <c r="B640" s="949" t="s">
        <v>1433</v>
      </c>
      <c r="C640" s="947" t="s">
        <v>1025</v>
      </c>
      <c r="D640" s="1046">
        <v>280000</v>
      </c>
    </row>
    <row r="641" spans="2:4">
      <c r="B641" s="949" t="s">
        <v>1434</v>
      </c>
      <c r="C641" s="947" t="s">
        <v>1045</v>
      </c>
      <c r="D641" s="1046">
        <v>110</v>
      </c>
    </row>
    <row r="642" spans="2:4">
      <c r="B642" s="949" t="s">
        <v>1573</v>
      </c>
      <c r="C642" s="947" t="s">
        <v>1183</v>
      </c>
      <c r="D642" s="1046">
        <v>2200</v>
      </c>
    </row>
    <row r="643" spans="2:4">
      <c r="B643" s="949" t="s">
        <v>1435</v>
      </c>
      <c r="C643" s="947" t="s">
        <v>10</v>
      </c>
      <c r="D643" s="1046">
        <v>7500</v>
      </c>
    </row>
    <row r="644" spans="2:4">
      <c r="B644" s="949" t="s">
        <v>1436</v>
      </c>
      <c r="C644" s="947" t="s">
        <v>1000</v>
      </c>
      <c r="D644" s="1046">
        <f>275*2</f>
        <v>550</v>
      </c>
    </row>
    <row r="645" spans="2:4">
      <c r="B645" s="949" t="s">
        <v>985</v>
      </c>
      <c r="C645" s="947" t="s">
        <v>1106</v>
      </c>
      <c r="D645" s="1046">
        <v>7000</v>
      </c>
    </row>
    <row r="646" spans="2:4">
      <c r="B646" s="949" t="s">
        <v>986</v>
      </c>
      <c r="C646" s="947" t="s">
        <v>1106</v>
      </c>
      <c r="D646" s="1046">
        <v>7000</v>
      </c>
    </row>
    <row r="648" spans="2:4">
      <c r="B648" s="949" t="s">
        <v>759</v>
      </c>
      <c r="C648" s="947" t="s">
        <v>760</v>
      </c>
      <c r="D648" s="1046">
        <v>90</v>
      </c>
    </row>
    <row r="649" spans="2:4">
      <c r="B649" s="949" t="s">
        <v>761</v>
      </c>
      <c r="C649" s="947" t="s">
        <v>760</v>
      </c>
      <c r="D649" s="1046">
        <v>81</v>
      </c>
    </row>
    <row r="650" spans="2:4" ht="47.25">
      <c r="B650" s="949" t="s">
        <v>1733</v>
      </c>
      <c r="C650" s="947" t="s">
        <v>300</v>
      </c>
      <c r="D650" s="1046">
        <f>796.56+200</f>
        <v>996.56</v>
      </c>
    </row>
    <row r="651" spans="2:4">
      <c r="B651" s="949" t="s">
        <v>763</v>
      </c>
      <c r="C651" s="947" t="s">
        <v>760</v>
      </c>
      <c r="D651" s="1046">
        <v>41</v>
      </c>
    </row>
    <row r="652" spans="2:4">
      <c r="B652" s="949" t="s">
        <v>764</v>
      </c>
      <c r="C652" s="947" t="s">
        <v>760</v>
      </c>
      <c r="D652" s="1046">
        <v>36</v>
      </c>
    </row>
    <row r="653" spans="2:4">
      <c r="B653" s="949" t="s">
        <v>765</v>
      </c>
      <c r="C653" s="947" t="s">
        <v>760</v>
      </c>
      <c r="D653" s="1046">
        <v>39</v>
      </c>
    </row>
    <row r="654" spans="2:4">
      <c r="B654" s="949" t="s">
        <v>766</v>
      </c>
      <c r="C654" s="947" t="s">
        <v>760</v>
      </c>
      <c r="D654" s="1046">
        <v>42</v>
      </c>
    </row>
    <row r="655" spans="2:4">
      <c r="B655" s="949" t="s">
        <v>767</v>
      </c>
      <c r="C655" s="947" t="s">
        <v>10</v>
      </c>
      <c r="D655" s="1046">
        <v>25.3</v>
      </c>
    </row>
    <row r="656" spans="2:4" ht="31.5">
      <c r="B656" s="949" t="s">
        <v>768</v>
      </c>
      <c r="C656" s="947" t="s">
        <v>10</v>
      </c>
      <c r="D656" s="1046">
        <v>29</v>
      </c>
    </row>
    <row r="657" spans="2:4">
      <c r="B657" s="949" t="s">
        <v>769</v>
      </c>
      <c r="C657" s="947" t="s">
        <v>10</v>
      </c>
      <c r="D657" s="1046">
        <v>4.7</v>
      </c>
    </row>
    <row r="658" spans="2:4">
      <c r="B658" s="949" t="s">
        <v>1725</v>
      </c>
      <c r="C658" s="947" t="s">
        <v>20</v>
      </c>
      <c r="D658" s="1046">
        <v>610</v>
      </c>
    </row>
    <row r="659" spans="2:4">
      <c r="B659" s="949" t="s">
        <v>1730</v>
      </c>
      <c r="C659" s="947" t="s">
        <v>10</v>
      </c>
      <c r="D659" s="1046">
        <v>9000</v>
      </c>
    </row>
    <row r="660" spans="2:4">
      <c r="B660" s="949" t="s">
        <v>1731</v>
      </c>
      <c r="C660" s="947" t="s">
        <v>10</v>
      </c>
      <c r="D660" s="1046">
        <v>14000</v>
      </c>
    </row>
    <row r="661" spans="2:4">
      <c r="B661" s="949" t="s">
        <v>573</v>
      </c>
      <c r="C661" s="947" t="s">
        <v>20</v>
      </c>
      <c r="D661" s="1046">
        <v>1550</v>
      </c>
    </row>
    <row r="662" spans="2:4" ht="31.5">
      <c r="B662" s="949" t="s">
        <v>575</v>
      </c>
      <c r="C662" s="947" t="s">
        <v>20</v>
      </c>
      <c r="D662" s="1046">
        <v>1550</v>
      </c>
    </row>
    <row r="674" spans="2:5">
      <c r="B674" s="977" t="s">
        <v>1437</v>
      </c>
      <c r="C674" s="978"/>
      <c r="D674" s="1044"/>
      <c r="E674" s="1045"/>
    </row>
    <row r="676" spans="2:5">
      <c r="B676" s="949" t="s">
        <v>1438</v>
      </c>
      <c r="C676" s="947" t="s">
        <v>1439</v>
      </c>
      <c r="D676" s="1046">
        <v>1274</v>
      </c>
    </row>
    <row r="677" spans="2:5">
      <c r="B677" s="949" t="s">
        <v>1440</v>
      </c>
      <c r="C677" s="947" t="s">
        <v>1439</v>
      </c>
      <c r="D677" s="1046">
        <v>1106</v>
      </c>
    </row>
    <row r="678" spans="2:5">
      <c r="B678" s="949" t="s">
        <v>952</v>
      </c>
      <c r="C678" s="947" t="s">
        <v>1167</v>
      </c>
      <c r="D678" s="1046">
        <v>155</v>
      </c>
    </row>
    <row r="679" spans="2:5">
      <c r="B679" s="949" t="s">
        <v>953</v>
      </c>
      <c r="C679" s="947" t="s">
        <v>1167</v>
      </c>
      <c r="D679" s="1046">
        <v>120</v>
      </c>
    </row>
    <row r="680" spans="2:5">
      <c r="B680" s="949" t="s">
        <v>954</v>
      </c>
      <c r="C680" s="947" t="s">
        <v>1439</v>
      </c>
      <c r="D680" s="1046">
        <v>6584</v>
      </c>
    </row>
    <row r="681" spans="2:5">
      <c r="B681" s="949" t="s">
        <v>1441</v>
      </c>
      <c r="C681" s="947" t="s">
        <v>1439</v>
      </c>
      <c r="D681" s="1046">
        <v>3717</v>
      </c>
    </row>
    <row r="682" spans="2:5">
      <c r="B682" s="949" t="s">
        <v>955</v>
      </c>
      <c r="C682" s="947" t="s">
        <v>1439</v>
      </c>
      <c r="D682" s="1046">
        <v>3610</v>
      </c>
    </row>
    <row r="684" spans="2:5">
      <c r="B684" s="949" t="s">
        <v>1020</v>
      </c>
      <c r="C684" s="947" t="s">
        <v>1026</v>
      </c>
      <c r="D684" s="1046">
        <f>225*4*23.83</f>
        <v>21447</v>
      </c>
    </row>
    <row r="685" spans="2:5">
      <c r="B685" s="949" t="s">
        <v>1021</v>
      </c>
      <c r="C685" s="947" t="s">
        <v>1026</v>
      </c>
      <c r="D685" s="1046">
        <f>(1800/8)*5*23.83</f>
        <v>26808.75</v>
      </c>
    </row>
    <row r="686" spans="2:5">
      <c r="B686" s="949" t="s">
        <v>933</v>
      </c>
      <c r="C686" s="947" t="s">
        <v>1439</v>
      </c>
      <c r="D686" s="1046">
        <v>4250</v>
      </c>
    </row>
    <row r="687" spans="2:5">
      <c r="B687" s="949" t="s">
        <v>938</v>
      </c>
      <c r="C687" s="947" t="s">
        <v>1439</v>
      </c>
      <c r="D687" s="1046">
        <v>2500</v>
      </c>
    </row>
    <row r="688" spans="2:5">
      <c r="B688" s="949" t="s">
        <v>935</v>
      </c>
      <c r="C688" s="947" t="s">
        <v>1439</v>
      </c>
      <c r="D688" s="1046">
        <v>2400</v>
      </c>
    </row>
    <row r="689" spans="2:4">
      <c r="B689" s="949" t="s">
        <v>934</v>
      </c>
      <c r="C689" s="947" t="s">
        <v>1167</v>
      </c>
      <c r="D689" s="1052">
        <v>350</v>
      </c>
    </row>
    <row r="690" spans="2:4">
      <c r="B690" s="949" t="s">
        <v>992</v>
      </c>
      <c r="C690" s="947" t="s">
        <v>1167</v>
      </c>
      <c r="D690" s="1052">
        <f>5*19.22</f>
        <v>96.1</v>
      </c>
    </row>
    <row r="691" spans="2:4">
      <c r="B691" s="949" t="s">
        <v>993</v>
      </c>
      <c r="C691" s="947" t="s">
        <v>1167</v>
      </c>
      <c r="D691" s="1052">
        <f>2*18.21</f>
        <v>36.42</v>
      </c>
    </row>
    <row r="692" spans="2:4">
      <c r="B692" s="949" t="s">
        <v>1442</v>
      </c>
      <c r="C692" s="947" t="s">
        <v>1167</v>
      </c>
      <c r="D692" s="1046">
        <v>365</v>
      </c>
    </row>
    <row r="693" spans="2:4">
      <c r="B693" s="949" t="s">
        <v>939</v>
      </c>
      <c r="C693" s="947" t="s">
        <v>1439</v>
      </c>
      <c r="D693" s="1046">
        <v>400</v>
      </c>
    </row>
    <row r="694" spans="2:4">
      <c r="B694" s="949" t="s">
        <v>1443</v>
      </c>
      <c r="C694" s="947" t="s">
        <v>1439</v>
      </c>
      <c r="D694" s="1046">
        <v>2800</v>
      </c>
    </row>
    <row r="695" spans="2:4">
      <c r="B695" s="949" t="s">
        <v>925</v>
      </c>
      <c r="C695" s="947" t="s">
        <v>1025</v>
      </c>
      <c r="D695" s="1046">
        <v>0.03</v>
      </c>
    </row>
    <row r="696" spans="2:4" ht="31.5">
      <c r="B696" s="949" t="s">
        <v>1444</v>
      </c>
      <c r="C696" s="947" t="s">
        <v>1439</v>
      </c>
      <c r="D696" s="1046">
        <f>1700/6</f>
        <v>283.33</v>
      </c>
    </row>
    <row r="697" spans="2:4">
      <c r="B697" s="949" t="s">
        <v>1005</v>
      </c>
      <c r="C697" s="947" t="s">
        <v>1439</v>
      </c>
      <c r="D697" s="1046">
        <v>1500</v>
      </c>
    </row>
    <row r="698" spans="2:4">
      <c r="B698" s="949" t="s">
        <v>1445</v>
      </c>
      <c r="C698" s="947" t="s">
        <v>1446</v>
      </c>
      <c r="D698" s="1046">
        <v>25</v>
      </c>
    </row>
    <row r="699" spans="2:4">
      <c r="B699" s="949" t="s">
        <v>1447</v>
      </c>
      <c r="C699" s="947" t="s">
        <v>1446</v>
      </c>
      <c r="D699" s="1046">
        <v>19</v>
      </c>
    </row>
    <row r="700" spans="2:4">
      <c r="B700" s="949" t="s">
        <v>1448</v>
      </c>
      <c r="C700" s="947" t="s">
        <v>1446</v>
      </c>
      <c r="D700" s="1046">
        <v>18</v>
      </c>
    </row>
    <row r="701" spans="2:4">
      <c r="B701" s="949" t="s">
        <v>1449</v>
      </c>
      <c r="C701" s="947" t="s">
        <v>1446</v>
      </c>
      <c r="D701" s="1046">
        <v>18</v>
      </c>
    </row>
    <row r="702" spans="2:4">
      <c r="B702" s="949" t="s">
        <v>1450</v>
      </c>
      <c r="C702" s="947" t="s">
        <v>1042</v>
      </c>
      <c r="D702" s="1046">
        <v>400</v>
      </c>
    </row>
    <row r="703" spans="2:4">
      <c r="B703" s="949" t="s">
        <v>1451</v>
      </c>
      <c r="C703" s="947" t="s">
        <v>1452</v>
      </c>
    </row>
    <row r="704" spans="2:4">
      <c r="B704" s="949" t="s">
        <v>1453</v>
      </c>
      <c r="C704" s="947" t="s">
        <v>1439</v>
      </c>
      <c r="D704" s="1046">
        <v>5690</v>
      </c>
    </row>
    <row r="705" spans="2:4">
      <c r="B705" s="949" t="s">
        <v>1454</v>
      </c>
      <c r="C705" s="947" t="s">
        <v>1000</v>
      </c>
      <c r="D705" s="1046">
        <v>854</v>
      </c>
    </row>
    <row r="706" spans="2:4">
      <c r="B706" s="949" t="s">
        <v>1308</v>
      </c>
      <c r="C706" s="947" t="s">
        <v>1045</v>
      </c>
      <c r="D706" s="1046">
        <f>4*56.9</f>
        <v>227.6</v>
      </c>
    </row>
    <row r="707" spans="2:4" ht="31.5">
      <c r="B707" s="949" t="s">
        <v>932</v>
      </c>
      <c r="C707" s="947" t="s">
        <v>1439</v>
      </c>
      <c r="D707" s="1046">
        <v>3000</v>
      </c>
    </row>
    <row r="708" spans="2:4">
      <c r="B708" s="949" t="s">
        <v>1455</v>
      </c>
      <c r="C708" s="947" t="s">
        <v>1439</v>
      </c>
      <c r="D708" s="1046">
        <v>1790</v>
      </c>
    </row>
    <row r="709" spans="2:4">
      <c r="B709" s="949" t="s">
        <v>1456</v>
      </c>
      <c r="C709" s="947" t="s">
        <v>10</v>
      </c>
      <c r="D709" s="1046">
        <f>12*56.9</f>
        <v>682.8</v>
      </c>
    </row>
    <row r="710" spans="2:4">
      <c r="B710" s="949" t="s">
        <v>1457</v>
      </c>
      <c r="C710" s="947" t="s">
        <v>1027</v>
      </c>
      <c r="D710" s="1046">
        <v>3000</v>
      </c>
    </row>
    <row r="711" spans="2:4">
      <c r="B711" s="949" t="s">
        <v>1458</v>
      </c>
      <c r="C711" s="947" t="s">
        <v>1026</v>
      </c>
      <c r="D711" s="1046">
        <v>25000</v>
      </c>
    </row>
    <row r="712" spans="2:4">
      <c r="B712" s="949" t="s">
        <v>1459</v>
      </c>
      <c r="C712" s="947" t="s">
        <v>10</v>
      </c>
      <c r="D712" s="1046">
        <f>1.9*58.7</f>
        <v>111.53</v>
      </c>
    </row>
    <row r="713" spans="2:4">
      <c r="B713" s="949" t="s">
        <v>1460</v>
      </c>
      <c r="C713" s="947" t="s">
        <v>10</v>
      </c>
      <c r="D713" s="1046">
        <f>3*58.7</f>
        <v>176.1</v>
      </c>
    </row>
    <row r="714" spans="2:4">
      <c r="B714" s="949" t="s">
        <v>1461</v>
      </c>
      <c r="C714" s="947" t="s">
        <v>1439</v>
      </c>
      <c r="D714" s="1046">
        <f>100*58.7</f>
        <v>5870</v>
      </c>
    </row>
    <row r="715" spans="2:4">
      <c r="B715" s="949" t="s">
        <v>1462</v>
      </c>
      <c r="C715" s="947" t="s">
        <v>1027</v>
      </c>
      <c r="D715" s="1046">
        <v>2500</v>
      </c>
    </row>
    <row r="716" spans="2:4">
      <c r="B716" s="949" t="s">
        <v>1463</v>
      </c>
      <c r="C716" s="947" t="s">
        <v>1027</v>
      </c>
      <c r="D716" s="1046">
        <v>8000</v>
      </c>
    </row>
    <row r="717" spans="2:4">
      <c r="B717" s="949" t="s">
        <v>1464</v>
      </c>
      <c r="C717" s="947" t="s">
        <v>1027</v>
      </c>
      <c r="D717" s="1046">
        <v>55000</v>
      </c>
    </row>
    <row r="718" spans="2:4">
      <c r="B718" s="949" t="s">
        <v>1465</v>
      </c>
      <c r="C718" s="947" t="s">
        <v>1027</v>
      </c>
      <c r="D718" s="1046">
        <v>4000</v>
      </c>
    </row>
    <row r="719" spans="2:4">
      <c r="B719" s="949" t="s">
        <v>947</v>
      </c>
      <c r="C719" s="947" t="s">
        <v>1466</v>
      </c>
      <c r="D719" s="1046">
        <v>1106</v>
      </c>
    </row>
    <row r="720" spans="2:4">
      <c r="B720" s="949" t="s">
        <v>948</v>
      </c>
      <c r="C720" s="947" t="s">
        <v>1466</v>
      </c>
      <c r="D720" s="1046">
        <v>3398</v>
      </c>
    </row>
    <row r="721" spans="2:4">
      <c r="B721" s="949" t="s">
        <v>949</v>
      </c>
      <c r="C721" s="947" t="s">
        <v>1466</v>
      </c>
      <c r="D721" s="1046">
        <v>1274</v>
      </c>
    </row>
  </sheetData>
  <pageMargins left="0.31496062992125984" right="0.31496062992125984" top="0.74803149606299213" bottom="0.35433070866141736" header="0.31496062992125984" footer="0.31496062992125984"/>
  <pageSetup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87"/>
  <sheetViews>
    <sheetView view="pageBreakPreview" zoomScale="60" zoomScaleNormal="100" workbookViewId="0">
      <selection activeCell="D177" sqref="D177"/>
    </sheetView>
  </sheetViews>
  <sheetFormatPr baseColWidth="10" defaultRowHeight="12.75"/>
  <cols>
    <col min="2" max="2" width="21.85546875" style="1023" bestFit="1" customWidth="1"/>
    <col min="3" max="18" width="9.140625" style="1023" customWidth="1"/>
    <col min="19" max="19" width="10.5703125" style="1023" bestFit="1" customWidth="1"/>
    <col min="20" max="21" width="9.140625" style="1023" customWidth="1"/>
  </cols>
  <sheetData>
    <row r="1" spans="2:21" ht="15.75" thickBot="1">
      <c r="B1" s="984"/>
      <c r="C1" s="984"/>
      <c r="D1" s="985"/>
      <c r="E1" s="985"/>
      <c r="F1" s="985"/>
      <c r="G1" s="985"/>
      <c r="H1" s="985"/>
      <c r="I1" s="985"/>
      <c r="J1" s="985"/>
      <c r="K1" s="985"/>
      <c r="L1" s="985"/>
      <c r="M1" s="984"/>
      <c r="N1" s="984"/>
      <c r="O1" s="984"/>
      <c r="P1" s="984"/>
      <c r="Q1" s="984"/>
      <c r="R1" s="984"/>
      <c r="S1" s="984"/>
      <c r="T1" s="984"/>
      <c r="U1" s="984"/>
    </row>
    <row r="2" spans="2:21" ht="51.75" thickBot="1">
      <c r="B2" s="986" t="s">
        <v>1467</v>
      </c>
      <c r="C2" s="986" t="s">
        <v>10</v>
      </c>
      <c r="D2" s="987" t="s">
        <v>1468</v>
      </c>
      <c r="E2" s="987" t="s">
        <v>1469</v>
      </c>
      <c r="F2" s="987" t="s">
        <v>1470</v>
      </c>
      <c r="G2" s="987" t="s">
        <v>1471</v>
      </c>
      <c r="H2" s="987" t="s">
        <v>1472</v>
      </c>
      <c r="I2" s="987" t="s">
        <v>1473</v>
      </c>
      <c r="J2" s="987" t="s">
        <v>1474</v>
      </c>
      <c r="K2" s="987" t="s">
        <v>1475</v>
      </c>
      <c r="L2" s="987" t="s">
        <v>1476</v>
      </c>
      <c r="M2" s="987" t="s">
        <v>1477</v>
      </c>
      <c r="N2" s="988" t="s">
        <v>1478</v>
      </c>
      <c r="O2" s="987" t="s">
        <v>1479</v>
      </c>
      <c r="P2" s="987" t="s">
        <v>1480</v>
      </c>
      <c r="Q2" s="987" t="s">
        <v>1481</v>
      </c>
      <c r="R2" s="987" t="s">
        <v>1482</v>
      </c>
      <c r="S2" s="987" t="s">
        <v>1483</v>
      </c>
      <c r="T2" s="987" t="s">
        <v>1484</v>
      </c>
      <c r="U2" s="984"/>
    </row>
    <row r="3" spans="2:21" ht="15">
      <c r="B3" s="989" t="s">
        <v>1485</v>
      </c>
      <c r="C3" s="990" t="s">
        <v>1486</v>
      </c>
      <c r="D3" s="991">
        <v>100</v>
      </c>
      <c r="E3" s="991">
        <v>114</v>
      </c>
      <c r="F3" s="991">
        <v>70</v>
      </c>
      <c r="G3" s="991"/>
      <c r="H3" s="991">
        <v>75</v>
      </c>
      <c r="I3" s="991">
        <v>100</v>
      </c>
      <c r="J3" s="992">
        <v>90</v>
      </c>
      <c r="K3" s="991"/>
      <c r="L3" s="992">
        <v>0.28000000000000003</v>
      </c>
      <c r="M3" s="992">
        <v>0.34</v>
      </c>
      <c r="N3" s="993"/>
      <c r="O3" s="991"/>
      <c r="P3" s="993"/>
      <c r="Q3" s="994">
        <v>60</v>
      </c>
      <c r="R3" s="994">
        <v>50</v>
      </c>
      <c r="S3" s="995">
        <v>50</v>
      </c>
      <c r="T3" s="996"/>
      <c r="U3" s="984"/>
    </row>
    <row r="4" spans="2:21" ht="15">
      <c r="B4" s="997" t="s">
        <v>1487</v>
      </c>
      <c r="C4" s="998" t="s">
        <v>1486</v>
      </c>
      <c r="D4" s="999">
        <v>90</v>
      </c>
      <c r="E4" s="1000">
        <v>114</v>
      </c>
      <c r="F4" s="1000">
        <v>85</v>
      </c>
      <c r="G4" s="1000"/>
      <c r="H4" s="1000"/>
      <c r="I4" s="1000"/>
      <c r="J4" s="1001"/>
      <c r="K4" s="1000"/>
      <c r="L4" s="1001"/>
      <c r="M4" s="1001"/>
      <c r="N4" s="1002"/>
      <c r="O4" s="1000"/>
      <c r="P4" s="1002"/>
      <c r="Q4" s="1003"/>
      <c r="R4" s="1003"/>
      <c r="S4" s="1004"/>
      <c r="T4" s="1005"/>
      <c r="U4" s="984"/>
    </row>
    <row r="5" spans="2:21" ht="15">
      <c r="B5" s="997" t="s">
        <v>1488</v>
      </c>
      <c r="C5" s="998" t="s">
        <v>1486</v>
      </c>
      <c r="D5" s="999"/>
      <c r="E5" s="1000"/>
      <c r="F5" s="1000"/>
      <c r="G5" s="1000"/>
      <c r="H5" s="1000"/>
      <c r="I5" s="1000"/>
      <c r="J5" s="1001"/>
      <c r="K5" s="1000"/>
      <c r="L5" s="1001">
        <v>0.28000000000000003</v>
      </c>
      <c r="M5" s="1001">
        <v>0.34</v>
      </c>
      <c r="N5" s="1002"/>
      <c r="O5" s="1000"/>
      <c r="P5" s="1002"/>
      <c r="Q5" s="1003">
        <v>130</v>
      </c>
      <c r="R5" s="1003"/>
      <c r="S5" s="1004">
        <v>92.86</v>
      </c>
      <c r="T5" s="1005"/>
      <c r="U5" s="984"/>
    </row>
    <row r="6" spans="2:21" ht="15">
      <c r="B6" s="997" t="s">
        <v>1489</v>
      </c>
      <c r="C6" s="998" t="s">
        <v>1486</v>
      </c>
      <c r="D6" s="999">
        <v>130</v>
      </c>
      <c r="E6" s="1000">
        <v>130</v>
      </c>
      <c r="F6" s="1000">
        <v>150</v>
      </c>
      <c r="G6" s="1000"/>
      <c r="H6" s="1000">
        <v>120</v>
      </c>
      <c r="I6" s="1000"/>
      <c r="J6" s="1001"/>
      <c r="K6" s="1000"/>
      <c r="L6" s="1001"/>
      <c r="M6" s="1001"/>
      <c r="N6" s="1002"/>
      <c r="O6" s="1000"/>
      <c r="P6" s="1002"/>
      <c r="Q6" s="1003">
        <v>150</v>
      </c>
      <c r="R6" s="1003">
        <v>130</v>
      </c>
      <c r="S6" s="1004"/>
      <c r="T6" s="1005"/>
      <c r="U6" s="984"/>
    </row>
    <row r="7" spans="2:21" ht="15">
      <c r="B7" s="997" t="s">
        <v>1490</v>
      </c>
      <c r="C7" s="998" t="s">
        <v>1486</v>
      </c>
      <c r="D7" s="999">
        <v>120</v>
      </c>
      <c r="E7" s="1000">
        <v>130</v>
      </c>
      <c r="F7" s="1000">
        <v>130</v>
      </c>
      <c r="G7" s="1000"/>
      <c r="H7" s="1000"/>
      <c r="I7" s="1000">
        <v>137.5</v>
      </c>
      <c r="J7" s="1001"/>
      <c r="K7" s="1000"/>
      <c r="L7" s="1001"/>
      <c r="M7" s="1001"/>
      <c r="N7" s="1006">
        <v>130</v>
      </c>
      <c r="O7" s="1000"/>
      <c r="P7" s="1002"/>
      <c r="Q7" s="1003"/>
      <c r="R7" s="1003"/>
      <c r="S7" s="1004">
        <v>100</v>
      </c>
      <c r="T7" s="1005">
        <v>100</v>
      </c>
      <c r="U7" s="984"/>
    </row>
    <row r="8" spans="2:21" ht="15">
      <c r="B8" s="997" t="s">
        <v>1491</v>
      </c>
      <c r="C8" s="998" t="s">
        <v>1486</v>
      </c>
      <c r="D8" s="999"/>
      <c r="E8" s="1000"/>
      <c r="F8" s="1000"/>
      <c r="G8" s="1000"/>
      <c r="H8" s="1000"/>
      <c r="I8" s="1000"/>
      <c r="J8" s="1001"/>
      <c r="K8" s="1000"/>
      <c r="L8" s="1001"/>
      <c r="M8" s="1001"/>
      <c r="N8" s="1006"/>
      <c r="O8" s="1000"/>
      <c r="P8" s="1002"/>
      <c r="Q8" s="1003"/>
      <c r="R8" s="1003"/>
      <c r="S8" s="1004"/>
      <c r="T8" s="1005"/>
      <c r="U8" s="984"/>
    </row>
    <row r="9" spans="2:21" ht="15">
      <c r="B9" s="997" t="s">
        <v>1492</v>
      </c>
      <c r="C9" s="998" t="s">
        <v>1486</v>
      </c>
      <c r="D9" s="999">
        <v>140</v>
      </c>
      <c r="E9" s="1000">
        <v>95</v>
      </c>
      <c r="F9" s="1000">
        <v>90</v>
      </c>
      <c r="G9" s="1000"/>
      <c r="H9" s="1000">
        <v>85</v>
      </c>
      <c r="I9" s="1000">
        <v>100</v>
      </c>
      <c r="J9" s="1000">
        <v>85</v>
      </c>
      <c r="K9" s="1000"/>
      <c r="L9" s="1001">
        <v>0.28000000000000003</v>
      </c>
      <c r="M9" s="1001">
        <v>0.34</v>
      </c>
      <c r="N9" s="1006">
        <v>90</v>
      </c>
      <c r="O9" s="1000"/>
      <c r="P9" s="1002"/>
      <c r="Q9" s="1003">
        <v>80</v>
      </c>
      <c r="R9" s="1003">
        <v>80</v>
      </c>
      <c r="S9" s="1004">
        <v>80</v>
      </c>
      <c r="T9" s="1005">
        <v>90</v>
      </c>
      <c r="U9" s="984"/>
    </row>
    <row r="10" spans="2:21" ht="15">
      <c r="B10" s="997" t="s">
        <v>1493</v>
      </c>
      <c r="C10" s="998" t="s">
        <v>1486</v>
      </c>
      <c r="D10" s="999"/>
      <c r="E10" s="1000"/>
      <c r="F10" s="1000"/>
      <c r="G10" s="1000"/>
      <c r="H10" s="1000"/>
      <c r="I10" s="1000"/>
      <c r="J10" s="1001"/>
      <c r="K10" s="1000"/>
      <c r="L10" s="1001"/>
      <c r="M10" s="1001"/>
      <c r="N10" s="1006"/>
      <c r="O10" s="1000"/>
      <c r="P10" s="1002"/>
      <c r="Q10" s="1002"/>
      <c r="R10" s="1002"/>
      <c r="S10" s="1007"/>
      <c r="T10" s="1008"/>
      <c r="U10" s="984"/>
    </row>
    <row r="11" spans="2:21" ht="15">
      <c r="B11" s="997" t="s">
        <v>1494</v>
      </c>
      <c r="C11" s="998" t="s">
        <v>1495</v>
      </c>
      <c r="D11" s="999"/>
      <c r="E11" s="999"/>
      <c r="F11" s="1001">
        <v>1500</v>
      </c>
      <c r="G11" s="1000">
        <v>85</v>
      </c>
      <c r="H11" s="1000"/>
      <c r="I11" s="1000">
        <v>85</v>
      </c>
      <c r="J11" s="1001">
        <v>85</v>
      </c>
      <c r="K11" s="1000">
        <v>350</v>
      </c>
      <c r="L11" s="1001"/>
      <c r="M11" s="1001"/>
      <c r="N11" s="1006">
        <v>300</v>
      </c>
      <c r="O11" s="1000">
        <v>600</v>
      </c>
      <c r="P11" s="1003">
        <v>432</v>
      </c>
      <c r="Q11" s="1002"/>
      <c r="R11" s="1002"/>
      <c r="S11" s="1007"/>
      <c r="T11" s="1008"/>
      <c r="U11" s="984"/>
    </row>
    <row r="12" spans="2:21" ht="15">
      <c r="B12" s="997" t="s">
        <v>1496</v>
      </c>
      <c r="C12" s="998" t="s">
        <v>1495</v>
      </c>
      <c r="D12" s="999"/>
      <c r="E12" s="999"/>
      <c r="F12" s="1000"/>
      <c r="G12" s="1000"/>
      <c r="H12" s="1000"/>
      <c r="I12" s="1000"/>
      <c r="J12" s="1001"/>
      <c r="K12" s="1000"/>
      <c r="L12" s="1001"/>
      <c r="M12" s="1001"/>
      <c r="N12" s="1002"/>
      <c r="O12" s="1009"/>
      <c r="P12" s="1002"/>
      <c r="Q12" s="1002"/>
      <c r="R12" s="1002"/>
      <c r="S12" s="1007"/>
      <c r="T12" s="1008"/>
      <c r="U12" s="984"/>
    </row>
    <row r="13" spans="2:21" ht="15">
      <c r="B13" s="1010" t="s">
        <v>1497</v>
      </c>
      <c r="C13" s="998" t="s">
        <v>1486</v>
      </c>
      <c r="D13" s="999"/>
      <c r="E13" s="999"/>
      <c r="F13" s="1000">
        <v>70</v>
      </c>
      <c r="G13" s="1000"/>
      <c r="H13" s="1000"/>
      <c r="I13" s="1000"/>
      <c r="J13" s="1001"/>
      <c r="K13" s="1000"/>
      <c r="L13" s="1001"/>
      <c r="M13" s="1001"/>
      <c r="N13" s="1002"/>
      <c r="O13" s="1000"/>
      <c r="P13" s="1002"/>
      <c r="Q13" s="1002"/>
      <c r="R13" s="1002"/>
      <c r="S13" s="1004">
        <v>60</v>
      </c>
      <c r="T13" s="1008"/>
      <c r="U13" s="984"/>
    </row>
    <row r="14" spans="2:21">
      <c r="B14" s="1010" t="s">
        <v>1498</v>
      </c>
      <c r="C14" s="998" t="s">
        <v>1486</v>
      </c>
      <c r="D14" s="999"/>
      <c r="E14" s="999"/>
      <c r="F14" s="999"/>
      <c r="G14" s="1000"/>
      <c r="H14" s="1000"/>
      <c r="I14" s="1000"/>
      <c r="J14" s="1001"/>
      <c r="K14" s="1000"/>
      <c r="L14" s="1001"/>
      <c r="M14" s="1001"/>
      <c r="N14" s="1002"/>
      <c r="O14" s="1002"/>
      <c r="P14" s="1002"/>
      <c r="Q14" s="1002"/>
      <c r="R14" s="1002"/>
      <c r="S14" s="1007"/>
      <c r="T14" s="1008"/>
      <c r="U14" s="1011">
        <v>95</v>
      </c>
    </row>
    <row r="15" spans="2:21">
      <c r="B15" s="1010" t="s">
        <v>1499</v>
      </c>
      <c r="C15" s="998" t="s">
        <v>1486</v>
      </c>
      <c r="D15" s="999"/>
      <c r="E15" s="999"/>
      <c r="F15" s="999">
        <v>30</v>
      </c>
      <c r="G15" s="1000"/>
      <c r="H15" s="1000"/>
      <c r="I15" s="1000"/>
      <c r="J15" s="1001"/>
      <c r="K15" s="1000"/>
      <c r="L15" s="1001"/>
      <c r="M15" s="1001"/>
      <c r="N15" s="1002"/>
      <c r="O15" s="1002"/>
      <c r="P15" s="1002"/>
      <c r="Q15" s="1002"/>
      <c r="R15" s="1002"/>
      <c r="S15" s="1007"/>
      <c r="T15" s="1008"/>
      <c r="U15" s="1011">
        <v>85</v>
      </c>
    </row>
    <row r="16" spans="2:21">
      <c r="B16" s="997" t="s">
        <v>1500</v>
      </c>
      <c r="C16" s="998" t="s">
        <v>1486</v>
      </c>
      <c r="D16" s="999"/>
      <c r="E16" s="999"/>
      <c r="F16" s="999"/>
      <c r="G16" s="1000"/>
      <c r="H16" s="1000"/>
      <c r="I16" s="1000"/>
      <c r="J16" s="1001"/>
      <c r="K16" s="1000"/>
      <c r="L16" s="1001"/>
      <c r="M16" s="1001"/>
      <c r="N16" s="1002"/>
      <c r="O16" s="1002"/>
      <c r="P16" s="1002"/>
      <c r="Q16" s="1002"/>
      <c r="R16" s="1002"/>
      <c r="S16" s="1007"/>
      <c r="T16" s="1008"/>
      <c r="U16" s="1011">
        <v>60</v>
      </c>
    </row>
    <row r="17" spans="2:21" ht="15">
      <c r="B17" s="997" t="s">
        <v>1501</v>
      </c>
      <c r="C17" s="998" t="s">
        <v>1495</v>
      </c>
      <c r="D17" s="999"/>
      <c r="E17" s="999"/>
      <c r="F17" s="999"/>
      <c r="G17" s="1000">
        <v>7</v>
      </c>
      <c r="H17" s="1000"/>
      <c r="I17" s="1000">
        <v>8</v>
      </c>
      <c r="J17" s="1001"/>
      <c r="K17" s="1000"/>
      <c r="L17" s="1001"/>
      <c r="M17" s="1001"/>
      <c r="N17" s="1002"/>
      <c r="O17" s="1002"/>
      <c r="P17" s="1002"/>
      <c r="Q17" s="1002"/>
      <c r="R17" s="1002"/>
      <c r="S17" s="1007"/>
      <c r="T17" s="1008"/>
      <c r="U17" s="984"/>
    </row>
    <row r="18" spans="2:21" ht="15">
      <c r="B18" s="997" t="s">
        <v>1502</v>
      </c>
      <c r="C18" s="998" t="s">
        <v>1495</v>
      </c>
      <c r="D18" s="999"/>
      <c r="E18" s="999"/>
      <c r="F18" s="999"/>
      <c r="G18" s="1000">
        <v>85</v>
      </c>
      <c r="H18" s="1000"/>
      <c r="I18" s="1000">
        <v>85</v>
      </c>
      <c r="J18" s="1001">
        <v>85</v>
      </c>
      <c r="K18" s="1000"/>
      <c r="L18" s="1001"/>
      <c r="M18" s="1001"/>
      <c r="N18" s="1002"/>
      <c r="O18" s="1002"/>
      <c r="P18" s="1003">
        <v>432</v>
      </c>
      <c r="Q18" s="1002"/>
      <c r="R18" s="1002"/>
      <c r="S18" s="1007"/>
      <c r="T18" s="1008"/>
      <c r="U18" s="984"/>
    </row>
    <row r="19" spans="2:21" ht="15">
      <c r="B19" s="1012" t="s">
        <v>1503</v>
      </c>
      <c r="C19" s="998" t="s">
        <v>1495</v>
      </c>
      <c r="D19" s="999"/>
      <c r="E19" s="999"/>
      <c r="F19" s="999"/>
      <c r="G19" s="1000"/>
      <c r="H19" s="1000"/>
      <c r="I19" s="1000"/>
      <c r="J19" s="1001"/>
      <c r="K19" s="1000"/>
      <c r="L19" s="1001"/>
      <c r="M19" s="1001"/>
      <c r="N19" s="1002"/>
      <c r="O19" s="1006">
        <v>600</v>
      </c>
      <c r="P19" s="1003"/>
      <c r="Q19" s="1002"/>
      <c r="R19" s="1002"/>
      <c r="S19" s="1007"/>
      <c r="T19" s="1008"/>
      <c r="U19" s="984"/>
    </row>
    <row r="20" spans="2:21" ht="15">
      <c r="B20" s="997" t="s">
        <v>1504</v>
      </c>
      <c r="C20" s="998" t="s">
        <v>1505</v>
      </c>
      <c r="D20" s="999"/>
      <c r="E20" s="999"/>
      <c r="F20" s="999"/>
      <c r="G20" s="1000"/>
      <c r="H20" s="1000"/>
      <c r="I20" s="1000"/>
      <c r="J20" s="1001"/>
      <c r="K20" s="1000"/>
      <c r="L20" s="1001"/>
      <c r="M20" s="1001"/>
      <c r="N20" s="1002"/>
      <c r="O20" s="1002"/>
      <c r="P20" s="1003"/>
      <c r="Q20" s="1002"/>
      <c r="R20" s="1002"/>
      <c r="S20" s="1007"/>
      <c r="T20" s="1008"/>
      <c r="U20" s="984"/>
    </row>
    <row r="21" spans="2:21" ht="15">
      <c r="B21" s="997" t="s">
        <v>1506</v>
      </c>
      <c r="C21" s="998" t="s">
        <v>1495</v>
      </c>
      <c r="D21" s="999"/>
      <c r="E21" s="999"/>
      <c r="F21" s="999"/>
      <c r="G21" s="1000">
        <v>85</v>
      </c>
      <c r="H21" s="1000"/>
      <c r="I21" s="1000">
        <v>85</v>
      </c>
      <c r="J21" s="1000">
        <v>85</v>
      </c>
      <c r="K21" s="1001"/>
      <c r="L21" s="1001"/>
      <c r="M21" s="1001"/>
      <c r="N21" s="1002"/>
      <c r="O21" s="1002"/>
      <c r="P21" s="1003">
        <v>432</v>
      </c>
      <c r="Q21" s="1002"/>
      <c r="R21" s="1002"/>
      <c r="S21" s="1007"/>
      <c r="T21" s="1008"/>
      <c r="U21" s="984"/>
    </row>
    <row r="22" spans="2:21" ht="15">
      <c r="B22" s="1012" t="s">
        <v>1507</v>
      </c>
      <c r="C22" s="998" t="s">
        <v>1495</v>
      </c>
      <c r="D22" s="999"/>
      <c r="E22" s="999"/>
      <c r="F22" s="999"/>
      <c r="G22" s="999"/>
      <c r="H22" s="1000"/>
      <c r="I22" s="1000"/>
      <c r="J22" s="1000"/>
      <c r="K22" s="1001"/>
      <c r="L22" s="1001"/>
      <c r="M22" s="1001"/>
      <c r="N22" s="1002"/>
      <c r="O22" s="1002"/>
      <c r="P22" s="1002"/>
      <c r="Q22" s="1002"/>
      <c r="R22" s="1002"/>
      <c r="S22" s="1007"/>
      <c r="T22" s="1008"/>
      <c r="U22" s="984"/>
    </row>
    <row r="23" spans="2:21">
      <c r="B23" s="1012" t="s">
        <v>1508</v>
      </c>
      <c r="C23" s="998" t="s">
        <v>1495</v>
      </c>
      <c r="D23" s="999"/>
      <c r="E23" s="999"/>
      <c r="F23" s="999"/>
      <c r="G23" s="999"/>
      <c r="H23" s="1000"/>
      <c r="I23" s="1000"/>
      <c r="J23" s="1000"/>
      <c r="K23" s="1001"/>
      <c r="L23" s="1001"/>
      <c r="M23" s="1001"/>
      <c r="N23" s="1006">
        <v>62.5</v>
      </c>
      <c r="O23" s="1002"/>
      <c r="P23" s="1002"/>
      <c r="Q23" s="1002"/>
      <c r="R23" s="1002"/>
      <c r="S23" s="1007"/>
      <c r="T23" s="1008"/>
      <c r="U23" s="1011">
        <v>120</v>
      </c>
    </row>
    <row r="24" spans="2:21" ht="15">
      <c r="B24" s="1013" t="s">
        <v>1509</v>
      </c>
      <c r="C24" s="998" t="s">
        <v>1495</v>
      </c>
      <c r="D24" s="999"/>
      <c r="E24" s="999"/>
      <c r="F24" s="999"/>
      <c r="G24" s="999"/>
      <c r="H24" s="1000"/>
      <c r="I24" s="1000"/>
      <c r="J24" s="1000"/>
      <c r="K24" s="1001"/>
      <c r="L24" s="1002"/>
      <c r="M24" s="1001"/>
      <c r="N24" s="1002"/>
      <c r="O24" s="1002"/>
      <c r="P24" s="1002"/>
      <c r="Q24" s="1002"/>
      <c r="R24" s="1002"/>
      <c r="S24" s="1007"/>
      <c r="T24" s="1008"/>
      <c r="U24" s="984"/>
    </row>
    <row r="25" spans="2:21" ht="15">
      <c r="B25" s="1013" t="s">
        <v>1510</v>
      </c>
      <c r="C25" s="998" t="s">
        <v>1511</v>
      </c>
      <c r="D25" s="999"/>
      <c r="E25" s="999"/>
      <c r="F25" s="999"/>
      <c r="G25" s="999"/>
      <c r="H25" s="1000"/>
      <c r="I25" s="1000"/>
      <c r="J25" s="1000"/>
      <c r="K25" s="1001"/>
      <c r="L25" s="1002"/>
      <c r="M25" s="1001"/>
      <c r="N25" s="1014">
        <v>0.50800000000000001</v>
      </c>
      <c r="O25" s="1002"/>
      <c r="P25" s="1002"/>
      <c r="Q25" s="1002"/>
      <c r="R25" s="1002"/>
      <c r="S25" s="1007"/>
      <c r="T25" s="1008"/>
      <c r="U25" s="984"/>
    </row>
    <row r="26" spans="2:21" ht="15">
      <c r="B26" s="1015" t="s">
        <v>1512</v>
      </c>
      <c r="C26" s="998" t="s">
        <v>1513</v>
      </c>
      <c r="D26" s="999"/>
      <c r="E26" s="1000"/>
      <c r="F26" s="999"/>
      <c r="G26" s="999"/>
      <c r="H26" s="1000"/>
      <c r="I26" s="1000"/>
      <c r="J26" s="1000"/>
      <c r="K26" s="1001"/>
      <c r="L26" s="1001"/>
      <c r="M26" s="1002"/>
      <c r="N26" s="1002"/>
      <c r="O26" s="1002"/>
      <c r="P26" s="1002"/>
      <c r="Q26" s="1002"/>
      <c r="R26" s="1002"/>
      <c r="S26" s="1007"/>
      <c r="T26" s="1008"/>
      <c r="U26" s="984"/>
    </row>
    <row r="27" spans="2:21" ht="15">
      <c r="B27" s="1016" t="s">
        <v>1514</v>
      </c>
      <c r="C27" s="1017" t="s">
        <v>202</v>
      </c>
      <c r="D27" s="1001"/>
      <c r="E27" s="1001"/>
      <c r="F27" s="1001"/>
      <c r="G27" s="1001"/>
      <c r="H27" s="1001">
        <v>3</v>
      </c>
      <c r="I27" s="1001"/>
      <c r="J27" s="1001"/>
      <c r="K27" s="1001"/>
      <c r="L27" s="1001"/>
      <c r="M27" s="1002"/>
      <c r="N27" s="1002"/>
      <c r="O27" s="1002"/>
      <c r="P27" s="1002"/>
      <c r="Q27" s="1002"/>
      <c r="R27" s="1002"/>
      <c r="S27" s="1007"/>
      <c r="T27" s="1008"/>
      <c r="U27" s="984"/>
    </row>
    <row r="28" spans="2:21" ht="15">
      <c r="B28" s="1010" t="s">
        <v>1515</v>
      </c>
      <c r="C28" s="998" t="s">
        <v>1486</v>
      </c>
      <c r="D28" s="1001"/>
      <c r="E28" s="1001"/>
      <c r="F28" s="1001"/>
      <c r="G28" s="1001"/>
      <c r="H28" s="1001">
        <v>15</v>
      </c>
      <c r="I28" s="1001"/>
      <c r="J28" s="1001"/>
      <c r="K28" s="1001"/>
      <c r="L28" s="1001"/>
      <c r="M28" s="1002"/>
      <c r="N28" s="1002"/>
      <c r="O28" s="1002"/>
      <c r="P28" s="1002"/>
      <c r="Q28" s="1002"/>
      <c r="R28" s="1002"/>
      <c r="S28" s="1007"/>
      <c r="T28" s="1008"/>
      <c r="U28" s="984"/>
    </row>
    <row r="29" spans="2:21" ht="15">
      <c r="B29" s="1016"/>
      <c r="C29" s="1002"/>
      <c r="D29" s="1001"/>
      <c r="E29" s="1001"/>
      <c r="F29" s="1001"/>
      <c r="G29" s="1001"/>
      <c r="H29" s="1001"/>
      <c r="I29" s="1001"/>
      <c r="J29" s="1001"/>
      <c r="K29" s="1001"/>
      <c r="L29" s="1001"/>
      <c r="M29" s="1002"/>
      <c r="N29" s="1002"/>
      <c r="O29" s="1002"/>
      <c r="P29" s="1002"/>
      <c r="Q29" s="1002"/>
      <c r="R29" s="1002"/>
      <c r="S29" s="1007"/>
      <c r="T29" s="1008"/>
      <c r="U29" s="984"/>
    </row>
    <row r="30" spans="2:21" ht="15">
      <c r="B30" s="1016"/>
      <c r="C30" s="1002"/>
      <c r="D30" s="1001"/>
      <c r="E30" s="1001"/>
      <c r="F30" s="1001"/>
      <c r="G30" s="1001"/>
      <c r="H30" s="1001"/>
      <c r="I30" s="1001"/>
      <c r="J30" s="1001"/>
      <c r="K30" s="1001"/>
      <c r="L30" s="1001"/>
      <c r="M30" s="1002"/>
      <c r="N30" s="1002"/>
      <c r="O30" s="1002"/>
      <c r="P30" s="1002"/>
      <c r="Q30" s="1002"/>
      <c r="R30" s="1002"/>
      <c r="S30" s="1007"/>
      <c r="T30" s="1008"/>
      <c r="U30" s="984"/>
    </row>
    <row r="31" spans="2:21" ht="15">
      <c r="B31" s="1016"/>
      <c r="C31" s="1002"/>
      <c r="D31" s="1001"/>
      <c r="E31" s="1001"/>
      <c r="F31" s="1001"/>
      <c r="G31" s="1001"/>
      <c r="H31" s="1001"/>
      <c r="I31" s="1001"/>
      <c r="J31" s="1001"/>
      <c r="K31" s="1001"/>
      <c r="L31" s="1001"/>
      <c r="M31" s="1002"/>
      <c r="N31" s="1002"/>
      <c r="O31" s="1002"/>
      <c r="P31" s="1002"/>
      <c r="Q31" s="1002"/>
      <c r="R31" s="1002"/>
      <c r="S31" s="1007"/>
      <c r="T31" s="1008"/>
      <c r="U31" s="984"/>
    </row>
    <row r="32" spans="2:21" ht="15">
      <c r="B32" s="1016"/>
      <c r="C32" s="1002"/>
      <c r="D32" s="1001"/>
      <c r="E32" s="1001"/>
      <c r="F32" s="1001"/>
      <c r="G32" s="1001"/>
      <c r="H32" s="1001"/>
      <c r="I32" s="1001"/>
      <c r="J32" s="1001"/>
      <c r="K32" s="1001"/>
      <c r="L32" s="1001"/>
      <c r="M32" s="1002"/>
      <c r="N32" s="1002"/>
      <c r="O32" s="1002"/>
      <c r="P32" s="1002"/>
      <c r="Q32" s="1002"/>
      <c r="R32" s="1002"/>
      <c r="S32" s="1007"/>
      <c r="T32" s="1008"/>
      <c r="U32" s="984"/>
    </row>
    <row r="33" spans="2:20" ht="13.5" thickBot="1">
      <c r="B33" s="1018"/>
      <c r="C33" s="1019"/>
      <c r="D33" s="1020"/>
      <c r="E33" s="1020"/>
      <c r="F33" s="1020"/>
      <c r="G33" s="1020"/>
      <c r="H33" s="1020"/>
      <c r="I33" s="1020"/>
      <c r="J33" s="1020"/>
      <c r="K33" s="1020"/>
      <c r="L33" s="1020"/>
      <c r="M33" s="1019"/>
      <c r="N33" s="1019"/>
      <c r="O33" s="1019"/>
      <c r="P33" s="1019"/>
      <c r="Q33" s="1019"/>
      <c r="R33" s="1019"/>
      <c r="S33" s="1021"/>
      <c r="T33" s="1022"/>
    </row>
    <row r="34" spans="2:20" ht="15">
      <c r="B34" s="984"/>
      <c r="C34" s="984"/>
      <c r="D34" s="985"/>
      <c r="E34" s="985"/>
      <c r="F34" s="985"/>
      <c r="G34" s="985"/>
      <c r="H34" s="985"/>
      <c r="I34" s="985"/>
      <c r="J34" s="985"/>
      <c r="K34" s="985"/>
      <c r="L34" s="985"/>
      <c r="M34" s="984"/>
      <c r="N34" s="984"/>
      <c r="O34" s="984"/>
      <c r="P34" s="984"/>
      <c r="Q34" s="984"/>
      <c r="R34" s="984"/>
      <c r="S34" s="984"/>
      <c r="T34" s="984"/>
    </row>
    <row r="35" spans="2:20" ht="15">
      <c r="B35" s="984"/>
      <c r="C35" s="984"/>
      <c r="D35" s="985"/>
      <c r="E35" s="985"/>
      <c r="F35" s="985"/>
      <c r="G35" s="985"/>
      <c r="H35" s="985"/>
      <c r="I35" s="985"/>
      <c r="J35" s="985"/>
      <c r="K35" s="985"/>
      <c r="L35" s="985"/>
      <c r="M35" s="984"/>
      <c r="N35" s="984"/>
      <c r="O35" s="984"/>
      <c r="P35" s="984"/>
      <c r="Q35" s="984"/>
      <c r="R35" s="984"/>
      <c r="S35" s="984"/>
      <c r="T35" s="984"/>
    </row>
    <row r="36" spans="2:20" ht="15">
      <c r="B36" s="984"/>
      <c r="C36" s="984"/>
      <c r="D36" s="985"/>
      <c r="E36" s="985"/>
      <c r="F36" s="985"/>
      <c r="G36" s="985"/>
      <c r="H36" s="985"/>
      <c r="I36" s="985"/>
      <c r="J36" s="985"/>
      <c r="K36" s="985"/>
      <c r="L36" s="985"/>
      <c r="M36" s="984"/>
      <c r="N36" s="984"/>
      <c r="O36" s="984"/>
      <c r="P36" s="984"/>
      <c r="Q36" s="984"/>
      <c r="R36" s="984"/>
      <c r="S36" s="984"/>
      <c r="T36" s="984"/>
    </row>
    <row r="37" spans="2:20" ht="15">
      <c r="B37" s="984"/>
      <c r="C37" s="984"/>
      <c r="D37" s="985"/>
      <c r="E37" s="985"/>
      <c r="F37" s="985"/>
      <c r="G37" s="985"/>
      <c r="H37" s="985"/>
      <c r="I37" s="985"/>
      <c r="J37" s="985"/>
      <c r="K37" s="985"/>
      <c r="L37" s="985"/>
      <c r="M37" s="984"/>
      <c r="N37" s="984"/>
      <c r="O37" s="984"/>
      <c r="P37" s="984"/>
      <c r="Q37" s="984"/>
      <c r="R37" s="984"/>
      <c r="S37" s="984"/>
      <c r="T37" s="984"/>
    </row>
    <row r="38" spans="2:20" ht="15">
      <c r="B38" s="984"/>
      <c r="C38" s="984"/>
      <c r="D38" s="985"/>
      <c r="E38" s="985"/>
      <c r="F38" s="985"/>
      <c r="G38" s="985"/>
      <c r="H38" s="985"/>
      <c r="I38" s="985"/>
      <c r="J38" s="985"/>
      <c r="K38" s="985"/>
      <c r="L38" s="985"/>
      <c r="M38" s="984"/>
      <c r="N38" s="984"/>
      <c r="O38" s="984"/>
      <c r="P38" s="984"/>
      <c r="Q38" s="984"/>
      <c r="R38" s="984"/>
      <c r="S38" s="984"/>
      <c r="T38" s="984"/>
    </row>
    <row r="39" spans="2:20" ht="15">
      <c r="B39" s="984"/>
      <c r="C39" s="984"/>
      <c r="D39" s="985"/>
      <c r="E39" s="985"/>
      <c r="F39" s="985"/>
      <c r="G39" s="985"/>
      <c r="H39" s="985"/>
      <c r="I39" s="985"/>
      <c r="J39" s="985"/>
      <c r="K39" s="985"/>
      <c r="L39" s="985"/>
      <c r="M39" s="984"/>
      <c r="N39" s="984"/>
      <c r="O39" s="984"/>
      <c r="P39" s="984"/>
      <c r="Q39" s="984"/>
      <c r="R39" s="984"/>
      <c r="S39" s="984"/>
      <c r="T39" s="984"/>
    </row>
    <row r="40" spans="2:20" ht="15">
      <c r="B40" s="984"/>
      <c r="C40" s="984"/>
      <c r="D40" s="985"/>
      <c r="E40" s="985"/>
      <c r="F40" s="985"/>
      <c r="G40" s="985"/>
      <c r="H40" s="985"/>
      <c r="I40" s="985"/>
      <c r="J40" s="985"/>
      <c r="K40" s="985"/>
      <c r="L40" s="985"/>
      <c r="M40" s="984"/>
      <c r="N40" s="984"/>
      <c r="O40" s="984"/>
      <c r="P40" s="984"/>
      <c r="Q40" s="984"/>
      <c r="R40" s="984"/>
      <c r="S40" s="984"/>
      <c r="T40" s="984"/>
    </row>
    <row r="41" spans="2:20" ht="15">
      <c r="B41" s="984"/>
      <c r="C41" s="984"/>
      <c r="D41" s="985"/>
      <c r="E41" s="985"/>
      <c r="F41" s="985"/>
      <c r="G41" s="985"/>
      <c r="H41" s="985"/>
      <c r="I41" s="985"/>
      <c r="J41" s="985"/>
      <c r="K41" s="985"/>
      <c r="L41" s="985"/>
      <c r="M41" s="984"/>
      <c r="N41" s="984"/>
      <c r="O41" s="984"/>
      <c r="P41" s="984"/>
      <c r="Q41" s="984"/>
      <c r="R41" s="984"/>
      <c r="S41" s="984"/>
      <c r="T41" s="984"/>
    </row>
    <row r="42" spans="2:20" ht="15">
      <c r="B42" s="984"/>
      <c r="C42" s="984"/>
      <c r="D42" s="985"/>
      <c r="E42" s="985"/>
      <c r="F42" s="985"/>
      <c r="G42" s="985"/>
      <c r="H42" s="985"/>
      <c r="I42" s="985"/>
      <c r="J42" s="985"/>
      <c r="K42" s="985"/>
      <c r="L42" s="985"/>
      <c r="M42" s="984"/>
      <c r="N42" s="984"/>
      <c r="O42" s="984"/>
      <c r="P42" s="984"/>
      <c r="Q42" s="984"/>
      <c r="R42" s="984"/>
      <c r="S42" s="984"/>
      <c r="T42" s="984"/>
    </row>
    <row r="43" spans="2:20" ht="15">
      <c r="B43" s="984"/>
      <c r="C43" s="984"/>
      <c r="D43" s="985"/>
      <c r="E43" s="985"/>
      <c r="F43" s="985"/>
      <c r="G43" s="985"/>
      <c r="H43" s="985"/>
      <c r="I43" s="985"/>
      <c r="J43" s="985"/>
      <c r="K43" s="985"/>
      <c r="L43" s="985"/>
      <c r="M43" s="984"/>
      <c r="N43" s="984"/>
      <c r="O43" s="984"/>
      <c r="P43" s="984"/>
      <c r="Q43" s="984"/>
      <c r="R43" s="984"/>
      <c r="S43" s="984"/>
      <c r="T43" s="984"/>
    </row>
    <row r="44" spans="2:20" ht="15">
      <c r="B44" s="984"/>
      <c r="C44" s="984"/>
      <c r="D44" s="985"/>
      <c r="E44" s="985"/>
      <c r="F44" s="985"/>
      <c r="G44" s="985"/>
      <c r="H44" s="985"/>
      <c r="I44" s="985"/>
      <c r="J44" s="985"/>
      <c r="K44" s="985"/>
      <c r="L44" s="985"/>
      <c r="M44" s="984"/>
      <c r="N44" s="984"/>
      <c r="O44" s="984"/>
      <c r="P44" s="984"/>
      <c r="Q44" s="984"/>
      <c r="R44" s="984"/>
      <c r="S44" s="984"/>
      <c r="T44" s="984"/>
    </row>
    <row r="45" spans="2:20" ht="15">
      <c r="B45" s="984"/>
      <c r="C45" s="984"/>
      <c r="D45" s="985"/>
      <c r="E45" s="985"/>
      <c r="F45" s="985"/>
      <c r="G45" s="985"/>
      <c r="H45" s="985"/>
      <c r="I45" s="985"/>
      <c r="J45" s="985"/>
      <c r="K45" s="985"/>
      <c r="L45" s="985"/>
      <c r="M45" s="984"/>
      <c r="N45" s="984"/>
      <c r="O45" s="984"/>
      <c r="P45" s="984"/>
      <c r="Q45" s="984"/>
      <c r="R45" s="984"/>
      <c r="S45" s="984"/>
      <c r="T45" s="984"/>
    </row>
    <row r="46" spans="2:20" ht="15">
      <c r="B46" s="984"/>
      <c r="C46" s="984"/>
      <c r="D46" s="985"/>
      <c r="E46" s="985"/>
      <c r="F46" s="985"/>
      <c r="G46" s="985"/>
      <c r="H46" s="985"/>
      <c r="I46" s="985"/>
      <c r="J46" s="985"/>
      <c r="K46" s="985"/>
      <c r="L46" s="985"/>
      <c r="M46" s="984"/>
      <c r="N46" s="984"/>
      <c r="O46" s="984"/>
      <c r="P46" s="984"/>
      <c r="Q46" s="984"/>
      <c r="R46" s="984"/>
      <c r="S46" s="984"/>
      <c r="T46" s="984"/>
    </row>
    <row r="47" spans="2:20" ht="15">
      <c r="B47" s="984"/>
      <c r="C47" s="984"/>
      <c r="D47" s="985"/>
      <c r="E47" s="985"/>
      <c r="F47" s="985"/>
      <c r="G47" s="985"/>
      <c r="H47" s="985"/>
      <c r="I47" s="985"/>
      <c r="J47" s="985"/>
      <c r="K47" s="985"/>
      <c r="L47" s="985"/>
      <c r="M47" s="984"/>
      <c r="N47" s="984"/>
      <c r="O47" s="984"/>
      <c r="P47" s="984"/>
      <c r="Q47" s="984"/>
      <c r="R47" s="984"/>
      <c r="S47" s="984"/>
      <c r="T47" s="984"/>
    </row>
    <row r="48" spans="2:20" ht="15">
      <c r="B48" s="984"/>
      <c r="C48" s="984"/>
      <c r="D48" s="985"/>
      <c r="E48" s="985"/>
      <c r="F48" s="985"/>
      <c r="G48" s="985"/>
      <c r="H48" s="985"/>
      <c r="I48" s="985"/>
      <c r="J48" s="985"/>
      <c r="K48" s="985"/>
      <c r="L48" s="985"/>
      <c r="M48" s="984"/>
      <c r="N48" s="984"/>
      <c r="O48" s="984"/>
      <c r="P48" s="984"/>
      <c r="Q48" s="984"/>
      <c r="R48" s="984"/>
      <c r="S48" s="984"/>
      <c r="T48" s="984"/>
    </row>
    <row r="49" spans="4:12">
      <c r="D49" s="985"/>
      <c r="E49" s="985"/>
      <c r="F49" s="985"/>
      <c r="G49" s="985"/>
      <c r="H49" s="985"/>
      <c r="I49" s="985"/>
      <c r="J49" s="985"/>
      <c r="K49" s="985"/>
      <c r="L49" s="985"/>
    </row>
    <row r="50" spans="4:12">
      <c r="D50" s="985"/>
      <c r="E50" s="985"/>
      <c r="F50" s="985"/>
      <c r="G50" s="985"/>
      <c r="H50" s="985"/>
      <c r="I50" s="985"/>
      <c r="J50" s="985"/>
      <c r="K50" s="985"/>
      <c r="L50" s="985"/>
    </row>
    <row r="51" spans="4:12">
      <c r="D51" s="985"/>
      <c r="E51" s="985"/>
      <c r="F51" s="985"/>
      <c r="G51" s="985"/>
      <c r="H51" s="985"/>
      <c r="I51" s="985"/>
      <c r="J51" s="985"/>
      <c r="K51" s="985"/>
      <c r="L51" s="985"/>
    </row>
    <row r="52" spans="4:12">
      <c r="D52" s="985"/>
      <c r="E52" s="985"/>
      <c r="F52" s="985"/>
      <c r="G52" s="985"/>
      <c r="H52" s="985"/>
      <c r="I52" s="985"/>
      <c r="J52" s="985"/>
      <c r="K52" s="985"/>
      <c r="L52" s="985"/>
    </row>
    <row r="53" spans="4:12">
      <c r="D53" s="985"/>
      <c r="E53" s="985"/>
      <c r="F53" s="985"/>
      <c r="G53" s="985"/>
      <c r="H53" s="985"/>
      <c r="I53" s="985"/>
      <c r="J53" s="985"/>
      <c r="K53" s="985"/>
      <c r="L53" s="985"/>
    </row>
    <row r="54" spans="4:12">
      <c r="D54" s="985"/>
      <c r="E54" s="985"/>
      <c r="F54" s="985"/>
      <c r="G54" s="985"/>
      <c r="H54" s="985"/>
      <c r="I54" s="985"/>
      <c r="J54" s="985"/>
      <c r="K54" s="985"/>
      <c r="L54" s="985"/>
    </row>
    <row r="55" spans="4:12">
      <c r="D55" s="985"/>
      <c r="E55" s="985"/>
      <c r="F55" s="985"/>
      <c r="G55" s="985"/>
      <c r="H55" s="985"/>
      <c r="I55" s="985"/>
      <c r="J55" s="985"/>
      <c r="K55" s="985"/>
      <c r="L55" s="985"/>
    </row>
    <row r="56" spans="4:12">
      <c r="D56" s="985"/>
      <c r="E56" s="985"/>
      <c r="F56" s="985"/>
      <c r="G56" s="985"/>
      <c r="H56" s="985"/>
      <c r="I56" s="985"/>
      <c r="J56" s="985"/>
      <c r="K56" s="985"/>
      <c r="L56" s="985"/>
    </row>
    <row r="57" spans="4:12">
      <c r="D57" s="985"/>
      <c r="E57" s="985"/>
      <c r="F57" s="985"/>
      <c r="G57" s="985"/>
      <c r="H57" s="985"/>
      <c r="I57" s="985"/>
      <c r="J57" s="985"/>
      <c r="K57" s="985"/>
      <c r="L57" s="985"/>
    </row>
    <row r="58" spans="4:12">
      <c r="D58" s="985"/>
      <c r="E58" s="985"/>
      <c r="F58" s="985"/>
      <c r="G58" s="985"/>
      <c r="H58" s="985"/>
      <c r="I58" s="985"/>
      <c r="J58" s="985"/>
      <c r="K58" s="985"/>
      <c r="L58" s="985"/>
    </row>
    <row r="59" spans="4:12">
      <c r="D59" s="985"/>
      <c r="E59" s="985"/>
      <c r="F59" s="985"/>
      <c r="G59" s="985"/>
      <c r="H59" s="985"/>
      <c r="I59" s="985"/>
      <c r="J59" s="985"/>
      <c r="K59" s="985"/>
      <c r="L59" s="985"/>
    </row>
    <row r="60" spans="4:12">
      <c r="D60" s="985"/>
      <c r="E60" s="985"/>
      <c r="F60" s="985"/>
      <c r="G60" s="985"/>
      <c r="H60" s="985"/>
      <c r="I60" s="985"/>
      <c r="J60" s="985"/>
      <c r="K60" s="985"/>
      <c r="L60" s="985"/>
    </row>
    <row r="61" spans="4:12">
      <c r="D61" s="985"/>
      <c r="E61" s="985"/>
      <c r="F61" s="985"/>
      <c r="G61" s="985"/>
      <c r="H61" s="985"/>
      <c r="I61" s="985"/>
      <c r="J61" s="985"/>
      <c r="K61" s="985"/>
      <c r="L61" s="985"/>
    </row>
    <row r="62" spans="4:12">
      <c r="D62" s="985"/>
      <c r="E62" s="985"/>
      <c r="F62" s="985"/>
      <c r="G62" s="985"/>
      <c r="H62" s="985"/>
      <c r="I62" s="985"/>
      <c r="J62" s="985"/>
      <c r="K62" s="985"/>
      <c r="L62" s="985"/>
    </row>
    <row r="63" spans="4:12">
      <c r="D63" s="985"/>
      <c r="E63" s="985"/>
      <c r="F63" s="985"/>
      <c r="G63" s="985"/>
      <c r="H63" s="985"/>
      <c r="I63" s="985"/>
      <c r="J63" s="985"/>
      <c r="K63" s="985"/>
      <c r="L63" s="985"/>
    </row>
    <row r="64" spans="4:12">
      <c r="D64" s="985"/>
      <c r="E64" s="985"/>
      <c r="F64" s="985"/>
      <c r="G64" s="985"/>
      <c r="H64" s="985"/>
      <c r="I64" s="985"/>
      <c r="J64" s="985"/>
      <c r="K64" s="985"/>
      <c r="L64" s="985"/>
    </row>
    <row r="65" spans="4:12">
      <c r="D65" s="985"/>
      <c r="E65" s="985"/>
      <c r="F65" s="985"/>
      <c r="G65" s="985"/>
      <c r="H65" s="985"/>
      <c r="I65" s="985"/>
      <c r="J65" s="985"/>
      <c r="K65" s="985"/>
      <c r="L65" s="985"/>
    </row>
    <row r="66" spans="4:12">
      <c r="D66" s="985"/>
      <c r="E66" s="985"/>
      <c r="F66" s="985"/>
      <c r="G66" s="985"/>
      <c r="H66" s="985"/>
      <c r="I66" s="985"/>
      <c r="J66" s="985"/>
      <c r="K66" s="985"/>
      <c r="L66" s="985"/>
    </row>
    <row r="67" spans="4:12">
      <c r="D67" s="985"/>
      <c r="E67" s="985"/>
      <c r="F67" s="985"/>
      <c r="G67" s="985"/>
      <c r="H67" s="985"/>
      <c r="I67" s="985"/>
      <c r="J67" s="985"/>
      <c r="K67" s="985"/>
      <c r="L67" s="985"/>
    </row>
    <row r="68" spans="4:12">
      <c r="D68" s="985"/>
      <c r="E68" s="985"/>
      <c r="F68" s="985"/>
      <c r="G68" s="985"/>
      <c r="H68" s="985"/>
      <c r="I68" s="985"/>
      <c r="J68" s="985"/>
      <c r="K68" s="985"/>
      <c r="L68" s="985"/>
    </row>
    <row r="69" spans="4:12">
      <c r="D69" s="985"/>
      <c r="E69" s="985"/>
      <c r="F69" s="985"/>
      <c r="G69" s="985"/>
      <c r="H69" s="985"/>
      <c r="I69" s="985"/>
      <c r="J69" s="985"/>
      <c r="K69" s="985"/>
      <c r="L69" s="985"/>
    </row>
    <row r="70" spans="4:12">
      <c r="D70" s="985"/>
      <c r="E70" s="985"/>
      <c r="F70" s="985"/>
      <c r="G70" s="985"/>
      <c r="H70" s="985"/>
      <c r="I70" s="985"/>
      <c r="J70" s="985"/>
      <c r="K70" s="985"/>
      <c r="L70" s="985"/>
    </row>
    <row r="71" spans="4:12">
      <c r="D71" s="985"/>
      <c r="E71" s="985"/>
      <c r="F71" s="985"/>
      <c r="G71" s="985"/>
      <c r="H71" s="985"/>
      <c r="I71" s="985"/>
      <c r="J71" s="985"/>
      <c r="K71" s="985"/>
      <c r="L71" s="985"/>
    </row>
    <row r="72" spans="4:12">
      <c r="D72" s="985"/>
      <c r="E72" s="985"/>
      <c r="F72" s="985"/>
      <c r="G72" s="985"/>
      <c r="H72" s="985"/>
      <c r="I72" s="985"/>
      <c r="J72" s="985"/>
      <c r="K72" s="985"/>
      <c r="L72" s="985"/>
    </row>
    <row r="73" spans="4:12">
      <c r="D73" s="985"/>
      <c r="E73" s="985"/>
      <c r="F73" s="985"/>
      <c r="G73" s="985"/>
      <c r="H73" s="985"/>
      <c r="I73" s="985"/>
      <c r="J73" s="985"/>
      <c r="K73" s="985"/>
      <c r="L73" s="985"/>
    </row>
    <row r="74" spans="4:12">
      <c r="D74" s="985"/>
      <c r="E74" s="985"/>
      <c r="F74" s="985"/>
      <c r="G74" s="985"/>
      <c r="H74" s="985"/>
      <c r="I74" s="985"/>
      <c r="J74" s="985"/>
      <c r="K74" s="985"/>
      <c r="L74" s="985"/>
    </row>
    <row r="75" spans="4:12">
      <c r="D75" s="985"/>
      <c r="E75" s="985"/>
      <c r="F75" s="985"/>
      <c r="G75" s="985"/>
      <c r="H75" s="985"/>
      <c r="I75" s="985"/>
      <c r="J75" s="985"/>
      <c r="K75" s="985"/>
      <c r="L75" s="985"/>
    </row>
    <row r="76" spans="4:12">
      <c r="D76" s="985"/>
      <c r="E76" s="985"/>
      <c r="F76" s="985"/>
      <c r="G76" s="985"/>
      <c r="H76" s="985"/>
      <c r="I76" s="985"/>
      <c r="J76" s="985"/>
      <c r="K76" s="985"/>
      <c r="L76" s="985"/>
    </row>
    <row r="77" spans="4:12">
      <c r="D77" s="985"/>
      <c r="E77" s="985"/>
      <c r="F77" s="985"/>
      <c r="G77" s="985"/>
      <c r="H77" s="985"/>
      <c r="I77" s="985"/>
      <c r="J77" s="985"/>
      <c r="K77" s="985"/>
      <c r="L77" s="985"/>
    </row>
    <row r="78" spans="4:12">
      <c r="D78" s="985"/>
      <c r="E78" s="985"/>
      <c r="F78" s="985"/>
      <c r="G78" s="985"/>
      <c r="H78" s="985"/>
      <c r="I78" s="985"/>
      <c r="J78" s="985"/>
      <c r="K78" s="985"/>
      <c r="L78" s="985"/>
    </row>
    <row r="79" spans="4:12">
      <c r="D79" s="985"/>
      <c r="E79" s="985"/>
      <c r="F79" s="985"/>
      <c r="G79" s="985"/>
      <c r="H79" s="985"/>
      <c r="I79" s="985"/>
      <c r="J79" s="985"/>
      <c r="K79" s="985"/>
      <c r="L79" s="985"/>
    </row>
    <row r="80" spans="4:12">
      <c r="D80" s="985"/>
      <c r="E80" s="985"/>
      <c r="F80" s="985"/>
      <c r="G80" s="985"/>
      <c r="H80" s="985"/>
      <c r="I80" s="985"/>
      <c r="J80" s="985"/>
      <c r="K80" s="985"/>
      <c r="L80" s="985"/>
    </row>
    <row r="81" spans="4:12">
      <c r="D81" s="985"/>
      <c r="E81" s="985"/>
      <c r="F81" s="985"/>
      <c r="G81" s="985"/>
      <c r="H81" s="985"/>
      <c r="I81" s="985"/>
      <c r="J81" s="985"/>
      <c r="K81" s="985"/>
      <c r="L81" s="985"/>
    </row>
    <row r="82" spans="4:12">
      <c r="D82" s="985"/>
      <c r="E82" s="985"/>
      <c r="F82" s="985"/>
      <c r="G82" s="985"/>
      <c r="H82" s="985"/>
      <c r="I82" s="985"/>
      <c r="J82" s="985"/>
      <c r="K82" s="985"/>
      <c r="L82" s="985"/>
    </row>
    <row r="83" spans="4:12">
      <c r="D83" s="985"/>
      <c r="E83" s="985"/>
      <c r="F83" s="985"/>
      <c r="G83" s="985"/>
      <c r="H83" s="985"/>
      <c r="I83" s="985"/>
      <c r="J83" s="985"/>
      <c r="K83" s="985"/>
      <c r="L83" s="985"/>
    </row>
    <row r="84" spans="4:12">
      <c r="D84" s="985"/>
      <c r="E84" s="985"/>
      <c r="F84" s="985"/>
      <c r="G84" s="985"/>
      <c r="H84" s="985"/>
      <c r="I84" s="985"/>
      <c r="J84" s="985"/>
      <c r="K84" s="985"/>
      <c r="L84" s="985"/>
    </row>
    <row r="85" spans="4:12">
      <c r="D85" s="985"/>
      <c r="E85" s="985"/>
      <c r="F85" s="985"/>
      <c r="G85" s="985"/>
      <c r="H85" s="985"/>
      <c r="I85" s="985"/>
      <c r="J85" s="985"/>
      <c r="K85" s="985"/>
      <c r="L85" s="985"/>
    </row>
    <row r="86" spans="4:12">
      <c r="D86" s="985"/>
      <c r="E86" s="985"/>
      <c r="F86" s="985"/>
      <c r="G86" s="985"/>
      <c r="H86" s="985"/>
      <c r="I86" s="985"/>
      <c r="J86" s="985"/>
      <c r="K86" s="985"/>
      <c r="L86" s="985"/>
    </row>
    <row r="87" spans="4:12">
      <c r="D87" s="985"/>
      <c r="E87" s="985"/>
      <c r="F87" s="985"/>
      <c r="G87" s="985"/>
      <c r="H87" s="985"/>
      <c r="I87" s="985"/>
      <c r="J87" s="985"/>
      <c r="K87" s="985"/>
      <c r="L87" s="985"/>
    </row>
    <row r="88" spans="4:12">
      <c r="D88" s="985"/>
      <c r="E88" s="985"/>
      <c r="F88" s="985"/>
      <c r="G88" s="985"/>
      <c r="H88" s="985"/>
      <c r="I88" s="985"/>
      <c r="J88" s="985"/>
      <c r="K88" s="985"/>
      <c r="L88" s="985"/>
    </row>
    <row r="89" spans="4:12">
      <c r="D89" s="985"/>
      <c r="E89" s="985"/>
      <c r="F89" s="985"/>
      <c r="G89" s="985"/>
      <c r="H89" s="985"/>
      <c r="I89" s="985"/>
      <c r="J89" s="985"/>
      <c r="K89" s="985"/>
      <c r="L89" s="985"/>
    </row>
    <row r="90" spans="4:12">
      <c r="D90" s="985"/>
      <c r="E90" s="985"/>
      <c r="F90" s="985"/>
      <c r="G90" s="985"/>
      <c r="H90" s="985"/>
      <c r="I90" s="985"/>
      <c r="J90" s="985"/>
      <c r="K90" s="985"/>
      <c r="L90" s="985"/>
    </row>
    <row r="91" spans="4:12">
      <c r="D91" s="985"/>
      <c r="E91" s="985"/>
      <c r="F91" s="985"/>
      <c r="G91" s="985"/>
      <c r="H91" s="985"/>
      <c r="I91" s="985"/>
      <c r="J91" s="985"/>
      <c r="K91" s="985"/>
      <c r="L91" s="985"/>
    </row>
    <row r="92" spans="4:12">
      <c r="D92" s="985"/>
      <c r="E92" s="985"/>
      <c r="F92" s="985"/>
      <c r="G92" s="985"/>
      <c r="H92" s="985"/>
      <c r="I92" s="985"/>
      <c r="J92" s="985"/>
      <c r="K92" s="985"/>
      <c r="L92" s="985"/>
    </row>
    <row r="93" spans="4:12">
      <c r="D93" s="985"/>
      <c r="E93" s="985"/>
      <c r="F93" s="985"/>
      <c r="G93" s="985"/>
      <c r="H93" s="985"/>
      <c r="I93" s="985"/>
      <c r="J93" s="985"/>
      <c r="K93" s="985"/>
      <c r="L93" s="985"/>
    </row>
    <row r="94" spans="4:12">
      <c r="D94" s="985"/>
      <c r="E94" s="985"/>
      <c r="F94" s="985"/>
      <c r="G94" s="985"/>
      <c r="H94" s="985"/>
      <c r="I94" s="985"/>
      <c r="J94" s="985"/>
      <c r="K94" s="985"/>
      <c r="L94" s="985"/>
    </row>
    <row r="95" spans="4:12">
      <c r="D95" s="985"/>
      <c r="E95" s="985"/>
      <c r="F95" s="985"/>
      <c r="G95" s="985"/>
      <c r="H95" s="985"/>
      <c r="I95" s="985"/>
      <c r="J95" s="985"/>
      <c r="K95" s="985"/>
      <c r="L95" s="985"/>
    </row>
    <row r="96" spans="4:12">
      <c r="D96" s="985"/>
      <c r="E96" s="985"/>
      <c r="F96" s="985"/>
      <c r="G96" s="985"/>
      <c r="H96" s="985"/>
      <c r="I96" s="985"/>
      <c r="J96" s="985"/>
      <c r="K96" s="985"/>
      <c r="L96" s="985"/>
    </row>
    <row r="97" spans="4:12">
      <c r="D97" s="985"/>
      <c r="E97" s="985"/>
      <c r="F97" s="985"/>
      <c r="G97" s="985"/>
      <c r="H97" s="985"/>
      <c r="I97" s="985"/>
      <c r="J97" s="985"/>
      <c r="K97" s="985"/>
      <c r="L97" s="985"/>
    </row>
    <row r="98" spans="4:12">
      <c r="D98" s="985"/>
      <c r="E98" s="985"/>
      <c r="F98" s="985"/>
      <c r="G98" s="985"/>
      <c r="H98" s="985"/>
      <c r="I98" s="985"/>
      <c r="J98" s="985"/>
      <c r="K98" s="985"/>
      <c r="L98" s="985"/>
    </row>
    <row r="99" spans="4:12">
      <c r="D99" s="985"/>
      <c r="E99" s="985"/>
      <c r="F99" s="985"/>
      <c r="G99" s="985"/>
      <c r="H99" s="985"/>
      <c r="I99" s="985"/>
      <c r="J99" s="985"/>
      <c r="K99" s="985"/>
      <c r="L99" s="985"/>
    </row>
    <row r="100" spans="4:12">
      <c r="D100" s="985"/>
      <c r="E100" s="985"/>
      <c r="F100" s="985"/>
      <c r="G100" s="985"/>
      <c r="H100" s="985"/>
      <c r="I100" s="985"/>
      <c r="J100" s="985"/>
      <c r="K100" s="985"/>
      <c r="L100" s="985"/>
    </row>
    <row r="101" spans="4:12">
      <c r="D101" s="985"/>
      <c r="E101" s="985"/>
      <c r="F101" s="985"/>
      <c r="G101" s="985"/>
      <c r="H101" s="985"/>
      <c r="I101" s="985"/>
      <c r="J101" s="985"/>
      <c r="K101" s="985"/>
      <c r="L101" s="985"/>
    </row>
    <row r="102" spans="4:12">
      <c r="D102" s="985"/>
      <c r="E102" s="985"/>
      <c r="F102" s="985"/>
      <c r="G102" s="985"/>
      <c r="H102" s="985"/>
      <c r="I102" s="985"/>
      <c r="J102" s="985"/>
      <c r="K102" s="985"/>
      <c r="L102" s="985"/>
    </row>
    <row r="103" spans="4:12">
      <c r="D103" s="985"/>
      <c r="E103" s="985"/>
      <c r="F103" s="985"/>
      <c r="G103" s="985"/>
      <c r="H103" s="985"/>
      <c r="I103" s="985"/>
      <c r="J103" s="985"/>
      <c r="K103" s="985"/>
      <c r="L103" s="985"/>
    </row>
    <row r="104" spans="4:12">
      <c r="D104" s="985"/>
      <c r="E104" s="985"/>
      <c r="F104" s="985"/>
      <c r="G104" s="985"/>
      <c r="H104" s="985"/>
      <c r="I104" s="985"/>
      <c r="J104" s="985"/>
      <c r="K104" s="985"/>
      <c r="L104" s="985"/>
    </row>
    <row r="105" spans="4:12">
      <c r="D105" s="985"/>
      <c r="E105" s="985"/>
      <c r="F105" s="985"/>
      <c r="G105" s="985"/>
      <c r="H105" s="985"/>
      <c r="I105" s="985"/>
      <c r="J105" s="985"/>
      <c r="K105" s="985"/>
      <c r="L105" s="985"/>
    </row>
    <row r="106" spans="4:12">
      <c r="D106" s="985"/>
      <c r="E106" s="985"/>
      <c r="F106" s="985"/>
      <c r="G106" s="985"/>
      <c r="H106" s="985"/>
      <c r="I106" s="985"/>
      <c r="J106" s="985"/>
      <c r="K106" s="985"/>
      <c r="L106" s="985"/>
    </row>
    <row r="107" spans="4:12">
      <c r="D107" s="985"/>
      <c r="E107" s="985"/>
      <c r="F107" s="985"/>
      <c r="G107" s="985"/>
      <c r="H107" s="985"/>
      <c r="I107" s="985"/>
      <c r="J107" s="985"/>
      <c r="K107" s="985"/>
      <c r="L107" s="985"/>
    </row>
    <row r="108" spans="4:12">
      <c r="D108" s="985"/>
      <c r="E108" s="985"/>
      <c r="F108" s="985"/>
      <c r="G108" s="985"/>
      <c r="H108" s="985"/>
      <c r="I108" s="985"/>
      <c r="J108" s="985"/>
      <c r="K108" s="985"/>
      <c r="L108" s="985"/>
    </row>
    <row r="109" spans="4:12">
      <c r="D109" s="985"/>
      <c r="E109" s="985"/>
      <c r="F109" s="985"/>
      <c r="G109" s="985"/>
      <c r="H109" s="985"/>
      <c r="I109" s="985"/>
      <c r="J109" s="985"/>
      <c r="K109" s="985"/>
      <c r="L109" s="985"/>
    </row>
    <row r="110" spans="4:12">
      <c r="D110" s="985"/>
      <c r="E110" s="985"/>
      <c r="F110" s="985"/>
      <c r="G110" s="985"/>
      <c r="H110" s="985"/>
      <c r="I110" s="985"/>
      <c r="J110" s="985"/>
      <c r="K110" s="985"/>
      <c r="L110" s="985"/>
    </row>
    <row r="111" spans="4:12">
      <c r="D111" s="985"/>
      <c r="E111" s="985"/>
      <c r="F111" s="985"/>
      <c r="G111" s="985"/>
      <c r="H111" s="985"/>
      <c r="I111" s="985"/>
      <c r="J111" s="985"/>
      <c r="K111" s="985"/>
      <c r="L111" s="985"/>
    </row>
    <row r="112" spans="4:12">
      <c r="D112" s="985"/>
      <c r="E112" s="985"/>
      <c r="F112" s="985"/>
      <c r="G112" s="985"/>
      <c r="H112" s="985"/>
      <c r="I112" s="985"/>
      <c r="J112" s="985"/>
      <c r="K112" s="985"/>
      <c r="L112" s="985"/>
    </row>
    <row r="113" spans="4:12">
      <c r="D113" s="985"/>
      <c r="E113" s="985"/>
      <c r="F113" s="985"/>
      <c r="G113" s="985"/>
      <c r="H113" s="985"/>
      <c r="I113" s="985"/>
      <c r="J113" s="985"/>
      <c r="K113" s="985"/>
      <c r="L113" s="985"/>
    </row>
    <row r="114" spans="4:12">
      <c r="D114" s="985"/>
      <c r="E114" s="985"/>
      <c r="F114" s="985"/>
      <c r="G114" s="985"/>
      <c r="H114" s="985"/>
      <c r="I114" s="985"/>
      <c r="J114" s="985"/>
      <c r="K114" s="985"/>
      <c r="L114" s="985"/>
    </row>
    <row r="115" spans="4:12">
      <c r="D115" s="985"/>
      <c r="E115" s="985"/>
      <c r="F115" s="985"/>
      <c r="G115" s="985"/>
      <c r="H115" s="985"/>
      <c r="I115" s="985"/>
      <c r="J115" s="985"/>
      <c r="K115" s="985"/>
      <c r="L115" s="985"/>
    </row>
    <row r="116" spans="4:12">
      <c r="D116" s="985"/>
      <c r="E116" s="985"/>
      <c r="F116" s="985"/>
      <c r="G116" s="985"/>
      <c r="H116" s="985"/>
      <c r="I116" s="985"/>
      <c r="J116" s="985"/>
      <c r="K116" s="985"/>
      <c r="L116" s="985"/>
    </row>
    <row r="117" spans="4:12">
      <c r="D117" s="985"/>
      <c r="E117" s="985"/>
      <c r="F117" s="985"/>
      <c r="G117" s="985"/>
      <c r="H117" s="985"/>
      <c r="I117" s="985"/>
      <c r="J117" s="985"/>
      <c r="K117" s="985"/>
      <c r="L117" s="985"/>
    </row>
    <row r="118" spans="4:12">
      <c r="D118" s="985"/>
      <c r="E118" s="985"/>
      <c r="F118" s="985"/>
      <c r="G118" s="985"/>
      <c r="H118" s="985"/>
      <c r="I118" s="985"/>
      <c r="J118" s="985"/>
      <c r="K118" s="985"/>
      <c r="L118" s="985"/>
    </row>
    <row r="119" spans="4:12">
      <c r="D119" s="985"/>
      <c r="E119" s="985"/>
      <c r="F119" s="985"/>
      <c r="G119" s="985"/>
      <c r="H119" s="985"/>
      <c r="I119" s="985"/>
      <c r="J119" s="985"/>
      <c r="K119" s="985"/>
      <c r="L119" s="985"/>
    </row>
    <row r="120" spans="4:12">
      <c r="D120" s="985"/>
      <c r="E120" s="985"/>
      <c r="F120" s="985"/>
      <c r="G120" s="985"/>
      <c r="H120" s="985"/>
      <c r="I120" s="985"/>
      <c r="J120" s="985"/>
      <c r="K120" s="985"/>
      <c r="L120" s="985"/>
    </row>
    <row r="121" spans="4:12">
      <c r="D121" s="985"/>
      <c r="E121" s="985"/>
      <c r="F121" s="985"/>
      <c r="G121" s="985"/>
      <c r="H121" s="985"/>
      <c r="I121" s="985"/>
      <c r="J121" s="985"/>
      <c r="K121" s="985"/>
      <c r="L121" s="985"/>
    </row>
    <row r="122" spans="4:12">
      <c r="D122" s="985"/>
      <c r="E122" s="985"/>
      <c r="F122" s="985"/>
      <c r="G122" s="985"/>
      <c r="H122" s="985"/>
      <c r="I122" s="985"/>
      <c r="J122" s="985"/>
      <c r="K122" s="985"/>
      <c r="L122" s="985"/>
    </row>
    <row r="123" spans="4:12">
      <c r="D123" s="985"/>
      <c r="E123" s="985"/>
      <c r="F123" s="985"/>
      <c r="G123" s="985"/>
      <c r="H123" s="985"/>
      <c r="I123" s="985"/>
      <c r="J123" s="985"/>
      <c r="K123" s="985"/>
      <c r="L123" s="985"/>
    </row>
    <row r="124" spans="4:12">
      <c r="D124" s="985"/>
      <c r="E124" s="985"/>
      <c r="F124" s="985"/>
      <c r="G124" s="985"/>
      <c r="H124" s="985"/>
      <c r="I124" s="985"/>
      <c r="J124" s="985"/>
      <c r="K124" s="985"/>
      <c r="L124" s="985"/>
    </row>
    <row r="125" spans="4:12">
      <c r="D125" s="985"/>
      <c r="E125" s="985"/>
      <c r="F125" s="985"/>
      <c r="G125" s="985"/>
      <c r="H125" s="985"/>
      <c r="I125" s="985"/>
      <c r="J125" s="985"/>
      <c r="K125" s="985"/>
      <c r="L125" s="985"/>
    </row>
    <row r="126" spans="4:12">
      <c r="D126" s="985"/>
      <c r="E126" s="985"/>
      <c r="F126" s="985"/>
      <c r="G126" s="985"/>
      <c r="H126" s="985"/>
      <c r="I126" s="985"/>
      <c r="J126" s="985"/>
      <c r="K126" s="985"/>
      <c r="L126" s="985"/>
    </row>
    <row r="127" spans="4:12">
      <c r="D127" s="985"/>
      <c r="E127" s="985"/>
      <c r="F127" s="985"/>
      <c r="G127" s="985"/>
      <c r="H127" s="985"/>
      <c r="I127" s="985"/>
      <c r="J127" s="985"/>
      <c r="K127" s="985"/>
      <c r="L127" s="985"/>
    </row>
    <row r="128" spans="4:12">
      <c r="D128" s="985"/>
      <c r="E128" s="985"/>
      <c r="F128" s="985"/>
      <c r="G128" s="985"/>
      <c r="H128" s="985"/>
      <c r="I128" s="985"/>
      <c r="J128" s="985"/>
      <c r="K128" s="985"/>
      <c r="L128" s="985"/>
    </row>
    <row r="129" spans="4:12">
      <c r="D129" s="985"/>
      <c r="E129" s="985"/>
      <c r="F129" s="985"/>
      <c r="G129" s="985"/>
      <c r="H129" s="985"/>
      <c r="I129" s="985"/>
      <c r="J129" s="985"/>
      <c r="K129" s="985"/>
      <c r="L129" s="985"/>
    </row>
    <row r="130" spans="4:12">
      <c r="D130" s="985"/>
      <c r="E130" s="985"/>
      <c r="F130" s="985"/>
      <c r="G130" s="985"/>
      <c r="H130" s="985"/>
      <c r="I130" s="985"/>
      <c r="J130" s="985"/>
      <c r="K130" s="985"/>
      <c r="L130" s="985"/>
    </row>
    <row r="131" spans="4:12">
      <c r="D131" s="985"/>
      <c r="E131" s="985"/>
      <c r="F131" s="985"/>
      <c r="G131" s="985"/>
      <c r="H131" s="985"/>
      <c r="I131" s="985"/>
      <c r="J131" s="985"/>
      <c r="K131" s="985"/>
      <c r="L131" s="985"/>
    </row>
    <row r="132" spans="4:12">
      <c r="D132" s="985"/>
      <c r="E132" s="985"/>
      <c r="F132" s="985"/>
      <c r="G132" s="985"/>
      <c r="H132" s="985"/>
      <c r="I132" s="985"/>
      <c r="J132" s="985"/>
      <c r="K132" s="985"/>
      <c r="L132" s="985"/>
    </row>
    <row r="133" spans="4:12">
      <c r="D133" s="985"/>
      <c r="E133" s="985"/>
      <c r="F133" s="985"/>
      <c r="G133" s="985"/>
      <c r="H133" s="985"/>
      <c r="I133" s="985"/>
      <c r="J133" s="985"/>
      <c r="K133" s="985"/>
      <c r="L133" s="985"/>
    </row>
    <row r="134" spans="4:12">
      <c r="D134" s="985"/>
      <c r="E134" s="985"/>
      <c r="F134" s="985"/>
      <c r="G134" s="985"/>
      <c r="H134" s="985"/>
      <c r="I134" s="985"/>
      <c r="J134" s="985"/>
      <c r="K134" s="985"/>
      <c r="L134" s="985"/>
    </row>
    <row r="135" spans="4:12">
      <c r="D135" s="985"/>
      <c r="E135" s="985"/>
      <c r="F135" s="985"/>
      <c r="G135" s="985"/>
      <c r="H135" s="985"/>
      <c r="I135" s="985"/>
      <c r="J135" s="985"/>
      <c r="K135" s="985"/>
      <c r="L135" s="985"/>
    </row>
    <row r="136" spans="4:12">
      <c r="D136" s="985"/>
      <c r="E136" s="985"/>
      <c r="F136" s="985"/>
      <c r="G136" s="985"/>
      <c r="H136" s="985"/>
      <c r="I136" s="985"/>
      <c r="J136" s="985"/>
      <c r="K136" s="985"/>
      <c r="L136" s="985"/>
    </row>
    <row r="137" spans="4:12">
      <c r="D137" s="985"/>
      <c r="E137" s="985"/>
      <c r="F137" s="985"/>
      <c r="G137" s="985"/>
      <c r="H137" s="985"/>
      <c r="I137" s="985"/>
      <c r="J137" s="985"/>
      <c r="K137" s="985"/>
      <c r="L137" s="985"/>
    </row>
    <row r="138" spans="4:12">
      <c r="D138" s="985"/>
      <c r="E138" s="985"/>
      <c r="F138" s="985"/>
      <c r="G138" s="985"/>
      <c r="H138" s="985"/>
      <c r="I138" s="985"/>
      <c r="J138" s="985"/>
      <c r="K138" s="985"/>
      <c r="L138" s="985"/>
    </row>
    <row r="139" spans="4:12">
      <c r="D139" s="985"/>
      <c r="E139" s="985"/>
      <c r="F139" s="985"/>
      <c r="G139" s="985"/>
      <c r="H139" s="985"/>
      <c r="I139" s="985"/>
      <c r="J139" s="985"/>
      <c r="K139" s="985"/>
      <c r="L139" s="985"/>
    </row>
    <row r="140" spans="4:12">
      <c r="D140" s="985"/>
      <c r="E140" s="985"/>
      <c r="F140" s="985"/>
      <c r="G140" s="985"/>
      <c r="H140" s="985"/>
      <c r="I140" s="985"/>
      <c r="J140" s="985"/>
      <c r="K140" s="985"/>
      <c r="L140" s="985"/>
    </row>
    <row r="141" spans="4:12">
      <c r="D141" s="985"/>
      <c r="E141" s="985"/>
      <c r="F141" s="985"/>
      <c r="G141" s="985"/>
      <c r="H141" s="985"/>
      <c r="I141" s="985"/>
      <c r="J141" s="985"/>
      <c r="K141" s="985"/>
      <c r="L141" s="985"/>
    </row>
    <row r="142" spans="4:12">
      <c r="D142" s="985"/>
      <c r="E142" s="985"/>
      <c r="F142" s="985"/>
      <c r="G142" s="985"/>
      <c r="H142" s="985"/>
      <c r="I142" s="985"/>
      <c r="J142" s="985"/>
      <c r="K142" s="985"/>
      <c r="L142" s="985"/>
    </row>
    <row r="143" spans="4:12">
      <c r="D143" s="985"/>
      <c r="E143" s="985"/>
      <c r="F143" s="985"/>
      <c r="G143" s="985"/>
      <c r="H143" s="985"/>
      <c r="I143" s="985"/>
      <c r="J143" s="985"/>
      <c r="K143" s="985"/>
      <c r="L143" s="985"/>
    </row>
    <row r="144" spans="4:12">
      <c r="D144" s="985"/>
      <c r="E144" s="985"/>
      <c r="F144" s="985"/>
      <c r="G144" s="985"/>
      <c r="H144" s="985"/>
      <c r="I144" s="985"/>
      <c r="J144" s="985"/>
      <c r="K144" s="985"/>
      <c r="L144" s="985"/>
    </row>
    <row r="145" spans="4:12">
      <c r="D145" s="985"/>
      <c r="E145" s="985"/>
      <c r="F145" s="985"/>
      <c r="G145" s="985"/>
      <c r="H145" s="985"/>
      <c r="I145" s="985"/>
      <c r="J145" s="985"/>
      <c r="K145" s="985"/>
      <c r="L145" s="985"/>
    </row>
    <row r="146" spans="4:12">
      <c r="D146" s="985"/>
      <c r="E146" s="985"/>
      <c r="F146" s="985"/>
      <c r="G146" s="985"/>
      <c r="H146" s="985"/>
      <c r="I146" s="985"/>
      <c r="J146" s="985"/>
      <c r="K146" s="985"/>
      <c r="L146" s="985"/>
    </row>
    <row r="147" spans="4:12">
      <c r="D147" s="985"/>
      <c r="E147" s="985"/>
      <c r="F147" s="985"/>
      <c r="G147" s="985"/>
      <c r="H147" s="985"/>
      <c r="I147" s="985"/>
      <c r="J147" s="985"/>
      <c r="K147" s="985"/>
      <c r="L147" s="985"/>
    </row>
    <row r="148" spans="4:12">
      <c r="D148" s="985"/>
      <c r="E148" s="985"/>
      <c r="F148" s="985"/>
      <c r="G148" s="985"/>
      <c r="H148" s="985"/>
      <c r="I148" s="985"/>
      <c r="J148" s="985"/>
      <c r="K148" s="985"/>
      <c r="L148" s="985"/>
    </row>
    <row r="149" spans="4:12">
      <c r="D149" s="985"/>
      <c r="E149" s="985"/>
      <c r="F149" s="985"/>
      <c r="G149" s="985"/>
      <c r="H149" s="985"/>
      <c r="I149" s="985"/>
      <c r="J149" s="985"/>
      <c r="K149" s="985"/>
      <c r="L149" s="985"/>
    </row>
    <row r="150" spans="4:12">
      <c r="D150" s="985"/>
      <c r="E150" s="985"/>
      <c r="F150" s="985"/>
      <c r="G150" s="985"/>
      <c r="H150" s="985"/>
      <c r="I150" s="985"/>
      <c r="J150" s="985"/>
      <c r="K150" s="985"/>
      <c r="L150" s="985"/>
    </row>
    <row r="151" spans="4:12">
      <c r="D151" s="985"/>
      <c r="E151" s="985"/>
      <c r="F151" s="985"/>
      <c r="G151" s="985"/>
      <c r="H151" s="985"/>
      <c r="I151" s="985"/>
      <c r="J151" s="985"/>
      <c r="K151" s="985"/>
      <c r="L151" s="985"/>
    </row>
    <row r="152" spans="4:12">
      <c r="D152" s="985"/>
      <c r="E152" s="985"/>
      <c r="F152" s="985"/>
      <c r="G152" s="985"/>
      <c r="H152" s="985"/>
      <c r="I152" s="985"/>
      <c r="J152" s="985"/>
      <c r="K152" s="985"/>
      <c r="L152" s="985"/>
    </row>
    <row r="153" spans="4:12">
      <c r="D153" s="985"/>
      <c r="E153" s="985"/>
      <c r="F153" s="985"/>
      <c r="G153" s="985"/>
      <c r="H153" s="985"/>
      <c r="I153" s="985"/>
      <c r="J153" s="985"/>
      <c r="K153" s="985"/>
      <c r="L153" s="985"/>
    </row>
    <row r="154" spans="4:12">
      <c r="D154" s="985"/>
      <c r="E154" s="985"/>
      <c r="F154" s="985"/>
      <c r="G154" s="985"/>
      <c r="H154" s="985"/>
      <c r="I154" s="985"/>
      <c r="J154" s="985"/>
      <c r="K154" s="985"/>
      <c r="L154" s="985"/>
    </row>
    <row r="155" spans="4:12">
      <c r="D155" s="985"/>
      <c r="E155" s="985"/>
      <c r="F155" s="985"/>
      <c r="G155" s="985"/>
      <c r="H155" s="985"/>
      <c r="I155" s="985"/>
      <c r="J155" s="985"/>
      <c r="K155" s="985"/>
      <c r="L155" s="985"/>
    </row>
    <row r="156" spans="4:12">
      <c r="D156" s="985"/>
      <c r="E156" s="985"/>
      <c r="F156" s="985"/>
      <c r="G156" s="985"/>
      <c r="H156" s="985"/>
      <c r="I156" s="985"/>
      <c r="J156" s="985"/>
      <c r="K156" s="985"/>
      <c r="L156" s="985"/>
    </row>
    <row r="157" spans="4:12">
      <c r="D157" s="985"/>
      <c r="E157" s="985"/>
      <c r="F157" s="985"/>
      <c r="G157" s="985"/>
      <c r="H157" s="985"/>
      <c r="I157" s="985"/>
      <c r="J157" s="985"/>
      <c r="K157" s="985"/>
      <c r="L157" s="985"/>
    </row>
    <row r="158" spans="4:12">
      <c r="D158" s="985"/>
      <c r="E158" s="985"/>
      <c r="F158" s="985"/>
      <c r="G158" s="985"/>
      <c r="H158" s="985"/>
      <c r="I158" s="985"/>
      <c r="J158" s="985"/>
      <c r="K158" s="985"/>
      <c r="L158" s="985"/>
    </row>
    <row r="159" spans="4:12">
      <c r="D159" s="985"/>
      <c r="E159" s="985"/>
      <c r="F159" s="985"/>
      <c r="G159" s="985"/>
      <c r="H159" s="985"/>
      <c r="I159" s="985"/>
      <c r="J159" s="985"/>
      <c r="K159" s="985"/>
      <c r="L159" s="985"/>
    </row>
    <row r="160" spans="4:12">
      <c r="D160" s="985"/>
      <c r="E160" s="985"/>
      <c r="F160" s="985"/>
      <c r="G160" s="985"/>
      <c r="H160" s="985"/>
      <c r="I160" s="985"/>
      <c r="J160" s="985"/>
      <c r="K160" s="985"/>
      <c r="L160" s="985"/>
    </row>
    <row r="161" spans="4:12">
      <c r="D161" s="985"/>
      <c r="E161" s="985"/>
      <c r="F161" s="985"/>
      <c r="G161" s="985"/>
      <c r="H161" s="985"/>
      <c r="I161" s="985"/>
      <c r="J161" s="985"/>
      <c r="K161" s="985"/>
      <c r="L161" s="985"/>
    </row>
    <row r="162" spans="4:12">
      <c r="D162" s="985"/>
      <c r="E162" s="985"/>
      <c r="F162" s="985"/>
      <c r="G162" s="985"/>
      <c r="H162" s="985"/>
      <c r="I162" s="985"/>
      <c r="J162" s="985"/>
      <c r="K162" s="985"/>
      <c r="L162" s="985"/>
    </row>
    <row r="163" spans="4:12">
      <c r="D163" s="985"/>
      <c r="E163" s="985"/>
      <c r="F163" s="985"/>
      <c r="G163" s="985"/>
      <c r="H163" s="985"/>
      <c r="I163" s="985"/>
      <c r="J163" s="985"/>
      <c r="K163" s="985"/>
      <c r="L163" s="985"/>
    </row>
    <row r="164" spans="4:12">
      <c r="D164" s="985"/>
      <c r="E164" s="985"/>
      <c r="F164" s="985"/>
      <c r="G164" s="985"/>
      <c r="H164" s="985"/>
      <c r="I164" s="985"/>
      <c r="J164" s="985"/>
      <c r="K164" s="985"/>
      <c r="L164" s="985"/>
    </row>
    <row r="165" spans="4:12">
      <c r="D165" s="985"/>
      <c r="E165" s="985"/>
      <c r="F165" s="985"/>
      <c r="G165" s="985"/>
      <c r="H165" s="985"/>
      <c r="I165" s="985"/>
      <c r="J165" s="985"/>
      <c r="K165" s="985"/>
      <c r="L165" s="985"/>
    </row>
    <row r="166" spans="4:12">
      <c r="D166" s="985"/>
      <c r="E166" s="985"/>
      <c r="F166" s="985"/>
      <c r="G166" s="985"/>
      <c r="H166" s="985"/>
      <c r="I166" s="985"/>
      <c r="J166" s="985"/>
      <c r="K166" s="985"/>
      <c r="L166" s="985"/>
    </row>
    <row r="167" spans="4:12">
      <c r="D167" s="985"/>
      <c r="E167" s="985"/>
      <c r="F167" s="985"/>
      <c r="G167" s="985"/>
      <c r="H167" s="985"/>
      <c r="I167" s="985"/>
      <c r="J167" s="985"/>
      <c r="K167" s="985"/>
      <c r="L167" s="985"/>
    </row>
    <row r="168" spans="4:12">
      <c r="D168" s="985"/>
      <c r="E168" s="985"/>
      <c r="F168" s="985"/>
      <c r="G168" s="985"/>
      <c r="H168" s="985"/>
      <c r="I168" s="985"/>
      <c r="J168" s="985"/>
      <c r="K168" s="985"/>
      <c r="L168" s="985"/>
    </row>
    <row r="169" spans="4:12">
      <c r="D169" s="985"/>
      <c r="E169" s="985"/>
      <c r="F169" s="985"/>
      <c r="G169" s="985"/>
      <c r="H169" s="985"/>
      <c r="I169" s="985"/>
      <c r="J169" s="985"/>
      <c r="K169" s="985"/>
      <c r="L169" s="985"/>
    </row>
    <row r="170" spans="4:12">
      <c r="D170" s="985"/>
      <c r="E170" s="985"/>
      <c r="F170" s="985"/>
      <c r="G170" s="985"/>
      <c r="H170" s="985"/>
      <c r="I170" s="985"/>
      <c r="J170" s="985"/>
      <c r="K170" s="985"/>
      <c r="L170" s="985"/>
    </row>
    <row r="171" spans="4:12">
      <c r="D171" s="985"/>
      <c r="E171" s="985"/>
      <c r="F171" s="985"/>
      <c r="G171" s="985"/>
      <c r="H171" s="985"/>
      <c r="I171" s="985"/>
      <c r="J171" s="985"/>
      <c r="K171" s="985"/>
      <c r="L171" s="985"/>
    </row>
    <row r="172" spans="4:12">
      <c r="D172" s="985"/>
      <c r="E172" s="985"/>
      <c r="F172" s="985"/>
      <c r="G172" s="985"/>
      <c r="H172" s="985"/>
      <c r="I172" s="985"/>
      <c r="J172" s="985"/>
      <c r="K172" s="985"/>
      <c r="L172" s="985"/>
    </row>
    <row r="173" spans="4:12">
      <c r="D173" s="985"/>
      <c r="E173" s="985"/>
      <c r="F173" s="985"/>
      <c r="G173" s="985"/>
      <c r="H173" s="985"/>
      <c r="I173" s="985"/>
      <c r="J173" s="985"/>
      <c r="K173" s="985"/>
      <c r="L173" s="985"/>
    </row>
    <row r="174" spans="4:12">
      <c r="D174" s="985"/>
      <c r="E174" s="985"/>
      <c r="F174" s="985"/>
      <c r="G174" s="985"/>
      <c r="H174" s="985"/>
      <c r="I174" s="985"/>
      <c r="J174" s="985"/>
      <c r="K174" s="985"/>
      <c r="L174" s="985"/>
    </row>
    <row r="175" spans="4:12">
      <c r="D175" s="985"/>
      <c r="E175" s="985"/>
      <c r="F175" s="985"/>
      <c r="G175" s="985"/>
      <c r="H175" s="985"/>
      <c r="I175" s="985"/>
      <c r="J175" s="985"/>
      <c r="K175" s="985"/>
      <c r="L175" s="985"/>
    </row>
    <row r="176" spans="4:12">
      <c r="D176" s="985"/>
      <c r="E176" s="985"/>
      <c r="F176" s="985"/>
      <c r="G176" s="985"/>
      <c r="H176" s="985"/>
      <c r="I176" s="985"/>
      <c r="J176" s="985"/>
      <c r="K176" s="985"/>
      <c r="L176" s="985"/>
    </row>
    <row r="177" spans="4:12">
      <c r="D177" s="985"/>
      <c r="E177" s="985"/>
      <c r="F177" s="985"/>
      <c r="G177" s="985"/>
      <c r="H177" s="985"/>
      <c r="I177" s="985"/>
      <c r="J177" s="985"/>
      <c r="K177" s="985"/>
      <c r="L177" s="985"/>
    </row>
    <row r="178" spans="4:12">
      <c r="D178" s="985"/>
      <c r="E178" s="985"/>
      <c r="F178" s="985"/>
      <c r="G178" s="985"/>
      <c r="H178" s="985"/>
      <c r="I178" s="985"/>
      <c r="J178" s="985"/>
      <c r="K178" s="985"/>
      <c r="L178" s="985"/>
    </row>
    <row r="179" spans="4:12">
      <c r="D179" s="985"/>
      <c r="E179" s="985"/>
      <c r="F179" s="985"/>
      <c r="G179" s="985"/>
      <c r="H179" s="985"/>
      <c r="I179" s="985"/>
      <c r="J179" s="985"/>
      <c r="K179" s="985"/>
      <c r="L179" s="985"/>
    </row>
    <row r="180" spans="4:12">
      <c r="D180" s="985"/>
      <c r="E180" s="985"/>
      <c r="F180" s="985"/>
      <c r="G180" s="985"/>
      <c r="H180" s="985"/>
      <c r="I180" s="985"/>
      <c r="J180" s="985"/>
      <c r="K180" s="985"/>
      <c r="L180" s="985"/>
    </row>
    <row r="181" spans="4:12">
      <c r="D181" s="985"/>
      <c r="E181" s="985"/>
      <c r="F181" s="985"/>
      <c r="G181" s="985"/>
      <c r="H181" s="985"/>
      <c r="I181" s="985"/>
      <c r="J181" s="985"/>
      <c r="K181" s="985"/>
      <c r="L181" s="985"/>
    </row>
    <row r="182" spans="4:12">
      <c r="D182" s="985"/>
      <c r="E182" s="985"/>
      <c r="F182" s="985"/>
      <c r="G182" s="985"/>
      <c r="H182" s="985"/>
      <c r="I182" s="985"/>
      <c r="J182" s="985"/>
      <c r="K182" s="985"/>
      <c r="L182" s="985"/>
    </row>
    <row r="183" spans="4:12">
      <c r="D183" s="985"/>
      <c r="E183" s="985"/>
      <c r="F183" s="985"/>
      <c r="G183" s="985"/>
      <c r="H183" s="985"/>
      <c r="I183" s="985"/>
      <c r="J183" s="985"/>
      <c r="K183" s="985"/>
      <c r="L183" s="985"/>
    </row>
    <row r="184" spans="4:12">
      <c r="D184" s="985"/>
      <c r="E184" s="985"/>
      <c r="F184" s="985"/>
      <c r="G184" s="985"/>
      <c r="H184" s="985"/>
      <c r="I184" s="985"/>
      <c r="J184" s="985"/>
      <c r="K184" s="985"/>
      <c r="L184" s="985"/>
    </row>
    <row r="185" spans="4:12">
      <c r="D185" s="985"/>
      <c r="E185" s="985"/>
      <c r="F185" s="985"/>
      <c r="G185" s="985"/>
      <c r="H185" s="985"/>
      <c r="I185" s="985"/>
      <c r="J185" s="985"/>
      <c r="K185" s="985"/>
      <c r="L185" s="985"/>
    </row>
    <row r="186" spans="4:12">
      <c r="D186" s="985"/>
      <c r="E186" s="985"/>
      <c r="F186" s="985"/>
      <c r="G186" s="985"/>
      <c r="H186" s="985"/>
      <c r="I186" s="985"/>
      <c r="J186" s="985"/>
      <c r="K186" s="985"/>
      <c r="L186" s="985"/>
    </row>
    <row r="187" spans="4:12">
      <c r="D187" s="985"/>
      <c r="E187" s="985"/>
      <c r="F187" s="985"/>
      <c r="G187" s="985"/>
      <c r="H187" s="985"/>
      <c r="I187" s="985"/>
      <c r="J187" s="985"/>
      <c r="K187" s="985"/>
      <c r="L187" s="985"/>
    </row>
  </sheetData>
  <pageMargins left="0.70866141732283472" right="0.70866141732283472" top="0.74803149606299213" bottom="0.74803149606299213" header="0.31496062992125984" footer="0.31496062992125984"/>
  <pageSetup scale="6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7"/>
  <sheetViews>
    <sheetView view="pageBreakPreview" topLeftCell="A177" zoomScaleNormal="100" zoomScaleSheetLayoutView="100" workbookViewId="0">
      <selection activeCell="D188" sqref="D188"/>
    </sheetView>
  </sheetViews>
  <sheetFormatPr baseColWidth="10" defaultRowHeight="15.75"/>
  <cols>
    <col min="1" max="1" width="11.42578125" style="1163"/>
    <col min="2" max="2" width="56.140625" style="1112" customWidth="1"/>
    <col min="3" max="3" width="9.140625" style="1165" bestFit="1" customWidth="1"/>
    <col min="4" max="4" width="20" style="1167" bestFit="1" customWidth="1"/>
    <col min="5" max="16384" width="11.42578125" style="1163"/>
  </cols>
  <sheetData>
    <row r="1" spans="2:4" ht="18.75">
      <c r="C1" s="1161" t="s">
        <v>289</v>
      </c>
      <c r="D1" s="1162" t="s">
        <v>1022</v>
      </c>
    </row>
    <row r="2" spans="2:4">
      <c r="B2" s="1164" t="s">
        <v>1024</v>
      </c>
      <c r="D2" s="1166"/>
    </row>
    <row r="4" spans="2:4">
      <c r="B4" s="1112" t="s">
        <v>1580</v>
      </c>
      <c r="C4" s="1165" t="s">
        <v>1000</v>
      </c>
      <c r="D4" s="1167">
        <v>112.95</v>
      </c>
    </row>
    <row r="5" spans="2:4">
      <c r="B5" s="1112" t="s">
        <v>1581</v>
      </c>
      <c r="C5" s="1165" t="s">
        <v>1088</v>
      </c>
      <c r="D5" s="1167">
        <v>115.32</v>
      </c>
    </row>
    <row r="6" spans="2:4">
      <c r="B6" s="1112" t="s">
        <v>1582</v>
      </c>
      <c r="C6" s="1165" t="s">
        <v>1088</v>
      </c>
      <c r="D6" s="1167">
        <v>45</v>
      </c>
    </row>
    <row r="7" spans="2:4">
      <c r="B7" s="1112" t="s">
        <v>1017</v>
      </c>
      <c r="C7" s="1165" t="s">
        <v>1025</v>
      </c>
      <c r="D7" s="1167">
        <v>7000</v>
      </c>
    </row>
    <row r="8" spans="2:4">
      <c r="B8" s="1112" t="s">
        <v>1018</v>
      </c>
      <c r="C8" s="1165" t="s">
        <v>1026</v>
      </c>
      <c r="D8" s="1167">
        <f>D101*23.83</f>
        <v>15489.5</v>
      </c>
    </row>
    <row r="9" spans="2:4">
      <c r="B9" s="1112" t="s">
        <v>1019</v>
      </c>
      <c r="C9" s="1165" t="s">
        <v>1026</v>
      </c>
      <c r="D9" s="1167">
        <f>D102*23.83</f>
        <v>15489.5</v>
      </c>
    </row>
    <row r="10" spans="2:4">
      <c r="B10" s="1112" t="s">
        <v>943</v>
      </c>
      <c r="C10" s="1165" t="s">
        <v>1027</v>
      </c>
      <c r="D10" s="1167">
        <v>900</v>
      </c>
    </row>
    <row r="11" spans="2:4">
      <c r="B11" s="1112" t="s">
        <v>944</v>
      </c>
      <c r="C11" s="1165" t="s">
        <v>1027</v>
      </c>
      <c r="D11" s="1167">
        <v>1364</v>
      </c>
    </row>
    <row r="12" spans="2:4">
      <c r="B12" s="1112" t="s">
        <v>1735</v>
      </c>
      <c r="C12" s="1165" t="s">
        <v>1027</v>
      </c>
      <c r="D12" s="1167">
        <v>1900</v>
      </c>
    </row>
    <row r="13" spans="2:4">
      <c r="B13" s="1112" t="s">
        <v>922</v>
      </c>
      <c r="C13" s="1165" t="s">
        <v>1027</v>
      </c>
      <c r="D13" s="1167">
        <v>1200</v>
      </c>
    </row>
    <row r="14" spans="2:4">
      <c r="B14" s="1112" t="s">
        <v>1736</v>
      </c>
      <c r="C14" s="1165" t="s">
        <v>1027</v>
      </c>
      <c r="D14" s="1167">
        <v>900</v>
      </c>
    </row>
    <row r="15" spans="2:4">
      <c r="B15" s="1112" t="s">
        <v>973</v>
      </c>
      <c r="C15" s="1165" t="s">
        <v>1000</v>
      </c>
      <c r="D15" s="1167">
        <v>120</v>
      </c>
    </row>
    <row r="16" spans="2:4">
      <c r="B16" s="1112" t="s">
        <v>1029</v>
      </c>
      <c r="C16" s="1165" t="s">
        <v>1027</v>
      </c>
      <c r="D16" s="1167">
        <v>900</v>
      </c>
    </row>
    <row r="17" spans="2:4">
      <c r="B17" s="1112" t="s">
        <v>1052</v>
      </c>
      <c r="C17" s="1165" t="s">
        <v>1000</v>
      </c>
      <c r="D17" s="1167">
        <v>50</v>
      </c>
    </row>
    <row r="18" spans="2:4">
      <c r="B18" s="1112" t="s">
        <v>920</v>
      </c>
      <c r="C18" s="1165" t="s">
        <v>1027</v>
      </c>
      <c r="D18" s="1167">
        <f>680000/23.83</f>
        <v>28535.46</v>
      </c>
    </row>
    <row r="19" spans="2:4">
      <c r="B19" s="1112" t="s">
        <v>1064</v>
      </c>
      <c r="C19" s="1165" t="s">
        <v>1000</v>
      </c>
      <c r="D19" s="1167">
        <v>114</v>
      </c>
    </row>
    <row r="20" spans="2:4">
      <c r="B20" s="1112" t="s">
        <v>1066</v>
      </c>
      <c r="C20" s="1165" t="s">
        <v>1045</v>
      </c>
      <c r="D20" s="1167">
        <v>144</v>
      </c>
    </row>
    <row r="21" spans="2:4">
      <c r="B21" s="1112" t="s">
        <v>1067</v>
      </c>
      <c r="C21" s="1165" t="s">
        <v>1045</v>
      </c>
      <c r="D21" s="1341">
        <v>125</v>
      </c>
    </row>
    <row r="22" spans="2:4">
      <c r="B22" s="1112" t="s">
        <v>1072</v>
      </c>
      <c r="C22" s="1165" t="s">
        <v>1045</v>
      </c>
      <c r="D22" s="1167">
        <v>351</v>
      </c>
    </row>
    <row r="23" spans="2:4">
      <c r="B23" s="1112" t="s">
        <v>959</v>
      </c>
      <c r="C23" s="1165" t="s">
        <v>1000</v>
      </c>
      <c r="D23" s="1167">
        <v>50</v>
      </c>
    </row>
    <row r="24" spans="2:4" ht="31.5">
      <c r="B24" s="1112" t="s">
        <v>960</v>
      </c>
      <c r="C24" s="1165" t="s">
        <v>1000</v>
      </c>
      <c r="D24" s="1341">
        <v>300</v>
      </c>
    </row>
    <row r="25" spans="2:4">
      <c r="B25" s="1112" t="s">
        <v>1073</v>
      </c>
      <c r="C25" s="1165" t="s">
        <v>1045</v>
      </c>
      <c r="D25" s="1167">
        <v>125</v>
      </c>
    </row>
    <row r="26" spans="2:4">
      <c r="B26" s="1112" t="s">
        <v>1074</v>
      </c>
      <c r="C26" s="1165" t="s">
        <v>1056</v>
      </c>
      <c r="D26" s="1167">
        <v>1</v>
      </c>
    </row>
    <row r="27" spans="2:4">
      <c r="B27" s="1112" t="s">
        <v>1075</v>
      </c>
      <c r="C27" s="1165" t="s">
        <v>1056</v>
      </c>
      <c r="D27" s="1167">
        <v>3</v>
      </c>
    </row>
    <row r="28" spans="2:4">
      <c r="B28" s="1112" t="s">
        <v>1076</v>
      </c>
      <c r="C28" s="1165" t="s">
        <v>1056</v>
      </c>
      <c r="D28" s="1341">
        <v>33</v>
      </c>
    </row>
    <row r="29" spans="2:4">
      <c r="B29" s="1112" t="s">
        <v>1077</v>
      </c>
      <c r="C29" s="1165" t="s">
        <v>1056</v>
      </c>
      <c r="D29" s="1341">
        <v>30</v>
      </c>
    </row>
    <row r="30" spans="2:4">
      <c r="B30" s="1112" t="s">
        <v>1078</v>
      </c>
      <c r="C30" s="1165" t="s">
        <v>1000</v>
      </c>
      <c r="D30" s="1341">
        <v>250</v>
      </c>
    </row>
    <row r="31" spans="2:4">
      <c r="B31" s="1112" t="s">
        <v>1079</v>
      </c>
      <c r="C31" s="1165" t="s">
        <v>1000</v>
      </c>
      <c r="D31" s="1167">
        <v>52</v>
      </c>
    </row>
    <row r="32" spans="2:4">
      <c r="B32" s="1112" t="s">
        <v>1080</v>
      </c>
      <c r="C32" s="1165" t="s">
        <v>1000</v>
      </c>
      <c r="D32" s="1167">
        <v>26</v>
      </c>
    </row>
    <row r="33" spans="1:4">
      <c r="B33" s="1112" t="s">
        <v>1081</v>
      </c>
      <c r="C33" s="1165" t="s">
        <v>1045</v>
      </c>
      <c r="D33" s="1167">
        <v>65</v>
      </c>
    </row>
    <row r="34" spans="1:4">
      <c r="B34" s="1112" t="s">
        <v>1083</v>
      </c>
      <c r="C34" s="1165" t="s">
        <v>1000</v>
      </c>
      <c r="D34" s="1167">
        <v>10</v>
      </c>
    </row>
    <row r="35" spans="1:4">
      <c r="B35" s="1112" t="s">
        <v>1084</v>
      </c>
      <c r="C35" s="1165" t="s">
        <v>1000</v>
      </c>
      <c r="D35" s="1167">
        <v>65</v>
      </c>
    </row>
    <row r="36" spans="1:4">
      <c r="B36" s="1112" t="s">
        <v>1086</v>
      </c>
      <c r="C36" s="1165" t="s">
        <v>1045</v>
      </c>
      <c r="D36" s="1167">
        <v>49</v>
      </c>
    </row>
    <row r="37" spans="1:4">
      <c r="B37" s="1112" t="s">
        <v>1101</v>
      </c>
      <c r="C37" s="1165" t="s">
        <v>1000</v>
      </c>
      <c r="D37" s="1167">
        <f>32.09+18.87</f>
        <v>50.96</v>
      </c>
    </row>
    <row r="38" spans="1:4">
      <c r="B38" s="1112" t="s">
        <v>1107</v>
      </c>
      <c r="C38" s="1165" t="s">
        <v>1000</v>
      </c>
      <c r="D38" s="1167">
        <v>103</v>
      </c>
    </row>
    <row r="39" spans="1:4">
      <c r="B39" s="1112" t="s">
        <v>1108</v>
      </c>
      <c r="C39" s="1165" t="s">
        <v>1109</v>
      </c>
      <c r="D39" s="1167">
        <v>12</v>
      </c>
    </row>
    <row r="40" spans="1:4">
      <c r="B40" s="1112" t="s">
        <v>1112</v>
      </c>
      <c r="C40" s="1165" t="s">
        <v>1045</v>
      </c>
      <c r="D40" s="1167">
        <v>55</v>
      </c>
    </row>
    <row r="41" spans="1:4">
      <c r="B41" s="1112" t="s">
        <v>1117</v>
      </c>
      <c r="C41" s="1165" t="s">
        <v>1000</v>
      </c>
      <c r="D41" s="1167">
        <v>25</v>
      </c>
    </row>
    <row r="42" spans="1:4">
      <c r="B42" s="1112" t="s">
        <v>1118</v>
      </c>
      <c r="C42" s="1165" t="s">
        <v>1088</v>
      </c>
      <c r="D42" s="1167">
        <v>95</v>
      </c>
    </row>
    <row r="43" spans="1:4" ht="31.5">
      <c r="B43" s="1168" t="s">
        <v>1119</v>
      </c>
      <c r="C43" s="1165" t="s">
        <v>1000</v>
      </c>
      <c r="D43" s="1167">
        <v>143</v>
      </c>
    </row>
    <row r="44" spans="1:4" ht="31.5">
      <c r="B44" s="1168" t="s">
        <v>1120</v>
      </c>
      <c r="C44" s="1165" t="s">
        <v>1000</v>
      </c>
      <c r="D44" s="1167">
        <v>30</v>
      </c>
    </row>
    <row r="45" spans="1:4">
      <c r="B45" s="1168" t="s">
        <v>1121</v>
      </c>
      <c r="C45" s="1165" t="s">
        <v>1062</v>
      </c>
      <c r="D45" s="1167">
        <v>420</v>
      </c>
    </row>
    <row r="46" spans="1:4">
      <c r="B46" s="1168" t="s">
        <v>1123</v>
      </c>
      <c r="C46" s="1165" t="s">
        <v>1042</v>
      </c>
      <c r="D46" s="1167">
        <v>400</v>
      </c>
    </row>
    <row r="47" spans="1:4">
      <c r="A47" s="1111" t="s">
        <v>1742</v>
      </c>
      <c r="B47" s="1168" t="s">
        <v>961</v>
      </c>
      <c r="C47" s="1165" t="s">
        <v>1000</v>
      </c>
      <c r="D47" s="1167">
        <f>603.26/7</f>
        <v>86.18</v>
      </c>
    </row>
    <row r="48" spans="1:4" ht="31.5">
      <c r="B48" s="1168" t="s">
        <v>1131</v>
      </c>
      <c r="C48" s="1165" t="s">
        <v>1045</v>
      </c>
      <c r="D48" s="1167">
        <v>400</v>
      </c>
    </row>
    <row r="49" spans="2:4" ht="31.5">
      <c r="B49" s="1168" t="s">
        <v>1132</v>
      </c>
      <c r="C49" s="1165" t="s">
        <v>1045</v>
      </c>
      <c r="D49" s="1167">
        <v>211</v>
      </c>
    </row>
    <row r="50" spans="2:4">
      <c r="B50" s="1168" t="s">
        <v>1140</v>
      </c>
      <c r="C50" s="1165" t="s">
        <v>1000</v>
      </c>
      <c r="D50" s="1167">
        <f>47.18+39.65</f>
        <v>86.83</v>
      </c>
    </row>
    <row r="51" spans="2:4">
      <c r="B51" s="1112" t="s">
        <v>1160</v>
      </c>
      <c r="C51" s="1165" t="s">
        <v>1042</v>
      </c>
      <c r="D51" s="1167">
        <v>3833</v>
      </c>
    </row>
    <row r="52" spans="2:4">
      <c r="B52" s="1112" t="s">
        <v>963</v>
      </c>
      <c r="C52" s="1165" t="s">
        <v>1045</v>
      </c>
      <c r="D52" s="1341">
        <v>300</v>
      </c>
    </row>
    <row r="53" spans="2:4">
      <c r="B53" s="1112" t="s">
        <v>964</v>
      </c>
      <c r="C53" s="1165" t="s">
        <v>1045</v>
      </c>
      <c r="D53" s="1167">
        <v>25</v>
      </c>
    </row>
    <row r="54" spans="2:4">
      <c r="B54" s="1112" t="s">
        <v>1555</v>
      </c>
      <c r="C54" s="1165" t="s">
        <v>1000</v>
      </c>
      <c r="D54" s="1167">
        <v>50</v>
      </c>
    </row>
    <row r="55" spans="2:4">
      <c r="B55" s="1112" t="s">
        <v>984</v>
      </c>
      <c r="C55" s="1165" t="s">
        <v>1106</v>
      </c>
      <c r="D55" s="1167">
        <v>3000</v>
      </c>
    </row>
    <row r="56" spans="2:4">
      <c r="B56" s="1112" t="s">
        <v>996</v>
      </c>
      <c r="C56" s="1165" t="s">
        <v>1164</v>
      </c>
      <c r="D56" s="1167">
        <v>350</v>
      </c>
    </row>
    <row r="57" spans="2:4">
      <c r="B57" s="1112" t="s">
        <v>1564</v>
      </c>
      <c r="C57" s="1165" t="s">
        <v>1088</v>
      </c>
      <c r="D57" s="1167">
        <v>65</v>
      </c>
    </row>
    <row r="58" spans="2:4">
      <c r="B58" s="1112" t="s">
        <v>1571</v>
      </c>
      <c r="C58" s="1165" t="s">
        <v>1050</v>
      </c>
      <c r="D58" s="1167">
        <v>1195.48</v>
      </c>
    </row>
    <row r="59" spans="2:4">
      <c r="B59" s="1112" t="s">
        <v>1732</v>
      </c>
      <c r="C59" s="1165" t="s">
        <v>1225</v>
      </c>
      <c r="D59" s="1167">
        <v>90</v>
      </c>
    </row>
    <row r="60" spans="2:4">
      <c r="B60" s="1112" t="s">
        <v>1110</v>
      </c>
      <c r="C60" s="1165" t="s">
        <v>1000</v>
      </c>
      <c r="D60" s="1167">
        <v>154</v>
      </c>
    </row>
    <row r="61" spans="2:4">
      <c r="B61" s="1112" t="s">
        <v>1111</v>
      </c>
      <c r="C61" s="1165" t="s">
        <v>1045</v>
      </c>
      <c r="D61" s="1167">
        <v>52</v>
      </c>
    </row>
    <row r="62" spans="2:4">
      <c r="B62" s="1112" t="s">
        <v>1113</v>
      </c>
      <c r="C62" s="1165" t="s">
        <v>1000</v>
      </c>
      <c r="D62" s="1167">
        <v>103</v>
      </c>
    </row>
    <row r="63" spans="2:4">
      <c r="B63" s="1112" t="s">
        <v>1114</v>
      </c>
      <c r="C63" s="1165" t="s">
        <v>1000</v>
      </c>
      <c r="D63" s="1167">
        <v>130</v>
      </c>
    </row>
    <row r="64" spans="2:4">
      <c r="B64" s="1112" t="s">
        <v>1115</v>
      </c>
      <c r="C64" s="1165" t="s">
        <v>1000</v>
      </c>
      <c r="D64" s="1167">
        <v>143</v>
      </c>
    </row>
    <row r="65" spans="2:4">
      <c r="B65" s="1112" t="s">
        <v>1116</v>
      </c>
      <c r="C65" s="1165" t="s">
        <v>1000</v>
      </c>
      <c r="D65" s="1167">
        <v>164</v>
      </c>
    </row>
    <row r="66" spans="2:4">
      <c r="B66" s="1168" t="s">
        <v>1122</v>
      </c>
    </row>
    <row r="67" spans="2:4">
      <c r="B67" s="1168" t="s">
        <v>1124</v>
      </c>
      <c r="C67" s="1165" t="s">
        <v>1000</v>
      </c>
      <c r="D67" s="1167">
        <f>1.5*58.7</f>
        <v>88.05</v>
      </c>
    </row>
    <row r="68" spans="2:4">
      <c r="B68" s="1168" t="s">
        <v>1125</v>
      </c>
      <c r="C68" s="1165" t="s">
        <v>1106</v>
      </c>
      <c r="D68" s="1167">
        <v>1065</v>
      </c>
    </row>
    <row r="69" spans="2:4">
      <c r="B69" s="1168" t="s">
        <v>1126</v>
      </c>
      <c r="C69" s="1165" t="s">
        <v>1106</v>
      </c>
      <c r="D69" s="1167">
        <v>1065</v>
      </c>
    </row>
    <row r="70" spans="2:4">
      <c r="B70" s="1168" t="s">
        <v>1127</v>
      </c>
      <c r="C70" s="1165" t="s">
        <v>1106</v>
      </c>
      <c r="D70" s="1167">
        <v>530</v>
      </c>
    </row>
    <row r="71" spans="2:4">
      <c r="B71" s="1168" t="s">
        <v>1128</v>
      </c>
      <c r="C71" s="1165" t="s">
        <v>1106</v>
      </c>
      <c r="D71" s="1167">
        <v>1700</v>
      </c>
    </row>
    <row r="72" spans="2:4">
      <c r="B72" s="1168" t="s">
        <v>1129</v>
      </c>
      <c r="C72" s="1165" t="s">
        <v>1106</v>
      </c>
      <c r="D72" s="1167">
        <v>1450</v>
      </c>
    </row>
    <row r="73" spans="2:4">
      <c r="B73" s="1168" t="s">
        <v>1130</v>
      </c>
      <c r="C73" s="1165" t="s">
        <v>1106</v>
      </c>
      <c r="D73" s="1167">
        <v>1460</v>
      </c>
    </row>
    <row r="74" spans="2:4">
      <c r="B74" s="1168" t="s">
        <v>1133</v>
      </c>
      <c r="C74" s="1165" t="s">
        <v>1045</v>
      </c>
      <c r="D74" s="1167">
        <v>171</v>
      </c>
    </row>
    <row r="75" spans="2:4" ht="31.5">
      <c r="B75" s="1168" t="s">
        <v>1134</v>
      </c>
      <c r="C75" s="1165" t="s">
        <v>1000</v>
      </c>
      <c r="D75" s="1167">
        <v>25</v>
      </c>
    </row>
    <row r="76" spans="2:4">
      <c r="B76" s="1168" t="s">
        <v>1135</v>
      </c>
      <c r="C76" s="1165" t="s">
        <v>1045</v>
      </c>
      <c r="D76" s="1167">
        <v>171</v>
      </c>
    </row>
    <row r="77" spans="2:4">
      <c r="B77" s="1168" t="s">
        <v>1136</v>
      </c>
      <c r="C77" s="1165" t="s">
        <v>1000</v>
      </c>
      <c r="D77" s="1167">
        <v>30</v>
      </c>
    </row>
    <row r="78" spans="2:4">
      <c r="B78" s="1168" t="s">
        <v>1137</v>
      </c>
      <c r="C78" s="1165" t="s">
        <v>1062</v>
      </c>
      <c r="D78" s="1167">
        <v>420</v>
      </c>
    </row>
    <row r="79" spans="2:4" ht="47.25">
      <c r="B79" s="1168" t="s">
        <v>1138</v>
      </c>
      <c r="C79" s="1165" t="s">
        <v>1139</v>
      </c>
      <c r="D79" s="1167">
        <v>171</v>
      </c>
    </row>
    <row r="80" spans="2:4">
      <c r="B80" s="1112" t="s">
        <v>1141</v>
      </c>
      <c r="C80" s="1165" t="s">
        <v>1045</v>
      </c>
      <c r="D80" s="1167">
        <v>71</v>
      </c>
    </row>
    <row r="81" spans="2:4">
      <c r="B81" s="1112" t="s">
        <v>1142</v>
      </c>
      <c r="C81" s="1165" t="s">
        <v>1045</v>
      </c>
      <c r="D81" s="1167">
        <v>71</v>
      </c>
    </row>
    <row r="82" spans="2:4">
      <c r="B82" s="1112" t="s">
        <v>1143</v>
      </c>
      <c r="C82" s="1165" t="s">
        <v>1045</v>
      </c>
      <c r="D82" s="1167">
        <v>71</v>
      </c>
    </row>
    <row r="83" spans="2:4">
      <c r="B83" s="1112" t="s">
        <v>1144</v>
      </c>
      <c r="C83" s="1165" t="s">
        <v>10</v>
      </c>
      <c r="D83" s="1167">
        <v>45</v>
      </c>
    </row>
    <row r="84" spans="2:4">
      <c r="B84" s="1112" t="s">
        <v>1145</v>
      </c>
      <c r="C84" s="1165" t="s">
        <v>1000</v>
      </c>
      <c r="D84" s="1167">
        <v>35</v>
      </c>
    </row>
    <row r="85" spans="2:4">
      <c r="B85" s="1112" t="s">
        <v>1146</v>
      </c>
      <c r="C85" s="1165" t="s">
        <v>1025</v>
      </c>
      <c r="D85" s="1167">
        <v>0</v>
      </c>
    </row>
    <row r="86" spans="2:4">
      <c r="B86" s="1112" t="s">
        <v>1147</v>
      </c>
      <c r="C86" s="1165" t="s">
        <v>1026</v>
      </c>
      <c r="D86" s="1167">
        <f>100000*1.2</f>
        <v>120000</v>
      </c>
    </row>
    <row r="87" spans="2:4">
      <c r="B87" s="1112" t="s">
        <v>1148</v>
      </c>
      <c r="C87" s="1165" t="s">
        <v>1026</v>
      </c>
      <c r="D87" s="1167">
        <f>45000*1.2</f>
        <v>54000</v>
      </c>
    </row>
    <row r="88" spans="2:4">
      <c r="B88" s="1112" t="s">
        <v>1149</v>
      </c>
      <c r="C88" s="1165" t="s">
        <v>1026</v>
      </c>
      <c r="D88" s="1167">
        <f>35000*1.2</f>
        <v>42000</v>
      </c>
    </row>
    <row r="89" spans="2:4">
      <c r="B89" s="1112" t="s">
        <v>1150</v>
      </c>
      <c r="C89" s="1165" t="s">
        <v>1026</v>
      </c>
      <c r="D89" s="1167">
        <f>70000*1.2</f>
        <v>84000</v>
      </c>
    </row>
    <row r="90" spans="2:4">
      <c r="B90" s="1112" t="s">
        <v>1151</v>
      </c>
      <c r="C90" s="1165" t="s">
        <v>1026</v>
      </c>
      <c r="D90" s="1167">
        <f>+D87</f>
        <v>54000</v>
      </c>
    </row>
    <row r="91" spans="2:4">
      <c r="B91" s="1112" t="s">
        <v>1152</v>
      </c>
      <c r="C91" s="1165" t="s">
        <v>1026</v>
      </c>
      <c r="D91" s="1167">
        <f>40000*1.2</f>
        <v>48000</v>
      </c>
    </row>
    <row r="92" spans="2:4">
      <c r="B92" s="1112" t="s">
        <v>1153</v>
      </c>
      <c r="C92" s="1165" t="s">
        <v>1025</v>
      </c>
      <c r="D92" s="1167">
        <v>4000</v>
      </c>
    </row>
    <row r="93" spans="2:4">
      <c r="B93" s="1112" t="s">
        <v>1154</v>
      </c>
      <c r="C93" s="1165" t="s">
        <v>1025</v>
      </c>
      <c r="D93" s="1167">
        <v>6000</v>
      </c>
    </row>
    <row r="94" spans="2:4">
      <c r="B94" s="1112" t="s">
        <v>1155</v>
      </c>
      <c r="C94" s="1165" t="s">
        <v>1025</v>
      </c>
      <c r="D94" s="1167">
        <v>1000</v>
      </c>
    </row>
    <row r="95" spans="2:4">
      <c r="B95" s="1112" t="s">
        <v>1156</v>
      </c>
      <c r="C95" s="1165" t="s">
        <v>1000</v>
      </c>
      <c r="D95" s="1167">
        <v>12</v>
      </c>
    </row>
    <row r="96" spans="2:4">
      <c r="B96" s="1112" t="s">
        <v>1157</v>
      </c>
      <c r="C96" s="1165" t="s">
        <v>1042</v>
      </c>
      <c r="D96" s="1167">
        <f>20*58.7</f>
        <v>1174</v>
      </c>
    </row>
    <row r="97" spans="2:4">
      <c r="B97" s="1112" t="s">
        <v>1158</v>
      </c>
      <c r="C97" s="1165" t="s">
        <v>1000</v>
      </c>
      <c r="D97" s="1167">
        <v>650</v>
      </c>
    </row>
    <row r="98" spans="2:4">
      <c r="B98" s="1112" t="s">
        <v>1159</v>
      </c>
      <c r="C98" s="1165" t="s">
        <v>1042</v>
      </c>
      <c r="D98" s="1167">
        <v>4500</v>
      </c>
    </row>
    <row r="99" spans="2:4">
      <c r="B99" s="1112" t="s">
        <v>973</v>
      </c>
      <c r="C99" s="1165" t="s">
        <v>1027</v>
      </c>
      <c r="D99" s="1167">
        <v>1364</v>
      </c>
    </row>
    <row r="100" spans="2:4">
      <c r="B100" s="1112" t="s">
        <v>1028</v>
      </c>
      <c r="C100" s="1165" t="s">
        <v>1000</v>
      </c>
      <c r="D100" s="1167">
        <f>36.05*2</f>
        <v>72.099999999999994</v>
      </c>
    </row>
    <row r="101" spans="2:4">
      <c r="B101" s="1112" t="s">
        <v>1030</v>
      </c>
      <c r="C101" s="1165" t="s">
        <v>1027</v>
      </c>
      <c r="D101" s="1167">
        <v>650</v>
      </c>
    </row>
    <row r="102" spans="2:4">
      <c r="B102" s="1112" t="s">
        <v>1031</v>
      </c>
      <c r="C102" s="1165" t="s">
        <v>1027</v>
      </c>
      <c r="D102" s="1167">
        <v>650</v>
      </c>
    </row>
    <row r="103" spans="2:4">
      <c r="B103" s="1112" t="s">
        <v>1032</v>
      </c>
      <c r="C103" s="1165" t="s">
        <v>1027</v>
      </c>
      <c r="D103" s="1167">
        <v>1100</v>
      </c>
    </row>
    <row r="104" spans="2:4">
      <c r="B104" s="1112" t="s">
        <v>1033</v>
      </c>
      <c r="C104" s="1165" t="s">
        <v>1027</v>
      </c>
      <c r="D104" s="1167">
        <v>1255</v>
      </c>
    </row>
    <row r="105" spans="2:4">
      <c r="B105" s="1112" t="s">
        <v>1034</v>
      </c>
      <c r="C105" s="1165" t="s">
        <v>1027</v>
      </c>
      <c r="D105" s="1167">
        <v>1569</v>
      </c>
    </row>
    <row r="106" spans="2:4">
      <c r="B106" s="1112" t="s">
        <v>1035</v>
      </c>
      <c r="C106" s="1165" t="s">
        <v>1027</v>
      </c>
      <c r="D106" s="1167">
        <v>1977</v>
      </c>
    </row>
    <row r="107" spans="2:4">
      <c r="B107" s="1112" t="s">
        <v>924</v>
      </c>
      <c r="C107" s="1165" t="s">
        <v>1036</v>
      </c>
      <c r="D107" s="1167">
        <v>0</v>
      </c>
    </row>
    <row r="108" spans="2:4" ht="47.25">
      <c r="B108" s="1112" t="s">
        <v>1037</v>
      </c>
      <c r="C108" s="1165" t="s">
        <v>1026</v>
      </c>
      <c r="D108" s="1167">
        <f>G26</f>
        <v>0</v>
      </c>
    </row>
    <row r="109" spans="2:4" ht="31.5">
      <c r="B109" s="1112" t="s">
        <v>1039</v>
      </c>
      <c r="C109" s="1165" t="s">
        <v>1026</v>
      </c>
      <c r="D109" s="1167">
        <f>G27</f>
        <v>0</v>
      </c>
    </row>
    <row r="110" spans="2:4" ht="31.5">
      <c r="B110" s="1112" t="s">
        <v>1040</v>
      </c>
      <c r="C110" s="1165" t="s">
        <v>1000</v>
      </c>
      <c r="D110" s="1167">
        <f>G28</f>
        <v>0</v>
      </c>
    </row>
    <row r="111" spans="2:4">
      <c r="B111" s="1112" t="s">
        <v>1041</v>
      </c>
      <c r="C111" s="1165" t="s">
        <v>1042</v>
      </c>
      <c r="D111" s="1167">
        <f>G29</f>
        <v>0</v>
      </c>
    </row>
    <row r="112" spans="2:4">
      <c r="B112" s="1112" t="s">
        <v>1043</v>
      </c>
      <c r="C112" s="1165" t="s">
        <v>1042</v>
      </c>
      <c r="D112" s="1167">
        <v>1959</v>
      </c>
    </row>
    <row r="113" spans="2:4">
      <c r="B113" s="1112" t="s">
        <v>1044</v>
      </c>
      <c r="C113" s="1165" t="s">
        <v>1045</v>
      </c>
      <c r="D113" s="1167">
        <v>35</v>
      </c>
    </row>
    <row r="114" spans="2:4">
      <c r="B114" s="1112" t="s">
        <v>1046</v>
      </c>
      <c r="C114" s="1165" t="s">
        <v>1045</v>
      </c>
      <c r="D114" s="1167">
        <v>25</v>
      </c>
    </row>
    <row r="115" spans="2:4">
      <c r="B115" s="1112" t="s">
        <v>1047</v>
      </c>
      <c r="C115" s="1165" t="s">
        <v>1045</v>
      </c>
      <c r="D115" s="1167">
        <f>+D114*2</f>
        <v>50</v>
      </c>
    </row>
    <row r="116" spans="2:4">
      <c r="B116" s="1112" t="s">
        <v>1048</v>
      </c>
      <c r="C116" s="1165" t="s">
        <v>1000</v>
      </c>
      <c r="D116" s="1167">
        <v>10</v>
      </c>
    </row>
    <row r="117" spans="2:4">
      <c r="B117" s="1112" t="s">
        <v>1049</v>
      </c>
      <c r="C117" s="1165" t="s">
        <v>1050</v>
      </c>
      <c r="D117" s="1167">
        <v>63</v>
      </c>
    </row>
    <row r="118" spans="2:4">
      <c r="B118" s="1112" t="s">
        <v>1051</v>
      </c>
      <c r="C118" s="1165" t="s">
        <v>1000</v>
      </c>
      <c r="D118" s="1167">
        <v>120</v>
      </c>
    </row>
    <row r="119" spans="2:4">
      <c r="B119" s="1112" t="s">
        <v>1053</v>
      </c>
      <c r="C119" s="1165" t="s">
        <v>1000</v>
      </c>
    </row>
    <row r="120" spans="2:4">
      <c r="B120" s="1112" t="s">
        <v>1054</v>
      </c>
      <c r="C120" s="1165" t="s">
        <v>1000</v>
      </c>
    </row>
    <row r="121" spans="2:4">
      <c r="B121" s="1112" t="s">
        <v>1055</v>
      </c>
      <c r="C121" s="1165" t="s">
        <v>1056</v>
      </c>
      <c r="D121" s="1167">
        <v>600</v>
      </c>
    </row>
    <row r="122" spans="2:4">
      <c r="B122" s="1112" t="s">
        <v>1057</v>
      </c>
      <c r="C122" s="1165" t="s">
        <v>1000</v>
      </c>
      <c r="D122" s="1167">
        <v>150</v>
      </c>
    </row>
    <row r="123" spans="2:4">
      <c r="B123" s="1112" t="s">
        <v>1058</v>
      </c>
      <c r="C123" s="1165" t="s">
        <v>1042</v>
      </c>
      <c r="D123" s="1167">
        <v>600</v>
      </c>
    </row>
    <row r="124" spans="2:4">
      <c r="B124" s="1112" t="s">
        <v>1059</v>
      </c>
      <c r="C124" s="1165" t="s">
        <v>1042</v>
      </c>
      <c r="D124" s="1167">
        <v>200</v>
      </c>
    </row>
    <row r="125" spans="2:4" ht="31.5">
      <c r="B125" s="1112" t="s">
        <v>1060</v>
      </c>
      <c r="C125" s="1165" t="s">
        <v>1026</v>
      </c>
      <c r="D125" s="1167">
        <v>180000</v>
      </c>
    </row>
    <row r="126" spans="2:4">
      <c r="B126" s="1112" t="s">
        <v>1061</v>
      </c>
      <c r="C126" s="1165" t="s">
        <v>1062</v>
      </c>
      <c r="D126" s="1167">
        <v>420</v>
      </c>
    </row>
    <row r="127" spans="2:4">
      <c r="B127" s="1112" t="s">
        <v>1063</v>
      </c>
      <c r="C127" s="1165" t="s">
        <v>1000</v>
      </c>
      <c r="D127" s="1167">
        <v>130</v>
      </c>
    </row>
    <row r="128" spans="2:4">
      <c r="B128" s="1112" t="s">
        <v>1085</v>
      </c>
      <c r="C128" s="1165" t="s">
        <v>1045</v>
      </c>
      <c r="D128" s="1167">
        <v>352</v>
      </c>
    </row>
    <row r="129" spans="2:4">
      <c r="B129" s="1112" t="s">
        <v>1082</v>
      </c>
      <c r="C129" s="1165" t="s">
        <v>1045</v>
      </c>
      <c r="D129" s="1167">
        <f>D33</f>
        <v>65</v>
      </c>
    </row>
    <row r="130" spans="2:4">
      <c r="B130" s="1112" t="s">
        <v>1087</v>
      </c>
      <c r="C130" s="1165" t="s">
        <v>1088</v>
      </c>
      <c r="D130" s="1167">
        <v>200</v>
      </c>
    </row>
    <row r="131" spans="2:4">
      <c r="B131" s="1112" t="s">
        <v>1089</v>
      </c>
      <c r="C131" s="1165" t="s">
        <v>1088</v>
      </c>
      <c r="D131" s="1167">
        <v>505</v>
      </c>
    </row>
    <row r="132" spans="2:4">
      <c r="B132" s="1112" t="s">
        <v>1090</v>
      </c>
      <c r="C132" s="1165" t="s">
        <v>1042</v>
      </c>
      <c r="D132" s="1167">
        <v>365</v>
      </c>
    </row>
    <row r="133" spans="2:4">
      <c r="B133" s="1112" t="s">
        <v>1091</v>
      </c>
      <c r="C133" s="1165" t="s">
        <v>1050</v>
      </c>
      <c r="D133" s="1167">
        <v>8</v>
      </c>
    </row>
    <row r="134" spans="2:4">
      <c r="B134" s="1112" t="s">
        <v>1092</v>
      </c>
      <c r="C134" s="1165" t="s">
        <v>1050</v>
      </c>
      <c r="D134" s="1167">
        <f>2110.17*1.18</f>
        <v>2490</v>
      </c>
    </row>
    <row r="135" spans="2:4" ht="31.5">
      <c r="B135" s="1112" t="s">
        <v>1094</v>
      </c>
      <c r="C135" s="1165" t="s">
        <v>1050</v>
      </c>
      <c r="D135" s="1167">
        <f>2817.8*1.18</f>
        <v>3325</v>
      </c>
    </row>
    <row r="136" spans="2:4">
      <c r="B136" s="1112" t="s">
        <v>1095</v>
      </c>
      <c r="C136" s="1165" t="s">
        <v>1050</v>
      </c>
      <c r="D136" s="1167">
        <v>1800</v>
      </c>
    </row>
    <row r="137" spans="2:4" ht="47.25">
      <c r="B137" s="1112" t="s">
        <v>1096</v>
      </c>
      <c r="C137" s="1165" t="s">
        <v>10</v>
      </c>
      <c r="D137" s="1167">
        <v>45000</v>
      </c>
    </row>
    <row r="138" spans="2:4">
      <c r="B138" s="1112" t="s">
        <v>1097</v>
      </c>
      <c r="C138" s="1165" t="s">
        <v>1045</v>
      </c>
      <c r="D138" s="1167">
        <v>35</v>
      </c>
    </row>
    <row r="139" spans="2:4">
      <c r="B139" s="1112" t="s">
        <v>921</v>
      </c>
      <c r="C139" s="1165" t="s">
        <v>1027</v>
      </c>
      <c r="D139" s="1167">
        <v>1719</v>
      </c>
    </row>
    <row r="140" spans="2:4">
      <c r="B140" s="1112" t="s">
        <v>922</v>
      </c>
      <c r="C140" s="1165" t="s">
        <v>1027</v>
      </c>
      <c r="D140" s="1167">
        <v>737</v>
      </c>
    </row>
    <row r="141" spans="2:4">
      <c r="B141" s="1112" t="s">
        <v>931</v>
      </c>
      <c r="C141" s="1165" t="s">
        <v>1027</v>
      </c>
      <c r="D141" s="1167">
        <v>650</v>
      </c>
    </row>
    <row r="142" spans="2:4">
      <c r="B142" s="1112" t="s">
        <v>1098</v>
      </c>
      <c r="C142" s="1165" t="s">
        <v>1027</v>
      </c>
      <c r="D142" s="1167">
        <v>650</v>
      </c>
    </row>
    <row r="143" spans="2:4">
      <c r="B143" s="1112" t="s">
        <v>1099</v>
      </c>
      <c r="C143" s="1165" t="s">
        <v>1026</v>
      </c>
      <c r="D143" s="1167">
        <v>650</v>
      </c>
    </row>
    <row r="144" spans="2:4">
      <c r="B144" s="1112" t="s">
        <v>1100</v>
      </c>
      <c r="C144" s="1165" t="s">
        <v>1000</v>
      </c>
      <c r="D144" s="1167">
        <f>32.09+18.87</f>
        <v>50.96</v>
      </c>
    </row>
    <row r="145" spans="2:4">
      <c r="B145" s="1112" t="s">
        <v>1102</v>
      </c>
      <c r="C145" s="1165" t="s">
        <v>1000</v>
      </c>
      <c r="D145" s="1167">
        <v>32</v>
      </c>
    </row>
    <row r="146" spans="2:4">
      <c r="B146" s="1112" t="s">
        <v>1103</v>
      </c>
      <c r="C146" s="1165" t="s">
        <v>1000</v>
      </c>
      <c r="D146" s="1167">
        <f>8.5*56.9</f>
        <v>483.65</v>
      </c>
    </row>
    <row r="147" spans="2:4">
      <c r="B147" s="1112" t="s">
        <v>1104</v>
      </c>
      <c r="C147" s="1165" t="s">
        <v>1027</v>
      </c>
      <c r="D147" s="1167">
        <v>737</v>
      </c>
    </row>
    <row r="148" spans="2:4">
      <c r="B148" s="1112" t="s">
        <v>1065</v>
      </c>
      <c r="C148" s="1165" t="s">
        <v>1045</v>
      </c>
      <c r="D148" s="1167">
        <f>115*1.25</f>
        <v>143.75</v>
      </c>
    </row>
    <row r="149" spans="2:4">
      <c r="B149" s="1112" t="s">
        <v>1068</v>
      </c>
      <c r="C149" s="1165" t="s">
        <v>1042</v>
      </c>
      <c r="D149" s="1167">
        <v>800</v>
      </c>
    </row>
    <row r="150" spans="2:4">
      <c r="B150" s="1112" t="s">
        <v>1069</v>
      </c>
      <c r="C150" s="1165" t="s">
        <v>1000</v>
      </c>
      <c r="D150" s="1167">
        <v>200</v>
      </c>
    </row>
    <row r="151" spans="2:4">
      <c r="B151" s="1112" t="s">
        <v>1070</v>
      </c>
      <c r="C151" s="1165" t="s">
        <v>1000</v>
      </c>
      <c r="D151" s="1167">
        <v>235</v>
      </c>
    </row>
    <row r="152" spans="2:4">
      <c r="B152" s="1112" t="s">
        <v>1071</v>
      </c>
      <c r="C152" s="1165" t="s">
        <v>1000</v>
      </c>
      <c r="D152" s="1167">
        <v>150</v>
      </c>
    </row>
    <row r="153" spans="2:4">
      <c r="B153" s="1112" t="s">
        <v>1105</v>
      </c>
      <c r="C153" s="1165" t="s">
        <v>1106</v>
      </c>
      <c r="D153" s="1167">
        <v>1700</v>
      </c>
    </row>
    <row r="154" spans="2:4">
      <c r="B154" s="1112" t="s">
        <v>1161</v>
      </c>
      <c r="C154" s="1165" t="s">
        <v>1045</v>
      </c>
      <c r="D154" s="1167">
        <v>80</v>
      </c>
    </row>
    <row r="155" spans="2:4">
      <c r="B155" s="1112" t="s">
        <v>1162</v>
      </c>
      <c r="C155" s="1165" t="s">
        <v>1045</v>
      </c>
      <c r="D155" s="1167">
        <v>180</v>
      </c>
    </row>
    <row r="156" spans="2:4">
      <c r="B156" s="1112" t="s">
        <v>1163</v>
      </c>
      <c r="C156" s="1165" t="s">
        <v>1000</v>
      </c>
      <c r="D156" s="1167">
        <v>150</v>
      </c>
    </row>
    <row r="158" spans="2:4">
      <c r="B158" s="1164" t="s">
        <v>1165</v>
      </c>
      <c r="D158" s="1166"/>
    </row>
    <row r="160" spans="2:4">
      <c r="B160" s="1112" t="s">
        <v>1577</v>
      </c>
      <c r="C160" s="1165" t="s">
        <v>1042</v>
      </c>
      <c r="D160" s="1167">
        <v>15000</v>
      </c>
    </row>
    <row r="161" spans="2:4">
      <c r="B161" s="1112" t="s">
        <v>1575</v>
      </c>
      <c r="C161" s="1165" t="s">
        <v>1000</v>
      </c>
      <c r="D161" s="1167">
        <v>2200</v>
      </c>
    </row>
    <row r="162" spans="2:4" ht="31.5">
      <c r="B162" s="1112" t="s">
        <v>1012</v>
      </c>
      <c r="C162" s="1165" t="s">
        <v>1106</v>
      </c>
      <c r="D162" s="1167">
        <v>93000</v>
      </c>
    </row>
    <row r="163" spans="2:4" ht="31.5">
      <c r="B163" s="1112" t="s">
        <v>967</v>
      </c>
      <c r="C163" s="1165" t="s">
        <v>1088</v>
      </c>
      <c r="D163" s="1167">
        <v>95</v>
      </c>
    </row>
    <row r="164" spans="2:4" ht="63">
      <c r="B164" s="1169" t="s">
        <v>968</v>
      </c>
      <c r="C164" s="1170" t="s">
        <v>1088</v>
      </c>
      <c r="D164" s="1167">
        <v>130</v>
      </c>
    </row>
    <row r="165" spans="2:4">
      <c r="B165" s="1112" t="s">
        <v>1521</v>
      </c>
      <c r="C165" s="1165" t="s">
        <v>1106</v>
      </c>
      <c r="D165" s="1167">
        <v>900</v>
      </c>
    </row>
    <row r="166" spans="2:4">
      <c r="B166" s="1112" t="s">
        <v>942</v>
      </c>
      <c r="C166" s="1165" t="s">
        <v>1042</v>
      </c>
      <c r="D166" s="1167">
        <v>1250</v>
      </c>
    </row>
    <row r="167" spans="2:4">
      <c r="B167" s="1112" t="s">
        <v>945</v>
      </c>
      <c r="C167" s="1165" t="s">
        <v>1167</v>
      </c>
      <c r="D167" s="1167">
        <v>350</v>
      </c>
    </row>
    <row r="168" spans="2:4">
      <c r="B168" s="1112" t="s">
        <v>941</v>
      </c>
      <c r="C168" s="1165" t="s">
        <v>1168</v>
      </c>
      <c r="D168" s="1167">
        <v>330</v>
      </c>
    </row>
    <row r="169" spans="2:4">
      <c r="B169" s="1112" t="s">
        <v>946</v>
      </c>
      <c r="C169" s="1165" t="s">
        <v>1168</v>
      </c>
      <c r="D169" s="1167">
        <v>6</v>
      </c>
    </row>
    <row r="170" spans="2:4">
      <c r="B170" s="1112" t="s">
        <v>1013</v>
      </c>
      <c r="C170" s="1165" t="s">
        <v>1056</v>
      </c>
      <c r="D170" s="1167">
        <v>25000</v>
      </c>
    </row>
    <row r="171" spans="2:4">
      <c r="B171" s="1112" t="s">
        <v>1014</v>
      </c>
      <c r="C171" s="1165" t="s">
        <v>1056</v>
      </c>
      <c r="D171" s="1167">
        <v>26500</v>
      </c>
    </row>
    <row r="172" spans="2:4">
      <c r="B172" s="1112" t="s">
        <v>1015</v>
      </c>
      <c r="C172" s="1165" t="s">
        <v>1056</v>
      </c>
      <c r="D172" s="1167">
        <v>180000</v>
      </c>
    </row>
    <row r="173" spans="2:4">
      <c r="B173" s="1112" t="s">
        <v>1016</v>
      </c>
      <c r="C173" s="1165" t="s">
        <v>1025</v>
      </c>
      <c r="D173" s="1167">
        <v>50000</v>
      </c>
    </row>
    <row r="174" spans="2:4">
      <c r="B174" s="1112" t="s">
        <v>1173</v>
      </c>
      <c r="C174" s="1165" t="s">
        <v>1167</v>
      </c>
      <c r="D174" s="1167">
        <v>300</v>
      </c>
    </row>
    <row r="175" spans="2:4">
      <c r="B175" s="1112" t="s">
        <v>1175</v>
      </c>
      <c r="C175" s="1165" t="s">
        <v>1167</v>
      </c>
      <c r="D175" s="1167">
        <f>18*19</f>
        <v>342</v>
      </c>
    </row>
    <row r="176" spans="2:4">
      <c r="B176" s="1112" t="s">
        <v>1176</v>
      </c>
      <c r="C176" s="1165" t="s">
        <v>1167</v>
      </c>
      <c r="D176" s="1167">
        <f>+D174</f>
        <v>300</v>
      </c>
    </row>
    <row r="177" spans="1:4">
      <c r="B177" s="1112" t="s">
        <v>1177</v>
      </c>
      <c r="C177" s="1165" t="s">
        <v>1167</v>
      </c>
      <c r="D177" s="1167">
        <f>+D175</f>
        <v>342</v>
      </c>
    </row>
    <row r="178" spans="1:4">
      <c r="A178" s="1163" t="s">
        <v>1741</v>
      </c>
      <c r="B178" s="1112" t="s">
        <v>957</v>
      </c>
      <c r="C178" s="1165" t="s">
        <v>1042</v>
      </c>
      <c r="D178" s="1167">
        <v>7899.98</v>
      </c>
    </row>
    <row r="179" spans="1:4">
      <c r="A179" s="1163" t="s">
        <v>1741</v>
      </c>
      <c r="B179" s="1112" t="s">
        <v>994</v>
      </c>
      <c r="C179" s="1165" t="s">
        <v>1042</v>
      </c>
      <c r="D179" s="1167">
        <v>7599.99</v>
      </c>
    </row>
    <row r="180" spans="1:4">
      <c r="A180" s="1163" t="s">
        <v>1741</v>
      </c>
      <c r="B180" s="1112" t="s">
        <v>1738</v>
      </c>
      <c r="C180" s="1165" t="s">
        <v>1042</v>
      </c>
      <c r="D180" s="1167">
        <v>7199.99</v>
      </c>
    </row>
    <row r="181" spans="1:4">
      <c r="B181" s="1112" t="s">
        <v>1002</v>
      </c>
      <c r="C181" s="1165" t="s">
        <v>1167</v>
      </c>
      <c r="D181" s="1167">
        <v>1800</v>
      </c>
    </row>
    <row r="182" spans="1:4">
      <c r="B182" s="1112" t="s">
        <v>1184</v>
      </c>
      <c r="C182" s="1165" t="s">
        <v>1167</v>
      </c>
      <c r="D182" s="1167">
        <f>40*18</f>
        <v>720</v>
      </c>
    </row>
    <row r="183" spans="1:4">
      <c r="B183" s="1112" t="s">
        <v>1188</v>
      </c>
      <c r="C183" s="1165" t="s">
        <v>1062</v>
      </c>
      <c r="D183" s="1167">
        <v>3600</v>
      </c>
    </row>
    <row r="184" spans="1:4">
      <c r="B184" s="1112" t="s">
        <v>1191</v>
      </c>
      <c r="C184" s="1165" t="s">
        <v>1042</v>
      </c>
      <c r="D184" s="1171">
        <v>1000</v>
      </c>
    </row>
    <row r="185" spans="1:4">
      <c r="B185" s="1112" t="s">
        <v>1193</v>
      </c>
      <c r="C185" s="1165" t="s">
        <v>1167</v>
      </c>
      <c r="D185" s="1167">
        <f>+D486</f>
        <v>630</v>
      </c>
    </row>
    <row r="186" spans="1:4" ht="15" customHeight="1">
      <c r="B186" s="1112" t="s">
        <v>936</v>
      </c>
      <c r="C186" s="1165" t="s">
        <v>1042</v>
      </c>
      <c r="D186" s="1167">
        <v>1100</v>
      </c>
    </row>
    <row r="187" spans="1:4">
      <c r="B187" s="1112" t="s">
        <v>940</v>
      </c>
      <c r="C187" s="1165" t="s">
        <v>1042</v>
      </c>
      <c r="D187" s="1167">
        <v>1100</v>
      </c>
    </row>
    <row r="188" spans="1:4">
      <c r="B188" s="1112" t="s">
        <v>937</v>
      </c>
      <c r="C188" s="1165" t="s">
        <v>1167</v>
      </c>
      <c r="D188" s="1171">
        <f>18*19</f>
        <v>342</v>
      </c>
    </row>
    <row r="189" spans="1:4">
      <c r="B189" s="1112" t="s">
        <v>990</v>
      </c>
      <c r="C189" s="1165" t="s">
        <v>1042</v>
      </c>
      <c r="D189" s="1167">
        <v>200</v>
      </c>
    </row>
    <row r="190" spans="1:4">
      <c r="B190" s="1112" t="s">
        <v>991</v>
      </c>
      <c r="C190" s="1165" t="s">
        <v>1167</v>
      </c>
      <c r="D190" s="1167">
        <f>25*20</f>
        <v>500</v>
      </c>
    </row>
    <row r="191" spans="1:4">
      <c r="B191" s="1112" t="s">
        <v>1004</v>
      </c>
      <c r="C191" s="1165" t="s">
        <v>1183</v>
      </c>
      <c r="D191" s="1167">
        <v>1</v>
      </c>
    </row>
    <row r="192" spans="1:4">
      <c r="B192" s="1112" t="s">
        <v>1194</v>
      </c>
      <c r="C192" s="1165" t="s">
        <v>1190</v>
      </c>
      <c r="D192" s="1167">
        <f>66.25*1.18</f>
        <v>78.180000000000007</v>
      </c>
    </row>
    <row r="193" spans="1:4">
      <c r="B193" s="1112" t="s">
        <v>915</v>
      </c>
      <c r="C193" s="1165" t="s">
        <v>1196</v>
      </c>
      <c r="D193" s="1167">
        <f>130.2*1.18</f>
        <v>153.63999999999999</v>
      </c>
    </row>
    <row r="194" spans="1:4">
      <c r="B194" s="1112" t="s">
        <v>916</v>
      </c>
      <c r="C194" s="1165" t="s">
        <v>1197</v>
      </c>
      <c r="D194" s="1167">
        <f>91.24*1.18</f>
        <v>107.66</v>
      </c>
    </row>
    <row r="195" spans="1:4">
      <c r="B195" s="1112" t="s">
        <v>1199</v>
      </c>
      <c r="C195" s="1165" t="s">
        <v>1056</v>
      </c>
      <c r="D195" s="1167">
        <f>118*1.18</f>
        <v>139.24</v>
      </c>
    </row>
    <row r="196" spans="1:4">
      <c r="B196" s="1112" t="s">
        <v>1662</v>
      </c>
      <c r="C196" s="1165" t="s">
        <v>1617</v>
      </c>
      <c r="D196" s="1167">
        <v>25000</v>
      </c>
    </row>
    <row r="197" spans="1:4">
      <c r="B197" s="1112" t="s">
        <v>1583</v>
      </c>
      <c r="C197" s="1165" t="s">
        <v>1557</v>
      </c>
      <c r="D197" s="1167">
        <v>280</v>
      </c>
    </row>
    <row r="198" spans="1:4">
      <c r="B198" s="1112" t="s">
        <v>1584</v>
      </c>
      <c r="C198" s="1165" t="s">
        <v>1557</v>
      </c>
      <c r="D198" s="1167">
        <v>280</v>
      </c>
    </row>
    <row r="199" spans="1:4">
      <c r="B199" s="1112" t="s">
        <v>1686</v>
      </c>
      <c r="C199" s="1165" t="s">
        <v>1000</v>
      </c>
      <c r="D199" s="1167">
        <v>1840</v>
      </c>
    </row>
    <row r="200" spans="1:4">
      <c r="B200" s="1112" t="s">
        <v>1685</v>
      </c>
      <c r="C200" s="1165" t="s">
        <v>1042</v>
      </c>
      <c r="D200" s="1167">
        <v>1350</v>
      </c>
    </row>
    <row r="201" spans="1:4">
      <c r="B201" s="1112" t="s">
        <v>1590</v>
      </c>
      <c r="C201" s="1165" t="s">
        <v>1000</v>
      </c>
      <c r="D201" s="1167">
        <v>1850</v>
      </c>
    </row>
    <row r="202" spans="1:4">
      <c r="B202" s="1112" t="s">
        <v>1595</v>
      </c>
      <c r="C202" s="1165" t="s">
        <v>1000</v>
      </c>
      <c r="D202" s="1167">
        <v>1850</v>
      </c>
    </row>
    <row r="203" spans="1:4">
      <c r="B203" s="1112" t="s">
        <v>1591</v>
      </c>
      <c r="C203" s="1165" t="s">
        <v>1088</v>
      </c>
      <c r="D203" s="1167">
        <v>750</v>
      </c>
    </row>
    <row r="204" spans="1:4">
      <c r="B204" s="1112" t="s">
        <v>1592</v>
      </c>
      <c r="C204" s="1165" t="s">
        <v>1088</v>
      </c>
      <c r="D204" s="1167">
        <v>750</v>
      </c>
    </row>
    <row r="205" spans="1:4">
      <c r="B205" s="1112" t="s">
        <v>1593</v>
      </c>
      <c r="C205" s="1165" t="s">
        <v>1000</v>
      </c>
      <c r="D205" s="1167">
        <v>1550</v>
      </c>
    </row>
    <row r="206" spans="1:4">
      <c r="B206" s="1112" t="s">
        <v>1594</v>
      </c>
      <c r="C206" s="1165" t="s">
        <v>1000</v>
      </c>
      <c r="D206" s="1167">
        <v>1400</v>
      </c>
    </row>
    <row r="207" spans="1:4">
      <c r="A207" s="1111" t="s">
        <v>1745</v>
      </c>
      <c r="B207" s="1112" t="s">
        <v>1659</v>
      </c>
      <c r="C207" s="1165" t="s">
        <v>1056</v>
      </c>
      <c r="D207" s="1167">
        <v>6300.2</v>
      </c>
    </row>
    <row r="208" spans="1:4">
      <c r="B208" s="1112" t="s">
        <v>1596</v>
      </c>
      <c r="C208" s="1165" t="s">
        <v>1056</v>
      </c>
      <c r="D208" s="1167">
        <v>12800</v>
      </c>
    </row>
    <row r="209" spans="2:4">
      <c r="B209" s="1112" t="s">
        <v>1597</v>
      </c>
      <c r="C209" s="1165" t="s">
        <v>1056</v>
      </c>
      <c r="D209" s="1167">
        <v>10818.43</v>
      </c>
    </row>
    <row r="210" spans="2:4">
      <c r="B210" s="1112" t="s">
        <v>1687</v>
      </c>
      <c r="C210" s="1165" t="s">
        <v>1056</v>
      </c>
      <c r="D210" s="1167">
        <v>18850</v>
      </c>
    </row>
    <row r="211" spans="2:4">
      <c r="B211" s="1112" t="s">
        <v>1688</v>
      </c>
      <c r="C211" s="1165" t="s">
        <v>1000</v>
      </c>
      <c r="D211" s="1167">
        <v>2600</v>
      </c>
    </row>
    <row r="212" spans="2:4">
      <c r="B212" s="1112" t="s">
        <v>1598</v>
      </c>
      <c r="C212" s="1165" t="s">
        <v>1056</v>
      </c>
      <c r="D212" s="1167">
        <v>12500.36</v>
      </c>
    </row>
    <row r="213" spans="2:4">
      <c r="B213" s="1112" t="s">
        <v>1599</v>
      </c>
      <c r="C213" s="1165" t="s">
        <v>1056</v>
      </c>
      <c r="D213" s="1167">
        <v>7189.99</v>
      </c>
    </row>
    <row r="214" spans="2:4">
      <c r="B214" s="1112" t="s">
        <v>1600</v>
      </c>
      <c r="C214" s="1165" t="s">
        <v>1056</v>
      </c>
      <c r="D214" s="1167">
        <v>5360</v>
      </c>
    </row>
    <row r="215" spans="2:4">
      <c r="B215" s="1112" t="s">
        <v>1601</v>
      </c>
      <c r="C215" s="1165" t="s">
        <v>1056</v>
      </c>
      <c r="D215" s="1167">
        <v>1355.36</v>
      </c>
    </row>
    <row r="216" spans="2:4">
      <c r="B216" s="1112" t="s">
        <v>1602</v>
      </c>
      <c r="C216" s="1165" t="s">
        <v>1056</v>
      </c>
      <c r="D216" s="1167">
        <v>2530</v>
      </c>
    </row>
    <row r="217" spans="2:4">
      <c r="B217" s="1112" t="s">
        <v>1603</v>
      </c>
      <c r="C217" s="1165" t="s">
        <v>1056</v>
      </c>
      <c r="D217" s="1167">
        <v>1355.36</v>
      </c>
    </row>
    <row r="218" spans="2:4">
      <c r="B218" s="1112" t="s">
        <v>1658</v>
      </c>
      <c r="C218" s="1165" t="s">
        <v>1056</v>
      </c>
      <c r="D218" s="1167">
        <v>1759.3</v>
      </c>
    </row>
    <row r="219" spans="2:4">
      <c r="B219" s="1112" t="s">
        <v>1604</v>
      </c>
      <c r="C219" s="1165" t="s">
        <v>1056</v>
      </c>
      <c r="D219" s="1167">
        <f>+D217*1.5</f>
        <v>2033.04</v>
      </c>
    </row>
    <row r="220" spans="2:4">
      <c r="B220" s="1112" t="s">
        <v>1605</v>
      </c>
      <c r="C220" s="1165" t="s">
        <v>1056</v>
      </c>
      <c r="D220" s="1167">
        <v>9681.15</v>
      </c>
    </row>
    <row r="221" spans="2:4">
      <c r="B221" s="1112" t="s">
        <v>1606</v>
      </c>
      <c r="C221" s="1165" t="s">
        <v>1056</v>
      </c>
      <c r="D221" s="1167">
        <v>5056.96</v>
      </c>
    </row>
    <row r="222" spans="2:4">
      <c r="B222" s="1112" t="s">
        <v>1607</v>
      </c>
      <c r="C222" s="1165" t="s">
        <v>1056</v>
      </c>
      <c r="D222" s="1167">
        <v>134613.47</v>
      </c>
    </row>
    <row r="223" spans="2:4">
      <c r="B223" s="1112" t="s">
        <v>1608</v>
      </c>
      <c r="C223" s="1165" t="s">
        <v>1056</v>
      </c>
      <c r="D223" s="1167">
        <v>64843.11</v>
      </c>
    </row>
    <row r="224" spans="2:4">
      <c r="B224" s="1112" t="s">
        <v>1609</v>
      </c>
      <c r="C224" s="1165" t="s">
        <v>1056</v>
      </c>
      <c r="D224" s="1167">
        <v>2360</v>
      </c>
    </row>
    <row r="225" spans="1:4">
      <c r="A225" s="1111" t="s">
        <v>1745</v>
      </c>
      <c r="B225" s="1112" t="s">
        <v>1610</v>
      </c>
      <c r="C225" s="1165" t="s">
        <v>1056</v>
      </c>
      <c r="D225" s="1167">
        <f>9448*1.18</f>
        <v>11148.64</v>
      </c>
    </row>
    <row r="226" spans="1:4">
      <c r="B226" s="1112" t="s">
        <v>1612</v>
      </c>
      <c r="C226" s="1165" t="s">
        <v>1056</v>
      </c>
      <c r="D226" s="1167">
        <v>340000</v>
      </c>
    </row>
    <row r="227" spans="1:4">
      <c r="B227" s="1112" t="s">
        <v>1611</v>
      </c>
      <c r="C227" s="1165" t="s">
        <v>1056</v>
      </c>
      <c r="D227" s="1167">
        <v>75500</v>
      </c>
    </row>
    <row r="228" spans="1:4">
      <c r="A228" s="1111" t="s">
        <v>1741</v>
      </c>
      <c r="B228" s="1112" t="s">
        <v>1613</v>
      </c>
      <c r="C228" s="1165" t="s">
        <v>1056</v>
      </c>
      <c r="D228" s="1167">
        <f>23680*1.18</f>
        <v>27942.400000000001</v>
      </c>
    </row>
    <row r="229" spans="1:4">
      <c r="A229" s="1111" t="s">
        <v>1741</v>
      </c>
      <c r="B229" s="1112" t="s">
        <v>1614</v>
      </c>
      <c r="C229" s="1165" t="s">
        <v>1056</v>
      </c>
      <c r="D229" s="1167">
        <f>65020*1.18</f>
        <v>76723.600000000006</v>
      </c>
    </row>
    <row r="230" spans="1:4">
      <c r="A230" s="1111" t="s">
        <v>1741</v>
      </c>
      <c r="B230" s="1112" t="s">
        <v>1615</v>
      </c>
      <c r="C230" s="1165" t="s">
        <v>1000</v>
      </c>
      <c r="D230" s="1167">
        <v>1500</v>
      </c>
    </row>
    <row r="231" spans="1:4">
      <c r="B231" s="1112" t="s">
        <v>1616</v>
      </c>
      <c r="C231" s="1165" t="s">
        <v>1617</v>
      </c>
      <c r="D231" s="1167">
        <v>35000</v>
      </c>
    </row>
    <row r="232" spans="1:4">
      <c r="B232" s="1112" t="s">
        <v>1618</v>
      </c>
      <c r="C232" s="1165" t="s">
        <v>1617</v>
      </c>
      <c r="D232" s="1167">
        <v>12000</v>
      </c>
    </row>
    <row r="233" spans="1:4">
      <c r="B233" s="1112" t="s">
        <v>1619</v>
      </c>
      <c r="C233" s="1165" t="s">
        <v>1617</v>
      </c>
      <c r="D233" s="1167">
        <v>15000</v>
      </c>
    </row>
    <row r="234" spans="1:4">
      <c r="B234" s="1112" t="s">
        <v>1620</v>
      </c>
      <c r="C234" s="1165" t="s">
        <v>1056</v>
      </c>
      <c r="D234" s="1167">
        <v>1907</v>
      </c>
    </row>
    <row r="235" spans="1:4">
      <c r="B235" s="1112" t="s">
        <v>1621</v>
      </c>
      <c r="C235" s="1165" t="s">
        <v>1056</v>
      </c>
      <c r="D235" s="1167">
        <v>1936</v>
      </c>
    </row>
    <row r="236" spans="1:4">
      <c r="B236" s="1112" t="s">
        <v>1623</v>
      </c>
      <c r="C236" s="1165" t="s">
        <v>1056</v>
      </c>
      <c r="D236" s="1167">
        <v>1996</v>
      </c>
    </row>
    <row r="237" spans="1:4">
      <c r="B237" s="1112" t="s">
        <v>1622</v>
      </c>
      <c r="C237" s="1165" t="s">
        <v>1056</v>
      </c>
      <c r="D237" s="1167">
        <v>2133</v>
      </c>
    </row>
    <row r="238" spans="1:4">
      <c r="B238" s="1112" t="s">
        <v>1624</v>
      </c>
      <c r="C238" s="1165" t="s">
        <v>1056</v>
      </c>
      <c r="D238" s="1167">
        <v>3098</v>
      </c>
    </row>
    <row r="239" spans="1:4">
      <c r="B239" s="1112" t="s">
        <v>1625</v>
      </c>
      <c r="C239" s="1165" t="s">
        <v>1056</v>
      </c>
      <c r="D239" s="1167">
        <v>5350</v>
      </c>
    </row>
    <row r="240" spans="1:4">
      <c r="B240" s="1112" t="s">
        <v>1626</v>
      </c>
      <c r="C240" s="1165" t="s">
        <v>1056</v>
      </c>
      <c r="D240" s="1167">
        <v>1050</v>
      </c>
    </row>
    <row r="241" spans="1:4">
      <c r="A241" s="1111" t="s">
        <v>1742</v>
      </c>
      <c r="B241" s="1112" t="s">
        <v>1627</v>
      </c>
      <c r="C241" s="1165" t="s">
        <v>1056</v>
      </c>
      <c r="D241" s="1167">
        <v>32409</v>
      </c>
    </row>
    <row r="242" spans="1:4">
      <c r="B242" s="1112" t="s">
        <v>1628</v>
      </c>
      <c r="C242" s="1165" t="s">
        <v>1056</v>
      </c>
      <c r="D242" s="1167">
        <v>750</v>
      </c>
    </row>
    <row r="243" spans="1:4">
      <c r="B243" s="1112" t="s">
        <v>1629</v>
      </c>
      <c r="C243" s="1165" t="s">
        <v>1056</v>
      </c>
      <c r="D243" s="1167">
        <v>1050</v>
      </c>
    </row>
    <row r="244" spans="1:4">
      <c r="B244" s="1112" t="s">
        <v>1630</v>
      </c>
      <c r="C244" s="1165" t="s">
        <v>1056</v>
      </c>
      <c r="D244" s="1167">
        <v>1800</v>
      </c>
    </row>
    <row r="245" spans="1:4">
      <c r="B245" s="1112" t="s">
        <v>1631</v>
      </c>
      <c r="C245" s="1165" t="s">
        <v>1056</v>
      </c>
      <c r="D245" s="1167">
        <v>8342.2999999999993</v>
      </c>
    </row>
    <row r="246" spans="1:4">
      <c r="B246" s="1112" t="s">
        <v>1632</v>
      </c>
      <c r="C246" s="1165" t="s">
        <v>1056</v>
      </c>
      <c r="D246" s="1167">
        <v>4500</v>
      </c>
    </row>
    <row r="247" spans="1:4">
      <c r="B247" s="1112" t="s">
        <v>1633</v>
      </c>
      <c r="C247" s="1165" t="s">
        <v>1056</v>
      </c>
      <c r="D247" s="1167">
        <v>85000</v>
      </c>
    </row>
    <row r="248" spans="1:4">
      <c r="B248" s="1112" t="s">
        <v>1634</v>
      </c>
      <c r="C248" s="1165" t="s">
        <v>406</v>
      </c>
      <c r="D248" s="1167">
        <v>2800</v>
      </c>
    </row>
    <row r="249" spans="1:4">
      <c r="B249" s="1112" t="s">
        <v>1635</v>
      </c>
      <c r="C249" s="1165" t="s">
        <v>406</v>
      </c>
      <c r="D249" s="1167">
        <v>2800</v>
      </c>
    </row>
    <row r="250" spans="1:4">
      <c r="B250" s="1112" t="s">
        <v>1636</v>
      </c>
      <c r="C250" s="1165" t="s">
        <v>500</v>
      </c>
      <c r="D250" s="1167">
        <v>4500</v>
      </c>
    </row>
    <row r="251" spans="1:4">
      <c r="B251" s="1112" t="s">
        <v>1637</v>
      </c>
      <c r="C251" s="1165" t="s">
        <v>406</v>
      </c>
      <c r="D251" s="1167">
        <v>1300</v>
      </c>
    </row>
    <row r="252" spans="1:4">
      <c r="B252" s="1112" t="s">
        <v>1638</v>
      </c>
      <c r="C252" s="1165" t="s">
        <v>140</v>
      </c>
      <c r="D252" s="1167">
        <v>13000</v>
      </c>
    </row>
    <row r="253" spans="1:4">
      <c r="B253" s="1112" t="s">
        <v>1639</v>
      </c>
      <c r="C253" s="1165" t="s">
        <v>1056</v>
      </c>
      <c r="D253" s="1167">
        <v>3500</v>
      </c>
    </row>
    <row r="254" spans="1:4">
      <c r="B254" s="1112" t="s">
        <v>1640</v>
      </c>
      <c r="C254" s="1165" t="s">
        <v>1109</v>
      </c>
      <c r="D254" s="1167">
        <v>2790</v>
      </c>
    </row>
    <row r="255" spans="1:4">
      <c r="B255" s="1112" t="s">
        <v>1641</v>
      </c>
      <c r="C255" s="1165" t="s">
        <v>1409</v>
      </c>
      <c r="D255" s="1167">
        <v>1600</v>
      </c>
    </row>
    <row r="256" spans="1:4">
      <c r="B256" s="1112" t="s">
        <v>1642</v>
      </c>
      <c r="C256" s="1165" t="s">
        <v>1109</v>
      </c>
      <c r="D256" s="1167">
        <v>9000</v>
      </c>
    </row>
    <row r="257" spans="2:4">
      <c r="B257" s="1112" t="s">
        <v>1643</v>
      </c>
      <c r="C257" s="1165" t="s">
        <v>1109</v>
      </c>
      <c r="D257" s="1167">
        <v>7000</v>
      </c>
    </row>
    <row r="258" spans="2:4">
      <c r="B258" s="1112" t="s">
        <v>1644</v>
      </c>
      <c r="C258" s="1165" t="s">
        <v>1056</v>
      </c>
      <c r="D258" s="1167">
        <v>12000</v>
      </c>
    </row>
    <row r="259" spans="2:4">
      <c r="B259" s="1112" t="s">
        <v>1645</v>
      </c>
      <c r="C259" s="1165" t="s">
        <v>1088</v>
      </c>
      <c r="D259" s="1167">
        <v>150</v>
      </c>
    </row>
    <row r="260" spans="2:4">
      <c r="B260" s="1112" t="s">
        <v>1647</v>
      </c>
      <c r="C260" s="1165" t="s">
        <v>1056</v>
      </c>
      <c r="D260" s="1167">
        <v>1300</v>
      </c>
    </row>
    <row r="261" spans="2:4">
      <c r="B261" s="1112" t="s">
        <v>1648</v>
      </c>
      <c r="C261" s="1165" t="s">
        <v>1056</v>
      </c>
      <c r="D261" s="1167">
        <v>7800</v>
      </c>
    </row>
    <row r="262" spans="2:4">
      <c r="B262" s="1112" t="s">
        <v>1649</v>
      </c>
      <c r="C262" s="1165" t="s">
        <v>140</v>
      </c>
      <c r="D262" s="1167">
        <v>6000</v>
      </c>
    </row>
    <row r="263" spans="2:4">
      <c r="B263" s="1112" t="s">
        <v>1650</v>
      </c>
      <c r="C263" s="1165" t="s">
        <v>1056</v>
      </c>
      <c r="D263" s="1167">
        <v>5350</v>
      </c>
    </row>
    <row r="264" spans="2:4">
      <c r="B264" s="1112" t="s">
        <v>1653</v>
      </c>
      <c r="C264" s="1165" t="s">
        <v>1617</v>
      </c>
      <c r="D264" s="1167">
        <v>3000</v>
      </c>
    </row>
    <row r="265" spans="2:4">
      <c r="B265" s="1112" t="s">
        <v>1660</v>
      </c>
      <c r="C265" s="1165" t="s">
        <v>1056</v>
      </c>
      <c r="D265" s="1167">
        <v>1575.3</v>
      </c>
    </row>
    <row r="266" spans="2:4">
      <c r="B266" s="1112" t="s">
        <v>1661</v>
      </c>
      <c r="C266" s="1165" t="s">
        <v>1109</v>
      </c>
      <c r="D266" s="1167">
        <v>13000</v>
      </c>
    </row>
    <row r="267" spans="2:4">
      <c r="B267" s="1112" t="s">
        <v>1655</v>
      </c>
      <c r="C267" s="1165" t="s">
        <v>140</v>
      </c>
      <c r="D267" s="1167">
        <v>12000</v>
      </c>
    </row>
    <row r="268" spans="2:4">
      <c r="B268" s="1112" t="s">
        <v>1664</v>
      </c>
      <c r="C268" s="1165" t="s">
        <v>1088</v>
      </c>
      <c r="D268" s="1167">
        <v>140.62</v>
      </c>
    </row>
    <row r="269" spans="2:4">
      <c r="B269" s="1112" t="s">
        <v>1665</v>
      </c>
      <c r="C269" s="1165" t="s">
        <v>1088</v>
      </c>
      <c r="D269" s="1167">
        <v>96.46</v>
      </c>
    </row>
    <row r="270" spans="2:4">
      <c r="B270" s="1112" t="s">
        <v>1666</v>
      </c>
      <c r="C270" s="1165" t="s">
        <v>1088</v>
      </c>
      <c r="D270" s="1167">
        <v>45.23</v>
      </c>
    </row>
    <row r="271" spans="2:4">
      <c r="B271" s="1112" t="s">
        <v>1667</v>
      </c>
      <c r="C271" s="1165" t="s">
        <v>1088</v>
      </c>
      <c r="D271" s="1167">
        <v>187.75</v>
      </c>
    </row>
    <row r="272" spans="2:4">
      <c r="B272" s="1112" t="s">
        <v>1668</v>
      </c>
      <c r="C272" s="1165" t="s">
        <v>1088</v>
      </c>
      <c r="D272" s="1167">
        <v>86.3</v>
      </c>
    </row>
    <row r="273" spans="2:4">
      <c r="B273" s="1112" t="s">
        <v>1669</v>
      </c>
      <c r="C273" s="1165" t="s">
        <v>1088</v>
      </c>
      <c r="D273" s="1167">
        <v>50.6</v>
      </c>
    </row>
    <row r="274" spans="2:4">
      <c r="B274" s="1112" t="s">
        <v>1673</v>
      </c>
      <c r="C274" s="1165" t="s">
        <v>1088</v>
      </c>
      <c r="D274" s="1167">
        <v>44.05</v>
      </c>
    </row>
    <row r="275" spans="2:4">
      <c r="B275" s="1112" t="s">
        <v>1670</v>
      </c>
      <c r="C275" s="1165" t="s">
        <v>1056</v>
      </c>
      <c r="D275" s="1167">
        <v>1225</v>
      </c>
    </row>
    <row r="276" spans="2:4">
      <c r="B276" s="1112" t="s">
        <v>1671</v>
      </c>
      <c r="C276" s="1165" t="s">
        <v>1056</v>
      </c>
      <c r="D276" s="1167">
        <v>960</v>
      </c>
    </row>
    <row r="277" spans="2:4">
      <c r="B277" s="1112" t="s">
        <v>1672</v>
      </c>
      <c r="C277" s="1165" t="s">
        <v>1056</v>
      </c>
      <c r="D277" s="1167">
        <v>860</v>
      </c>
    </row>
    <row r="278" spans="2:4">
      <c r="B278" s="1112" t="s">
        <v>1674</v>
      </c>
      <c r="C278" s="1165" t="s">
        <v>1056</v>
      </c>
      <c r="D278" s="1167">
        <v>1845.98</v>
      </c>
    </row>
    <row r="279" spans="2:4">
      <c r="B279" s="1112" t="s">
        <v>1675</v>
      </c>
      <c r="C279" s="1165" t="s">
        <v>1056</v>
      </c>
      <c r="D279" s="1167">
        <v>9350</v>
      </c>
    </row>
    <row r="280" spans="2:4">
      <c r="B280" s="1112" t="s">
        <v>1676</v>
      </c>
      <c r="C280" s="1165" t="s">
        <v>1000</v>
      </c>
      <c r="D280" s="1167">
        <v>1450.3</v>
      </c>
    </row>
    <row r="281" spans="2:4">
      <c r="B281" s="1112" t="s">
        <v>1677</v>
      </c>
      <c r="C281" s="1165" t="s">
        <v>1088</v>
      </c>
      <c r="D281" s="1167">
        <v>311</v>
      </c>
    </row>
    <row r="282" spans="2:4">
      <c r="B282" s="1112" t="s">
        <v>1678</v>
      </c>
      <c r="C282" s="1165" t="s">
        <v>1679</v>
      </c>
      <c r="D282" s="1167">
        <v>963.44</v>
      </c>
    </row>
    <row r="283" spans="2:4">
      <c r="B283" s="1112" t="s">
        <v>1680</v>
      </c>
      <c r="C283" s="1165" t="s">
        <v>1409</v>
      </c>
      <c r="D283" s="1167">
        <v>170</v>
      </c>
    </row>
    <row r="284" spans="2:4" ht="47.25">
      <c r="B284" s="1112" t="s">
        <v>1681</v>
      </c>
      <c r="C284" s="1165" t="s">
        <v>1056</v>
      </c>
      <c r="D284" s="1167">
        <v>35000</v>
      </c>
    </row>
    <row r="285" spans="2:4" ht="47.25">
      <c r="B285" s="1112" t="s">
        <v>1682</v>
      </c>
      <c r="C285" s="1165" t="s">
        <v>1000</v>
      </c>
      <c r="D285" s="1167">
        <v>12600</v>
      </c>
    </row>
    <row r="286" spans="2:4" ht="17.45" customHeight="1">
      <c r="B286" s="1112" t="s">
        <v>1689</v>
      </c>
      <c r="C286" s="1165" t="s">
        <v>1056</v>
      </c>
      <c r="D286" s="1167">
        <v>1300</v>
      </c>
    </row>
    <row r="287" spans="2:4">
      <c r="B287" s="1112" t="s">
        <v>1690</v>
      </c>
      <c r="C287" s="1165" t="s">
        <v>1056</v>
      </c>
      <c r="D287" s="1167">
        <v>1845</v>
      </c>
    </row>
    <row r="288" spans="2:4" ht="16.149999999999999" customHeight="1">
      <c r="B288" s="1112" t="s">
        <v>1691</v>
      </c>
      <c r="C288" s="1165" t="s">
        <v>1056</v>
      </c>
      <c r="D288" s="1167">
        <v>4900</v>
      </c>
    </row>
    <row r="289" spans="1:4">
      <c r="B289" s="1112" t="s">
        <v>1692</v>
      </c>
      <c r="C289" s="1165" t="s">
        <v>1056</v>
      </c>
      <c r="D289" s="1167">
        <v>6000</v>
      </c>
    </row>
    <row r="290" spans="1:4">
      <c r="A290" s="1111" t="s">
        <v>1745</v>
      </c>
      <c r="B290" s="1112" t="s">
        <v>1693</v>
      </c>
      <c r="C290" s="1165" t="s">
        <v>1056</v>
      </c>
      <c r="D290" s="1167">
        <f>1335*1.18</f>
        <v>1575.3</v>
      </c>
    </row>
    <row r="291" spans="1:4">
      <c r="A291" s="1111"/>
      <c r="B291" s="1112" t="s">
        <v>1694</v>
      </c>
      <c r="C291" s="1165" t="s">
        <v>1056</v>
      </c>
      <c r="D291" s="1167">
        <f>18350*1.18</f>
        <v>21653</v>
      </c>
    </row>
    <row r="292" spans="1:4">
      <c r="B292" s="1112" t="s">
        <v>1695</v>
      </c>
      <c r="C292" s="1165" t="s">
        <v>1109</v>
      </c>
      <c r="D292" s="1167">
        <v>40000</v>
      </c>
    </row>
    <row r="293" spans="1:4">
      <c r="B293" s="1112" t="s">
        <v>1696</v>
      </c>
      <c r="C293" s="1165" t="s">
        <v>1409</v>
      </c>
      <c r="D293" s="1167">
        <v>280</v>
      </c>
    </row>
    <row r="294" spans="1:4">
      <c r="B294" s="1112" t="s">
        <v>1700</v>
      </c>
      <c r="C294" s="1165" t="s">
        <v>1056</v>
      </c>
      <c r="D294" s="1167">
        <v>13173.52</v>
      </c>
    </row>
    <row r="295" spans="1:4">
      <c r="B295" s="1112" t="s">
        <v>1701</v>
      </c>
      <c r="C295" s="1165" t="s">
        <v>1056</v>
      </c>
      <c r="D295" s="1167">
        <v>10868.87</v>
      </c>
    </row>
    <row r="296" spans="1:4">
      <c r="B296" s="1112" t="s">
        <v>1702</v>
      </c>
      <c r="C296" s="1165" t="s">
        <v>1056</v>
      </c>
      <c r="D296" s="1167">
        <v>9090.7199999999993</v>
      </c>
    </row>
    <row r="297" spans="1:4">
      <c r="B297" s="1112" t="s">
        <v>1703</v>
      </c>
      <c r="C297" s="1165" t="s">
        <v>1056</v>
      </c>
      <c r="D297" s="1167">
        <v>8769.76</v>
      </c>
    </row>
    <row r="298" spans="1:4">
      <c r="A298" s="1111" t="s">
        <v>1742</v>
      </c>
      <c r="B298" s="1112" t="s">
        <v>1003</v>
      </c>
      <c r="C298" s="1165" t="s">
        <v>1196</v>
      </c>
      <c r="D298" s="1167">
        <f>406.75*1.18</f>
        <v>479.97</v>
      </c>
    </row>
    <row r="299" spans="1:4">
      <c r="A299" s="1111" t="s">
        <v>1742</v>
      </c>
      <c r="B299" s="1112" t="s">
        <v>1200</v>
      </c>
      <c r="C299" s="1165" t="s">
        <v>1056</v>
      </c>
      <c r="D299" s="1167">
        <f>39.41*1.18</f>
        <v>46.5</v>
      </c>
    </row>
    <row r="300" spans="1:4">
      <c r="A300" s="1111" t="s">
        <v>1742</v>
      </c>
      <c r="B300" s="1112" t="s">
        <v>1201</v>
      </c>
      <c r="C300" s="1165" t="s">
        <v>1056</v>
      </c>
      <c r="D300" s="1167">
        <f>29.66*1.18</f>
        <v>35</v>
      </c>
    </row>
    <row r="301" spans="1:4">
      <c r="A301" s="1111" t="s">
        <v>1742</v>
      </c>
      <c r="B301" s="1112" t="s">
        <v>1578</v>
      </c>
      <c r="C301" s="1165" t="s">
        <v>1056</v>
      </c>
      <c r="D301" s="1167">
        <f>28.18*1.18</f>
        <v>33.25</v>
      </c>
    </row>
    <row r="302" spans="1:4">
      <c r="A302" s="1111" t="s">
        <v>1742</v>
      </c>
      <c r="B302" s="1112" t="s">
        <v>1202</v>
      </c>
      <c r="C302" s="1165" t="s">
        <v>1056</v>
      </c>
      <c r="D302" s="1167">
        <v>3.5</v>
      </c>
    </row>
    <row r="303" spans="1:4">
      <c r="A303" s="1111" t="s">
        <v>1742</v>
      </c>
      <c r="B303" s="1112" t="s">
        <v>1203</v>
      </c>
      <c r="C303" s="1165" t="s">
        <v>1056</v>
      </c>
      <c r="D303" s="1167">
        <v>3.25</v>
      </c>
    </row>
    <row r="304" spans="1:4">
      <c r="A304" s="1111" t="s">
        <v>1742</v>
      </c>
      <c r="B304" s="1112" t="s">
        <v>1579</v>
      </c>
      <c r="C304" s="1165" t="s">
        <v>1056</v>
      </c>
      <c r="D304" s="1167">
        <v>2.25</v>
      </c>
    </row>
    <row r="305" spans="1:4">
      <c r="B305" s="1112" t="s">
        <v>1740</v>
      </c>
      <c r="C305" s="1165" t="s">
        <v>1056</v>
      </c>
      <c r="D305" s="1167">
        <v>38.24</v>
      </c>
    </row>
    <row r="306" spans="1:4">
      <c r="B306" s="1112" t="s">
        <v>962</v>
      </c>
      <c r="C306" s="1165" t="s">
        <v>1042</v>
      </c>
      <c r="D306" s="1167">
        <v>9560</v>
      </c>
    </row>
    <row r="307" spans="1:4">
      <c r="B307" s="1112" t="s">
        <v>1204</v>
      </c>
      <c r="C307" s="1165" t="s">
        <v>1042</v>
      </c>
      <c r="D307" s="1167">
        <v>6174</v>
      </c>
    </row>
    <row r="308" spans="1:4">
      <c r="B308" s="1112" t="s">
        <v>1205</v>
      </c>
      <c r="C308" s="1165" t="s">
        <v>1042</v>
      </c>
      <c r="D308" s="1167">
        <v>5985</v>
      </c>
    </row>
    <row r="309" spans="1:4">
      <c r="B309" s="1112" t="s">
        <v>958</v>
      </c>
      <c r="C309" s="1165" t="s">
        <v>1042</v>
      </c>
      <c r="D309" s="1167">
        <v>6820</v>
      </c>
    </row>
    <row r="310" spans="1:4">
      <c r="B310" s="1112" t="s">
        <v>1206</v>
      </c>
      <c r="C310" s="1165" t="s">
        <v>1197</v>
      </c>
      <c r="D310" s="1167">
        <v>230</v>
      </c>
    </row>
    <row r="311" spans="1:4">
      <c r="A311" s="1111" t="s">
        <v>1746</v>
      </c>
      <c r="B311" s="1112" t="s">
        <v>1208</v>
      </c>
      <c r="C311" s="1165" t="s">
        <v>1183</v>
      </c>
      <c r="D311" s="1167">
        <f>(4082.4*1.18)/5</f>
        <v>963.45</v>
      </c>
    </row>
    <row r="312" spans="1:4">
      <c r="A312" s="1111" t="s">
        <v>1744</v>
      </c>
      <c r="B312" s="1112" t="s">
        <v>1212</v>
      </c>
      <c r="C312" s="1165" t="s">
        <v>1190</v>
      </c>
      <c r="D312" s="1167">
        <f>(4934*1.18)/220</f>
        <v>26.46</v>
      </c>
    </row>
    <row r="313" spans="1:4">
      <c r="B313" s="1172" t="s">
        <v>1562</v>
      </c>
      <c r="C313" s="1165" t="s">
        <v>1106</v>
      </c>
      <c r="D313" s="1173">
        <v>10000</v>
      </c>
    </row>
    <row r="314" spans="1:4">
      <c r="B314" s="1172" t="s">
        <v>1563</v>
      </c>
      <c r="C314" s="1165" t="s">
        <v>1106</v>
      </c>
      <c r="D314" s="1174">
        <v>13500</v>
      </c>
    </row>
    <row r="315" spans="1:4">
      <c r="B315" s="1172" t="s">
        <v>1568</v>
      </c>
      <c r="C315" s="1165" t="s">
        <v>1050</v>
      </c>
      <c r="D315" s="1167">
        <v>97.94</v>
      </c>
    </row>
    <row r="316" spans="1:4">
      <c r="B316" s="1172" t="s">
        <v>1569</v>
      </c>
      <c r="C316" s="1165" t="s">
        <v>1050</v>
      </c>
      <c r="D316" s="1167">
        <v>109.74</v>
      </c>
    </row>
    <row r="317" spans="1:4">
      <c r="A317" s="1163" t="s">
        <v>1741</v>
      </c>
      <c r="B317" s="1172" t="s">
        <v>1570</v>
      </c>
      <c r="C317" s="1165" t="s">
        <v>1050</v>
      </c>
      <c r="D317" s="1167">
        <f>1114*1.18</f>
        <v>1314.52</v>
      </c>
    </row>
    <row r="318" spans="1:4">
      <c r="B318" s="1172" t="s">
        <v>1728</v>
      </c>
      <c r="C318" s="1165" t="s">
        <v>1000</v>
      </c>
      <c r="D318" s="1167">
        <v>9500</v>
      </c>
    </row>
    <row r="319" spans="1:4" ht="31.5">
      <c r="B319" s="1112" t="s">
        <v>1547</v>
      </c>
      <c r="C319" s="1165" t="s">
        <v>10</v>
      </c>
      <c r="D319" s="1167">
        <v>24999.99</v>
      </c>
    </row>
    <row r="320" spans="1:4" ht="31.5">
      <c r="B320" s="1112" t="s">
        <v>1230</v>
      </c>
      <c r="C320" s="1165" t="s">
        <v>10</v>
      </c>
      <c r="D320" s="1167">
        <f>31288.13*1.18</f>
        <v>36919.99</v>
      </c>
    </row>
    <row r="321" spans="1:4">
      <c r="B321" s="1112" t="s">
        <v>1549</v>
      </c>
      <c r="C321" s="1165" t="s">
        <v>1106</v>
      </c>
      <c r="D321" s="1167">
        <f>12105.93*1.18</f>
        <v>14285</v>
      </c>
    </row>
    <row r="322" spans="1:4">
      <c r="B322" s="1112" t="s">
        <v>1550</v>
      </c>
      <c r="C322" s="1165" t="s">
        <v>1322</v>
      </c>
      <c r="D322" s="1167">
        <v>1895</v>
      </c>
    </row>
    <row r="323" spans="1:4">
      <c r="B323" s="1112" t="s">
        <v>1551</v>
      </c>
      <c r="C323" s="1165" t="s">
        <v>1322</v>
      </c>
      <c r="D323" s="1167">
        <v>1895</v>
      </c>
    </row>
    <row r="324" spans="1:4">
      <c r="B324" s="1112" t="s">
        <v>1552</v>
      </c>
      <c r="C324" s="1165" t="s">
        <v>1322</v>
      </c>
      <c r="D324" s="1167">
        <v>1895</v>
      </c>
    </row>
    <row r="325" spans="1:4">
      <c r="B325" s="1112" t="s">
        <v>1548</v>
      </c>
      <c r="C325" s="1165" t="s">
        <v>1106</v>
      </c>
      <c r="D325" s="1167">
        <v>8900</v>
      </c>
    </row>
    <row r="326" spans="1:4">
      <c r="A326" s="1163" t="s">
        <v>1741</v>
      </c>
      <c r="B326" s="1112" t="s">
        <v>914</v>
      </c>
      <c r="C326" s="1165" t="s">
        <v>1190</v>
      </c>
      <c r="D326" s="1167">
        <f>66.25*1.18</f>
        <v>78.180000000000007</v>
      </c>
    </row>
    <row r="327" spans="1:4">
      <c r="A327" s="1163" t="s">
        <v>1741</v>
      </c>
      <c r="B327" s="1112" t="s">
        <v>1235</v>
      </c>
      <c r="C327" s="1165" t="s">
        <v>1196</v>
      </c>
      <c r="D327" s="1167">
        <f>130.2*1.18</f>
        <v>153.63999999999999</v>
      </c>
    </row>
    <row r="328" spans="1:4">
      <c r="A328" s="1163" t="s">
        <v>1741</v>
      </c>
      <c r="B328" s="1112" t="s">
        <v>1236</v>
      </c>
      <c r="C328" s="1165" t="s">
        <v>1197</v>
      </c>
      <c r="D328" s="1167">
        <f>91.24*1.18</f>
        <v>107.66</v>
      </c>
    </row>
    <row r="329" spans="1:4">
      <c r="A329" s="1163" t="s">
        <v>1741</v>
      </c>
      <c r="B329" s="1112" t="s">
        <v>917</v>
      </c>
      <c r="C329" s="1165" t="s">
        <v>1050</v>
      </c>
      <c r="D329" s="1167">
        <f>118*1.18</f>
        <v>139.24</v>
      </c>
    </row>
    <row r="330" spans="1:4">
      <c r="A330" s="1163" t="s">
        <v>1741</v>
      </c>
      <c r="B330" s="1112" t="s">
        <v>956</v>
      </c>
      <c r="C330" s="1165" t="s">
        <v>1238</v>
      </c>
      <c r="D330" s="1167">
        <f>18893.22*1.18</f>
        <v>22294</v>
      </c>
    </row>
    <row r="331" spans="1:4">
      <c r="B331" s="1112" t="s">
        <v>1273</v>
      </c>
      <c r="C331" s="1165" t="s">
        <v>1106</v>
      </c>
      <c r="D331" s="1167">
        <v>37.76</v>
      </c>
    </row>
    <row r="332" spans="1:4">
      <c r="B332" s="1112" t="s">
        <v>1291</v>
      </c>
      <c r="C332" s="1165" t="s">
        <v>1167</v>
      </c>
      <c r="D332" s="1167">
        <f>+D186</f>
        <v>1100</v>
      </c>
    </row>
    <row r="333" spans="1:4">
      <c r="B333" s="1112" t="s">
        <v>1292</v>
      </c>
      <c r="C333" s="1165" t="s">
        <v>1167</v>
      </c>
      <c r="D333" s="1167">
        <v>550</v>
      </c>
    </row>
    <row r="334" spans="1:4">
      <c r="A334" s="1111" t="s">
        <v>1745</v>
      </c>
      <c r="B334" s="1112" t="s">
        <v>1298</v>
      </c>
      <c r="C334" s="1165" t="s">
        <v>1190</v>
      </c>
      <c r="D334" s="1167">
        <f>(5796.2*1.18)/220</f>
        <v>31.09</v>
      </c>
    </row>
    <row r="335" spans="1:4">
      <c r="A335" s="1111" t="s">
        <v>1745</v>
      </c>
      <c r="B335" s="1112" t="s">
        <v>1299</v>
      </c>
      <c r="C335" s="1165" t="s">
        <v>1190</v>
      </c>
      <c r="D335" s="1167">
        <f>66.25*1.18</f>
        <v>78.180000000000007</v>
      </c>
    </row>
    <row r="336" spans="1:4">
      <c r="B336" s="1112" t="s">
        <v>1589</v>
      </c>
      <c r="C336" s="1165" t="s">
        <v>1106</v>
      </c>
      <c r="D336" s="1167">
        <v>8000</v>
      </c>
    </row>
    <row r="337" spans="1:4">
      <c r="B337" s="1112" t="s">
        <v>1586</v>
      </c>
      <c r="C337" s="1165" t="s">
        <v>1056</v>
      </c>
      <c r="D337" s="1167">
        <f>13300*1.18</f>
        <v>15694</v>
      </c>
    </row>
    <row r="338" spans="1:4" ht="31.5">
      <c r="B338" s="1112" t="s">
        <v>1305</v>
      </c>
      <c r="C338" s="1165" t="s">
        <v>1056</v>
      </c>
      <c r="D338" s="1167">
        <v>8500</v>
      </c>
    </row>
    <row r="339" spans="1:4" ht="31.5">
      <c r="B339" s="1112" t="s">
        <v>1309</v>
      </c>
      <c r="C339" s="1165" t="s">
        <v>1056</v>
      </c>
      <c r="D339" s="1167">
        <v>8500</v>
      </c>
    </row>
    <row r="340" spans="1:4" ht="31.5">
      <c r="B340" s="1168" t="s">
        <v>1587</v>
      </c>
      <c r="C340" s="1165" t="s">
        <v>1056</v>
      </c>
      <c r="D340" s="1167">
        <f>+D338</f>
        <v>8500</v>
      </c>
    </row>
    <row r="341" spans="1:4">
      <c r="B341" s="1168" t="s">
        <v>1697</v>
      </c>
      <c r="C341" s="1165" t="s">
        <v>1056</v>
      </c>
      <c r="D341" s="1167">
        <v>9800</v>
      </c>
    </row>
    <row r="342" spans="1:4">
      <c r="B342" s="1168" t="s">
        <v>1698</v>
      </c>
      <c r="C342" s="1165" t="s">
        <v>1056</v>
      </c>
      <c r="D342" s="1167">
        <v>10600</v>
      </c>
    </row>
    <row r="343" spans="1:4">
      <c r="A343" s="1111" t="s">
        <v>1742</v>
      </c>
      <c r="B343" s="1112" t="s">
        <v>1525</v>
      </c>
      <c r="C343" s="1165" t="s">
        <v>10</v>
      </c>
      <c r="D343" s="1167">
        <f>69360*1.18</f>
        <v>81844.800000000003</v>
      </c>
    </row>
    <row r="344" spans="1:4">
      <c r="A344" s="1111" t="s">
        <v>1745</v>
      </c>
      <c r="B344" s="1112" t="s">
        <v>1008</v>
      </c>
      <c r="C344" s="1165" t="s">
        <v>10</v>
      </c>
      <c r="D344" s="1167">
        <f>34680*1.18</f>
        <v>40922.400000000001</v>
      </c>
    </row>
    <row r="345" spans="1:4">
      <c r="A345" s="1111" t="s">
        <v>1745</v>
      </c>
      <c r="B345" s="1112" t="s">
        <v>1522</v>
      </c>
      <c r="C345" s="1165" t="s">
        <v>10</v>
      </c>
      <c r="D345" s="1167">
        <f>130050*1.18</f>
        <v>153459</v>
      </c>
    </row>
    <row r="346" spans="1:4">
      <c r="A346" s="1111" t="s">
        <v>1745</v>
      </c>
      <c r="B346" s="1112" t="s">
        <v>1523</v>
      </c>
      <c r="C346" s="1165" t="s">
        <v>10</v>
      </c>
      <c r="D346" s="1167">
        <f>34680*1.18</f>
        <v>40922.400000000001</v>
      </c>
    </row>
    <row r="347" spans="1:4">
      <c r="A347" s="1111" t="s">
        <v>1745</v>
      </c>
      <c r="B347" s="1112" t="s">
        <v>1524</v>
      </c>
      <c r="C347" s="1165" t="s">
        <v>10</v>
      </c>
      <c r="D347" s="1167">
        <f>181203*1.118</f>
        <v>202584.95</v>
      </c>
    </row>
    <row r="348" spans="1:4">
      <c r="A348" s="1111" t="s">
        <v>1745</v>
      </c>
      <c r="B348" s="1112" t="s">
        <v>458</v>
      </c>
      <c r="C348" s="1165" t="s">
        <v>10</v>
      </c>
      <c r="D348" s="1167">
        <v>209727.3</v>
      </c>
    </row>
    <row r="349" spans="1:4">
      <c r="A349" s="1111" t="s">
        <v>1745</v>
      </c>
      <c r="B349" s="1112" t="s">
        <v>459</v>
      </c>
      <c r="C349" s="1165" t="s">
        <v>10</v>
      </c>
      <c r="D349" s="1167">
        <f>462978*1.18</f>
        <v>546314.04</v>
      </c>
    </row>
    <row r="350" spans="1:4">
      <c r="A350" s="1111" t="s">
        <v>1745</v>
      </c>
      <c r="B350" s="1112" t="s">
        <v>460</v>
      </c>
      <c r="C350" s="1165" t="s">
        <v>10</v>
      </c>
      <c r="D350" s="1167">
        <v>213819.54</v>
      </c>
    </row>
    <row r="351" spans="1:4">
      <c r="B351" s="1112" t="s">
        <v>1011</v>
      </c>
      <c r="C351" s="1165" t="s">
        <v>140</v>
      </c>
      <c r="D351" s="1167">
        <v>95500</v>
      </c>
    </row>
    <row r="352" spans="1:4" ht="23.25" customHeight="1">
      <c r="B352" s="1112" t="s">
        <v>1341</v>
      </c>
      <c r="C352" s="1165" t="s">
        <v>1106</v>
      </c>
      <c r="D352" s="1167">
        <v>6500</v>
      </c>
    </row>
    <row r="353" spans="1:4">
      <c r="A353" s="1111" t="s">
        <v>1743</v>
      </c>
      <c r="B353" s="1112" t="s">
        <v>969</v>
      </c>
      <c r="C353" s="1165" t="s">
        <v>1106</v>
      </c>
      <c r="D353" s="1167">
        <f>215.2*1.18</f>
        <v>253.94</v>
      </c>
    </row>
    <row r="354" spans="1:4">
      <c r="A354" s="1111" t="s">
        <v>1743</v>
      </c>
      <c r="B354" s="1112" t="s">
        <v>970</v>
      </c>
      <c r="C354" s="1165" t="s">
        <v>1106</v>
      </c>
      <c r="D354" s="1167">
        <f>6209*1.18</f>
        <v>7326.62</v>
      </c>
    </row>
    <row r="355" spans="1:4">
      <c r="A355" s="1111" t="s">
        <v>1743</v>
      </c>
      <c r="B355" s="1112" t="s">
        <v>971</v>
      </c>
      <c r="C355" s="1165" t="s">
        <v>1106</v>
      </c>
      <c r="D355" s="1167">
        <f>279*1.18</f>
        <v>329.22</v>
      </c>
    </row>
    <row r="356" spans="1:4">
      <c r="A356" s="1111" t="s">
        <v>1743</v>
      </c>
      <c r="B356" s="1112" t="s">
        <v>972</v>
      </c>
      <c r="C356" s="1165" t="s">
        <v>1106</v>
      </c>
      <c r="D356" s="1167">
        <v>1420</v>
      </c>
    </row>
    <row r="357" spans="1:4">
      <c r="A357" s="1111" t="s">
        <v>1743</v>
      </c>
      <c r="B357" s="1112" t="s">
        <v>974</v>
      </c>
      <c r="C357" s="1165" t="s">
        <v>1106</v>
      </c>
      <c r="D357" s="1167">
        <f>39650*1.18</f>
        <v>46787</v>
      </c>
    </row>
    <row r="358" spans="1:4">
      <c r="A358" s="1111" t="s">
        <v>1743</v>
      </c>
      <c r="B358" s="1112" t="s">
        <v>975</v>
      </c>
      <c r="C358" s="1165" t="s">
        <v>1106</v>
      </c>
      <c r="D358" s="1167">
        <f>24644*1.18</f>
        <v>29079.919999999998</v>
      </c>
    </row>
    <row r="359" spans="1:4">
      <c r="B359" s="1112" t="s">
        <v>976</v>
      </c>
      <c r="C359" s="1165" t="s">
        <v>1225</v>
      </c>
      <c r="D359" s="1167">
        <v>206.5</v>
      </c>
    </row>
    <row r="360" spans="1:4" ht="31.5">
      <c r="B360" s="1112" t="s">
        <v>977</v>
      </c>
      <c r="C360" s="1165" t="s">
        <v>1106</v>
      </c>
      <c r="D360" s="1167">
        <v>8900</v>
      </c>
    </row>
    <row r="361" spans="1:4">
      <c r="B361" s="1112" t="s">
        <v>978</v>
      </c>
      <c r="C361" s="1165" t="s">
        <v>1106</v>
      </c>
      <c r="D361" s="1167">
        <v>4700</v>
      </c>
    </row>
    <row r="362" spans="1:4">
      <c r="B362" s="1112" t="s">
        <v>979</v>
      </c>
      <c r="C362" s="1165" t="s">
        <v>1106</v>
      </c>
      <c r="D362" s="1167">
        <v>5900</v>
      </c>
    </row>
    <row r="363" spans="1:4" ht="31.5">
      <c r="B363" s="1112" t="s">
        <v>980</v>
      </c>
      <c r="C363" s="1165" t="s">
        <v>1106</v>
      </c>
      <c r="D363" s="1167">
        <v>73675</v>
      </c>
    </row>
    <row r="364" spans="1:4" ht="31.5">
      <c r="B364" s="1112" t="s">
        <v>981</v>
      </c>
      <c r="C364" s="1165" t="s">
        <v>1106</v>
      </c>
      <c r="D364" s="1167">
        <v>9900</v>
      </c>
    </row>
    <row r="365" spans="1:4">
      <c r="B365" s="1112" t="s">
        <v>982</v>
      </c>
      <c r="C365" s="1165" t="s">
        <v>1106</v>
      </c>
      <c r="D365" s="1167">
        <v>2300</v>
      </c>
    </row>
    <row r="366" spans="1:4">
      <c r="B366" s="1112" t="s">
        <v>983</v>
      </c>
      <c r="C366" s="1165" t="s">
        <v>1365</v>
      </c>
      <c r="D366" s="1167">
        <v>75.2</v>
      </c>
    </row>
    <row r="367" spans="1:4">
      <c r="B367" s="1112" t="s">
        <v>995</v>
      </c>
      <c r="C367" s="1165" t="s">
        <v>1042</v>
      </c>
      <c r="D367" s="1167">
        <v>750</v>
      </c>
    </row>
    <row r="368" spans="1:4">
      <c r="A368" s="1111" t="s">
        <v>1744</v>
      </c>
      <c r="B368" s="1112" t="s">
        <v>1001</v>
      </c>
      <c r="C368" s="1165" t="s">
        <v>1106</v>
      </c>
      <c r="D368" s="1167">
        <f>19067.8*1.18</f>
        <v>22500</v>
      </c>
    </row>
    <row r="369" spans="1:4">
      <c r="B369" s="1112" t="s">
        <v>1006</v>
      </c>
      <c r="C369" s="1165" t="s">
        <v>1106</v>
      </c>
      <c r="D369" s="1167">
        <v>5396</v>
      </c>
    </row>
    <row r="370" spans="1:4">
      <c r="B370" s="1112" t="s">
        <v>1576</v>
      </c>
      <c r="C370" s="1165" t="s">
        <v>1000</v>
      </c>
      <c r="D370" s="1167">
        <v>120</v>
      </c>
    </row>
    <row r="371" spans="1:4">
      <c r="B371" s="1112" t="s">
        <v>1706</v>
      </c>
      <c r="C371" s="1165" t="s">
        <v>1106</v>
      </c>
      <c r="D371" s="1167">
        <v>12000</v>
      </c>
    </row>
    <row r="372" spans="1:4">
      <c r="B372" s="1112" t="s">
        <v>1707</v>
      </c>
      <c r="C372" s="1165" t="s">
        <v>1106</v>
      </c>
      <c r="D372" s="1167">
        <v>22000</v>
      </c>
    </row>
    <row r="373" spans="1:4">
      <c r="B373" s="1112" t="s">
        <v>1708</v>
      </c>
      <c r="C373" s="1165" t="s">
        <v>1088</v>
      </c>
      <c r="D373" s="1167">
        <v>555.55999999999995</v>
      </c>
    </row>
    <row r="374" spans="1:4">
      <c r="B374" s="1112" t="s">
        <v>1709</v>
      </c>
      <c r="C374" s="1165" t="s">
        <v>1106</v>
      </c>
      <c r="D374" s="1167">
        <v>2800</v>
      </c>
    </row>
    <row r="375" spans="1:4">
      <c r="B375" s="1112" t="s">
        <v>1710</v>
      </c>
      <c r="C375" s="1165" t="s">
        <v>1106</v>
      </c>
      <c r="D375" s="1167">
        <v>566.4</v>
      </c>
    </row>
    <row r="376" spans="1:4">
      <c r="B376" s="1112" t="s">
        <v>1711</v>
      </c>
      <c r="C376" s="1165" t="s">
        <v>1106</v>
      </c>
      <c r="D376" s="1167">
        <v>3500</v>
      </c>
    </row>
    <row r="377" spans="1:4">
      <c r="B377" s="1112" t="s">
        <v>1704</v>
      </c>
      <c r="C377" s="1165" t="s">
        <v>1109</v>
      </c>
      <c r="D377" s="1167">
        <v>45000</v>
      </c>
    </row>
    <row r="378" spans="1:4">
      <c r="B378" s="1112" t="s">
        <v>1712</v>
      </c>
      <c r="C378" s="1165" t="s">
        <v>1106</v>
      </c>
      <c r="D378" s="1167">
        <v>3500</v>
      </c>
    </row>
    <row r="379" spans="1:4">
      <c r="B379" s="1112" t="s">
        <v>1713</v>
      </c>
      <c r="C379" s="1165" t="s">
        <v>1106</v>
      </c>
      <c r="D379" s="1167">
        <v>2690.3</v>
      </c>
    </row>
    <row r="380" spans="1:4">
      <c r="A380" s="1111" t="s">
        <v>1745</v>
      </c>
      <c r="B380" s="1112" t="s">
        <v>1705</v>
      </c>
      <c r="C380" s="1165" t="s">
        <v>1088</v>
      </c>
      <c r="D380" s="1167">
        <f>+(75*1.18)*3.26</f>
        <v>288.51</v>
      </c>
    </row>
    <row r="381" spans="1:4">
      <c r="A381" s="1111" t="s">
        <v>1745</v>
      </c>
      <c r="B381" s="1112" t="s">
        <v>873</v>
      </c>
      <c r="C381" s="1165" t="s">
        <v>1088</v>
      </c>
      <c r="D381" s="1167">
        <f>+(19*1.18)*3.26</f>
        <v>73.09</v>
      </c>
    </row>
    <row r="390" spans="2:4">
      <c r="B390" s="1164" t="s">
        <v>1366</v>
      </c>
      <c r="D390" s="1166"/>
    </row>
    <row r="392" spans="2:4">
      <c r="B392" s="1175" t="s">
        <v>1367</v>
      </c>
    </row>
    <row r="393" spans="2:4">
      <c r="B393" s="1112" t="s">
        <v>1368</v>
      </c>
      <c r="C393" s="1165" t="s">
        <v>1000</v>
      </c>
      <c r="D393" s="1167">
        <v>180</v>
      </c>
    </row>
    <row r="394" spans="2:4">
      <c r="B394" s="1112" t="s">
        <v>1369</v>
      </c>
      <c r="C394" s="1165" t="s">
        <v>1056</v>
      </c>
      <c r="D394" s="1167">
        <v>997.5</v>
      </c>
    </row>
    <row r="395" spans="2:4">
      <c r="B395" s="1112" t="s">
        <v>1370</v>
      </c>
      <c r="C395" s="1165" t="s">
        <v>1056</v>
      </c>
      <c r="D395" s="1167">
        <v>997.5</v>
      </c>
    </row>
    <row r="396" spans="2:4">
      <c r="B396" s="1112" t="s">
        <v>1371</v>
      </c>
      <c r="C396" s="1165" t="s">
        <v>1056</v>
      </c>
      <c r="D396" s="1176">
        <v>997.5</v>
      </c>
    </row>
    <row r="397" spans="2:4">
      <c r="B397" s="1112" t="s">
        <v>482</v>
      </c>
      <c r="C397" s="1165" t="s">
        <v>1056</v>
      </c>
      <c r="D397" s="1176">
        <v>998.5</v>
      </c>
    </row>
    <row r="398" spans="2:4">
      <c r="B398" s="1112" t="s">
        <v>1535</v>
      </c>
      <c r="C398" s="1165" t="s">
        <v>1056</v>
      </c>
      <c r="D398" s="1167">
        <v>2000</v>
      </c>
    </row>
    <row r="399" spans="2:4">
      <c r="B399" s="1112" t="s">
        <v>1372</v>
      </c>
      <c r="C399" s="1165" t="s">
        <v>1056</v>
      </c>
      <c r="D399" s="1167">
        <v>997.5</v>
      </c>
    </row>
    <row r="400" spans="2:4">
      <c r="B400" s="1112" t="s">
        <v>1533</v>
      </c>
      <c r="C400" s="1165" t="s">
        <v>1056</v>
      </c>
      <c r="D400" s="1167">
        <v>2500</v>
      </c>
    </row>
    <row r="401" spans="2:4">
      <c r="B401" s="1112" t="s">
        <v>1373</v>
      </c>
      <c r="C401" s="1165" t="s">
        <v>1056</v>
      </c>
      <c r="D401" s="1167">
        <v>1050</v>
      </c>
    </row>
    <row r="402" spans="2:4">
      <c r="B402" s="1112" t="s">
        <v>1374</v>
      </c>
      <c r="C402" s="1165" t="s">
        <v>1056</v>
      </c>
      <c r="D402" s="1167">
        <v>1500</v>
      </c>
    </row>
    <row r="403" spans="2:4">
      <c r="B403" s="1112" t="s">
        <v>1530</v>
      </c>
      <c r="C403" s="1165" t="s">
        <v>1056</v>
      </c>
      <c r="D403" s="1167">
        <v>997.5</v>
      </c>
    </row>
    <row r="404" spans="2:4">
      <c r="B404" s="1112" t="s">
        <v>1531</v>
      </c>
      <c r="C404" s="1165" t="s">
        <v>1056</v>
      </c>
      <c r="D404" s="1167">
        <v>997.5</v>
      </c>
    </row>
    <row r="405" spans="2:4">
      <c r="B405" s="1112" t="s">
        <v>1375</v>
      </c>
      <c r="C405" s="1165" t="s">
        <v>1056</v>
      </c>
      <c r="D405" s="1167">
        <v>997.5</v>
      </c>
    </row>
    <row r="406" spans="2:4">
      <c r="B406" s="1112" t="s">
        <v>1376</v>
      </c>
      <c r="C406" s="1165" t="s">
        <v>1056</v>
      </c>
      <c r="D406" s="1167">
        <v>997.5</v>
      </c>
    </row>
    <row r="407" spans="2:4">
      <c r="B407" s="1112" t="s">
        <v>1377</v>
      </c>
      <c r="C407" s="1165" t="s">
        <v>1056</v>
      </c>
      <c r="D407" s="1167">
        <v>997.5</v>
      </c>
    </row>
    <row r="408" spans="2:4">
      <c r="B408" s="1112" t="s">
        <v>1378</v>
      </c>
      <c r="C408" s="1165" t="s">
        <v>1056</v>
      </c>
      <c r="D408" s="1167">
        <v>997.5</v>
      </c>
    </row>
    <row r="409" spans="2:4">
      <c r="B409" s="1112" t="s">
        <v>1379</v>
      </c>
      <c r="C409" s="1165" t="s">
        <v>1056</v>
      </c>
      <c r="D409" s="1167">
        <v>997.5</v>
      </c>
    </row>
    <row r="410" spans="2:4">
      <c r="B410" s="1112" t="s">
        <v>1532</v>
      </c>
      <c r="C410" s="1165" t="s">
        <v>1056</v>
      </c>
      <c r="D410" s="1167">
        <v>997.5</v>
      </c>
    </row>
    <row r="411" spans="2:4">
      <c r="B411" s="1112" t="s">
        <v>1380</v>
      </c>
      <c r="C411" s="1165" t="s">
        <v>1056</v>
      </c>
      <c r="D411" s="1167">
        <v>2100</v>
      </c>
    </row>
    <row r="412" spans="2:4">
      <c r="B412" s="1112" t="s">
        <v>1381</v>
      </c>
      <c r="C412" s="1165" t="s">
        <v>1056</v>
      </c>
      <c r="D412" s="1167">
        <v>945</v>
      </c>
    </row>
    <row r="413" spans="2:4">
      <c r="B413" s="1112" t="s">
        <v>1382</v>
      </c>
      <c r="C413" s="1165" t="s">
        <v>1056</v>
      </c>
      <c r="D413" s="1167">
        <v>945</v>
      </c>
    </row>
    <row r="414" spans="2:4">
      <c r="B414" s="1112" t="s">
        <v>1383</v>
      </c>
      <c r="C414" s="1165" t="s">
        <v>1056</v>
      </c>
      <c r="D414" s="1167">
        <v>945</v>
      </c>
    </row>
    <row r="415" spans="2:4">
      <c r="B415" s="1112" t="s">
        <v>1384</v>
      </c>
      <c r="C415" s="1165" t="s">
        <v>1056</v>
      </c>
      <c r="D415" s="1167">
        <v>945</v>
      </c>
    </row>
    <row r="416" spans="2:4">
      <c r="B416" s="1112" t="s">
        <v>1385</v>
      </c>
      <c r="C416" s="1165" t="s">
        <v>1056</v>
      </c>
      <c r="D416" s="1167">
        <v>6000</v>
      </c>
    </row>
    <row r="417" spans="2:4">
      <c r="B417" s="1112" t="s">
        <v>1386</v>
      </c>
      <c r="C417" s="1165" t="s">
        <v>1056</v>
      </c>
      <c r="D417" s="1167">
        <v>577.5</v>
      </c>
    </row>
    <row r="418" spans="2:4">
      <c r="B418" s="1112" t="s">
        <v>1387</v>
      </c>
      <c r="C418" s="1165" t="s">
        <v>1056</v>
      </c>
      <c r="D418" s="1167">
        <v>4725</v>
      </c>
    </row>
    <row r="419" spans="2:4">
      <c r="B419" s="1112" t="s">
        <v>1388</v>
      </c>
      <c r="C419" s="1165" t="s">
        <v>1056</v>
      </c>
      <c r="D419" s="1167">
        <v>6000</v>
      </c>
    </row>
    <row r="420" spans="2:4">
      <c r="B420" s="1112" t="s">
        <v>1389</v>
      </c>
      <c r="C420" s="1165" t="s">
        <v>1056</v>
      </c>
      <c r="D420" s="1167">
        <v>6000</v>
      </c>
    </row>
    <row r="421" spans="2:4">
      <c r="B421" s="1112" t="s">
        <v>1390</v>
      </c>
      <c r="C421" s="1165" t="s">
        <v>1056</v>
      </c>
      <c r="D421" s="1167">
        <v>147</v>
      </c>
    </row>
    <row r="422" spans="2:4">
      <c r="B422" s="1112" t="s">
        <v>1391</v>
      </c>
      <c r="C422" s="1165" t="s">
        <v>1056</v>
      </c>
      <c r="D422" s="1167">
        <v>147</v>
      </c>
    </row>
    <row r="423" spans="2:4">
      <c r="B423" s="1112" t="s">
        <v>1392</v>
      </c>
      <c r="C423" s="1165" t="s">
        <v>1056</v>
      </c>
      <c r="D423" s="1167">
        <v>183.75</v>
      </c>
    </row>
    <row r="424" spans="2:4">
      <c r="B424" s="1112" t="s">
        <v>1393</v>
      </c>
      <c r="C424" s="1165" t="s">
        <v>1056</v>
      </c>
      <c r="D424" s="1167">
        <v>78.75</v>
      </c>
    </row>
    <row r="425" spans="2:4">
      <c r="B425" s="1112" t="s">
        <v>1394</v>
      </c>
      <c r="C425" s="1165" t="s">
        <v>1056</v>
      </c>
      <c r="D425" s="1167">
        <v>84</v>
      </c>
    </row>
    <row r="426" spans="2:4">
      <c r="B426" s="1112" t="s">
        <v>1395</v>
      </c>
      <c r="C426" s="1165" t="s">
        <v>1042</v>
      </c>
      <c r="D426" s="1167">
        <v>1000</v>
      </c>
    </row>
    <row r="427" spans="2:4">
      <c r="B427" s="1112" t="s">
        <v>1396</v>
      </c>
      <c r="C427" s="1165" t="s">
        <v>1056</v>
      </c>
      <c r="D427" s="1167">
        <v>40</v>
      </c>
    </row>
    <row r="428" spans="2:4">
      <c r="B428" s="1112" t="s">
        <v>1397</v>
      </c>
      <c r="C428" s="1165" t="s">
        <v>1042</v>
      </c>
      <c r="D428" s="1167">
        <v>1890</v>
      </c>
    </row>
    <row r="429" spans="2:4">
      <c r="B429" s="1112" t="s">
        <v>1398</v>
      </c>
      <c r="C429" s="1165" t="s">
        <v>1056</v>
      </c>
      <c r="D429" s="1167">
        <v>42</v>
      </c>
    </row>
    <row r="430" spans="2:4">
      <c r="B430" s="1112" t="s">
        <v>1538</v>
      </c>
      <c r="C430" s="1165" t="s">
        <v>1056</v>
      </c>
      <c r="D430" s="1167">
        <v>400</v>
      </c>
    </row>
    <row r="431" spans="2:4">
      <c r="B431" s="1112" t="s">
        <v>1399</v>
      </c>
      <c r="C431" s="1165" t="s">
        <v>1056</v>
      </c>
      <c r="D431" s="1167">
        <v>42</v>
      </c>
    </row>
    <row r="432" spans="2:4">
      <c r="B432" s="1112" t="s">
        <v>1400</v>
      </c>
      <c r="C432" s="1165" t="s">
        <v>1056</v>
      </c>
      <c r="D432" s="1167">
        <v>52.5</v>
      </c>
    </row>
    <row r="433" spans="2:4">
      <c r="B433" s="1112" t="s">
        <v>1401</v>
      </c>
      <c r="C433" s="1165" t="s">
        <v>1056</v>
      </c>
      <c r="D433" s="1167">
        <v>150</v>
      </c>
    </row>
    <row r="434" spans="2:4">
      <c r="B434" s="1112" t="s">
        <v>1536</v>
      </c>
      <c r="C434" s="1165" t="s">
        <v>1056</v>
      </c>
      <c r="D434" s="1167">
        <v>800</v>
      </c>
    </row>
    <row r="435" spans="2:4">
      <c r="B435" s="1112" t="s">
        <v>1537</v>
      </c>
      <c r="C435" s="1165" t="s">
        <v>1056</v>
      </c>
      <c r="D435" s="1167">
        <v>500</v>
      </c>
    </row>
    <row r="436" spans="2:4">
      <c r="B436" s="1112" t="s">
        <v>1402</v>
      </c>
      <c r="C436" s="1165" t="s">
        <v>1056</v>
      </c>
      <c r="D436" s="1167">
        <v>26.25</v>
      </c>
    </row>
    <row r="437" spans="2:4">
      <c r="B437" s="1112" t="s">
        <v>1541</v>
      </c>
      <c r="C437" s="1165" t="s">
        <v>1056</v>
      </c>
      <c r="D437" s="1167">
        <v>46.3</v>
      </c>
    </row>
    <row r="438" spans="2:4">
      <c r="B438" s="1112" t="s">
        <v>1403</v>
      </c>
      <c r="C438" s="1165" t="s">
        <v>1056</v>
      </c>
      <c r="D438" s="1167">
        <v>1575</v>
      </c>
    </row>
    <row r="439" spans="2:4">
      <c r="B439" s="1112" t="s">
        <v>1539</v>
      </c>
      <c r="C439" s="1165" t="s">
        <v>1056</v>
      </c>
      <c r="D439" s="1167">
        <v>400</v>
      </c>
    </row>
    <row r="440" spans="2:4">
      <c r="B440" s="1112" t="s">
        <v>1404</v>
      </c>
      <c r="C440" s="1165" t="s">
        <v>1056</v>
      </c>
      <c r="D440" s="1167">
        <v>47.25</v>
      </c>
    </row>
    <row r="441" spans="2:4">
      <c r="B441" s="1112" t="s">
        <v>1405</v>
      </c>
      <c r="C441" s="1165" t="s">
        <v>1056</v>
      </c>
      <c r="D441" s="1167">
        <v>131.25</v>
      </c>
    </row>
    <row r="442" spans="2:4">
      <c r="B442" s="1112" t="s">
        <v>1406</v>
      </c>
      <c r="C442" s="1165" t="s">
        <v>1056</v>
      </c>
      <c r="D442" s="1167">
        <v>472.5</v>
      </c>
    </row>
    <row r="443" spans="2:4">
      <c r="B443" s="1112" t="s">
        <v>1407</v>
      </c>
      <c r="C443" s="1165" t="s">
        <v>1056</v>
      </c>
      <c r="D443" s="1167">
        <v>7350</v>
      </c>
    </row>
    <row r="444" spans="2:4">
      <c r="B444" s="1112" t="s">
        <v>1540</v>
      </c>
      <c r="C444" s="1165" t="s">
        <v>1056</v>
      </c>
      <c r="D444" s="1167">
        <v>350</v>
      </c>
    </row>
    <row r="445" spans="2:4">
      <c r="B445" s="1112" t="s">
        <v>1526</v>
      </c>
      <c r="C445" s="1165" t="s">
        <v>1106</v>
      </c>
      <c r="D445" s="1167">
        <v>5600</v>
      </c>
    </row>
    <row r="446" spans="2:4">
      <c r="B446" s="1112" t="s">
        <v>1371</v>
      </c>
      <c r="C446" s="1165" t="s">
        <v>1106</v>
      </c>
      <c r="D446" s="1167">
        <v>945</v>
      </c>
    </row>
    <row r="447" spans="2:4">
      <c r="B447" s="1112" t="s">
        <v>1527</v>
      </c>
      <c r="C447" s="1165" t="s">
        <v>1106</v>
      </c>
      <c r="D447" s="1167">
        <v>945</v>
      </c>
    </row>
    <row r="448" spans="2:4">
      <c r="B448" s="1112" t="s">
        <v>1528</v>
      </c>
      <c r="C448" s="1165" t="s">
        <v>1106</v>
      </c>
      <c r="D448" s="1167">
        <v>1000</v>
      </c>
    </row>
    <row r="449" spans="2:4">
      <c r="B449" s="1112" t="s">
        <v>1529</v>
      </c>
      <c r="C449" s="1165" t="s">
        <v>1056</v>
      </c>
      <c r="D449" s="1167">
        <v>800</v>
      </c>
    </row>
    <row r="450" spans="2:4">
      <c r="B450" s="1112" t="s">
        <v>1534</v>
      </c>
      <c r="C450" s="1165" t="s">
        <v>1056</v>
      </c>
      <c r="D450" s="1167">
        <v>1000</v>
      </c>
    </row>
    <row r="451" spans="2:4">
      <c r="B451" s="1112" t="s">
        <v>1543</v>
      </c>
      <c r="C451" s="1165" t="s">
        <v>1109</v>
      </c>
      <c r="D451" s="1167">
        <v>12000</v>
      </c>
    </row>
    <row r="452" spans="2:4">
      <c r="B452" s="1112" t="s">
        <v>1542</v>
      </c>
      <c r="C452" s="1165" t="s">
        <v>1056</v>
      </c>
      <c r="D452" s="1167">
        <v>150</v>
      </c>
    </row>
    <row r="453" spans="2:4" ht="47.25">
      <c r="B453" s="1112" t="s">
        <v>1007</v>
      </c>
      <c r="C453" s="1165" t="s">
        <v>140</v>
      </c>
      <c r="D453" s="1167">
        <v>5000</v>
      </c>
    </row>
    <row r="454" spans="2:4" ht="78.75">
      <c r="B454" s="1112" t="s">
        <v>966</v>
      </c>
      <c r="C454" s="1165" t="s">
        <v>1409</v>
      </c>
      <c r="D454" s="1167">
        <v>356</v>
      </c>
    </row>
    <row r="455" spans="2:4">
      <c r="B455" s="1112" t="s">
        <v>1544</v>
      </c>
      <c r="C455" s="1165" t="s">
        <v>1106</v>
      </c>
      <c r="D455" s="1167">
        <v>8000</v>
      </c>
    </row>
    <row r="456" spans="2:4" ht="31.5">
      <c r="B456" s="1112" t="s">
        <v>1419</v>
      </c>
      <c r="C456" s="1165" t="s">
        <v>10</v>
      </c>
      <c r="D456" s="1167">
        <f>12118.64*1.18</f>
        <v>14300</v>
      </c>
    </row>
    <row r="457" spans="2:4">
      <c r="B457" s="1112" t="s">
        <v>1573</v>
      </c>
      <c r="C457" s="1165" t="s">
        <v>1183</v>
      </c>
      <c r="D457" s="1167">
        <v>2200</v>
      </c>
    </row>
    <row r="458" spans="2:4">
      <c r="B458" s="1112" t="s">
        <v>985</v>
      </c>
      <c r="C458" s="1165" t="s">
        <v>1106</v>
      </c>
      <c r="D458" s="1167">
        <v>7000</v>
      </c>
    </row>
    <row r="459" spans="2:4">
      <c r="B459" s="1112" t="s">
        <v>986</v>
      </c>
      <c r="C459" s="1165" t="s">
        <v>1106</v>
      </c>
      <c r="D459" s="1167">
        <v>7000</v>
      </c>
    </row>
    <row r="460" spans="2:4">
      <c r="B460" s="1112" t="s">
        <v>759</v>
      </c>
      <c r="C460" s="1165" t="s">
        <v>760</v>
      </c>
      <c r="D460" s="1167">
        <v>90</v>
      </c>
    </row>
    <row r="461" spans="2:4">
      <c r="B461" s="1112" t="s">
        <v>761</v>
      </c>
      <c r="C461" s="1165" t="s">
        <v>760</v>
      </c>
      <c r="D461" s="1167">
        <v>81</v>
      </c>
    </row>
    <row r="462" spans="2:4" ht="47.25">
      <c r="B462" s="1112" t="s">
        <v>1733</v>
      </c>
      <c r="C462" s="1165" t="s">
        <v>300</v>
      </c>
      <c r="D462" s="1167">
        <f>796.56+200</f>
        <v>996.56</v>
      </c>
    </row>
    <row r="463" spans="2:4">
      <c r="B463" s="1112" t="s">
        <v>763</v>
      </c>
      <c r="C463" s="1165" t="s">
        <v>760</v>
      </c>
      <c r="D463" s="1167">
        <v>41</v>
      </c>
    </row>
    <row r="464" spans="2:4">
      <c r="B464" s="1112" t="s">
        <v>764</v>
      </c>
      <c r="C464" s="1165" t="s">
        <v>760</v>
      </c>
      <c r="D464" s="1167">
        <v>36</v>
      </c>
    </row>
    <row r="465" spans="2:4">
      <c r="B465" s="1112" t="s">
        <v>765</v>
      </c>
      <c r="C465" s="1165" t="s">
        <v>760</v>
      </c>
      <c r="D465" s="1167">
        <v>39</v>
      </c>
    </row>
    <row r="466" spans="2:4">
      <c r="B466" s="1112" t="s">
        <v>766</v>
      </c>
      <c r="C466" s="1165" t="s">
        <v>760</v>
      </c>
      <c r="D466" s="1167">
        <v>42</v>
      </c>
    </row>
    <row r="467" spans="2:4">
      <c r="B467" s="1112" t="s">
        <v>767</v>
      </c>
      <c r="C467" s="1165" t="s">
        <v>10</v>
      </c>
      <c r="D467" s="1167">
        <v>25.3</v>
      </c>
    </row>
    <row r="468" spans="2:4" ht="31.5">
      <c r="B468" s="1112" t="s">
        <v>768</v>
      </c>
      <c r="C468" s="1165" t="s">
        <v>10</v>
      </c>
      <c r="D468" s="1167">
        <v>29</v>
      </c>
    </row>
    <row r="469" spans="2:4">
      <c r="B469" s="1112" t="s">
        <v>769</v>
      </c>
      <c r="C469" s="1165" t="s">
        <v>10</v>
      </c>
      <c r="D469" s="1167">
        <v>4.7</v>
      </c>
    </row>
    <row r="470" spans="2:4">
      <c r="B470" s="1112" t="s">
        <v>1730</v>
      </c>
      <c r="C470" s="1165" t="s">
        <v>10</v>
      </c>
      <c r="D470" s="1167">
        <v>9000</v>
      </c>
    </row>
    <row r="471" spans="2:4">
      <c r="B471" s="1112" t="s">
        <v>1731</v>
      </c>
      <c r="C471" s="1165" t="s">
        <v>10</v>
      </c>
      <c r="D471" s="1167">
        <v>14000</v>
      </c>
    </row>
    <row r="472" spans="2:4">
      <c r="B472" s="1112" t="s">
        <v>573</v>
      </c>
      <c r="C472" s="1165" t="s">
        <v>20</v>
      </c>
      <c r="D472" s="1167">
        <v>1550</v>
      </c>
    </row>
    <row r="473" spans="2:4" ht="31.5">
      <c r="B473" s="1112" t="s">
        <v>575</v>
      </c>
      <c r="C473" s="1165" t="s">
        <v>20</v>
      </c>
      <c r="D473" s="1167">
        <v>1550</v>
      </c>
    </row>
    <row r="474" spans="2:4">
      <c r="B474" s="1112" t="s">
        <v>1231</v>
      </c>
      <c r="C474" s="1165" t="s">
        <v>1062</v>
      </c>
      <c r="D474" s="1167">
        <v>3150</v>
      </c>
    </row>
    <row r="475" spans="2:4" ht="31.5">
      <c r="B475" s="1112" t="s">
        <v>1232</v>
      </c>
      <c r="C475" s="1165" t="s">
        <v>1233</v>
      </c>
      <c r="D475" s="1167">
        <f>3*3375</f>
        <v>10125</v>
      </c>
    </row>
    <row r="476" spans="2:4">
      <c r="B476" s="1112" t="s">
        <v>1657</v>
      </c>
      <c r="C476" s="1165" t="s">
        <v>1056</v>
      </c>
      <c r="D476" s="1167">
        <v>3757.4</v>
      </c>
    </row>
    <row r="477" spans="2:4">
      <c r="B477" s="1112" t="s">
        <v>1646</v>
      </c>
      <c r="C477" s="1165" t="s">
        <v>1557</v>
      </c>
      <c r="D477" s="1167">
        <v>4500</v>
      </c>
    </row>
    <row r="478" spans="2:4">
      <c r="B478" s="1112" t="s">
        <v>1684</v>
      </c>
      <c r="C478" s="1165" t="s">
        <v>1183</v>
      </c>
      <c r="D478" s="1167">
        <v>1548.16</v>
      </c>
    </row>
    <row r="479" spans="2:4">
      <c r="B479" s="1112" t="s">
        <v>1209</v>
      </c>
      <c r="C479" s="1165" t="s">
        <v>1025</v>
      </c>
      <c r="D479" s="1167">
        <v>0</v>
      </c>
    </row>
    <row r="480" spans="2:4">
      <c r="B480" s="1112" t="s">
        <v>1210</v>
      </c>
      <c r="C480" s="1165" t="s">
        <v>1050</v>
      </c>
      <c r="D480" s="1174">
        <v>33</v>
      </c>
    </row>
    <row r="481" spans="1:4">
      <c r="B481" s="1112" t="s">
        <v>1211</v>
      </c>
      <c r="C481" s="1165" t="s">
        <v>1050</v>
      </c>
      <c r="D481" s="1174">
        <v>611</v>
      </c>
    </row>
    <row r="482" spans="1:4">
      <c r="B482" s="1112" t="s">
        <v>1189</v>
      </c>
      <c r="C482" s="1165" t="s">
        <v>1190</v>
      </c>
      <c r="D482" s="1167">
        <v>58</v>
      </c>
    </row>
    <row r="483" spans="1:4">
      <c r="B483" s="1112" t="s">
        <v>1185</v>
      </c>
      <c r="C483" s="1165" t="s">
        <v>1186</v>
      </c>
      <c r="D483" s="1167">
        <f>24.8*58.7</f>
        <v>1455.76</v>
      </c>
    </row>
    <row r="484" spans="1:4">
      <c r="B484" s="1112" t="s">
        <v>1187</v>
      </c>
      <c r="C484" s="1165" t="s">
        <v>1186</v>
      </c>
      <c r="D484" s="1167">
        <f>20*58.7</f>
        <v>1174</v>
      </c>
    </row>
    <row r="485" spans="1:4">
      <c r="B485" s="1112" t="s">
        <v>1192</v>
      </c>
      <c r="C485" s="1165" t="s">
        <v>1042</v>
      </c>
      <c r="D485" s="1171">
        <v>900</v>
      </c>
    </row>
    <row r="486" spans="1:4">
      <c r="B486" s="1112" t="s">
        <v>1193</v>
      </c>
      <c r="C486" s="1165" t="s">
        <v>1167</v>
      </c>
      <c r="D486" s="1167">
        <f>35*18</f>
        <v>630</v>
      </c>
    </row>
    <row r="487" spans="1:4">
      <c r="B487" s="1112" t="s">
        <v>1178</v>
      </c>
      <c r="C487" s="1165" t="s">
        <v>1042</v>
      </c>
      <c r="D487" s="1167">
        <v>9000</v>
      </c>
    </row>
    <row r="488" spans="1:4">
      <c r="B488" s="1112" t="s">
        <v>1180</v>
      </c>
      <c r="C488" s="1165" t="s">
        <v>1042</v>
      </c>
      <c r="D488" s="1167">
        <v>9500</v>
      </c>
    </row>
    <row r="489" spans="1:4" ht="31.5">
      <c r="B489" s="1112" t="s">
        <v>1181</v>
      </c>
      <c r="C489" s="1165" t="s">
        <v>1042</v>
      </c>
      <c r="D489" s="1167">
        <v>10800</v>
      </c>
    </row>
    <row r="490" spans="1:4">
      <c r="B490" s="1112" t="s">
        <v>1182</v>
      </c>
      <c r="C490" s="1165" t="s">
        <v>1183</v>
      </c>
      <c r="D490" s="1167">
        <v>1700</v>
      </c>
    </row>
    <row r="491" spans="1:4">
      <c r="B491" s="1112" t="s">
        <v>989</v>
      </c>
      <c r="C491" s="1165" t="s">
        <v>1106</v>
      </c>
      <c r="D491" s="1167">
        <v>5</v>
      </c>
    </row>
    <row r="492" spans="1:4">
      <c r="B492" s="1112" t="s">
        <v>1721</v>
      </c>
      <c r="C492" s="1165" t="s">
        <v>1166</v>
      </c>
      <c r="D492" s="1167">
        <v>5800</v>
      </c>
    </row>
    <row r="493" spans="1:4">
      <c r="A493" s="1111" t="s">
        <v>1741</v>
      </c>
      <c r="B493" s="1112" t="s">
        <v>1722</v>
      </c>
      <c r="C493" s="1165" t="s">
        <v>1166</v>
      </c>
      <c r="D493" s="1167">
        <f>8000*1.18</f>
        <v>9440</v>
      </c>
    </row>
    <row r="494" spans="1:4">
      <c r="A494" s="1111" t="s">
        <v>1741</v>
      </c>
      <c r="B494" s="1112" t="s">
        <v>951</v>
      </c>
      <c r="C494" s="1165" t="s">
        <v>1042</v>
      </c>
      <c r="D494" s="1167">
        <v>5200</v>
      </c>
    </row>
    <row r="495" spans="1:4">
      <c r="B495" s="1112" t="s">
        <v>1169</v>
      </c>
      <c r="C495" s="1165" t="s">
        <v>1056</v>
      </c>
      <c r="D495" s="1167">
        <f>22.46*1.18+22500/13000</f>
        <v>28.23</v>
      </c>
    </row>
    <row r="496" spans="1:4">
      <c r="B496" s="1112" t="s">
        <v>1171</v>
      </c>
      <c r="C496" s="1165" t="s">
        <v>1056</v>
      </c>
      <c r="D496" s="1167">
        <f>27.54*1.18+22500/13000</f>
        <v>34.229999999999997</v>
      </c>
    </row>
    <row r="497" spans="2:4">
      <c r="B497" s="1112" t="s">
        <v>1172</v>
      </c>
      <c r="C497" s="1165" t="s">
        <v>1056</v>
      </c>
      <c r="D497" s="1167">
        <f>467981.88/4263</f>
        <v>109.78</v>
      </c>
    </row>
    <row r="498" spans="2:4">
      <c r="B498" s="1112" t="s">
        <v>1213</v>
      </c>
      <c r="C498" s="1165" t="s">
        <v>1050</v>
      </c>
      <c r="D498" s="1174">
        <v>178</v>
      </c>
    </row>
    <row r="499" spans="2:4">
      <c r="B499" s="1112" t="s">
        <v>1214</v>
      </c>
      <c r="C499" s="1165" t="s">
        <v>1050</v>
      </c>
      <c r="D499" s="1174">
        <v>62</v>
      </c>
    </row>
    <row r="500" spans="2:4">
      <c r="B500" s="1112" t="s">
        <v>1215</v>
      </c>
      <c r="C500" s="1165" t="s">
        <v>1050</v>
      </c>
      <c r="D500" s="1174">
        <v>54.87</v>
      </c>
    </row>
    <row r="501" spans="2:4">
      <c r="B501" s="1112" t="s">
        <v>1216</v>
      </c>
      <c r="C501" s="1165" t="s">
        <v>1050</v>
      </c>
      <c r="D501" s="1174">
        <v>277.3</v>
      </c>
    </row>
    <row r="502" spans="2:4">
      <c r="B502" s="1112" t="s">
        <v>1217</v>
      </c>
      <c r="C502" s="1165" t="s">
        <v>1050</v>
      </c>
      <c r="D502" s="1174">
        <v>75.16</v>
      </c>
    </row>
    <row r="503" spans="2:4">
      <c r="B503" s="1112" t="s">
        <v>1210</v>
      </c>
      <c r="C503" s="1165" t="s">
        <v>1050</v>
      </c>
      <c r="D503" s="1174">
        <v>33</v>
      </c>
    </row>
    <row r="504" spans="2:4">
      <c r="B504" s="1112" t="s">
        <v>1218</v>
      </c>
      <c r="C504" s="1165" t="s">
        <v>1050</v>
      </c>
      <c r="D504" s="1174">
        <v>1139</v>
      </c>
    </row>
    <row r="505" spans="2:4">
      <c r="B505" s="1112" t="s">
        <v>1219</v>
      </c>
      <c r="C505" s="1165" t="s">
        <v>1050</v>
      </c>
      <c r="D505" s="1174">
        <v>596</v>
      </c>
    </row>
    <row r="506" spans="2:4">
      <c r="B506" s="1112" t="s">
        <v>1220</v>
      </c>
      <c r="C506" s="1165" t="s">
        <v>1050</v>
      </c>
      <c r="D506" s="1174">
        <v>702</v>
      </c>
    </row>
    <row r="507" spans="2:4">
      <c r="B507" s="1172" t="s">
        <v>1221</v>
      </c>
      <c r="C507" s="1165" t="s">
        <v>1000</v>
      </c>
      <c r="D507" s="1174">
        <f>+'[50]Analisis Parque lineal'!G1493</f>
        <v>358.96</v>
      </c>
    </row>
    <row r="508" spans="2:4">
      <c r="B508" s="1172" t="s">
        <v>1566</v>
      </c>
      <c r="C508" s="1165" t="s">
        <v>1050</v>
      </c>
      <c r="D508" s="1174">
        <v>186.92</v>
      </c>
    </row>
    <row r="509" spans="2:4">
      <c r="B509" s="1172" t="s">
        <v>1567</v>
      </c>
      <c r="C509" s="1165" t="s">
        <v>1050</v>
      </c>
      <c r="D509" s="1174">
        <v>92</v>
      </c>
    </row>
    <row r="510" spans="2:4">
      <c r="B510" s="1172" t="s">
        <v>1287</v>
      </c>
      <c r="C510" s="1165" t="s">
        <v>1050</v>
      </c>
      <c r="D510" s="1174">
        <v>70.09</v>
      </c>
    </row>
    <row r="511" spans="2:4" ht="31.5">
      <c r="B511" s="1112" t="s">
        <v>1222</v>
      </c>
      <c r="C511" s="1165" t="s">
        <v>1042</v>
      </c>
      <c r="D511" s="1174">
        <v>5569</v>
      </c>
    </row>
    <row r="512" spans="2:4">
      <c r="B512" s="1112" t="s">
        <v>1223</v>
      </c>
      <c r="C512" s="1165" t="s">
        <v>1042</v>
      </c>
      <c r="D512" s="1174">
        <v>7514</v>
      </c>
    </row>
    <row r="513" spans="2:4">
      <c r="B513" s="1112" t="s">
        <v>1224</v>
      </c>
      <c r="C513" s="1165" t="s">
        <v>1225</v>
      </c>
      <c r="D513" s="1174">
        <v>114</v>
      </c>
    </row>
    <row r="514" spans="2:4">
      <c r="B514" s="1112" t="s">
        <v>1226</v>
      </c>
      <c r="C514" s="1165" t="s">
        <v>1000</v>
      </c>
      <c r="D514" s="1174">
        <f>'[51]Analisis Parque lineal'!G1491</f>
        <v>1323.38</v>
      </c>
    </row>
    <row r="515" spans="2:4">
      <c r="B515" s="1112" t="s">
        <v>1227</v>
      </c>
      <c r="C515" s="1165" t="s">
        <v>1088</v>
      </c>
      <c r="D515" s="1174">
        <f>'[51]Analisis Parque lineal'!G1544*2</f>
        <v>129.65</v>
      </c>
    </row>
    <row r="516" spans="2:4">
      <c r="B516" s="1112" t="s">
        <v>1228</v>
      </c>
      <c r="C516" s="1165" t="s">
        <v>1042</v>
      </c>
      <c r="D516" s="1174">
        <f>'[51]Analisis Parque lineal'!G1027</f>
        <v>309.76</v>
      </c>
    </row>
    <row r="517" spans="2:4">
      <c r="B517" s="1112" t="s">
        <v>1338</v>
      </c>
      <c r="C517" s="1165" t="s">
        <v>1339</v>
      </c>
      <c r="D517" s="1167">
        <v>11635.98</v>
      </c>
    </row>
    <row r="518" spans="2:4">
      <c r="B518" s="1112" t="s">
        <v>1237</v>
      </c>
      <c r="C518" s="1165" t="s">
        <v>1183</v>
      </c>
      <c r="D518" s="1167">
        <v>2995</v>
      </c>
    </row>
    <row r="519" spans="2:4">
      <c r="B519" s="1112" t="s">
        <v>1572</v>
      </c>
      <c r="C519" s="1165" t="s">
        <v>1239</v>
      </c>
      <c r="D519" s="1167">
        <f>3.84*56.9</f>
        <v>218.5</v>
      </c>
    </row>
    <row r="520" spans="2:4">
      <c r="B520" s="1112" t="s">
        <v>1240</v>
      </c>
      <c r="C520" s="1165" t="s">
        <v>1183</v>
      </c>
      <c r="D520" s="1167">
        <v>175</v>
      </c>
    </row>
    <row r="521" spans="2:4">
      <c r="B521" s="1112" t="s">
        <v>1241</v>
      </c>
      <c r="C521" s="1165" t="s">
        <v>1106</v>
      </c>
      <c r="D521" s="1167">
        <v>4750</v>
      </c>
    </row>
    <row r="522" spans="2:4" ht="31.5">
      <c r="B522" s="1112" t="s">
        <v>1242</v>
      </c>
      <c r="C522" s="1165" t="s">
        <v>1106</v>
      </c>
      <c r="D522" s="1167">
        <v>2000</v>
      </c>
    </row>
    <row r="523" spans="2:4">
      <c r="B523" s="1112" t="s">
        <v>1243</v>
      </c>
      <c r="C523" s="1165" t="s">
        <v>1106</v>
      </c>
      <c r="D523" s="1167">
        <v>2150</v>
      </c>
    </row>
    <row r="524" spans="2:4">
      <c r="B524" s="1168" t="s">
        <v>1244</v>
      </c>
      <c r="C524" s="1165" t="s">
        <v>1106</v>
      </c>
      <c r="D524" s="1167">
        <f>1161.33*1.18</f>
        <v>1370.37</v>
      </c>
    </row>
    <row r="525" spans="2:4">
      <c r="B525" s="1112" t="s">
        <v>1565</v>
      </c>
      <c r="C525" s="1165" t="s">
        <v>1106</v>
      </c>
      <c r="D525" s="1167">
        <f>926.25*1.18</f>
        <v>1092.98</v>
      </c>
    </row>
    <row r="526" spans="2:4">
      <c r="B526" s="1112" t="s">
        <v>1245</v>
      </c>
      <c r="C526" s="1165" t="s">
        <v>1106</v>
      </c>
      <c r="D526" s="1167">
        <f>476.78*1.18</f>
        <v>562.6</v>
      </c>
    </row>
    <row r="527" spans="2:4">
      <c r="B527" s="1112" t="s">
        <v>1246</v>
      </c>
      <c r="C527" s="1165" t="s">
        <v>1106</v>
      </c>
      <c r="D527" s="1167">
        <v>230</v>
      </c>
    </row>
    <row r="528" spans="2:4">
      <c r="B528" s="1112" t="s">
        <v>1247</v>
      </c>
      <c r="C528" s="1165" t="s">
        <v>1106</v>
      </c>
      <c r="D528" s="1167">
        <v>100</v>
      </c>
    </row>
    <row r="529" spans="2:4">
      <c r="B529" s="1112" t="s">
        <v>1248</v>
      </c>
      <c r="C529" s="1165" t="s">
        <v>1106</v>
      </c>
      <c r="D529" s="1167">
        <v>109</v>
      </c>
    </row>
    <row r="530" spans="2:4">
      <c r="B530" s="1112" t="s">
        <v>1249</v>
      </c>
      <c r="C530" s="1165" t="s">
        <v>1106</v>
      </c>
      <c r="D530" s="1167">
        <v>25</v>
      </c>
    </row>
    <row r="531" spans="2:4">
      <c r="B531" s="1112" t="s">
        <v>1250</v>
      </c>
      <c r="C531" s="1165" t="s">
        <v>1106</v>
      </c>
      <c r="D531" s="1167">
        <v>90</v>
      </c>
    </row>
    <row r="532" spans="2:4">
      <c r="B532" s="1112" t="s">
        <v>1251</v>
      </c>
      <c r="C532" s="1165" t="s">
        <v>1106</v>
      </c>
      <c r="D532" s="1167">
        <v>30</v>
      </c>
    </row>
    <row r="533" spans="2:4">
      <c r="B533" s="1112" t="s">
        <v>1252</v>
      </c>
      <c r="C533" s="1165" t="s">
        <v>1106</v>
      </c>
      <c r="D533" s="1167">
        <v>145</v>
      </c>
    </row>
    <row r="534" spans="2:4">
      <c r="B534" s="1112" t="s">
        <v>1253</v>
      </c>
      <c r="C534" s="1165" t="s">
        <v>1106</v>
      </c>
      <c r="D534" s="1167">
        <v>30</v>
      </c>
    </row>
    <row r="535" spans="2:4">
      <c r="B535" s="1112" t="s">
        <v>1254</v>
      </c>
      <c r="C535" s="1165" t="s">
        <v>1106</v>
      </c>
      <c r="D535" s="1167">
        <v>625</v>
      </c>
    </row>
    <row r="536" spans="2:4">
      <c r="B536" s="1112" t="s">
        <v>1255</v>
      </c>
      <c r="C536" s="1165" t="s">
        <v>1106</v>
      </c>
      <c r="D536" s="1167">
        <v>35</v>
      </c>
    </row>
    <row r="537" spans="2:4">
      <c r="B537" s="1112" t="s">
        <v>1256</v>
      </c>
      <c r="C537" s="1165" t="s">
        <v>1106</v>
      </c>
      <c r="D537" s="1167">
        <v>55</v>
      </c>
    </row>
    <row r="538" spans="2:4">
      <c r="B538" s="1112" t="s">
        <v>1257</v>
      </c>
      <c r="C538" s="1165" t="s">
        <v>1183</v>
      </c>
      <c r="D538" s="1167">
        <v>995</v>
      </c>
    </row>
    <row r="539" spans="2:4">
      <c r="B539" s="1112" t="s">
        <v>1258</v>
      </c>
      <c r="C539" s="1165" t="s">
        <v>1106</v>
      </c>
      <c r="D539" s="1167">
        <v>150</v>
      </c>
    </row>
    <row r="540" spans="2:4">
      <c r="B540" s="1112" t="s">
        <v>1259</v>
      </c>
      <c r="C540" s="1165" t="s">
        <v>1106</v>
      </c>
      <c r="D540" s="1167">
        <v>1795</v>
      </c>
    </row>
    <row r="541" spans="2:4">
      <c r="B541" s="1112" t="s">
        <v>1260</v>
      </c>
      <c r="C541" s="1165" t="s">
        <v>1106</v>
      </c>
      <c r="D541" s="1167">
        <v>1300</v>
      </c>
    </row>
    <row r="542" spans="2:4">
      <c r="B542" s="1112" t="s">
        <v>1261</v>
      </c>
      <c r="C542" s="1165" t="s">
        <v>1106</v>
      </c>
      <c r="D542" s="1167">
        <v>250</v>
      </c>
    </row>
    <row r="543" spans="2:4">
      <c r="B543" s="1112" t="s">
        <v>1262</v>
      </c>
      <c r="C543" s="1165" t="s">
        <v>1106</v>
      </c>
      <c r="D543" s="1167">
        <v>20</v>
      </c>
    </row>
    <row r="544" spans="2:4">
      <c r="B544" s="1112" t="s">
        <v>1263</v>
      </c>
      <c r="C544" s="1165" t="s">
        <v>1106</v>
      </c>
      <c r="D544" s="1167">
        <v>30</v>
      </c>
    </row>
    <row r="545" spans="2:4">
      <c r="B545" s="1168" t="s">
        <v>1264</v>
      </c>
      <c r="C545" s="1165" t="s">
        <v>1106</v>
      </c>
      <c r="D545" s="1167">
        <v>35</v>
      </c>
    </row>
    <row r="546" spans="2:4">
      <c r="B546" s="1112" t="s">
        <v>1265</v>
      </c>
      <c r="C546" s="1165" t="s">
        <v>1196</v>
      </c>
      <c r="D546" s="1167">
        <v>825</v>
      </c>
    </row>
    <row r="547" spans="2:4">
      <c r="B547" s="1112" t="s">
        <v>1266</v>
      </c>
      <c r="C547" s="1165" t="s">
        <v>1106</v>
      </c>
      <c r="D547" s="1167">
        <v>120</v>
      </c>
    </row>
    <row r="548" spans="2:4" ht="31.5">
      <c r="B548" s="1112" t="s">
        <v>1267</v>
      </c>
      <c r="C548" s="1165" t="s">
        <v>1106</v>
      </c>
      <c r="D548" s="1167">
        <v>250</v>
      </c>
    </row>
    <row r="549" spans="2:4">
      <c r="B549" s="1112" t="s">
        <v>1268</v>
      </c>
      <c r="C549" s="1165" t="s">
        <v>1106</v>
      </c>
      <c r="D549" s="1167">
        <v>120</v>
      </c>
    </row>
    <row r="550" spans="2:4">
      <c r="B550" s="1112" t="s">
        <v>1269</v>
      </c>
      <c r="C550" s="1165" t="s">
        <v>1270</v>
      </c>
      <c r="D550" s="1167">
        <v>20</v>
      </c>
    </row>
    <row r="551" spans="2:4">
      <c r="B551" s="1112" t="s">
        <v>1271</v>
      </c>
      <c r="C551" s="1165" t="s">
        <v>1106</v>
      </c>
      <c r="D551" s="1167">
        <v>85</v>
      </c>
    </row>
    <row r="552" spans="2:4">
      <c r="B552" s="1112" t="s">
        <v>1272</v>
      </c>
      <c r="C552" s="1165" t="s">
        <v>1270</v>
      </c>
      <c r="D552" s="1167">
        <v>95</v>
      </c>
    </row>
    <row r="553" spans="2:4">
      <c r="B553" s="1112" t="s">
        <v>1274</v>
      </c>
      <c r="C553" s="1165" t="s">
        <v>1106</v>
      </c>
      <c r="D553" s="1167">
        <v>195</v>
      </c>
    </row>
    <row r="554" spans="2:4" ht="31.5">
      <c r="B554" s="1112" t="s">
        <v>1275</v>
      </c>
      <c r="C554" s="1165" t="s">
        <v>1106</v>
      </c>
      <c r="D554" s="1167">
        <v>63</v>
      </c>
    </row>
    <row r="555" spans="2:4">
      <c r="B555" s="1112" t="s">
        <v>1276</v>
      </c>
      <c r="C555" s="1165" t="s">
        <v>1225</v>
      </c>
      <c r="D555" s="1167">
        <v>395</v>
      </c>
    </row>
    <row r="556" spans="2:4">
      <c r="B556" s="1112" t="s">
        <v>1277</v>
      </c>
      <c r="C556" s="1165" t="s">
        <v>1106</v>
      </c>
      <c r="D556" s="1167">
        <v>395</v>
      </c>
    </row>
    <row r="557" spans="2:4">
      <c r="B557" s="1112" t="s">
        <v>1278</v>
      </c>
      <c r="C557" s="1165" t="s">
        <v>1106</v>
      </c>
      <c r="D557" s="1167">
        <v>96</v>
      </c>
    </row>
    <row r="558" spans="2:4">
      <c r="B558" s="1112" t="s">
        <v>1279</v>
      </c>
      <c r="C558" s="1165" t="s">
        <v>1106</v>
      </c>
      <c r="D558" s="1167">
        <v>7975</v>
      </c>
    </row>
    <row r="559" spans="2:4">
      <c r="B559" s="1112" t="s">
        <v>1280</v>
      </c>
      <c r="C559" s="1165" t="s">
        <v>1106</v>
      </c>
      <c r="D559" s="1167">
        <v>475</v>
      </c>
    </row>
    <row r="560" spans="2:4">
      <c r="B560" s="1112" t="s">
        <v>1281</v>
      </c>
      <c r="C560" s="1165" t="s">
        <v>1106</v>
      </c>
      <c r="D560" s="1167">
        <v>85</v>
      </c>
    </row>
    <row r="561" spans="2:4">
      <c r="B561" s="1112" t="s">
        <v>1282</v>
      </c>
      <c r="C561" s="1165" t="s">
        <v>1106</v>
      </c>
      <c r="D561" s="1167">
        <v>240</v>
      </c>
    </row>
    <row r="562" spans="2:4">
      <c r="B562" s="1112" t="s">
        <v>1283</v>
      </c>
      <c r="C562" s="1165" t="s">
        <v>1106</v>
      </c>
      <c r="D562" s="1167">
        <v>20</v>
      </c>
    </row>
    <row r="563" spans="2:4">
      <c r="B563" s="1112" t="s">
        <v>1284</v>
      </c>
      <c r="C563" s="1165" t="s">
        <v>1106</v>
      </c>
      <c r="D563" s="1167">
        <v>35</v>
      </c>
    </row>
    <row r="564" spans="2:4" ht="31.5">
      <c r="B564" s="1112" t="s">
        <v>1285</v>
      </c>
      <c r="C564" s="1165" t="s">
        <v>1106</v>
      </c>
      <c r="D564" s="1167">
        <v>1395</v>
      </c>
    </row>
    <row r="565" spans="2:4">
      <c r="B565" s="1112" t="s">
        <v>1286</v>
      </c>
      <c r="C565" s="1165" t="s">
        <v>1106</v>
      </c>
      <c r="D565" s="1167">
        <v>822.46</v>
      </c>
    </row>
    <row r="566" spans="2:4">
      <c r="B566" s="1112" t="s">
        <v>1278</v>
      </c>
      <c r="C566" s="1165" t="s">
        <v>1106</v>
      </c>
      <c r="D566" s="1167">
        <v>85</v>
      </c>
    </row>
    <row r="567" spans="2:4">
      <c r="B567" s="1112" t="s">
        <v>1287</v>
      </c>
      <c r="C567" s="1165" t="s">
        <v>1106</v>
      </c>
      <c r="D567" s="1177">
        <v>85</v>
      </c>
    </row>
    <row r="568" spans="2:4">
      <c r="B568" s="1112" t="s">
        <v>1749</v>
      </c>
      <c r="C568" s="1165" t="s">
        <v>1045</v>
      </c>
      <c r="D568" s="1167">
        <v>550</v>
      </c>
    </row>
    <row r="569" spans="2:4">
      <c r="B569" s="1112" t="s">
        <v>1750</v>
      </c>
      <c r="C569" s="1165" t="s">
        <v>1045</v>
      </c>
      <c r="D569" s="1167">
        <v>320</v>
      </c>
    </row>
    <row r="570" spans="2:4">
      <c r="B570" s="1112" t="s">
        <v>1751</v>
      </c>
      <c r="C570" s="1165" t="s">
        <v>1045</v>
      </c>
      <c r="D570" s="1167">
        <f>1274/5.9</f>
        <v>215.93</v>
      </c>
    </row>
    <row r="571" spans="2:4">
      <c r="B571" s="1112" t="s">
        <v>1293</v>
      </c>
      <c r="C571" s="1165" t="s">
        <v>1000</v>
      </c>
      <c r="D571" s="1167">
        <f>6*1.18*58.7</f>
        <v>415.6</v>
      </c>
    </row>
    <row r="572" spans="2:4">
      <c r="B572" s="1112" t="s">
        <v>1295</v>
      </c>
      <c r="C572" s="1165" t="s">
        <v>1000</v>
      </c>
      <c r="D572" s="1167">
        <f>+(2.7*1.18+0.3)*58.6</f>
        <v>204.28</v>
      </c>
    </row>
    <row r="573" spans="2:4">
      <c r="B573" s="1112" t="s">
        <v>1752</v>
      </c>
      <c r="C573" s="1165" t="s">
        <v>1062</v>
      </c>
      <c r="D573" s="1167">
        <f>+D183</f>
        <v>3600</v>
      </c>
    </row>
    <row r="574" spans="2:4">
      <c r="B574" s="1112" t="s">
        <v>1297</v>
      </c>
      <c r="C574" s="1165" t="s">
        <v>1062</v>
      </c>
      <c r="D574" s="1167">
        <f>+D573</f>
        <v>3600</v>
      </c>
    </row>
    <row r="575" spans="2:4">
      <c r="B575" s="1112" t="s">
        <v>1300</v>
      </c>
      <c r="C575" s="1165" t="s">
        <v>1000</v>
      </c>
      <c r="D575" s="1167">
        <f>55*56.9</f>
        <v>3129.5</v>
      </c>
    </row>
    <row r="576" spans="2:4">
      <c r="B576" s="1112" t="s">
        <v>1302</v>
      </c>
      <c r="C576" s="1165" t="s">
        <v>1000</v>
      </c>
      <c r="D576" s="1167">
        <v>772</v>
      </c>
    </row>
    <row r="577" spans="2:4">
      <c r="B577" s="1112" t="s">
        <v>1303</v>
      </c>
      <c r="C577" s="1165" t="s">
        <v>1238</v>
      </c>
      <c r="D577" s="1167">
        <v>13482</v>
      </c>
    </row>
    <row r="578" spans="2:4">
      <c r="B578" s="1112" t="s">
        <v>1304</v>
      </c>
      <c r="C578" s="1165" t="s">
        <v>1056</v>
      </c>
      <c r="D578" s="1167">
        <v>7</v>
      </c>
    </row>
    <row r="579" spans="2:4">
      <c r="B579" s="1112" t="s">
        <v>1307</v>
      </c>
      <c r="C579" s="1165" t="s">
        <v>1000</v>
      </c>
      <c r="D579" s="1167">
        <f>15*56.9</f>
        <v>853.5</v>
      </c>
    </row>
    <row r="580" spans="2:4">
      <c r="B580" s="1112" t="s">
        <v>1308</v>
      </c>
      <c r="C580" s="1165" t="s">
        <v>1045</v>
      </c>
      <c r="D580" s="1167">
        <f>4*56.9</f>
        <v>227.6</v>
      </c>
    </row>
    <row r="581" spans="2:4" ht="31.5">
      <c r="B581" s="1112" t="s">
        <v>1310</v>
      </c>
      <c r="C581" s="1165" t="s">
        <v>1056</v>
      </c>
      <c r="D581" s="1167">
        <v>49000</v>
      </c>
    </row>
    <row r="582" spans="2:4" ht="31.5">
      <c r="B582" s="1168" t="s">
        <v>1588</v>
      </c>
      <c r="C582" s="1165" t="s">
        <v>1056</v>
      </c>
      <c r="D582" s="1167">
        <v>8500</v>
      </c>
    </row>
    <row r="583" spans="2:4">
      <c r="B583" s="1112" t="s">
        <v>998</v>
      </c>
      <c r="C583" s="1165" t="s">
        <v>1042</v>
      </c>
      <c r="D583" s="1167">
        <v>7200</v>
      </c>
    </row>
    <row r="584" spans="2:4">
      <c r="B584" s="1112" t="s">
        <v>1312</v>
      </c>
      <c r="C584" s="1165" t="s">
        <v>1056</v>
      </c>
      <c r="D584" s="1167">
        <v>450</v>
      </c>
    </row>
    <row r="585" spans="2:4">
      <c r="B585" s="1112" t="s">
        <v>1313</v>
      </c>
      <c r="C585" s="1165" t="s">
        <v>1056</v>
      </c>
      <c r="D585" s="1167">
        <v>3775</v>
      </c>
    </row>
    <row r="586" spans="2:4">
      <c r="B586" s="1112" t="s">
        <v>1314</v>
      </c>
      <c r="C586" s="1165" t="s">
        <v>1056</v>
      </c>
      <c r="D586" s="1167">
        <v>395</v>
      </c>
    </row>
    <row r="587" spans="2:4">
      <c r="B587" s="1112" t="s">
        <v>1315</v>
      </c>
      <c r="C587" s="1165" t="s">
        <v>1056</v>
      </c>
      <c r="D587" s="1167">
        <v>20</v>
      </c>
    </row>
    <row r="588" spans="2:4" ht="31.5">
      <c r="B588" s="1112" t="s">
        <v>1316</v>
      </c>
      <c r="C588" s="1165" t="s">
        <v>1056</v>
      </c>
      <c r="D588" s="1167">
        <v>67343</v>
      </c>
    </row>
    <row r="589" spans="2:4">
      <c r="B589" s="1112" t="s">
        <v>1317</v>
      </c>
      <c r="C589" s="1165" t="s">
        <v>1042</v>
      </c>
      <c r="D589" s="1167">
        <f>5650+300</f>
        <v>5950</v>
      </c>
    </row>
    <row r="590" spans="2:4">
      <c r="B590" s="1112" t="s">
        <v>1319</v>
      </c>
      <c r="C590" s="1165" t="s">
        <v>1000</v>
      </c>
    </row>
    <row r="591" spans="2:4">
      <c r="B591" s="1112" t="s">
        <v>1320</v>
      </c>
      <c r="C591" s="1165" t="s">
        <v>1197</v>
      </c>
      <c r="D591" s="1167">
        <v>395</v>
      </c>
    </row>
    <row r="592" spans="2:4">
      <c r="B592" s="1112" t="s">
        <v>1321</v>
      </c>
      <c r="C592" s="1165" t="s">
        <v>1322</v>
      </c>
      <c r="D592" s="1167">
        <v>1895</v>
      </c>
    </row>
    <row r="593" spans="2:4">
      <c r="B593" s="1112" t="s">
        <v>1323</v>
      </c>
      <c r="C593" s="1165" t="s">
        <v>1056</v>
      </c>
      <c r="D593" s="1167">
        <v>1063</v>
      </c>
    </row>
    <row r="594" spans="2:4">
      <c r="B594" s="1112" t="s">
        <v>1324</v>
      </c>
      <c r="C594" s="1165" t="s">
        <v>1056</v>
      </c>
    </row>
    <row r="595" spans="2:4">
      <c r="B595" s="1112" t="s">
        <v>1325</v>
      </c>
      <c r="C595" s="1165" t="s">
        <v>1056</v>
      </c>
      <c r="D595" s="1167">
        <v>75000</v>
      </c>
    </row>
    <row r="596" spans="2:4">
      <c r="B596" s="1112" t="s">
        <v>1326</v>
      </c>
      <c r="C596" s="1165" t="s">
        <v>1025</v>
      </c>
      <c r="D596" s="1167">
        <v>5</v>
      </c>
    </row>
    <row r="597" spans="2:4">
      <c r="B597" s="1112" t="s">
        <v>1327</v>
      </c>
      <c r="C597" s="1165" t="s">
        <v>1000</v>
      </c>
      <c r="D597" s="1167">
        <v>5</v>
      </c>
    </row>
    <row r="598" spans="2:4">
      <c r="B598" s="1112" t="s">
        <v>1328</v>
      </c>
      <c r="C598" s="1165" t="s">
        <v>1190</v>
      </c>
      <c r="D598" s="1167">
        <v>56</v>
      </c>
    </row>
    <row r="599" spans="2:4">
      <c r="B599" s="1112" t="s">
        <v>1329</v>
      </c>
      <c r="C599" s="1165" t="s">
        <v>10</v>
      </c>
      <c r="D599" s="1167">
        <v>700</v>
      </c>
    </row>
    <row r="600" spans="2:4">
      <c r="B600" s="1112" t="s">
        <v>1330</v>
      </c>
      <c r="C600" s="1165" t="s">
        <v>1331</v>
      </c>
      <c r="D600" s="1167">
        <v>32</v>
      </c>
    </row>
    <row r="601" spans="2:4">
      <c r="B601" s="1112" t="s">
        <v>1332</v>
      </c>
      <c r="C601" s="1165" t="s">
        <v>1331</v>
      </c>
      <c r="D601" s="1167">
        <v>32</v>
      </c>
    </row>
    <row r="602" spans="2:4">
      <c r="B602" s="1112" t="s">
        <v>1333</v>
      </c>
      <c r="C602" s="1165" t="s">
        <v>1056</v>
      </c>
      <c r="D602" s="1167">
        <v>143</v>
      </c>
    </row>
    <row r="603" spans="2:4">
      <c r="B603" s="1112" t="s">
        <v>1334</v>
      </c>
      <c r="C603" s="1165" t="s">
        <v>10</v>
      </c>
      <c r="D603" s="1167">
        <v>80</v>
      </c>
    </row>
    <row r="604" spans="2:4">
      <c r="B604" s="1112" t="s">
        <v>1010</v>
      </c>
      <c r="C604" s="1165" t="s">
        <v>10</v>
      </c>
      <c r="D604" s="1167">
        <f>+'[50]Presupuesto Las ballenas'!G23+'[50]Presupuesto Las ballenas'!G27+'[50]Presupuesto Las ballenas'!G30+'[50]Presupuesto Las ballenas'!G32</f>
        <v>895343.5</v>
      </c>
    </row>
    <row r="605" spans="2:4">
      <c r="B605" s="1112" t="s">
        <v>1009</v>
      </c>
      <c r="C605" s="1165" t="s">
        <v>1000</v>
      </c>
      <c r="D605" s="1167">
        <v>1320</v>
      </c>
    </row>
    <row r="606" spans="2:4">
      <c r="B606" s="1112" t="s">
        <v>1335</v>
      </c>
      <c r="C606" s="1165" t="s">
        <v>1336</v>
      </c>
      <c r="D606" s="1167">
        <f>65*4.67</f>
        <v>303.55</v>
      </c>
    </row>
    <row r="607" spans="2:4">
      <c r="B607" s="1112" t="s">
        <v>1337</v>
      </c>
      <c r="C607" s="1165" t="s">
        <v>1336</v>
      </c>
      <c r="D607" s="1167">
        <f>61.36*8</f>
        <v>490.88</v>
      </c>
    </row>
    <row r="608" spans="2:4">
      <c r="B608" s="1112" t="s">
        <v>1338</v>
      </c>
      <c r="C608" s="1165" t="s">
        <v>1339</v>
      </c>
      <c r="D608" s="1167">
        <v>11636</v>
      </c>
    </row>
    <row r="609" spans="2:4">
      <c r="B609" s="1112" t="s">
        <v>1342</v>
      </c>
      <c r="C609" s="1165" t="s">
        <v>1056</v>
      </c>
      <c r="D609" s="1167">
        <v>232</v>
      </c>
    </row>
    <row r="610" spans="2:4">
      <c r="B610" s="1112" t="s">
        <v>1343</v>
      </c>
      <c r="C610" s="1165" t="s">
        <v>1056</v>
      </c>
      <c r="D610" s="1167">
        <v>299</v>
      </c>
    </row>
    <row r="611" spans="2:4">
      <c r="B611" s="1112" t="s">
        <v>1344</v>
      </c>
      <c r="C611" s="1165" t="s">
        <v>1345</v>
      </c>
      <c r="D611" s="1167">
        <v>1419</v>
      </c>
    </row>
    <row r="612" spans="2:4">
      <c r="B612" s="1112" t="s">
        <v>1346</v>
      </c>
      <c r="C612" s="1165" t="s">
        <v>1190</v>
      </c>
      <c r="D612" s="1167">
        <v>165</v>
      </c>
    </row>
    <row r="613" spans="2:4">
      <c r="B613" s="1112" t="s">
        <v>1347</v>
      </c>
      <c r="C613" s="1165" t="s">
        <v>1190</v>
      </c>
      <c r="D613" s="1167">
        <v>158</v>
      </c>
    </row>
    <row r="614" spans="2:4">
      <c r="B614" s="1112" t="s">
        <v>1348</v>
      </c>
      <c r="C614" s="1165" t="s">
        <v>1056</v>
      </c>
      <c r="D614" s="1167">
        <v>120</v>
      </c>
    </row>
    <row r="615" spans="2:4">
      <c r="B615" s="1112" t="s">
        <v>1349</v>
      </c>
      <c r="C615" s="1165" t="s">
        <v>1350</v>
      </c>
      <c r="D615" s="1167">
        <v>8</v>
      </c>
    </row>
    <row r="616" spans="2:4">
      <c r="B616" s="1112" t="s">
        <v>1351</v>
      </c>
      <c r="C616" s="1165" t="s">
        <v>1196</v>
      </c>
      <c r="D616" s="1167">
        <v>532</v>
      </c>
    </row>
    <row r="617" spans="2:4">
      <c r="B617" s="1112" t="s">
        <v>1352</v>
      </c>
      <c r="C617" s="1165" t="s">
        <v>1106</v>
      </c>
      <c r="D617" s="1167">
        <v>209</v>
      </c>
    </row>
    <row r="618" spans="2:4">
      <c r="B618" s="1112" t="s">
        <v>1353</v>
      </c>
      <c r="C618" s="1165" t="s">
        <v>1106</v>
      </c>
      <c r="D618" s="1167">
        <v>5044</v>
      </c>
    </row>
    <row r="619" spans="2:4">
      <c r="B619" s="1112" t="s">
        <v>1354</v>
      </c>
      <c r="C619" s="1165" t="s">
        <v>1106</v>
      </c>
      <c r="D619" s="1167">
        <v>31580</v>
      </c>
    </row>
    <row r="620" spans="2:4">
      <c r="B620" s="1112" t="s">
        <v>1355</v>
      </c>
      <c r="C620" s="1165" t="s">
        <v>1106</v>
      </c>
      <c r="D620" s="1167">
        <v>1662.62</v>
      </c>
    </row>
    <row r="621" spans="2:4">
      <c r="B621" s="1112" t="s">
        <v>1356</v>
      </c>
      <c r="C621" s="1165" t="s">
        <v>1106</v>
      </c>
      <c r="D621" s="1167">
        <v>1939</v>
      </c>
    </row>
    <row r="622" spans="2:4">
      <c r="B622" s="1112" t="s">
        <v>1357</v>
      </c>
      <c r="C622" s="1165" t="s">
        <v>1106</v>
      </c>
      <c r="D622" s="1167">
        <v>853.14</v>
      </c>
    </row>
    <row r="623" spans="2:4">
      <c r="B623" s="1112" t="s">
        <v>1358</v>
      </c>
      <c r="C623" s="1165" t="s">
        <v>1106</v>
      </c>
      <c r="D623" s="1167">
        <v>797</v>
      </c>
    </row>
    <row r="624" spans="2:4">
      <c r="B624" s="1112" t="s">
        <v>1359</v>
      </c>
      <c r="C624" s="1165" t="s">
        <v>1106</v>
      </c>
      <c r="D624" s="1167">
        <v>197.41</v>
      </c>
    </row>
    <row r="625" spans="2:4">
      <c r="B625" s="1112" t="s">
        <v>1360</v>
      </c>
      <c r="C625" s="1165" t="s">
        <v>1106</v>
      </c>
      <c r="D625" s="1167">
        <v>177.94</v>
      </c>
    </row>
    <row r="626" spans="2:4">
      <c r="B626" s="1112" t="s">
        <v>1361</v>
      </c>
      <c r="C626" s="1165" t="s">
        <v>1190</v>
      </c>
      <c r="D626" s="1167">
        <v>148.68</v>
      </c>
    </row>
    <row r="627" spans="2:4">
      <c r="B627" s="1112" t="s">
        <v>1362</v>
      </c>
      <c r="C627" s="1165" t="s">
        <v>1106</v>
      </c>
      <c r="D627" s="1167">
        <v>86.19</v>
      </c>
    </row>
    <row r="628" spans="2:4">
      <c r="B628" s="1112" t="s">
        <v>1363</v>
      </c>
      <c r="C628" s="1165" t="s">
        <v>1056</v>
      </c>
      <c r="D628" s="1167">
        <v>278</v>
      </c>
    </row>
    <row r="629" spans="2:4">
      <c r="B629" s="1112" t="s">
        <v>1364</v>
      </c>
      <c r="C629" s="1165" t="s">
        <v>1106</v>
      </c>
      <c r="D629" s="1167">
        <v>3290</v>
      </c>
    </row>
    <row r="630" spans="2:4">
      <c r="B630" s="1112" t="s">
        <v>1714</v>
      </c>
      <c r="C630" s="1165" t="s">
        <v>1106</v>
      </c>
      <c r="D630" s="1167">
        <v>9002.0499999999993</v>
      </c>
    </row>
    <row r="631" spans="2:4">
      <c r="B631" s="1112" t="s">
        <v>1715</v>
      </c>
      <c r="C631" s="1165" t="s">
        <v>1106</v>
      </c>
      <c r="D631" s="1167">
        <v>9247.83</v>
      </c>
    </row>
    <row r="632" spans="2:4">
      <c r="B632" s="1112" t="s">
        <v>1716</v>
      </c>
      <c r="C632" s="1165" t="s">
        <v>1106</v>
      </c>
      <c r="D632" s="1167">
        <v>986.6</v>
      </c>
    </row>
    <row r="633" spans="2:4">
      <c r="B633" s="1112" t="s">
        <v>879</v>
      </c>
      <c r="C633" s="1165" t="s">
        <v>1106</v>
      </c>
      <c r="D633" s="1167">
        <v>1169</v>
      </c>
    </row>
    <row r="634" spans="2:4">
      <c r="B634" s="1112" t="s">
        <v>880</v>
      </c>
      <c r="C634" s="1165" t="s">
        <v>1088</v>
      </c>
      <c r="D634" s="1167">
        <v>65</v>
      </c>
    </row>
    <row r="635" spans="2:4">
      <c r="B635" s="1112" t="s">
        <v>873</v>
      </c>
      <c r="C635" s="1165" t="s">
        <v>1088</v>
      </c>
      <c r="D635" s="1167">
        <v>45</v>
      </c>
    </row>
    <row r="636" spans="2:4">
      <c r="B636" s="1112" t="s">
        <v>1410</v>
      </c>
      <c r="C636" s="1165" t="s">
        <v>10</v>
      </c>
      <c r="D636" s="1167">
        <v>1000</v>
      </c>
    </row>
    <row r="637" spans="2:4" ht="31.5">
      <c r="B637" s="1112" t="s">
        <v>1411</v>
      </c>
      <c r="C637" s="1165" t="s">
        <v>10</v>
      </c>
      <c r="D637" s="1167">
        <f>42000*1.18</f>
        <v>49560</v>
      </c>
    </row>
    <row r="638" spans="2:4" ht="31.5">
      <c r="B638" s="1112" t="s">
        <v>1413</v>
      </c>
      <c r="C638" s="1165" t="s">
        <v>1000</v>
      </c>
      <c r="D638" s="1167">
        <v>36</v>
      </c>
    </row>
    <row r="639" spans="2:4">
      <c r="B639" s="1112" t="s">
        <v>1414</v>
      </c>
      <c r="C639" s="1165" t="s">
        <v>1106</v>
      </c>
      <c r="D639" s="1167">
        <f>1250*1.18</f>
        <v>1475</v>
      </c>
    </row>
    <row r="640" spans="2:4">
      <c r="B640" s="1112" t="s">
        <v>1415</v>
      </c>
      <c r="C640" s="1165" t="s">
        <v>1000</v>
      </c>
      <c r="D640" s="1167">
        <f>55*56.9*0.9</f>
        <v>2816.55</v>
      </c>
    </row>
    <row r="641" spans="2:4" ht="31.5">
      <c r="B641" s="1112" t="s">
        <v>1417</v>
      </c>
      <c r="C641" s="1165" t="s">
        <v>1000</v>
      </c>
      <c r="D641" s="1167">
        <f>160*56.9*0.9</f>
        <v>8193.6</v>
      </c>
    </row>
    <row r="642" spans="2:4" ht="47.25">
      <c r="B642" s="1112" t="s">
        <v>1418</v>
      </c>
      <c r="C642" s="1165" t="s">
        <v>1000</v>
      </c>
      <c r="D642" s="1167">
        <f>135*56.9*0.9</f>
        <v>6913.35</v>
      </c>
    </row>
    <row r="643" spans="2:4" ht="31.5">
      <c r="B643" s="1112" t="s">
        <v>1408</v>
      </c>
      <c r="C643" s="1165" t="s">
        <v>1056</v>
      </c>
      <c r="D643" s="1167">
        <v>75</v>
      </c>
    </row>
    <row r="644" spans="2:4" ht="31.5">
      <c r="B644" s="1112" t="s">
        <v>1421</v>
      </c>
      <c r="C644" s="1165" t="s">
        <v>10</v>
      </c>
      <c r="D644" s="1167">
        <f>9745.76*1.18</f>
        <v>11500</v>
      </c>
    </row>
    <row r="645" spans="2:4" ht="31.5">
      <c r="B645" s="1112" t="s">
        <v>1422</v>
      </c>
      <c r="C645" s="1165" t="s">
        <v>10</v>
      </c>
      <c r="D645" s="1167">
        <f>10338.98*1.18</f>
        <v>12200</v>
      </c>
    </row>
    <row r="646" spans="2:4" ht="31.5">
      <c r="B646" s="1112" t="s">
        <v>1423</v>
      </c>
      <c r="C646" s="1165" t="s">
        <v>10</v>
      </c>
      <c r="D646" s="1167">
        <f>7754.24*1.18</f>
        <v>9150</v>
      </c>
    </row>
    <row r="647" spans="2:4" ht="31.5">
      <c r="B647" s="1112" t="s">
        <v>1424</v>
      </c>
      <c r="C647" s="1165" t="s">
        <v>10</v>
      </c>
      <c r="D647" s="1167">
        <f>8898.31*1.18</f>
        <v>10500.01</v>
      </c>
    </row>
    <row r="648" spans="2:4" ht="31.5">
      <c r="B648" s="1112" t="s">
        <v>1425</v>
      </c>
      <c r="C648" s="1165" t="s">
        <v>10</v>
      </c>
      <c r="D648" s="1167">
        <f>9406.78*1.18</f>
        <v>11100</v>
      </c>
    </row>
    <row r="649" spans="2:4">
      <c r="B649" s="1112" t="s">
        <v>1426</v>
      </c>
      <c r="C649" s="1165" t="s">
        <v>10</v>
      </c>
      <c r="D649" s="1167">
        <f>13983.05*1.18</f>
        <v>16500</v>
      </c>
    </row>
    <row r="650" spans="2:4" ht="31.5">
      <c r="B650" s="1112" t="s">
        <v>1427</v>
      </c>
      <c r="C650" s="1165" t="s">
        <v>10</v>
      </c>
      <c r="D650" s="1167">
        <f>+D644</f>
        <v>11500</v>
      </c>
    </row>
    <row r="651" spans="2:4" ht="31.5">
      <c r="B651" s="1112" t="s">
        <v>1428</v>
      </c>
      <c r="C651" s="1165" t="s">
        <v>1429</v>
      </c>
      <c r="D651" s="1167">
        <v>280</v>
      </c>
    </row>
    <row r="652" spans="2:4">
      <c r="B652" s="1112" t="s">
        <v>1430</v>
      </c>
    </row>
    <row r="653" spans="2:4">
      <c r="B653" s="1112" t="s">
        <v>1431</v>
      </c>
    </row>
    <row r="654" spans="2:4">
      <c r="B654" s="1112" t="s">
        <v>1432</v>
      </c>
    </row>
    <row r="655" spans="2:4" ht="47.25">
      <c r="B655" s="1112" t="s">
        <v>1433</v>
      </c>
      <c r="C655" s="1165" t="s">
        <v>1025</v>
      </c>
      <c r="D655" s="1167">
        <v>280000</v>
      </c>
    </row>
    <row r="656" spans="2:4">
      <c r="B656" s="1112" t="s">
        <v>1434</v>
      </c>
      <c r="C656" s="1165" t="s">
        <v>1045</v>
      </c>
      <c r="D656" s="1167">
        <v>110</v>
      </c>
    </row>
    <row r="657" spans="2:4">
      <c r="B657" s="1112" t="s">
        <v>1435</v>
      </c>
      <c r="C657" s="1165" t="s">
        <v>10</v>
      </c>
      <c r="D657" s="1167">
        <v>7500</v>
      </c>
    </row>
    <row r="658" spans="2:4">
      <c r="B658" s="1112" t="s">
        <v>1436</v>
      </c>
      <c r="C658" s="1165" t="s">
        <v>1000</v>
      </c>
      <c r="D658" s="1167">
        <f>275*2</f>
        <v>550</v>
      </c>
    </row>
    <row r="659" spans="2:4">
      <c r="B659" s="1112" t="s">
        <v>1725</v>
      </c>
      <c r="C659" s="1165" t="s">
        <v>20</v>
      </c>
      <c r="D659" s="1167">
        <v>610</v>
      </c>
    </row>
    <row r="660" spans="2:4">
      <c r="B660" s="1112" t="s">
        <v>1441</v>
      </c>
      <c r="C660" s="1165" t="s">
        <v>1439</v>
      </c>
      <c r="D660" s="1167">
        <v>3717</v>
      </c>
    </row>
    <row r="672" spans="2:4">
      <c r="B672" s="1164" t="s">
        <v>1437</v>
      </c>
      <c r="D672" s="1166"/>
    </row>
    <row r="674" spans="2:4">
      <c r="B674" s="1112" t="s">
        <v>1438</v>
      </c>
      <c r="C674" s="1165" t="s">
        <v>1439</v>
      </c>
      <c r="D674" s="1167">
        <v>1274</v>
      </c>
    </row>
    <row r="675" spans="2:4">
      <c r="B675" s="1112" t="s">
        <v>1440</v>
      </c>
      <c r="C675" s="1165" t="s">
        <v>1439</v>
      </c>
      <c r="D675" s="1167">
        <v>1106</v>
      </c>
    </row>
    <row r="676" spans="2:4">
      <c r="B676" s="1112" t="s">
        <v>952</v>
      </c>
      <c r="C676" s="1165" t="s">
        <v>1167</v>
      </c>
      <c r="D676" s="1167">
        <v>155</v>
      </c>
    </row>
    <row r="677" spans="2:4">
      <c r="B677" s="1112" t="s">
        <v>953</v>
      </c>
      <c r="C677" s="1165" t="s">
        <v>1167</v>
      </c>
      <c r="D677" s="1167">
        <v>120</v>
      </c>
    </row>
    <row r="678" spans="2:4">
      <c r="B678" s="1112" t="s">
        <v>954</v>
      </c>
      <c r="C678" s="1165" t="s">
        <v>1439</v>
      </c>
      <c r="D678" s="1167">
        <v>6584</v>
      </c>
    </row>
    <row r="679" spans="2:4">
      <c r="B679" s="1112" t="s">
        <v>955</v>
      </c>
      <c r="C679" s="1165" t="s">
        <v>1439</v>
      </c>
      <c r="D679" s="1167">
        <v>3610</v>
      </c>
    </row>
    <row r="680" spans="2:4">
      <c r="B680" s="1112" t="s">
        <v>1020</v>
      </c>
      <c r="C680" s="1165" t="s">
        <v>1026</v>
      </c>
      <c r="D680" s="1167">
        <f>225*4*23.83</f>
        <v>21447</v>
      </c>
    </row>
    <row r="681" spans="2:4">
      <c r="B681" s="1112" t="s">
        <v>1021</v>
      </c>
      <c r="C681" s="1165" t="s">
        <v>1026</v>
      </c>
      <c r="D681" s="1167">
        <f>(1800/8)*5*23.83</f>
        <v>26808.75</v>
      </c>
    </row>
    <row r="682" spans="2:4">
      <c r="B682" s="1112" t="s">
        <v>933</v>
      </c>
      <c r="C682" s="1165" t="s">
        <v>1439</v>
      </c>
      <c r="D682" s="1167">
        <v>4250</v>
      </c>
    </row>
    <row r="683" spans="2:4">
      <c r="B683" s="1112" t="s">
        <v>938</v>
      </c>
      <c r="C683" s="1165" t="s">
        <v>1439</v>
      </c>
      <c r="D683" s="1167">
        <v>2500</v>
      </c>
    </row>
    <row r="684" spans="2:4">
      <c r="B684" s="1112" t="s">
        <v>935</v>
      </c>
      <c r="C684" s="1165" t="s">
        <v>1439</v>
      </c>
      <c r="D684" s="1167">
        <v>3000</v>
      </c>
    </row>
    <row r="685" spans="2:4">
      <c r="B685" s="1112" t="s">
        <v>934</v>
      </c>
      <c r="C685" s="1165" t="s">
        <v>1167</v>
      </c>
      <c r="D685" s="1167">
        <v>350</v>
      </c>
    </row>
    <row r="686" spans="2:4">
      <c r="B686" s="1112" t="s">
        <v>992</v>
      </c>
      <c r="C686" s="1165" t="s">
        <v>1167</v>
      </c>
      <c r="D686" s="1167">
        <f>5*19.22</f>
        <v>96.1</v>
      </c>
    </row>
    <row r="687" spans="2:4">
      <c r="B687" s="1112" t="s">
        <v>993</v>
      </c>
      <c r="C687" s="1165" t="s">
        <v>1167</v>
      </c>
      <c r="D687" s="1167">
        <f>2*18.21</f>
        <v>36.42</v>
      </c>
    </row>
    <row r="688" spans="2:4">
      <c r="B688" s="1112" t="s">
        <v>939</v>
      </c>
      <c r="C688" s="1165" t="s">
        <v>1439</v>
      </c>
      <c r="D688" s="1167">
        <v>400</v>
      </c>
    </row>
    <row r="689" spans="2:4">
      <c r="B689" s="1112" t="s">
        <v>1005</v>
      </c>
      <c r="C689" s="1165" t="s">
        <v>1439</v>
      </c>
      <c r="D689" s="1167">
        <v>1500</v>
      </c>
    </row>
    <row r="690" spans="2:4" ht="31.5">
      <c r="B690" s="1112" t="s">
        <v>932</v>
      </c>
      <c r="C690" s="1165" t="s">
        <v>1439</v>
      </c>
      <c r="D690" s="1167">
        <v>3900</v>
      </c>
    </row>
    <row r="691" spans="2:4">
      <c r="B691" s="1112" t="s">
        <v>947</v>
      </c>
      <c r="C691" s="1165" t="s">
        <v>1466</v>
      </c>
      <c r="D691" s="1167">
        <v>1106</v>
      </c>
    </row>
    <row r="692" spans="2:4">
      <c r="B692" s="1112" t="s">
        <v>948</v>
      </c>
      <c r="C692" s="1165" t="s">
        <v>1466</v>
      </c>
      <c r="D692" s="1167">
        <v>3398</v>
      </c>
    </row>
    <row r="693" spans="2:4">
      <c r="B693" s="1112" t="s">
        <v>949</v>
      </c>
      <c r="C693" s="1165" t="s">
        <v>1466</v>
      </c>
      <c r="D693" s="1167">
        <v>1274</v>
      </c>
    </row>
    <row r="694" spans="2:4">
      <c r="B694" s="1112" t="s">
        <v>1442</v>
      </c>
      <c r="C694" s="1165" t="s">
        <v>1167</v>
      </c>
      <c r="D694" s="1167">
        <v>365</v>
      </c>
    </row>
    <row r="695" spans="2:4">
      <c r="B695" s="1112" t="s">
        <v>1443</v>
      </c>
      <c r="C695" s="1165" t="s">
        <v>1439</v>
      </c>
      <c r="D695" s="1167">
        <v>2800</v>
      </c>
    </row>
    <row r="696" spans="2:4">
      <c r="B696" s="1112" t="s">
        <v>925</v>
      </c>
      <c r="C696" s="1165" t="s">
        <v>1025</v>
      </c>
      <c r="D696" s="1167">
        <v>0.03</v>
      </c>
    </row>
    <row r="697" spans="2:4" ht="31.5">
      <c r="B697" s="1112" t="s">
        <v>1444</v>
      </c>
      <c r="C697" s="1165" t="s">
        <v>1439</v>
      </c>
      <c r="D697" s="1167">
        <f>1700/6</f>
        <v>283.33</v>
      </c>
    </row>
    <row r="698" spans="2:4">
      <c r="B698" s="1112" t="s">
        <v>1455</v>
      </c>
      <c r="C698" s="1165" t="s">
        <v>1439</v>
      </c>
      <c r="D698" s="1167">
        <v>1790</v>
      </c>
    </row>
    <row r="699" spans="2:4">
      <c r="B699" s="1112" t="s">
        <v>1456</v>
      </c>
      <c r="C699" s="1165" t="s">
        <v>10</v>
      </c>
      <c r="D699" s="1167">
        <f>12*56.9</f>
        <v>682.8</v>
      </c>
    </row>
    <row r="700" spans="2:4">
      <c r="B700" s="1112" t="s">
        <v>1457</v>
      </c>
      <c r="C700" s="1165" t="s">
        <v>1027</v>
      </c>
      <c r="D700" s="1167">
        <v>3000</v>
      </c>
    </row>
    <row r="701" spans="2:4">
      <c r="B701" s="1112" t="s">
        <v>1458</v>
      </c>
      <c r="C701" s="1165" t="s">
        <v>1026</v>
      </c>
      <c r="D701" s="1167">
        <v>25000</v>
      </c>
    </row>
    <row r="702" spans="2:4">
      <c r="B702" s="1112" t="s">
        <v>1459</v>
      </c>
      <c r="C702" s="1165" t="s">
        <v>10</v>
      </c>
      <c r="D702" s="1167">
        <f>1.9*58.7</f>
        <v>111.53</v>
      </c>
    </row>
    <row r="703" spans="2:4">
      <c r="B703" s="1112" t="s">
        <v>1460</v>
      </c>
      <c r="C703" s="1165" t="s">
        <v>10</v>
      </c>
      <c r="D703" s="1167">
        <f>3*58.7</f>
        <v>176.1</v>
      </c>
    </row>
    <row r="704" spans="2:4">
      <c r="B704" s="1112" t="s">
        <v>1461</v>
      </c>
      <c r="C704" s="1165" t="s">
        <v>1439</v>
      </c>
      <c r="D704" s="1167">
        <f>100*58.7</f>
        <v>5870</v>
      </c>
    </row>
    <row r="705" spans="2:4">
      <c r="B705" s="1112" t="s">
        <v>1462</v>
      </c>
      <c r="C705" s="1165" t="s">
        <v>1027</v>
      </c>
      <c r="D705" s="1167">
        <v>2500</v>
      </c>
    </row>
    <row r="706" spans="2:4">
      <c r="B706" s="1112" t="s">
        <v>1463</v>
      </c>
      <c r="C706" s="1165" t="s">
        <v>1027</v>
      </c>
      <c r="D706" s="1167">
        <v>8000</v>
      </c>
    </row>
    <row r="707" spans="2:4">
      <c r="B707" s="1112" t="s">
        <v>1464</v>
      </c>
      <c r="C707" s="1165" t="s">
        <v>1027</v>
      </c>
      <c r="D707" s="1167">
        <v>55000</v>
      </c>
    </row>
    <row r="708" spans="2:4">
      <c r="B708" s="1112" t="s">
        <v>1465</v>
      </c>
      <c r="C708" s="1165" t="s">
        <v>1027</v>
      </c>
      <c r="D708" s="1167">
        <v>4000</v>
      </c>
    </row>
    <row r="709" spans="2:4">
      <c r="B709" s="1112" t="s">
        <v>1445</v>
      </c>
      <c r="C709" s="1165" t="s">
        <v>1446</v>
      </c>
      <c r="D709" s="1167">
        <v>25</v>
      </c>
    </row>
    <row r="710" spans="2:4">
      <c r="B710" s="1112" t="s">
        <v>1447</v>
      </c>
      <c r="C710" s="1165" t="s">
        <v>1446</v>
      </c>
      <c r="D710" s="1167">
        <v>19</v>
      </c>
    </row>
    <row r="711" spans="2:4">
      <c r="B711" s="1112" t="s">
        <v>1448</v>
      </c>
      <c r="C711" s="1165" t="s">
        <v>1446</v>
      </c>
      <c r="D711" s="1167">
        <v>18</v>
      </c>
    </row>
    <row r="712" spans="2:4">
      <c r="B712" s="1112" t="s">
        <v>1449</v>
      </c>
      <c r="C712" s="1165" t="s">
        <v>1446</v>
      </c>
      <c r="D712" s="1167">
        <v>18</v>
      </c>
    </row>
    <row r="713" spans="2:4">
      <c r="B713" s="1112" t="s">
        <v>1450</v>
      </c>
      <c r="C713" s="1165" t="s">
        <v>1042</v>
      </c>
      <c r="D713" s="1167">
        <v>400</v>
      </c>
    </row>
    <row r="714" spans="2:4">
      <c r="B714" s="1112" t="s">
        <v>1451</v>
      </c>
      <c r="C714" s="1165" t="s">
        <v>1452</v>
      </c>
    </row>
    <row r="715" spans="2:4">
      <c r="B715" s="1112" t="s">
        <v>1453</v>
      </c>
      <c r="C715" s="1165" t="s">
        <v>1439</v>
      </c>
      <c r="D715" s="1167">
        <v>5690</v>
      </c>
    </row>
    <row r="716" spans="2:4">
      <c r="B716" s="1112" t="s">
        <v>1454</v>
      </c>
      <c r="C716" s="1165" t="s">
        <v>1000</v>
      </c>
      <c r="D716" s="1167">
        <v>854</v>
      </c>
    </row>
    <row r="717" spans="2:4">
      <c r="B717" s="1112" t="s">
        <v>1308</v>
      </c>
      <c r="C717" s="1165" t="s">
        <v>1045</v>
      </c>
      <c r="D717" s="1167">
        <f>4*56.9</f>
        <v>227.6</v>
      </c>
    </row>
  </sheetData>
  <phoneticPr fontId="108" type="noConversion"/>
  <pageMargins left="0.31496062992125984" right="0.31496062992125984" top="0.74803149606299213" bottom="0.35433070866141736" header="0.31496062992125984" footer="0.31496062992125984"/>
  <pageSetup scale="75" orientation="portrait" r:id="rId1"/>
  <rowBreaks count="1" manualBreakCount="1">
    <brk id="389" max="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74"/>
  <sheetViews>
    <sheetView topLeftCell="A5" workbookViewId="0">
      <selection activeCell="I14" sqref="I14"/>
    </sheetView>
  </sheetViews>
  <sheetFormatPr baseColWidth="10" defaultRowHeight="12.75"/>
  <cols>
    <col min="3" max="3" width="39.85546875" customWidth="1"/>
    <col min="9" max="9" width="16.28515625" bestFit="1" customWidth="1"/>
  </cols>
  <sheetData>
    <row r="1" spans="2:9" ht="15.75">
      <c r="B1" s="1024">
        <v>1</v>
      </c>
      <c r="C1" s="937" t="s">
        <v>359</v>
      </c>
      <c r="D1" s="938"/>
      <c r="E1" s="939" t="s">
        <v>224</v>
      </c>
      <c r="F1" s="1066"/>
      <c r="G1" s="938"/>
      <c r="H1" s="1029"/>
      <c r="I1" s="1256">
        <v>60992.75</v>
      </c>
    </row>
    <row r="2" spans="2:9" ht="15.75">
      <c r="B2" s="1026">
        <v>2.1</v>
      </c>
      <c r="C2" s="937" t="s">
        <v>363</v>
      </c>
      <c r="D2" s="938"/>
      <c r="E2" s="962" t="s">
        <v>364</v>
      </c>
      <c r="F2" s="1066"/>
      <c r="G2" s="938"/>
      <c r="H2" s="1029"/>
      <c r="I2" s="1256">
        <v>118.09</v>
      </c>
    </row>
    <row r="3" spans="2:9" ht="31.5">
      <c r="B3" s="1038">
        <v>2.2000000000000002</v>
      </c>
      <c r="C3" s="937" t="s">
        <v>366</v>
      </c>
      <c r="D3" s="938"/>
      <c r="E3" s="962" t="s">
        <v>367</v>
      </c>
      <c r="F3" s="1066"/>
      <c r="G3" s="938"/>
      <c r="H3" s="1029"/>
      <c r="I3" s="1256">
        <v>455.24</v>
      </c>
    </row>
    <row r="4" spans="2:9" ht="31.5">
      <c r="B4" s="1038">
        <v>2.2999999999999998</v>
      </c>
      <c r="C4" s="937" t="s">
        <v>369</v>
      </c>
      <c r="D4" s="938"/>
      <c r="E4" s="962" t="s">
        <v>298</v>
      </c>
      <c r="F4" s="1066"/>
      <c r="G4" s="938"/>
      <c r="H4" s="1029"/>
      <c r="I4" s="1256">
        <v>1067.71</v>
      </c>
    </row>
    <row r="5" spans="2:9" ht="31.5">
      <c r="B5" s="1038">
        <v>2.4</v>
      </c>
      <c r="C5" s="937" t="s">
        <v>371</v>
      </c>
      <c r="D5" s="938"/>
      <c r="E5" s="962" t="s">
        <v>298</v>
      </c>
      <c r="F5" s="1066"/>
      <c r="G5" s="938"/>
      <c r="H5" s="1029"/>
      <c r="I5" s="1256">
        <v>1132.71</v>
      </c>
    </row>
    <row r="6" spans="2:9" ht="15.75">
      <c r="B6" s="1038">
        <v>2.5</v>
      </c>
      <c r="C6" s="937" t="s">
        <v>373</v>
      </c>
      <c r="D6" s="938"/>
      <c r="E6" s="962" t="s">
        <v>300</v>
      </c>
      <c r="F6" s="1066"/>
      <c r="G6" s="938"/>
      <c r="H6" s="1029"/>
      <c r="I6" s="1256">
        <v>198.49</v>
      </c>
    </row>
    <row r="7" spans="2:9" ht="31.5">
      <c r="B7" s="1038">
        <v>2.6</v>
      </c>
      <c r="C7" s="937" t="s">
        <v>375</v>
      </c>
      <c r="D7" s="938"/>
      <c r="E7" s="962" t="s">
        <v>300</v>
      </c>
      <c r="F7" s="1066"/>
      <c r="G7" s="938"/>
      <c r="H7" s="1029"/>
      <c r="I7" s="1256">
        <v>1219.26</v>
      </c>
    </row>
    <row r="8" spans="2:9" ht="31.5">
      <c r="B8" s="1038">
        <v>2.7</v>
      </c>
      <c r="C8" s="937" t="s">
        <v>1772</v>
      </c>
      <c r="D8" s="938"/>
      <c r="E8" s="962" t="s">
        <v>378</v>
      </c>
      <c r="F8" s="1066"/>
      <c r="G8" s="938"/>
      <c r="H8" s="1029"/>
      <c r="I8" s="1256">
        <v>22</v>
      </c>
    </row>
    <row r="9" spans="2:9" ht="15.75">
      <c r="B9" s="1038">
        <v>3.1</v>
      </c>
      <c r="C9" s="937" t="s">
        <v>382</v>
      </c>
      <c r="D9" s="938"/>
      <c r="E9" s="962" t="s">
        <v>300</v>
      </c>
      <c r="F9" s="1066"/>
      <c r="G9" s="938"/>
      <c r="H9" s="1029"/>
      <c r="I9" s="1256" t="e">
        <f>+#REF!</f>
        <v>#REF!</v>
      </c>
    </row>
    <row r="10" spans="2:9" ht="15.75">
      <c r="B10" s="1038">
        <v>3.2</v>
      </c>
      <c r="C10" s="937" t="s">
        <v>384</v>
      </c>
      <c r="D10" s="938"/>
      <c r="E10" s="962" t="s">
        <v>15</v>
      </c>
      <c r="F10" s="1066"/>
      <c r="G10" s="938"/>
      <c r="H10" s="1029"/>
      <c r="I10" s="1256" t="e">
        <f>+#REF!</f>
        <v>#REF!</v>
      </c>
    </row>
    <row r="11" spans="2:9" ht="15.75">
      <c r="B11" s="1038">
        <v>3.4</v>
      </c>
      <c r="C11" s="937" t="s">
        <v>386</v>
      </c>
      <c r="D11" s="938"/>
      <c r="E11" s="962" t="s">
        <v>15</v>
      </c>
      <c r="F11" s="1066"/>
      <c r="G11" s="938"/>
      <c r="H11" s="1029"/>
      <c r="I11" s="1256">
        <v>3830.56</v>
      </c>
    </row>
    <row r="12" spans="2:9" ht="31.5">
      <c r="B12" s="1038">
        <v>4.0999999999999996</v>
      </c>
      <c r="C12" s="937" t="s">
        <v>369</v>
      </c>
      <c r="D12" s="938"/>
      <c r="E12" s="962" t="s">
        <v>298</v>
      </c>
      <c r="F12" s="1066"/>
      <c r="G12" s="938"/>
      <c r="H12" s="1029"/>
      <c r="I12" s="1256" t="e">
        <f>+#REF!</f>
        <v>#REF!</v>
      </c>
    </row>
    <row r="13" spans="2:9" ht="31.5">
      <c r="B13" s="1038">
        <v>4.2</v>
      </c>
      <c r="C13" s="937" t="s">
        <v>371</v>
      </c>
      <c r="D13" s="938"/>
      <c r="E13" s="962" t="s">
        <v>298</v>
      </c>
      <c r="F13" s="1066"/>
      <c r="G13" s="938"/>
      <c r="H13" s="1029"/>
      <c r="I13" s="1256" t="e">
        <f>+#REF!</f>
        <v>#REF!</v>
      </c>
    </row>
    <row r="14" spans="2:9" ht="15.75">
      <c r="B14" s="1038">
        <v>4.3</v>
      </c>
      <c r="C14" s="937" t="s">
        <v>373</v>
      </c>
      <c r="D14" s="938"/>
      <c r="E14" s="962" t="s">
        <v>300</v>
      </c>
      <c r="F14" s="1066"/>
      <c r="G14" s="938"/>
      <c r="H14" s="1029"/>
      <c r="I14" s="1256">
        <v>198.49</v>
      </c>
    </row>
    <row r="15" spans="2:9" ht="31.5">
      <c r="B15" s="1038">
        <v>4.4000000000000004</v>
      </c>
      <c r="C15" s="937" t="s">
        <v>393</v>
      </c>
      <c r="D15" s="938"/>
      <c r="E15" s="962" t="s">
        <v>300</v>
      </c>
      <c r="F15" s="1066"/>
      <c r="G15" s="938"/>
      <c r="H15" s="1029"/>
      <c r="I15" s="1256">
        <v>931.38</v>
      </c>
    </row>
    <row r="16" spans="2:9" ht="31.5">
      <c r="B16" s="1038">
        <v>4.5</v>
      </c>
      <c r="C16" s="937" t="s">
        <v>1772</v>
      </c>
      <c r="D16" s="938"/>
      <c r="E16" s="962" t="s">
        <v>378</v>
      </c>
      <c r="F16" s="1066"/>
      <c r="G16" s="938"/>
      <c r="H16" s="1029"/>
      <c r="I16" s="1256" t="e">
        <f>+#REF!</f>
        <v>#REF!</v>
      </c>
    </row>
    <row r="17" spans="2:9" ht="15.75">
      <c r="B17" s="1038">
        <v>4.5999999999999996</v>
      </c>
      <c r="C17" s="937" t="s">
        <v>396</v>
      </c>
      <c r="D17" s="938"/>
      <c r="E17" s="962" t="s">
        <v>300</v>
      </c>
      <c r="F17" s="1066"/>
      <c r="G17" s="938"/>
      <c r="H17" s="1029"/>
      <c r="I17" s="1256">
        <v>1693.22</v>
      </c>
    </row>
    <row r="18" spans="2:9" ht="15.75">
      <c r="B18" s="1038">
        <v>4.7</v>
      </c>
      <c r="C18" s="937" t="s">
        <v>384</v>
      </c>
      <c r="D18" s="938"/>
      <c r="E18" s="962" t="s">
        <v>15</v>
      </c>
      <c r="F18" s="1066"/>
      <c r="G18" s="938"/>
      <c r="H18" s="1029"/>
      <c r="I18" s="1256" t="e">
        <f>+#REF!</f>
        <v>#REF!</v>
      </c>
    </row>
    <row r="19" spans="2:9" ht="63">
      <c r="B19" s="1038">
        <v>5</v>
      </c>
      <c r="C19" s="937" t="s">
        <v>398</v>
      </c>
      <c r="D19" s="938"/>
      <c r="E19" s="962" t="s">
        <v>15</v>
      </c>
      <c r="F19" s="1066"/>
      <c r="G19" s="938"/>
      <c r="H19" s="1029"/>
      <c r="I19" s="1256">
        <v>95</v>
      </c>
    </row>
    <row r="20" spans="2:9" ht="31.5">
      <c r="B20" s="1038">
        <v>6</v>
      </c>
      <c r="C20" s="937" t="s">
        <v>399</v>
      </c>
      <c r="D20" s="938"/>
      <c r="E20" s="962" t="s">
        <v>15</v>
      </c>
      <c r="F20" s="1066"/>
      <c r="G20" s="938"/>
      <c r="H20" s="1029"/>
      <c r="I20" s="1256">
        <v>130</v>
      </c>
    </row>
    <row r="21" spans="2:9" ht="15.75">
      <c r="B21" s="1038">
        <v>7</v>
      </c>
      <c r="C21" s="937" t="s">
        <v>400</v>
      </c>
      <c r="D21" s="938"/>
      <c r="E21" s="962" t="s">
        <v>15</v>
      </c>
      <c r="F21" s="1066"/>
      <c r="G21" s="938"/>
      <c r="H21" s="1029"/>
      <c r="I21" s="1256">
        <v>60.63</v>
      </c>
    </row>
    <row r="22" spans="2:9" ht="18.75">
      <c r="B22" s="1435" t="s">
        <v>1517</v>
      </c>
      <c r="C22" s="1435"/>
      <c r="D22" s="1435"/>
      <c r="E22" s="1435"/>
      <c r="F22" s="1435"/>
      <c r="G22" s="1435"/>
      <c r="H22" s="1435"/>
      <c r="I22" s="1436"/>
    </row>
    <row r="23" spans="2:9" ht="31.5">
      <c r="B23" s="1038">
        <v>1.1000000000000001</v>
      </c>
      <c r="C23" s="937" t="s">
        <v>403</v>
      </c>
      <c r="D23" s="938"/>
      <c r="E23" s="962" t="s">
        <v>38</v>
      </c>
      <c r="F23" s="1066"/>
      <c r="G23" s="938"/>
      <c r="H23" s="1029"/>
      <c r="I23" s="1256">
        <v>46787</v>
      </c>
    </row>
    <row r="24" spans="2:9" ht="15.75">
      <c r="B24" s="1038">
        <v>1.2</v>
      </c>
      <c r="C24" s="937" t="s">
        <v>404</v>
      </c>
      <c r="D24" s="938"/>
      <c r="E24" s="962" t="s">
        <v>38</v>
      </c>
      <c r="F24" s="1066"/>
      <c r="G24" s="938"/>
      <c r="H24" s="1029"/>
      <c r="I24" s="1256">
        <v>29079.9</v>
      </c>
    </row>
    <row r="25" spans="2:9" ht="15.75">
      <c r="B25" s="1038">
        <v>1.3</v>
      </c>
      <c r="C25" s="937" t="s">
        <v>405</v>
      </c>
      <c r="D25" s="938"/>
      <c r="E25" s="962" t="s">
        <v>1773</v>
      </c>
      <c r="F25" s="1066"/>
      <c r="G25" s="938"/>
      <c r="H25" s="1029"/>
      <c r="I25" s="1256">
        <v>206.5</v>
      </c>
    </row>
    <row r="26" spans="2:9" ht="15.75">
      <c r="B26" s="1038">
        <v>1.4</v>
      </c>
      <c r="C26" s="937" t="s">
        <v>407</v>
      </c>
      <c r="D26" s="938"/>
      <c r="E26" s="962" t="s">
        <v>38</v>
      </c>
      <c r="F26" s="1066"/>
      <c r="G26" s="938"/>
      <c r="H26" s="1029"/>
      <c r="I26" s="1256">
        <v>8900</v>
      </c>
    </row>
    <row r="27" spans="2:9" ht="15.75">
      <c r="B27" s="1038">
        <v>1.5</v>
      </c>
      <c r="C27" s="937" t="s">
        <v>408</v>
      </c>
      <c r="D27" s="938"/>
      <c r="E27" s="962" t="s">
        <v>38</v>
      </c>
      <c r="F27" s="1066"/>
      <c r="G27" s="938"/>
      <c r="H27" s="1029"/>
      <c r="I27" s="1256">
        <v>4700</v>
      </c>
    </row>
    <row r="28" spans="2:9" ht="15.75">
      <c r="B28" s="1038">
        <v>1.6</v>
      </c>
      <c r="C28" s="937" t="s">
        <v>409</v>
      </c>
      <c r="D28" s="938"/>
      <c r="E28" s="962" t="s">
        <v>38</v>
      </c>
      <c r="F28" s="1066"/>
      <c r="G28" s="938"/>
      <c r="H28" s="1029"/>
      <c r="I28" s="1256">
        <v>5900</v>
      </c>
    </row>
    <row r="29" spans="2:9" ht="63">
      <c r="B29" s="1038">
        <v>1.7</v>
      </c>
      <c r="C29" s="937" t="s">
        <v>410</v>
      </c>
      <c r="D29" s="938"/>
      <c r="E29" s="962" t="s">
        <v>38</v>
      </c>
      <c r="F29" s="1066"/>
      <c r="G29" s="938"/>
      <c r="H29" s="1029"/>
      <c r="I29" s="1256">
        <v>73675</v>
      </c>
    </row>
    <row r="30" spans="2:9" ht="31.5">
      <c r="B30" s="1038">
        <v>1.8</v>
      </c>
      <c r="C30" s="937" t="s">
        <v>411</v>
      </c>
      <c r="D30" s="938"/>
      <c r="E30" s="962">
        <v>0</v>
      </c>
      <c r="F30" s="1066"/>
      <c r="G30" s="938"/>
      <c r="H30" s="1029"/>
      <c r="I30" s="1256" t="e">
        <f>+#REF!</f>
        <v>#REF!</v>
      </c>
    </row>
    <row r="31" spans="2:9" ht="31.5">
      <c r="B31" s="1038">
        <v>1.9</v>
      </c>
      <c r="C31" s="937" t="s">
        <v>412</v>
      </c>
      <c r="D31" s="938"/>
      <c r="E31" s="962" t="s">
        <v>1773</v>
      </c>
      <c r="F31" s="1066"/>
      <c r="G31" s="938"/>
      <c r="H31" s="1029"/>
      <c r="I31" s="1256">
        <v>75.2</v>
      </c>
    </row>
    <row r="32" spans="2:9" ht="15.75">
      <c r="B32" s="1040">
        <v>1.1000000000000001</v>
      </c>
      <c r="C32" s="937" t="s">
        <v>413</v>
      </c>
      <c r="D32" s="938"/>
      <c r="E32" s="962" t="s">
        <v>38</v>
      </c>
      <c r="F32" s="1066"/>
      <c r="G32" s="938"/>
      <c r="H32" s="1029"/>
      <c r="I32" s="1256">
        <v>3000</v>
      </c>
    </row>
    <row r="33" spans="2:9" ht="15.75">
      <c r="B33" s="1040">
        <v>1.1100000000000001</v>
      </c>
      <c r="C33" s="937" t="s">
        <v>414</v>
      </c>
      <c r="D33" s="938"/>
      <c r="E33" s="962" t="s">
        <v>38</v>
      </c>
      <c r="F33" s="1066"/>
      <c r="G33" s="938"/>
      <c r="H33" s="1029"/>
      <c r="I33" s="1256">
        <v>7000</v>
      </c>
    </row>
    <row r="34" spans="2:9" ht="31.5">
      <c r="B34" s="1040">
        <v>1.1200000000000001</v>
      </c>
      <c r="C34" s="937" t="s">
        <v>415</v>
      </c>
      <c r="D34" s="938"/>
      <c r="E34" s="962" t="s">
        <v>38</v>
      </c>
      <c r="F34" s="1066"/>
      <c r="G34" s="938"/>
      <c r="H34" s="1029"/>
      <c r="I34" s="1256">
        <v>7000</v>
      </c>
    </row>
    <row r="35" spans="2:9" ht="31.5">
      <c r="B35" s="1040">
        <v>1.1299999999999999</v>
      </c>
      <c r="C35" s="937" t="s">
        <v>416</v>
      </c>
      <c r="D35" s="938"/>
      <c r="E35" s="962" t="s">
        <v>38</v>
      </c>
      <c r="F35" s="1066"/>
      <c r="G35" s="938"/>
      <c r="H35" s="1029"/>
      <c r="I35" s="1256">
        <v>411100.32</v>
      </c>
    </row>
    <row r="36" spans="2:9" ht="18.75">
      <c r="B36" s="1435" t="s">
        <v>1518</v>
      </c>
      <c r="C36" s="1435"/>
      <c r="D36" s="1435"/>
      <c r="E36" s="1435"/>
      <c r="F36" s="1435"/>
      <c r="G36" s="1435"/>
      <c r="H36" s="1435"/>
      <c r="I36" s="1436"/>
    </row>
    <row r="37" spans="2:9" ht="15.75">
      <c r="B37" s="1041">
        <v>1.1000000000000001</v>
      </c>
      <c r="C37" s="937" t="s">
        <v>421</v>
      </c>
      <c r="D37" s="938"/>
      <c r="E37" s="939" t="s">
        <v>15</v>
      </c>
      <c r="F37" s="1066"/>
      <c r="G37" s="938"/>
      <c r="H37" s="1029"/>
      <c r="I37" s="1256">
        <v>168.42</v>
      </c>
    </row>
    <row r="38" spans="2:9" ht="31.5">
      <c r="B38" s="1041">
        <v>2.1</v>
      </c>
      <c r="C38" s="937" t="s">
        <v>423</v>
      </c>
      <c r="D38" s="938"/>
      <c r="E38" s="962" t="s">
        <v>364</v>
      </c>
      <c r="F38" s="1066"/>
      <c r="G38" s="938"/>
      <c r="H38" s="1029"/>
      <c r="I38" s="1256">
        <v>118.09</v>
      </c>
    </row>
    <row r="39" spans="2:9" ht="15.75">
      <c r="B39" s="1041">
        <v>2.2000000000000002</v>
      </c>
      <c r="C39" s="937" t="s">
        <v>425</v>
      </c>
      <c r="D39" s="938"/>
      <c r="E39" s="962" t="s">
        <v>426</v>
      </c>
      <c r="F39" s="1066"/>
      <c r="G39" s="938"/>
      <c r="H39" s="1029"/>
      <c r="I39" s="1256">
        <v>135.94999999999999</v>
      </c>
    </row>
    <row r="40" spans="2:9" ht="15.75">
      <c r="B40" s="1041">
        <v>2.2999999999999998</v>
      </c>
      <c r="C40" s="937" t="s">
        <v>427</v>
      </c>
      <c r="D40" s="938"/>
      <c r="E40" s="962" t="s">
        <v>426</v>
      </c>
      <c r="F40" s="1066"/>
      <c r="G40" s="938"/>
      <c r="H40" s="1029"/>
      <c r="I40" s="1256">
        <v>1094.5999999999999</v>
      </c>
    </row>
    <row r="41" spans="2:9" ht="31.5">
      <c r="B41" s="1041">
        <v>2.4</v>
      </c>
      <c r="C41" s="937" t="s">
        <v>428</v>
      </c>
      <c r="D41" s="938"/>
      <c r="E41" s="962" t="s">
        <v>426</v>
      </c>
      <c r="F41" s="1066"/>
      <c r="G41" s="938"/>
      <c r="H41" s="1029"/>
      <c r="I41" s="1256">
        <v>1044.28</v>
      </c>
    </row>
    <row r="42" spans="2:9" ht="47.25">
      <c r="B42" s="1041">
        <v>2.5</v>
      </c>
      <c r="C42" s="937" t="s">
        <v>429</v>
      </c>
      <c r="D42" s="938"/>
      <c r="E42" s="962" t="s">
        <v>367</v>
      </c>
      <c r="F42" s="1066"/>
      <c r="G42" s="938"/>
      <c r="H42" s="1029"/>
      <c r="I42" s="1256">
        <v>350</v>
      </c>
    </row>
    <row r="43" spans="2:9" ht="15.75">
      <c r="B43" s="1041">
        <v>3.1</v>
      </c>
      <c r="C43" s="937" t="s">
        <v>431</v>
      </c>
      <c r="D43" s="938"/>
      <c r="E43" s="962" t="s">
        <v>300</v>
      </c>
      <c r="F43" s="1066"/>
      <c r="G43" s="938"/>
      <c r="H43" s="1029"/>
      <c r="I43" s="1256">
        <v>1153.1500000000001</v>
      </c>
    </row>
    <row r="44" spans="2:9" ht="18.75">
      <c r="B44" s="1435" t="s">
        <v>1519</v>
      </c>
      <c r="C44" s="1435"/>
      <c r="D44" s="1435"/>
      <c r="E44" s="1435"/>
      <c r="F44" s="1435"/>
      <c r="G44" s="1435"/>
      <c r="H44" s="1435"/>
      <c r="I44" s="1436"/>
    </row>
    <row r="45" spans="2:9" ht="15.75">
      <c r="B45" s="1041">
        <v>1.1000000000000001</v>
      </c>
      <c r="C45" s="937" t="s">
        <v>435</v>
      </c>
      <c r="D45" s="938"/>
      <c r="E45" s="939" t="s">
        <v>15</v>
      </c>
      <c r="F45" s="1066"/>
      <c r="G45" s="938"/>
      <c r="H45" s="1029"/>
      <c r="I45" s="1256">
        <v>168.42</v>
      </c>
    </row>
    <row r="46" spans="2:9" ht="31.5">
      <c r="B46" s="1041">
        <v>2.1</v>
      </c>
      <c r="C46" s="937" t="s">
        <v>436</v>
      </c>
      <c r="D46" s="938"/>
      <c r="E46" s="962" t="s">
        <v>364</v>
      </c>
      <c r="F46" s="1066"/>
      <c r="G46" s="938"/>
      <c r="H46" s="1029"/>
      <c r="I46" s="1256">
        <v>118.09</v>
      </c>
    </row>
    <row r="47" spans="2:9" ht="31.5">
      <c r="B47" s="1041">
        <v>2.2000000000000002</v>
      </c>
      <c r="C47" s="937" t="s">
        <v>437</v>
      </c>
      <c r="D47" s="938"/>
      <c r="E47" s="962" t="s">
        <v>364</v>
      </c>
      <c r="F47" s="1066"/>
      <c r="G47" s="938"/>
      <c r="H47" s="1029"/>
      <c r="I47" s="1256">
        <v>206.68</v>
      </c>
    </row>
    <row r="48" spans="2:9" ht="15.75">
      <c r="B48" s="1041">
        <v>2.2999999999999998</v>
      </c>
      <c r="C48" s="937" t="s">
        <v>438</v>
      </c>
      <c r="D48" s="938"/>
      <c r="E48" s="962" t="s">
        <v>1774</v>
      </c>
      <c r="F48" s="1066"/>
      <c r="G48" s="938"/>
      <c r="H48" s="1029"/>
      <c r="I48" s="1256">
        <v>379.35</v>
      </c>
    </row>
    <row r="49" spans="2:9" ht="31.5">
      <c r="B49" s="1041">
        <v>2.4</v>
      </c>
      <c r="C49" s="937" t="s">
        <v>440</v>
      </c>
      <c r="D49" s="938"/>
      <c r="E49" s="962" t="s">
        <v>426</v>
      </c>
      <c r="F49" s="1066"/>
      <c r="G49" s="938"/>
      <c r="H49" s="1029"/>
      <c r="I49" s="1256">
        <v>486.5</v>
      </c>
    </row>
    <row r="50" spans="2:9" ht="31.5">
      <c r="B50" s="1038">
        <v>2.5</v>
      </c>
      <c r="C50" s="937" t="s">
        <v>441</v>
      </c>
      <c r="D50" s="938"/>
      <c r="E50" s="962" t="s">
        <v>367</v>
      </c>
      <c r="F50" s="1066"/>
      <c r="G50" s="938"/>
      <c r="H50" s="1029"/>
      <c r="I50" s="1256">
        <v>455.24</v>
      </c>
    </row>
    <row r="51" spans="2:9" ht="15.75">
      <c r="B51" s="1038">
        <v>3.1</v>
      </c>
      <c r="C51" s="937" t="s">
        <v>443</v>
      </c>
      <c r="D51" s="938"/>
      <c r="E51" s="962" t="s">
        <v>10</v>
      </c>
      <c r="F51" s="1066"/>
      <c r="G51" s="938"/>
      <c r="H51" s="1029"/>
      <c r="I51" s="1256">
        <v>22500</v>
      </c>
    </row>
    <row r="52" spans="2:9" ht="15.75">
      <c r="B52" s="1038">
        <v>4.2</v>
      </c>
      <c r="C52" s="937" t="s">
        <v>443</v>
      </c>
      <c r="D52" s="938"/>
      <c r="E52" s="962" t="s">
        <v>15</v>
      </c>
      <c r="F52" s="1066"/>
      <c r="G52" s="938"/>
      <c r="H52" s="1029"/>
      <c r="I52" s="1256">
        <v>2414</v>
      </c>
    </row>
    <row r="53" spans="2:9" ht="15.75">
      <c r="B53" s="1038">
        <v>5</v>
      </c>
      <c r="C53" s="937" t="s">
        <v>445</v>
      </c>
      <c r="D53" s="938"/>
      <c r="E53" s="962" t="s">
        <v>38</v>
      </c>
      <c r="F53" s="1066"/>
      <c r="G53" s="938"/>
      <c r="H53" s="1029"/>
      <c r="I53" s="1256">
        <v>11262</v>
      </c>
    </row>
    <row r="54" spans="2:9" ht="18.75">
      <c r="B54" s="1435" t="s">
        <v>1520</v>
      </c>
      <c r="C54" s="1435"/>
      <c r="D54" s="1435"/>
      <c r="E54" s="1435"/>
      <c r="F54" s="1435"/>
      <c r="G54" s="1435"/>
      <c r="H54" s="1435"/>
      <c r="I54" s="1436"/>
    </row>
    <row r="55" spans="2:9" ht="15.75">
      <c r="B55" s="1024">
        <v>1.1000000000000001</v>
      </c>
      <c r="C55" s="937" t="s">
        <v>307</v>
      </c>
      <c r="D55" s="938"/>
      <c r="E55" s="939" t="s">
        <v>38</v>
      </c>
      <c r="F55" s="1066"/>
      <c r="G55" s="938"/>
      <c r="H55" s="1029"/>
      <c r="I55" s="1256">
        <v>32457.25</v>
      </c>
    </row>
    <row r="56" spans="2:9" ht="31.5">
      <c r="B56" s="1024">
        <v>2.1</v>
      </c>
      <c r="C56" s="937" t="s">
        <v>452</v>
      </c>
      <c r="D56" s="938"/>
      <c r="E56" s="939" t="s">
        <v>22</v>
      </c>
      <c r="F56" s="1066"/>
      <c r="G56" s="938"/>
      <c r="H56" s="1029"/>
      <c r="I56" s="1256">
        <v>2015</v>
      </c>
    </row>
    <row r="57" spans="2:9" ht="31.5">
      <c r="B57" s="1024">
        <v>2.2000000000000002</v>
      </c>
      <c r="C57" s="937" t="s">
        <v>453</v>
      </c>
      <c r="D57" s="938"/>
      <c r="E57" s="939" t="s">
        <v>22</v>
      </c>
      <c r="F57" s="1066"/>
      <c r="G57" s="938"/>
      <c r="H57" s="1029"/>
      <c r="I57" s="1256">
        <v>10450.42</v>
      </c>
    </row>
    <row r="58" spans="2:9" ht="15.75">
      <c r="B58" s="1024">
        <v>2.2999999999999998</v>
      </c>
      <c r="C58" s="937" t="s">
        <v>454</v>
      </c>
      <c r="D58" s="938"/>
      <c r="E58" s="939" t="s">
        <v>1106</v>
      </c>
      <c r="F58" s="1066"/>
      <c r="G58" s="938"/>
      <c r="H58" s="1029"/>
      <c r="I58" s="1256">
        <v>153459</v>
      </c>
    </row>
    <row r="59" spans="2:9" ht="15.75">
      <c r="B59" s="1024">
        <v>2.4</v>
      </c>
      <c r="C59" s="937" t="s">
        <v>455</v>
      </c>
      <c r="D59" s="938"/>
      <c r="E59" s="939" t="s">
        <v>1106</v>
      </c>
      <c r="F59" s="1066"/>
      <c r="G59" s="938"/>
      <c r="H59" s="1029"/>
      <c r="I59" s="1256">
        <v>40922.400000000001</v>
      </c>
    </row>
    <row r="60" spans="2:9" ht="15.75">
      <c r="B60" s="1024">
        <v>2.5</v>
      </c>
      <c r="C60" s="937" t="s">
        <v>456</v>
      </c>
      <c r="D60" s="938"/>
      <c r="E60" s="939" t="s">
        <v>1106</v>
      </c>
      <c r="F60" s="1066"/>
      <c r="G60" s="938"/>
      <c r="H60" s="1029"/>
      <c r="I60" s="1256">
        <v>202585</v>
      </c>
    </row>
    <row r="61" spans="2:9" ht="15.75">
      <c r="B61" s="1024">
        <v>2.6</v>
      </c>
      <c r="C61" s="937" t="s">
        <v>457</v>
      </c>
      <c r="D61" s="938"/>
      <c r="E61" s="939" t="s">
        <v>1106</v>
      </c>
      <c r="F61" s="1066"/>
      <c r="G61" s="938"/>
      <c r="H61" s="1029"/>
      <c r="I61" s="1256">
        <v>81844.800000000003</v>
      </c>
    </row>
    <row r="62" spans="2:9" ht="31.5">
      <c r="B62" s="1024">
        <v>2.7</v>
      </c>
      <c r="C62" s="937" t="s">
        <v>458</v>
      </c>
      <c r="D62" s="938"/>
      <c r="E62" s="939" t="s">
        <v>1106</v>
      </c>
      <c r="F62" s="1066"/>
      <c r="G62" s="938"/>
      <c r="H62" s="1029"/>
      <c r="I62" s="1256">
        <v>209727.3</v>
      </c>
    </row>
    <row r="63" spans="2:9" ht="15.75">
      <c r="B63" s="1024">
        <v>2.8</v>
      </c>
      <c r="C63" s="937" t="s">
        <v>459</v>
      </c>
      <c r="D63" s="938"/>
      <c r="E63" s="939" t="s">
        <v>1106</v>
      </c>
      <c r="F63" s="1066"/>
      <c r="G63" s="938"/>
      <c r="H63" s="1029"/>
      <c r="I63" s="1256">
        <v>209727.3</v>
      </c>
    </row>
    <row r="64" spans="2:9" ht="31.5">
      <c r="B64" s="1024">
        <v>2.9</v>
      </c>
      <c r="C64" s="937" t="s">
        <v>460</v>
      </c>
      <c r="D64" s="938"/>
      <c r="E64" s="939" t="s">
        <v>1106</v>
      </c>
      <c r="F64" s="1066"/>
      <c r="G64" s="938"/>
      <c r="H64" s="1029"/>
      <c r="I64" s="1256">
        <v>213819.5</v>
      </c>
    </row>
    <row r="65" spans="2:9" ht="31.5">
      <c r="B65" s="1024">
        <v>3.1</v>
      </c>
      <c r="C65" s="937" t="s">
        <v>462</v>
      </c>
      <c r="D65" s="938"/>
      <c r="E65" s="939" t="s">
        <v>1000</v>
      </c>
      <c r="F65" s="1066"/>
      <c r="G65" s="938"/>
      <c r="H65" s="1029"/>
      <c r="I65" s="1256">
        <v>1327.14</v>
      </c>
    </row>
    <row r="66" spans="2:9" ht="15.75">
      <c r="B66" s="1024">
        <v>4.0999999999999996</v>
      </c>
      <c r="C66" s="937" t="s">
        <v>464</v>
      </c>
      <c r="D66" s="938"/>
      <c r="E66" s="939" t="s">
        <v>1000</v>
      </c>
      <c r="F66" s="1066"/>
      <c r="G66" s="938"/>
      <c r="H66" s="1029"/>
      <c r="I66" s="1256">
        <v>180</v>
      </c>
    </row>
    <row r="67" spans="2:9" ht="15.75">
      <c r="B67" s="1024">
        <v>4.2</v>
      </c>
      <c r="C67" s="937" t="s">
        <v>465</v>
      </c>
      <c r="D67" s="938"/>
      <c r="E67" s="939" t="s">
        <v>1000</v>
      </c>
      <c r="F67" s="1066"/>
      <c r="G67" s="938"/>
      <c r="H67" s="1029"/>
      <c r="I67" s="1256">
        <v>210</v>
      </c>
    </row>
    <row r="68" spans="2:9" ht="15.75">
      <c r="B68" s="1024">
        <v>4.3</v>
      </c>
      <c r="C68" s="937" t="s">
        <v>466</v>
      </c>
      <c r="D68" s="938"/>
      <c r="E68" s="939" t="s">
        <v>1106</v>
      </c>
      <c r="F68" s="1066"/>
      <c r="G68" s="938"/>
      <c r="H68" s="1029"/>
      <c r="I68" s="1256">
        <v>997.5</v>
      </c>
    </row>
    <row r="69" spans="2:9" ht="15.75">
      <c r="B69" s="1024">
        <v>4.4000000000000004</v>
      </c>
      <c r="C69" s="937" t="s">
        <v>467</v>
      </c>
      <c r="D69" s="938"/>
      <c r="E69" s="939" t="s">
        <v>1106</v>
      </c>
      <c r="F69" s="1066"/>
      <c r="G69" s="938"/>
      <c r="H69" s="1029"/>
      <c r="I69" s="1256">
        <v>5600</v>
      </c>
    </row>
    <row r="70" spans="2:9" ht="15.75">
      <c r="B70" s="1024">
        <v>4.5</v>
      </c>
      <c r="C70" s="937" t="s">
        <v>468</v>
      </c>
      <c r="D70" s="938"/>
      <c r="E70" s="939" t="s">
        <v>1106</v>
      </c>
      <c r="F70" s="1066"/>
      <c r="G70" s="938"/>
      <c r="H70" s="1029"/>
      <c r="I70" s="1256">
        <v>945</v>
      </c>
    </row>
    <row r="71" spans="2:9" ht="15.75">
      <c r="B71" s="1024">
        <v>4.5999999999999996</v>
      </c>
      <c r="C71" s="937" t="s">
        <v>469</v>
      </c>
      <c r="D71" s="938"/>
      <c r="E71" s="939" t="s">
        <v>1106</v>
      </c>
      <c r="F71" s="1066"/>
      <c r="G71" s="938"/>
      <c r="H71" s="1029"/>
      <c r="I71" s="1256">
        <v>1000</v>
      </c>
    </row>
    <row r="72" spans="2:9" ht="15.75">
      <c r="B72" s="1024">
        <v>4.7</v>
      </c>
      <c r="C72" s="937" t="s">
        <v>470</v>
      </c>
      <c r="D72" s="938"/>
      <c r="E72" s="939" t="s">
        <v>1106</v>
      </c>
      <c r="F72" s="1066"/>
      <c r="G72" s="938"/>
      <c r="H72" s="1029"/>
      <c r="I72" s="1256">
        <v>800</v>
      </c>
    </row>
    <row r="73" spans="2:9" ht="15.75">
      <c r="B73" s="1024">
        <v>4.8</v>
      </c>
      <c r="C73" s="937" t="s">
        <v>471</v>
      </c>
      <c r="D73" s="938"/>
      <c r="E73" s="939" t="s">
        <v>1106</v>
      </c>
      <c r="F73" s="1066"/>
      <c r="G73" s="938"/>
      <c r="H73" s="1029"/>
      <c r="I73" s="1256">
        <v>997.5</v>
      </c>
    </row>
    <row r="74" spans="2:9" ht="15.75">
      <c r="B74" s="1024">
        <v>4.9000000000000004</v>
      </c>
      <c r="C74" s="937" t="s">
        <v>472</v>
      </c>
      <c r="D74" s="938"/>
      <c r="E74" s="939" t="s">
        <v>1106</v>
      </c>
      <c r="F74" s="1066"/>
      <c r="G74" s="938"/>
      <c r="H74" s="1029"/>
      <c r="I74" s="1256">
        <v>997.5</v>
      </c>
    </row>
    <row r="75" spans="2:9" ht="15.75">
      <c r="B75" s="1057">
        <v>6.1</v>
      </c>
      <c r="C75" s="937" t="s">
        <v>473</v>
      </c>
      <c r="D75" s="938"/>
      <c r="E75" s="939" t="s">
        <v>1106</v>
      </c>
      <c r="F75" s="1066"/>
      <c r="G75" s="938"/>
      <c r="H75" s="1029"/>
      <c r="I75" s="1256">
        <v>997.5</v>
      </c>
    </row>
    <row r="76" spans="2:9" ht="15.75">
      <c r="B76" s="1024">
        <v>6.11</v>
      </c>
      <c r="C76" s="937" t="s">
        <v>474</v>
      </c>
      <c r="D76" s="938"/>
      <c r="E76" s="939" t="s">
        <v>1106</v>
      </c>
      <c r="F76" s="1066"/>
      <c r="G76" s="938"/>
      <c r="H76" s="1029"/>
      <c r="I76" s="1256">
        <v>997.5</v>
      </c>
    </row>
    <row r="77" spans="2:9" ht="15.75">
      <c r="B77" s="1024">
        <v>6.12</v>
      </c>
      <c r="C77" s="937" t="s">
        <v>475</v>
      </c>
      <c r="D77" s="938"/>
      <c r="E77" s="939" t="s">
        <v>1106</v>
      </c>
      <c r="F77" s="1066"/>
      <c r="G77" s="938"/>
      <c r="H77" s="1029"/>
      <c r="I77" s="1256">
        <v>997.5</v>
      </c>
    </row>
    <row r="78" spans="2:9" ht="15.75">
      <c r="B78" s="1024">
        <v>6.13</v>
      </c>
      <c r="C78" s="937" t="s">
        <v>476</v>
      </c>
      <c r="D78" s="938"/>
      <c r="E78" s="939" t="s">
        <v>1106</v>
      </c>
      <c r="F78" s="1066"/>
      <c r="G78" s="938"/>
      <c r="H78" s="1029"/>
      <c r="I78" s="1256">
        <v>997.5</v>
      </c>
    </row>
    <row r="79" spans="2:9" ht="15.75">
      <c r="B79" s="1024">
        <v>6.14</v>
      </c>
      <c r="C79" s="937" t="s">
        <v>477</v>
      </c>
      <c r="D79" s="938"/>
      <c r="E79" s="939" t="s">
        <v>1106</v>
      </c>
      <c r="F79" s="1066"/>
      <c r="G79" s="938"/>
      <c r="H79" s="1029"/>
      <c r="I79" s="1256">
        <v>472.5</v>
      </c>
    </row>
    <row r="80" spans="2:9" ht="15.75">
      <c r="B80" s="1024">
        <v>6.15</v>
      </c>
      <c r="C80" s="937" t="s">
        <v>478</v>
      </c>
      <c r="D80" s="938"/>
      <c r="E80" s="939" t="s">
        <v>1106</v>
      </c>
      <c r="F80" s="1066"/>
      <c r="G80" s="938"/>
      <c r="H80" s="1029"/>
      <c r="I80" s="1256">
        <v>1500</v>
      </c>
    </row>
    <row r="81" spans="2:9" ht="15.75">
      <c r="B81" s="1024">
        <v>6.16</v>
      </c>
      <c r="C81" s="937" t="s">
        <v>479</v>
      </c>
      <c r="D81" s="938"/>
      <c r="E81" s="939" t="s">
        <v>1106</v>
      </c>
      <c r="F81" s="1066"/>
      <c r="G81" s="938"/>
      <c r="H81" s="1029"/>
      <c r="I81" s="1256">
        <v>2500</v>
      </c>
    </row>
    <row r="82" spans="2:9" ht="15.75">
      <c r="B82" s="1024">
        <v>6.17</v>
      </c>
      <c r="C82" s="937" t="s">
        <v>480</v>
      </c>
      <c r="D82" s="938"/>
      <c r="E82" s="939" t="s">
        <v>1106</v>
      </c>
      <c r="F82" s="1066"/>
      <c r="G82" s="938"/>
      <c r="H82" s="1029"/>
      <c r="I82" s="1256">
        <v>1000</v>
      </c>
    </row>
    <row r="83" spans="2:9" ht="15.75">
      <c r="B83" s="1024">
        <v>6.18</v>
      </c>
      <c r="C83" s="937" t="s">
        <v>481</v>
      </c>
      <c r="D83" s="938"/>
      <c r="E83" s="939" t="s">
        <v>1106</v>
      </c>
      <c r="F83" s="1066"/>
      <c r="G83" s="938"/>
      <c r="H83" s="1029"/>
      <c r="I83" s="1256">
        <v>2000</v>
      </c>
    </row>
    <row r="84" spans="2:9" ht="15.75">
      <c r="B84" s="1024">
        <v>6.19</v>
      </c>
      <c r="C84" s="937" t="s">
        <v>482</v>
      </c>
      <c r="D84" s="938"/>
      <c r="E84" s="939" t="s">
        <v>1106</v>
      </c>
      <c r="F84" s="1066"/>
      <c r="G84" s="938"/>
      <c r="H84" s="1029"/>
      <c r="I84" s="1256">
        <v>998.5</v>
      </c>
    </row>
    <row r="85" spans="2:9" ht="15.75">
      <c r="B85" s="1057">
        <v>6.2</v>
      </c>
      <c r="C85" s="937" t="s">
        <v>483</v>
      </c>
      <c r="D85" s="938"/>
      <c r="E85" s="939" t="s">
        <v>1106</v>
      </c>
      <c r="F85" s="1066"/>
      <c r="G85" s="938"/>
      <c r="H85" s="1029"/>
      <c r="I85" s="1256">
        <v>131.30000000000001</v>
      </c>
    </row>
    <row r="86" spans="2:9" ht="15.75">
      <c r="B86" s="1057">
        <v>6.21</v>
      </c>
      <c r="C86" s="937" t="s">
        <v>484</v>
      </c>
      <c r="D86" s="938"/>
      <c r="E86" s="939" t="s">
        <v>1106</v>
      </c>
      <c r="F86" s="1066"/>
      <c r="G86" s="938"/>
      <c r="H86" s="1029"/>
      <c r="I86" s="1256">
        <v>1050</v>
      </c>
    </row>
    <row r="87" spans="2:9" ht="15.75">
      <c r="B87" s="1024">
        <v>6.22</v>
      </c>
      <c r="C87" s="937" t="s">
        <v>485</v>
      </c>
      <c r="D87" s="938"/>
      <c r="E87" s="939" t="s">
        <v>1106</v>
      </c>
      <c r="F87" s="1066"/>
      <c r="G87" s="938"/>
      <c r="H87" s="1029"/>
      <c r="I87" s="1256">
        <v>6000</v>
      </c>
    </row>
    <row r="88" spans="2:9" ht="15.75">
      <c r="B88" s="1024">
        <v>6.23</v>
      </c>
      <c r="C88" s="937" t="s">
        <v>486</v>
      </c>
      <c r="D88" s="938"/>
      <c r="E88" s="939" t="s">
        <v>1106</v>
      </c>
      <c r="F88" s="1066"/>
      <c r="G88" s="938"/>
      <c r="H88" s="1029"/>
      <c r="I88" s="1256">
        <v>6000</v>
      </c>
    </row>
    <row r="89" spans="2:9" ht="15.75">
      <c r="B89" s="1024">
        <v>6.24</v>
      </c>
      <c r="C89" s="937" t="s">
        <v>487</v>
      </c>
      <c r="D89" s="938"/>
      <c r="E89" s="939" t="s">
        <v>1106</v>
      </c>
      <c r="F89" s="1066"/>
      <c r="G89" s="938"/>
      <c r="H89" s="1029"/>
      <c r="I89" s="1256">
        <v>6000</v>
      </c>
    </row>
    <row r="90" spans="2:9" ht="15.75">
      <c r="B90" s="1024">
        <v>6.25</v>
      </c>
      <c r="C90" s="937" t="s">
        <v>488</v>
      </c>
      <c r="D90" s="938"/>
      <c r="E90" s="939" t="s">
        <v>1106</v>
      </c>
      <c r="F90" s="1066"/>
      <c r="G90" s="938"/>
      <c r="H90" s="1029"/>
      <c r="I90" s="1256">
        <v>150</v>
      </c>
    </row>
    <row r="91" spans="2:9" ht="15.75">
      <c r="B91" s="1024">
        <v>6.26</v>
      </c>
      <c r="C91" s="937" t="s">
        <v>489</v>
      </c>
      <c r="D91" s="938"/>
      <c r="E91" s="939" t="s">
        <v>1106</v>
      </c>
      <c r="F91" s="1066"/>
      <c r="G91" s="938"/>
      <c r="H91" s="1029"/>
      <c r="I91" s="1256">
        <v>800</v>
      </c>
    </row>
    <row r="92" spans="2:9" ht="15.75">
      <c r="B92" s="1024">
        <v>6.27</v>
      </c>
      <c r="C92" s="937" t="s">
        <v>490</v>
      </c>
      <c r="D92" s="938"/>
      <c r="E92" s="939" t="s">
        <v>1106</v>
      </c>
      <c r="F92" s="1066"/>
      <c r="G92" s="938"/>
      <c r="H92" s="1029"/>
      <c r="I92" s="1256">
        <v>500</v>
      </c>
    </row>
    <row r="93" spans="2:9" ht="15.75">
      <c r="B93" s="1024">
        <v>6.28</v>
      </c>
      <c r="C93" s="937" t="s">
        <v>491</v>
      </c>
      <c r="D93" s="938"/>
      <c r="E93" s="939" t="s">
        <v>1106</v>
      </c>
      <c r="F93" s="1066"/>
      <c r="G93" s="938"/>
      <c r="H93" s="1029"/>
      <c r="I93" s="1256">
        <v>1575</v>
      </c>
    </row>
    <row r="94" spans="2:9" ht="15.75">
      <c r="B94" s="1024">
        <v>6.29</v>
      </c>
      <c r="C94" s="937" t="s">
        <v>492</v>
      </c>
      <c r="D94" s="938"/>
      <c r="E94" s="939" t="s">
        <v>1106</v>
      </c>
      <c r="F94" s="1066"/>
      <c r="G94" s="938"/>
      <c r="H94" s="1029"/>
      <c r="I94" s="1256">
        <v>400</v>
      </c>
    </row>
    <row r="95" spans="2:9" ht="15.75">
      <c r="B95" s="1057">
        <v>6.3</v>
      </c>
      <c r="C95" s="937" t="s">
        <v>493</v>
      </c>
      <c r="D95" s="938"/>
      <c r="E95" s="939" t="s">
        <v>1106</v>
      </c>
      <c r="F95" s="1066"/>
      <c r="G95" s="938"/>
      <c r="H95" s="1029"/>
      <c r="I95" s="1256">
        <v>42</v>
      </c>
    </row>
    <row r="96" spans="2:9" ht="15.75">
      <c r="B96" s="1024">
        <v>6.31</v>
      </c>
      <c r="C96" s="937" t="s">
        <v>494</v>
      </c>
      <c r="D96" s="938"/>
      <c r="E96" s="939" t="s">
        <v>1106</v>
      </c>
      <c r="F96" s="1066"/>
      <c r="G96" s="938"/>
      <c r="H96" s="1029"/>
      <c r="I96" s="1256">
        <v>400</v>
      </c>
    </row>
    <row r="97" spans="2:9" ht="15.75">
      <c r="B97" s="1024">
        <v>6.32</v>
      </c>
      <c r="C97" s="937" t="s">
        <v>495</v>
      </c>
      <c r="D97" s="938"/>
      <c r="E97" s="939" t="s">
        <v>1106</v>
      </c>
      <c r="F97" s="1066"/>
      <c r="G97" s="938"/>
      <c r="H97" s="1029"/>
      <c r="I97" s="1256">
        <v>350</v>
      </c>
    </row>
    <row r="98" spans="2:9" ht="15.75">
      <c r="B98" s="1024">
        <v>6.33</v>
      </c>
      <c r="C98" s="937" t="s">
        <v>496</v>
      </c>
      <c r="D98" s="938"/>
      <c r="E98" s="939" t="s">
        <v>1106</v>
      </c>
      <c r="F98" s="1066"/>
      <c r="G98" s="938"/>
      <c r="H98" s="1029"/>
      <c r="I98" s="1256">
        <v>46.3</v>
      </c>
    </row>
    <row r="99" spans="2:9" ht="15.75">
      <c r="B99" s="1024">
        <v>6.34</v>
      </c>
      <c r="C99" s="937" t="s">
        <v>497</v>
      </c>
      <c r="D99" s="938"/>
      <c r="E99" s="939" t="s">
        <v>1042</v>
      </c>
      <c r="F99" s="1066"/>
      <c r="G99" s="938"/>
      <c r="H99" s="1029"/>
      <c r="I99" s="1256">
        <v>1000</v>
      </c>
    </row>
    <row r="100" spans="2:9" ht="15.75">
      <c r="B100" s="1024">
        <v>6.35</v>
      </c>
      <c r="C100" s="937" t="s">
        <v>498</v>
      </c>
      <c r="D100" s="938"/>
      <c r="E100" s="939" t="s">
        <v>1042</v>
      </c>
      <c r="F100" s="1066"/>
      <c r="G100" s="938"/>
      <c r="H100" s="1029"/>
      <c r="I100" s="1256">
        <v>150</v>
      </c>
    </row>
    <row r="101" spans="2:9" ht="31.5">
      <c r="B101" s="1024">
        <v>6.36</v>
      </c>
      <c r="C101" s="937" t="s">
        <v>499</v>
      </c>
      <c r="D101" s="938"/>
      <c r="E101" s="939" t="s">
        <v>1042</v>
      </c>
      <c r="F101" s="1066"/>
      <c r="G101" s="938"/>
      <c r="H101" s="1029"/>
      <c r="I101" s="1256">
        <v>12000</v>
      </c>
    </row>
    <row r="102" spans="2:9" ht="31.5">
      <c r="B102" s="1024">
        <v>5</v>
      </c>
      <c r="C102" s="937" t="s">
        <v>501</v>
      </c>
      <c r="D102" s="938"/>
      <c r="E102" s="939" t="s">
        <v>1042</v>
      </c>
      <c r="F102" s="1066"/>
      <c r="G102" s="938"/>
      <c r="H102" s="1029"/>
      <c r="I102" s="1256">
        <v>14300</v>
      </c>
    </row>
    <row r="103" spans="2:9" ht="31.5">
      <c r="B103" s="1024">
        <v>6</v>
      </c>
      <c r="C103" s="937" t="s">
        <v>502</v>
      </c>
      <c r="D103" s="938"/>
      <c r="E103" s="939" t="s">
        <v>1042</v>
      </c>
      <c r="F103" s="1066"/>
      <c r="G103" s="938"/>
      <c r="H103" s="1029"/>
      <c r="I103" s="1256">
        <v>8000</v>
      </c>
    </row>
    <row r="104" spans="2:9" ht="18.75">
      <c r="B104" s="1435" t="s">
        <v>1545</v>
      </c>
      <c r="C104" s="1435"/>
      <c r="D104" s="1435"/>
      <c r="E104" s="1435"/>
      <c r="F104" s="1435"/>
      <c r="G104" s="1435"/>
      <c r="H104" s="1435"/>
      <c r="I104" s="1436"/>
    </row>
    <row r="105" spans="2:9" ht="15.75">
      <c r="B105" s="1024">
        <v>1.1000000000000001</v>
      </c>
      <c r="C105" s="937" t="s">
        <v>507</v>
      </c>
      <c r="D105" s="938"/>
      <c r="E105" s="939" t="s">
        <v>140</v>
      </c>
      <c r="F105" s="1066"/>
      <c r="G105" s="938"/>
      <c r="H105" s="1029"/>
      <c r="I105" s="1256">
        <v>32457.25</v>
      </c>
    </row>
    <row r="106" spans="2:9" ht="31.5">
      <c r="B106" s="1026">
        <v>2.1</v>
      </c>
      <c r="C106" s="937" t="s">
        <v>449</v>
      </c>
      <c r="D106" s="938"/>
      <c r="E106" s="962" t="s">
        <v>364</v>
      </c>
      <c r="F106" s="1066"/>
      <c r="G106" s="938"/>
      <c r="H106" s="1029"/>
      <c r="I106" s="1256">
        <v>118.09</v>
      </c>
    </row>
    <row r="107" spans="2:9" ht="15.75">
      <c r="B107" s="1026">
        <v>2.2000000000000002</v>
      </c>
      <c r="C107" s="937" t="s">
        <v>508</v>
      </c>
      <c r="D107" s="938"/>
      <c r="E107" s="962" t="s">
        <v>298</v>
      </c>
      <c r="F107" s="1066"/>
      <c r="G107" s="938"/>
      <c r="H107" s="1029"/>
      <c r="I107" s="1256">
        <v>732</v>
      </c>
    </row>
    <row r="108" spans="2:9" ht="31.5">
      <c r="B108" s="1026">
        <v>2.2999999999999998</v>
      </c>
      <c r="C108" s="937" t="s">
        <v>450</v>
      </c>
      <c r="D108" s="938"/>
      <c r="E108" s="962" t="s">
        <v>426</v>
      </c>
      <c r="F108" s="1066"/>
      <c r="G108" s="938"/>
      <c r="H108" s="1029"/>
      <c r="I108" s="1256">
        <v>87.49</v>
      </c>
    </row>
    <row r="109" spans="2:9" ht="31.5">
      <c r="B109" s="1026">
        <v>2.4</v>
      </c>
      <c r="C109" s="937" t="s">
        <v>509</v>
      </c>
      <c r="D109" s="938"/>
      <c r="E109" s="962" t="s">
        <v>367</v>
      </c>
      <c r="F109" s="1066"/>
      <c r="G109" s="938"/>
      <c r="H109" s="1029"/>
      <c r="I109" s="1256">
        <v>455.24</v>
      </c>
    </row>
    <row r="110" spans="2:9" ht="31.5">
      <c r="B110" s="1026">
        <v>3.1</v>
      </c>
      <c r="C110" s="937" t="s">
        <v>511</v>
      </c>
      <c r="D110" s="938"/>
      <c r="E110" s="962" t="s">
        <v>298</v>
      </c>
      <c r="F110" s="1066"/>
      <c r="G110" s="938"/>
      <c r="H110" s="1029"/>
      <c r="I110" s="1256">
        <v>10147.31</v>
      </c>
    </row>
    <row r="111" spans="2:9" ht="31.5">
      <c r="B111" s="1026">
        <v>3.2</v>
      </c>
      <c r="C111" s="937" t="s">
        <v>512</v>
      </c>
      <c r="D111" s="938"/>
      <c r="E111" s="962" t="s">
        <v>22</v>
      </c>
      <c r="F111" s="1066"/>
      <c r="G111" s="938"/>
      <c r="H111" s="1029"/>
      <c r="I111" s="1256">
        <v>15664.49</v>
      </c>
    </row>
    <row r="112" spans="2:9" ht="15.75">
      <c r="B112" s="1026">
        <v>3.3</v>
      </c>
      <c r="C112" s="937" t="s">
        <v>513</v>
      </c>
      <c r="D112" s="938"/>
      <c r="E112" s="962" t="s">
        <v>22</v>
      </c>
      <c r="F112" s="1066"/>
      <c r="G112" s="938"/>
      <c r="H112" s="1029"/>
      <c r="I112" s="1256">
        <v>38109.22</v>
      </c>
    </row>
    <row r="113" spans="2:9" ht="15.75">
      <c r="B113" s="1026">
        <v>4.0999999999999996</v>
      </c>
      <c r="C113" s="937" t="s">
        <v>515</v>
      </c>
      <c r="D113" s="938"/>
      <c r="E113" s="962" t="s">
        <v>20</v>
      </c>
      <c r="F113" s="1066"/>
      <c r="G113" s="938"/>
      <c r="H113" s="1029"/>
      <c r="I113" s="1256">
        <v>1674.71</v>
      </c>
    </row>
    <row r="114" spans="2:9" ht="15.75">
      <c r="B114" s="1026">
        <v>5.0999999999999996</v>
      </c>
      <c r="C114" s="937" t="s">
        <v>517</v>
      </c>
      <c r="D114" s="938"/>
      <c r="E114" s="962" t="s">
        <v>300</v>
      </c>
      <c r="F114" s="1066"/>
      <c r="G114" s="938"/>
      <c r="H114" s="1029"/>
      <c r="I114" s="1256">
        <v>453.5</v>
      </c>
    </row>
    <row r="115" spans="2:9" ht="15.75">
      <c r="B115" s="1026">
        <v>5.2</v>
      </c>
      <c r="C115" s="937" t="s">
        <v>518</v>
      </c>
      <c r="D115" s="938"/>
      <c r="E115" s="962" t="s">
        <v>20</v>
      </c>
      <c r="F115" s="1066"/>
      <c r="G115" s="938"/>
      <c r="H115" s="1029"/>
      <c r="I115" s="1256">
        <v>453.5</v>
      </c>
    </row>
    <row r="116" spans="2:9" ht="15.75">
      <c r="B116" s="1026">
        <v>5.3</v>
      </c>
      <c r="C116" s="937" t="s">
        <v>519</v>
      </c>
      <c r="D116" s="938"/>
      <c r="E116" s="962" t="s">
        <v>20</v>
      </c>
      <c r="F116" s="1066"/>
      <c r="G116" s="938"/>
      <c r="H116" s="1029"/>
      <c r="I116" s="1256">
        <v>101.1</v>
      </c>
    </row>
    <row r="117" spans="2:9" ht="15.75">
      <c r="B117" s="1026">
        <v>5.4</v>
      </c>
      <c r="C117" s="937" t="s">
        <v>520</v>
      </c>
      <c r="D117" s="938"/>
      <c r="E117" s="962" t="s">
        <v>15</v>
      </c>
      <c r="F117" s="1066"/>
      <c r="G117" s="938"/>
      <c r="H117" s="1029"/>
      <c r="I117" s="1256">
        <v>158.5</v>
      </c>
    </row>
    <row r="118" spans="2:9" ht="31.5">
      <c r="B118" s="1026">
        <v>6.1</v>
      </c>
      <c r="C118" s="937" t="s">
        <v>522</v>
      </c>
      <c r="D118" s="938"/>
      <c r="E118" s="962" t="s">
        <v>20</v>
      </c>
      <c r="F118" s="1066"/>
      <c r="G118" s="938"/>
      <c r="H118" s="1029"/>
      <c r="I118" s="1256">
        <v>1443.71</v>
      </c>
    </row>
    <row r="119" spans="2:9" ht="31.5">
      <c r="B119" s="1026">
        <v>7.1</v>
      </c>
      <c r="C119" s="937" t="s">
        <v>524</v>
      </c>
      <c r="D119" s="938"/>
      <c r="E119" s="962" t="s">
        <v>38</v>
      </c>
      <c r="F119" s="1066"/>
      <c r="G119" s="938"/>
      <c r="H119" s="1029"/>
      <c r="I119" s="1256">
        <v>37658.400000000001</v>
      </c>
    </row>
    <row r="120" spans="2:9" ht="31.5">
      <c r="B120" s="1026">
        <v>7.1</v>
      </c>
      <c r="C120" s="937" t="s">
        <v>525</v>
      </c>
      <c r="D120" s="938"/>
      <c r="E120" s="962" t="s">
        <v>38</v>
      </c>
      <c r="F120" s="1066"/>
      <c r="G120" s="938"/>
      <c r="H120" s="1029"/>
      <c r="I120" s="1256">
        <v>14570.7</v>
      </c>
    </row>
    <row r="121" spans="2:9" ht="15.75">
      <c r="B121" s="1026">
        <v>7.1</v>
      </c>
      <c r="C121" s="937" t="s">
        <v>526</v>
      </c>
      <c r="D121" s="938"/>
      <c r="E121" s="962" t="s">
        <v>38</v>
      </c>
      <c r="F121" s="1066"/>
      <c r="G121" s="938"/>
      <c r="H121" s="1029"/>
      <c r="I121" s="1256">
        <v>9078</v>
      </c>
    </row>
    <row r="122" spans="2:9" ht="15.75">
      <c r="B122" s="1026">
        <v>8.1</v>
      </c>
      <c r="C122" s="937" t="s">
        <v>528</v>
      </c>
      <c r="D122" s="938"/>
      <c r="E122" s="962" t="s">
        <v>20</v>
      </c>
      <c r="F122" s="1066"/>
      <c r="G122" s="938"/>
      <c r="H122" s="1029"/>
      <c r="I122" s="1256">
        <v>168.48</v>
      </c>
    </row>
    <row r="123" spans="2:9" ht="47.25">
      <c r="B123" s="1026">
        <v>8.1999999999999993</v>
      </c>
      <c r="C123" s="937" t="s">
        <v>529</v>
      </c>
      <c r="D123" s="938"/>
      <c r="E123" s="962" t="s">
        <v>20</v>
      </c>
      <c r="F123" s="1066"/>
      <c r="G123" s="938"/>
      <c r="H123" s="1029"/>
      <c r="I123" s="1256">
        <v>382.42</v>
      </c>
    </row>
    <row r="124" spans="2:9" ht="47.25">
      <c r="B124" s="1026">
        <v>8.3000000000000007</v>
      </c>
      <c r="C124" s="937" t="s">
        <v>530</v>
      </c>
      <c r="D124" s="938"/>
      <c r="E124" s="962" t="s">
        <v>20</v>
      </c>
      <c r="F124" s="1066"/>
      <c r="G124" s="938"/>
      <c r="H124" s="1029"/>
      <c r="I124" s="1256">
        <v>382.42</v>
      </c>
    </row>
    <row r="125" spans="2:9" ht="47.25">
      <c r="B125" s="1026">
        <v>8.4</v>
      </c>
      <c r="C125" s="937" t="s">
        <v>531</v>
      </c>
      <c r="D125" s="938"/>
      <c r="E125" s="962" t="s">
        <v>20</v>
      </c>
      <c r="F125" s="1066"/>
      <c r="G125" s="938"/>
      <c r="H125" s="1029"/>
      <c r="I125" s="1256">
        <v>382.42</v>
      </c>
    </row>
    <row r="126" spans="2:9" ht="31.5">
      <c r="B126" s="1026">
        <v>8.5</v>
      </c>
      <c r="C126" s="937" t="s">
        <v>532</v>
      </c>
      <c r="D126" s="938"/>
      <c r="E126" s="962" t="s">
        <v>20</v>
      </c>
      <c r="F126" s="1066"/>
      <c r="G126" s="938"/>
      <c r="H126" s="1029"/>
      <c r="I126" s="1256">
        <v>3927.33</v>
      </c>
    </row>
    <row r="127" spans="2:9" ht="18.75">
      <c r="B127" s="1435" t="s">
        <v>1553</v>
      </c>
      <c r="C127" s="1435"/>
      <c r="D127" s="1435"/>
      <c r="E127" s="1435"/>
      <c r="F127" s="1435"/>
      <c r="G127" s="1435"/>
      <c r="H127" s="1435"/>
      <c r="I127" s="1436"/>
    </row>
    <row r="128" spans="2:9" ht="15.75">
      <c r="B128" s="1024">
        <v>1.1000000000000001</v>
      </c>
      <c r="C128" s="937" t="s">
        <v>507</v>
      </c>
      <c r="D128" s="938"/>
      <c r="E128" s="939" t="s">
        <v>140</v>
      </c>
      <c r="F128" s="1066"/>
      <c r="G128" s="938"/>
      <c r="H128" s="1029"/>
      <c r="I128" s="1256">
        <v>32457.25</v>
      </c>
    </row>
    <row r="129" spans="2:9" ht="31.5">
      <c r="B129" s="1026">
        <v>2.1</v>
      </c>
      <c r="C129" s="937" t="s">
        <v>449</v>
      </c>
      <c r="D129" s="938"/>
      <c r="E129" s="962" t="s">
        <v>1554</v>
      </c>
      <c r="F129" s="1066"/>
      <c r="G129" s="938"/>
      <c r="H129" s="1029"/>
      <c r="I129" s="1256">
        <v>118.09</v>
      </c>
    </row>
    <row r="130" spans="2:9" ht="31.5">
      <c r="B130" s="1026">
        <v>2.2000000000000002</v>
      </c>
      <c r="C130" s="937" t="s">
        <v>450</v>
      </c>
      <c r="D130" s="938"/>
      <c r="E130" s="962" t="s">
        <v>219</v>
      </c>
      <c r="F130" s="1066"/>
      <c r="G130" s="938"/>
      <c r="H130" s="1029"/>
      <c r="I130" s="1256">
        <v>87.49</v>
      </c>
    </row>
    <row r="131" spans="2:9" ht="31.5">
      <c r="B131" s="1026">
        <v>2.2999999999999998</v>
      </c>
      <c r="C131" s="937" t="s">
        <v>509</v>
      </c>
      <c r="D131" s="938"/>
      <c r="E131" s="962" t="s">
        <v>213</v>
      </c>
      <c r="F131" s="1066"/>
      <c r="G131" s="938"/>
      <c r="H131" s="1029"/>
      <c r="I131" s="1256">
        <v>455.24</v>
      </c>
    </row>
    <row r="132" spans="2:9" ht="15.75">
      <c r="B132" s="1026">
        <v>3.1</v>
      </c>
      <c r="C132" s="937" t="s">
        <v>535</v>
      </c>
      <c r="D132" s="938"/>
      <c r="E132" s="962" t="s">
        <v>22</v>
      </c>
      <c r="F132" s="1066"/>
      <c r="G132" s="938"/>
      <c r="H132" s="1029"/>
      <c r="I132" s="1256">
        <v>10106.879999999999</v>
      </c>
    </row>
    <row r="133" spans="2:9" ht="15.75">
      <c r="B133" s="1026">
        <v>3.2</v>
      </c>
      <c r="C133" s="937" t="s">
        <v>536</v>
      </c>
      <c r="D133" s="938"/>
      <c r="E133" s="962" t="s">
        <v>22</v>
      </c>
      <c r="F133" s="1066"/>
      <c r="G133" s="938"/>
      <c r="H133" s="1029"/>
      <c r="I133" s="1256">
        <v>26980.560000000001</v>
      </c>
    </row>
    <row r="134" spans="2:9" ht="15.75">
      <c r="B134" s="1026">
        <v>3.3</v>
      </c>
      <c r="C134" s="937" t="s">
        <v>537</v>
      </c>
      <c r="D134" s="938"/>
      <c r="E134" s="962" t="s">
        <v>22</v>
      </c>
      <c r="F134" s="1066"/>
      <c r="G134" s="938"/>
      <c r="H134" s="1029"/>
      <c r="I134" s="1256">
        <v>12026.09</v>
      </c>
    </row>
    <row r="135" spans="2:9" ht="15.75">
      <c r="B135" s="1026">
        <v>4.0999999999999996</v>
      </c>
      <c r="C135" s="937" t="s">
        <v>539</v>
      </c>
      <c r="D135" s="938"/>
      <c r="E135" s="962" t="s">
        <v>20</v>
      </c>
      <c r="F135" s="1066"/>
      <c r="G135" s="938"/>
      <c r="H135" s="1029"/>
      <c r="I135" s="1256" t="e">
        <f>+#REF!</f>
        <v>#REF!</v>
      </c>
    </row>
    <row r="136" spans="2:9" ht="15.75">
      <c r="B136" s="1026">
        <v>4.2</v>
      </c>
      <c r="C136" s="937" t="s">
        <v>540</v>
      </c>
      <c r="D136" s="938"/>
      <c r="E136" s="962" t="s">
        <v>20</v>
      </c>
      <c r="F136" s="1066"/>
      <c r="G136" s="938"/>
      <c r="H136" s="1029"/>
      <c r="I136" s="1256" t="e">
        <f>+#REF!</f>
        <v>#REF!</v>
      </c>
    </row>
    <row r="137" spans="2:9" ht="15.75">
      <c r="B137" s="1026">
        <v>5.0999999999999996</v>
      </c>
      <c r="C137" s="937" t="s">
        <v>541</v>
      </c>
      <c r="D137" s="938"/>
      <c r="E137" s="962" t="s">
        <v>20</v>
      </c>
      <c r="F137" s="1066"/>
      <c r="G137" s="938"/>
      <c r="H137" s="1029"/>
      <c r="I137" s="1256">
        <v>453.5</v>
      </c>
    </row>
    <row r="138" spans="2:9" ht="15.75">
      <c r="B138" s="1026">
        <v>5.2</v>
      </c>
      <c r="C138" s="937" t="s">
        <v>542</v>
      </c>
      <c r="D138" s="938"/>
      <c r="E138" s="962" t="s">
        <v>20</v>
      </c>
      <c r="F138" s="1066"/>
      <c r="G138" s="938"/>
      <c r="H138" s="1029"/>
      <c r="I138" s="1256">
        <v>453.5</v>
      </c>
    </row>
    <row r="139" spans="2:9" ht="15.75">
      <c r="B139" s="1026">
        <v>5.3</v>
      </c>
      <c r="C139" s="937" t="s">
        <v>543</v>
      </c>
      <c r="D139" s="938"/>
      <c r="E139" s="962" t="s">
        <v>20</v>
      </c>
      <c r="F139" s="1066"/>
      <c r="G139" s="938"/>
      <c r="H139" s="1029"/>
      <c r="I139" s="1256">
        <v>503.5</v>
      </c>
    </row>
    <row r="140" spans="2:9" ht="15.75">
      <c r="B140" s="1026">
        <v>5.4</v>
      </c>
      <c r="C140" s="937" t="s">
        <v>519</v>
      </c>
      <c r="D140" s="938"/>
      <c r="E140" s="962" t="s">
        <v>20</v>
      </c>
      <c r="F140" s="1066"/>
      <c r="G140" s="938"/>
      <c r="H140" s="1029"/>
      <c r="I140" s="1256">
        <v>101.1</v>
      </c>
    </row>
    <row r="141" spans="2:9" ht="15.75">
      <c r="B141" s="1026">
        <v>6.1</v>
      </c>
      <c r="C141" s="937" t="s">
        <v>545</v>
      </c>
      <c r="D141" s="938"/>
      <c r="E141" s="962" t="s">
        <v>20</v>
      </c>
      <c r="F141" s="1066"/>
      <c r="G141" s="938"/>
      <c r="H141" s="1029"/>
      <c r="I141" s="1256">
        <v>168.48</v>
      </c>
    </row>
    <row r="142" spans="2:9" ht="15.75">
      <c r="B142" s="1026">
        <v>6.2</v>
      </c>
      <c r="C142" s="937" t="s">
        <v>546</v>
      </c>
      <c r="D142" s="938"/>
      <c r="E142" s="962" t="s">
        <v>20</v>
      </c>
      <c r="F142" s="1066"/>
      <c r="G142" s="938"/>
      <c r="H142" s="1029"/>
      <c r="I142" s="1256">
        <v>168.48</v>
      </c>
    </row>
    <row r="143" spans="2:9" ht="31.5">
      <c r="B143" s="1038">
        <v>3.4</v>
      </c>
      <c r="C143" s="937" t="s">
        <v>548</v>
      </c>
      <c r="D143" s="938"/>
      <c r="E143" s="962" t="s">
        <v>15</v>
      </c>
      <c r="F143" s="1066"/>
      <c r="G143" s="938"/>
      <c r="H143" s="1029"/>
      <c r="I143" s="1256">
        <v>3830.56</v>
      </c>
    </row>
    <row r="144" spans="2:9" ht="15.75">
      <c r="B144" s="1026">
        <v>7.2</v>
      </c>
      <c r="C144" s="937" t="s">
        <v>549</v>
      </c>
      <c r="D144" s="938"/>
      <c r="E144" s="962" t="s">
        <v>22</v>
      </c>
      <c r="F144" s="1066"/>
      <c r="G144" s="938"/>
      <c r="H144" s="1029"/>
      <c r="I144" s="1256">
        <v>1079.22</v>
      </c>
    </row>
    <row r="145" spans="2:9" ht="18.75">
      <c r="B145" s="1435" t="s">
        <v>1559</v>
      </c>
      <c r="C145" s="1435"/>
      <c r="D145" s="1435"/>
      <c r="E145" s="1435"/>
      <c r="F145" s="1435"/>
      <c r="G145" s="1435"/>
      <c r="H145" s="1435"/>
      <c r="I145" s="1436"/>
    </row>
    <row r="146" spans="2:9" ht="15.75">
      <c r="B146" s="1024">
        <v>1.1000000000000001</v>
      </c>
      <c r="C146" s="937" t="s">
        <v>507</v>
      </c>
      <c r="D146" s="938"/>
      <c r="E146" s="939" t="s">
        <v>140</v>
      </c>
      <c r="F146" s="1066"/>
      <c r="G146" s="938"/>
      <c r="H146" s="1029"/>
      <c r="I146" s="1256">
        <v>32457.25</v>
      </c>
    </row>
    <row r="147" spans="2:9" ht="31.5">
      <c r="B147" s="1026">
        <v>2.1</v>
      </c>
      <c r="C147" s="937" t="s">
        <v>449</v>
      </c>
      <c r="D147" s="938"/>
      <c r="E147" s="962" t="s">
        <v>1554</v>
      </c>
      <c r="F147" s="1066"/>
      <c r="G147" s="938"/>
      <c r="H147" s="1029"/>
      <c r="I147" s="1256">
        <v>118.09</v>
      </c>
    </row>
    <row r="148" spans="2:9" ht="15.75">
      <c r="B148" s="1026">
        <v>2.2000000000000002</v>
      </c>
      <c r="C148" s="937" t="s">
        <v>508</v>
      </c>
      <c r="D148" s="938"/>
      <c r="E148" s="962" t="s">
        <v>22</v>
      </c>
      <c r="F148" s="1066"/>
      <c r="G148" s="938"/>
      <c r="H148" s="1029"/>
      <c r="I148" s="1256">
        <v>732</v>
      </c>
    </row>
    <row r="149" spans="2:9" ht="31.5">
      <c r="B149" s="1026">
        <v>2.2999999999999998</v>
      </c>
      <c r="C149" s="937" t="s">
        <v>450</v>
      </c>
      <c r="D149" s="938"/>
      <c r="E149" s="962" t="s">
        <v>219</v>
      </c>
      <c r="F149" s="1066"/>
      <c r="G149" s="938"/>
      <c r="H149" s="1029"/>
      <c r="I149" s="1256">
        <v>87.49</v>
      </c>
    </row>
    <row r="150" spans="2:9" ht="31.5">
      <c r="B150" s="1026">
        <v>2.4</v>
      </c>
      <c r="C150" s="937" t="s">
        <v>509</v>
      </c>
      <c r="D150" s="938"/>
      <c r="E150" s="962" t="s">
        <v>213</v>
      </c>
      <c r="F150" s="1066"/>
      <c r="G150" s="938"/>
      <c r="H150" s="1029"/>
      <c r="I150" s="1256">
        <v>455.24</v>
      </c>
    </row>
    <row r="151" spans="2:9" ht="31.5">
      <c r="B151" s="1026">
        <v>3.1</v>
      </c>
      <c r="C151" s="937" t="s">
        <v>511</v>
      </c>
      <c r="D151" s="938"/>
      <c r="E151" s="962" t="s">
        <v>22</v>
      </c>
      <c r="F151" s="1066"/>
      <c r="G151" s="938"/>
      <c r="H151" s="1029"/>
      <c r="I151" s="1256">
        <v>10147.31</v>
      </c>
    </row>
    <row r="152" spans="2:9" ht="15.75">
      <c r="B152" s="1026">
        <v>3.2</v>
      </c>
      <c r="C152" s="937" t="s">
        <v>515</v>
      </c>
      <c r="D152" s="938"/>
      <c r="E152" s="962" t="s">
        <v>20</v>
      </c>
      <c r="F152" s="1066"/>
      <c r="G152" s="938"/>
      <c r="H152" s="1029"/>
      <c r="I152" s="1256">
        <v>1449.69</v>
      </c>
    </row>
    <row r="153" spans="2:9" ht="15.75">
      <c r="B153" s="1026">
        <v>5.0999999999999996</v>
      </c>
      <c r="C153" s="937" t="s">
        <v>517</v>
      </c>
      <c r="D153" s="938"/>
      <c r="E153" s="962" t="s">
        <v>20</v>
      </c>
      <c r="F153" s="1066"/>
      <c r="G153" s="938"/>
      <c r="H153" s="1029"/>
      <c r="I153" s="1256">
        <v>453.5</v>
      </c>
    </row>
    <row r="154" spans="2:9" ht="15.75">
      <c r="B154" s="1026">
        <v>5.2</v>
      </c>
      <c r="C154" s="937" t="s">
        <v>518</v>
      </c>
      <c r="D154" s="938"/>
      <c r="E154" s="962" t="s">
        <v>20</v>
      </c>
      <c r="F154" s="1066"/>
      <c r="G154" s="938"/>
      <c r="H154" s="1029"/>
      <c r="I154" s="1256">
        <v>453.5</v>
      </c>
    </row>
    <row r="155" spans="2:9" ht="15.75">
      <c r="B155" s="1026">
        <v>5.3</v>
      </c>
      <c r="C155" s="937" t="s">
        <v>519</v>
      </c>
      <c r="D155" s="938"/>
      <c r="E155" s="962" t="s">
        <v>20</v>
      </c>
      <c r="F155" s="1066"/>
      <c r="G155" s="938"/>
      <c r="H155" s="1029"/>
      <c r="I155" s="1256">
        <v>101.1</v>
      </c>
    </row>
    <row r="156" spans="2:9" ht="15.75">
      <c r="B156" s="1026">
        <v>5.4</v>
      </c>
      <c r="C156" s="937" t="s">
        <v>520</v>
      </c>
      <c r="D156" s="938"/>
      <c r="E156" s="962" t="s">
        <v>15</v>
      </c>
      <c r="F156" s="1066"/>
      <c r="G156" s="938"/>
      <c r="H156" s="1029"/>
      <c r="I156" s="1256">
        <v>158.5</v>
      </c>
    </row>
    <row r="157" spans="2:9" ht="31.5">
      <c r="B157" s="1026">
        <v>6.1</v>
      </c>
      <c r="C157" s="937" t="s">
        <v>522</v>
      </c>
      <c r="D157" s="938"/>
      <c r="E157" s="962" t="s">
        <v>20</v>
      </c>
      <c r="F157" s="1066"/>
      <c r="G157" s="938"/>
      <c r="H157" s="1029"/>
      <c r="I157" s="1256">
        <v>1443.71</v>
      </c>
    </row>
    <row r="158" spans="2:9" ht="31.5">
      <c r="B158" s="1026">
        <v>7.1</v>
      </c>
      <c r="C158" s="937" t="s">
        <v>525</v>
      </c>
      <c r="D158" s="938"/>
      <c r="E158" s="962" t="s">
        <v>38</v>
      </c>
      <c r="F158" s="1066"/>
      <c r="G158" s="938"/>
      <c r="H158" s="1029"/>
      <c r="I158" s="1256">
        <v>14570.7</v>
      </c>
    </row>
    <row r="159" spans="2:9" ht="15.75">
      <c r="B159" s="1026">
        <v>7.1</v>
      </c>
      <c r="C159" s="937" t="s">
        <v>526</v>
      </c>
      <c r="D159" s="938"/>
      <c r="E159" s="962" t="s">
        <v>38</v>
      </c>
      <c r="F159" s="1066"/>
      <c r="G159" s="938"/>
      <c r="H159" s="1029"/>
      <c r="I159" s="1256">
        <v>9078</v>
      </c>
    </row>
    <row r="160" spans="2:9" ht="47.25">
      <c r="B160" s="1026">
        <v>8.1</v>
      </c>
      <c r="C160" s="937" t="s">
        <v>529</v>
      </c>
      <c r="D160" s="938"/>
      <c r="E160" s="962" t="s">
        <v>20</v>
      </c>
      <c r="F160" s="1066"/>
      <c r="G160" s="938"/>
      <c r="H160" s="1029"/>
      <c r="I160" s="1256">
        <v>382.42</v>
      </c>
    </row>
    <row r="161" spans="2:9" ht="47.25">
      <c r="B161" s="1026">
        <v>8.3000000000000007</v>
      </c>
      <c r="C161" s="937" t="s">
        <v>530</v>
      </c>
      <c r="D161" s="938"/>
      <c r="E161" s="962" t="s">
        <v>20</v>
      </c>
      <c r="F161" s="1066"/>
      <c r="G161" s="938"/>
      <c r="H161" s="1029"/>
      <c r="I161" s="1256">
        <v>382.42</v>
      </c>
    </row>
    <row r="162" spans="2:9" ht="31.5">
      <c r="B162" s="1026">
        <v>8.3000000000000007</v>
      </c>
      <c r="C162" s="937" t="s">
        <v>532</v>
      </c>
      <c r="D162" s="938"/>
      <c r="E162" s="962" t="s">
        <v>140</v>
      </c>
      <c r="F162" s="1066"/>
      <c r="G162" s="938"/>
      <c r="H162" s="1029"/>
      <c r="I162" s="1256">
        <v>3927.33</v>
      </c>
    </row>
    <row r="163" spans="2:9" ht="18.75">
      <c r="B163" s="1435" t="s">
        <v>1560</v>
      </c>
      <c r="C163" s="1435"/>
      <c r="D163" s="1435"/>
      <c r="E163" s="1435"/>
      <c r="F163" s="1435"/>
      <c r="G163" s="1435"/>
      <c r="H163" s="1435"/>
      <c r="I163" s="1436"/>
    </row>
    <row r="164" spans="2:9" ht="15.75">
      <c r="B164" s="1024">
        <v>1.1000000000000001</v>
      </c>
      <c r="C164" s="937" t="s">
        <v>507</v>
      </c>
      <c r="D164" s="938"/>
      <c r="E164" s="939" t="s">
        <v>140</v>
      </c>
      <c r="F164" s="1066"/>
      <c r="G164" s="938"/>
      <c r="H164" s="1029"/>
      <c r="I164" s="1256">
        <v>32457.25</v>
      </c>
    </row>
    <row r="165" spans="2:9" ht="31.5">
      <c r="B165" s="1026">
        <v>2.1</v>
      </c>
      <c r="C165" s="937" t="s">
        <v>449</v>
      </c>
      <c r="D165" s="938"/>
      <c r="E165" s="962" t="s">
        <v>1554</v>
      </c>
      <c r="F165" s="1066"/>
      <c r="G165" s="938"/>
      <c r="H165" s="1029"/>
      <c r="I165" s="1256">
        <v>121.58</v>
      </c>
    </row>
    <row r="166" spans="2:9" ht="31.5">
      <c r="B166" s="1026">
        <v>2.2000000000000002</v>
      </c>
      <c r="C166" s="937" t="s">
        <v>450</v>
      </c>
      <c r="D166" s="938"/>
      <c r="E166" s="962" t="s">
        <v>219</v>
      </c>
      <c r="F166" s="1066"/>
      <c r="G166" s="938"/>
      <c r="H166" s="1029"/>
      <c r="I166" s="1256">
        <v>87.49</v>
      </c>
    </row>
    <row r="167" spans="2:9" ht="31.5">
      <c r="B167" s="1026">
        <v>2.2999999999999998</v>
      </c>
      <c r="C167" s="937" t="s">
        <v>509</v>
      </c>
      <c r="D167" s="938"/>
      <c r="E167" s="962" t="s">
        <v>213</v>
      </c>
      <c r="F167" s="1066"/>
      <c r="G167" s="938"/>
      <c r="H167" s="1029"/>
      <c r="I167" s="1256">
        <v>455.24</v>
      </c>
    </row>
    <row r="168" spans="2:9" ht="15.75">
      <c r="B168" s="1026">
        <v>3.1</v>
      </c>
      <c r="C168" s="937" t="s">
        <v>535</v>
      </c>
      <c r="D168" s="938"/>
      <c r="E168" s="962" t="s">
        <v>22</v>
      </c>
      <c r="F168" s="1066"/>
      <c r="G168" s="938"/>
      <c r="H168" s="1029"/>
      <c r="I168" s="1256">
        <v>10147.31</v>
      </c>
    </row>
    <row r="169" spans="2:9" ht="15.75">
      <c r="B169" s="1026">
        <v>3.2</v>
      </c>
      <c r="C169" s="937" t="s">
        <v>536</v>
      </c>
      <c r="D169" s="938"/>
      <c r="E169" s="962" t="s">
        <v>22</v>
      </c>
      <c r="F169" s="1066"/>
      <c r="G169" s="938"/>
      <c r="H169" s="1029"/>
      <c r="I169" s="1256">
        <v>26980.560000000001</v>
      </c>
    </row>
    <row r="170" spans="2:9" ht="15.75">
      <c r="B170" s="1026">
        <v>3.3</v>
      </c>
      <c r="C170" s="937" t="s">
        <v>537</v>
      </c>
      <c r="D170" s="938"/>
      <c r="E170" s="962" t="s">
        <v>22</v>
      </c>
      <c r="F170" s="1066"/>
      <c r="G170" s="938"/>
      <c r="H170" s="1029"/>
      <c r="I170" s="1256">
        <v>12026.09</v>
      </c>
    </row>
    <row r="171" spans="2:9" ht="15.75">
      <c r="B171" s="1026">
        <v>4.0999999999999996</v>
      </c>
      <c r="C171" s="937" t="s">
        <v>539</v>
      </c>
      <c r="D171" s="938"/>
      <c r="E171" s="962" t="s">
        <v>20</v>
      </c>
      <c r="F171" s="1066"/>
      <c r="G171" s="938"/>
      <c r="H171" s="1029"/>
      <c r="I171" s="1256" t="e">
        <f>+#REF!</f>
        <v>#REF!</v>
      </c>
    </row>
    <row r="172" spans="2:9" ht="15.75">
      <c r="B172" s="1026">
        <v>4.2</v>
      </c>
      <c r="C172" s="937" t="s">
        <v>540</v>
      </c>
      <c r="D172" s="938"/>
      <c r="E172" s="962" t="s">
        <v>20</v>
      </c>
      <c r="F172" s="1066"/>
      <c r="G172" s="938"/>
      <c r="H172" s="1029"/>
      <c r="I172" s="1256" t="e">
        <f>+#REF!</f>
        <v>#REF!</v>
      </c>
    </row>
    <row r="173" spans="2:9" ht="15.75">
      <c r="B173" s="1026">
        <v>5.0999999999999996</v>
      </c>
      <c r="C173" s="937" t="s">
        <v>541</v>
      </c>
      <c r="D173" s="938"/>
      <c r="E173" s="962" t="s">
        <v>20</v>
      </c>
      <c r="F173" s="1066"/>
      <c r="G173" s="938"/>
      <c r="H173" s="1029"/>
      <c r="I173" s="1256" t="e">
        <f>+#REF!</f>
        <v>#REF!</v>
      </c>
    </row>
    <row r="174" spans="2:9" ht="15.75">
      <c r="B174" s="1026">
        <v>5.2</v>
      </c>
      <c r="C174" s="937" t="s">
        <v>542</v>
      </c>
      <c r="D174" s="938"/>
      <c r="E174" s="962" t="s">
        <v>20</v>
      </c>
      <c r="F174" s="1066"/>
      <c r="G174" s="938"/>
      <c r="H174" s="1029"/>
      <c r="I174" s="1256" t="e">
        <f>+#REF!</f>
        <v>#REF!</v>
      </c>
    </row>
    <row r="175" spans="2:9" ht="15.75">
      <c r="B175" s="1026">
        <v>5.3</v>
      </c>
      <c r="C175" s="937" t="s">
        <v>543</v>
      </c>
      <c r="D175" s="938"/>
      <c r="E175" s="962" t="s">
        <v>20</v>
      </c>
      <c r="F175" s="1066"/>
      <c r="G175" s="938"/>
      <c r="H175" s="1029"/>
      <c r="I175" s="1256" t="e">
        <f>+#REF!</f>
        <v>#REF!</v>
      </c>
    </row>
    <row r="176" spans="2:9" ht="15.75">
      <c r="B176" s="1026">
        <v>5.4</v>
      </c>
      <c r="C176" s="937" t="s">
        <v>519</v>
      </c>
      <c r="D176" s="938"/>
      <c r="E176" s="962" t="s">
        <v>20</v>
      </c>
      <c r="F176" s="1066"/>
      <c r="G176" s="938"/>
      <c r="H176" s="1029"/>
      <c r="I176" s="1256">
        <v>101.1</v>
      </c>
    </row>
    <row r="177" spans="2:9" ht="15.75">
      <c r="B177" s="1026">
        <v>5.5</v>
      </c>
      <c r="C177" s="937" t="s">
        <v>544</v>
      </c>
      <c r="D177" s="938"/>
      <c r="E177" s="962" t="s">
        <v>15</v>
      </c>
      <c r="F177" s="1066"/>
      <c r="G177" s="938"/>
      <c r="H177" s="1029"/>
      <c r="I177" s="1256">
        <v>158.5</v>
      </c>
    </row>
    <row r="178" spans="2:9" ht="15.75">
      <c r="B178" s="1026">
        <v>6.1</v>
      </c>
      <c r="C178" s="937" t="s">
        <v>545</v>
      </c>
      <c r="D178" s="938"/>
      <c r="E178" s="962" t="s">
        <v>20</v>
      </c>
      <c r="F178" s="1066"/>
      <c r="G178" s="938"/>
      <c r="H178" s="1029"/>
      <c r="I178" s="1256">
        <v>168.48</v>
      </c>
    </row>
    <row r="179" spans="2:9" ht="15.75">
      <c r="B179" s="1026">
        <v>6.2</v>
      </c>
      <c r="C179" s="937" t="s">
        <v>546</v>
      </c>
      <c r="D179" s="938"/>
      <c r="E179" s="962" t="s">
        <v>20</v>
      </c>
      <c r="F179" s="1066"/>
      <c r="G179" s="938"/>
      <c r="H179" s="1029"/>
      <c r="I179" s="1256">
        <v>168.48</v>
      </c>
    </row>
    <row r="180" spans="2:9" ht="31.5">
      <c r="B180" s="1038">
        <v>7.1</v>
      </c>
      <c r="C180" s="937" t="s">
        <v>548</v>
      </c>
      <c r="D180" s="938"/>
      <c r="E180" s="962" t="s">
        <v>10</v>
      </c>
      <c r="F180" s="1066"/>
      <c r="G180" s="938"/>
      <c r="H180" s="1029"/>
      <c r="I180" s="1256">
        <v>3830.56</v>
      </c>
    </row>
    <row r="181" spans="2:9" ht="15.75">
      <c r="B181" s="1026">
        <v>7.2</v>
      </c>
      <c r="C181" s="937" t="s">
        <v>549</v>
      </c>
      <c r="D181" s="938"/>
      <c r="E181" s="962" t="s">
        <v>15</v>
      </c>
      <c r="F181" s="1066"/>
      <c r="G181" s="938"/>
      <c r="H181" s="1029"/>
      <c r="I181" s="1256">
        <v>1079.22</v>
      </c>
    </row>
    <row r="182" spans="2:9" ht="18.75">
      <c r="B182" s="1435" t="s">
        <v>1561</v>
      </c>
      <c r="C182" s="1435"/>
      <c r="D182" s="1435"/>
      <c r="E182" s="1435"/>
      <c r="F182" s="1435"/>
      <c r="G182" s="1435"/>
      <c r="H182" s="1435"/>
      <c r="I182" s="1436"/>
    </row>
    <row r="183" spans="2:9" ht="15.75">
      <c r="B183" s="1024">
        <v>1.1000000000000001</v>
      </c>
      <c r="C183" s="937" t="s">
        <v>507</v>
      </c>
      <c r="D183" s="938"/>
      <c r="E183" s="939" t="s">
        <v>140</v>
      </c>
      <c r="F183" s="1066"/>
      <c r="G183" s="938"/>
      <c r="H183" s="1029"/>
      <c r="I183" s="1256">
        <v>32457.25</v>
      </c>
    </row>
    <row r="184" spans="2:9" ht="31.5">
      <c r="B184" s="1026">
        <v>2.1</v>
      </c>
      <c r="C184" s="937" t="s">
        <v>558</v>
      </c>
      <c r="D184" s="938"/>
      <c r="E184" s="962" t="s">
        <v>1554</v>
      </c>
      <c r="F184" s="1066"/>
      <c r="G184" s="938"/>
      <c r="H184" s="1029"/>
      <c r="I184" s="1256">
        <v>118.09</v>
      </c>
    </row>
    <row r="185" spans="2:9" ht="31.5">
      <c r="B185" s="1026">
        <v>2.2000000000000002</v>
      </c>
      <c r="C185" s="937" t="s">
        <v>812</v>
      </c>
      <c r="D185" s="938"/>
      <c r="E185" s="962" t="s">
        <v>219</v>
      </c>
      <c r="F185" s="1066"/>
      <c r="G185" s="938"/>
      <c r="H185" s="1029"/>
      <c r="I185" s="1256">
        <v>87.49</v>
      </c>
    </row>
    <row r="186" spans="2:9" ht="31.5">
      <c r="B186" s="1026">
        <v>2.2999999999999998</v>
      </c>
      <c r="C186" s="937" t="s">
        <v>509</v>
      </c>
      <c r="D186" s="938"/>
      <c r="E186" s="962" t="s">
        <v>213</v>
      </c>
      <c r="F186" s="1066"/>
      <c r="G186" s="938"/>
      <c r="H186" s="1029"/>
      <c r="I186" s="1256">
        <v>455.24</v>
      </c>
    </row>
    <row r="187" spans="2:9" ht="31.5">
      <c r="B187" s="1026">
        <v>3.1</v>
      </c>
      <c r="C187" s="937" t="s">
        <v>559</v>
      </c>
      <c r="D187" s="938"/>
      <c r="E187" s="962" t="s">
        <v>22</v>
      </c>
      <c r="F187" s="1066"/>
      <c r="G187" s="938"/>
      <c r="H187" s="1029"/>
      <c r="I187" s="1256">
        <v>14836.49</v>
      </c>
    </row>
    <row r="188" spans="2:9" ht="15.75">
      <c r="B188" s="1026">
        <v>3.2</v>
      </c>
      <c r="C188" s="937" t="s">
        <v>560</v>
      </c>
      <c r="D188" s="938"/>
      <c r="E188" s="962" t="s">
        <v>22</v>
      </c>
      <c r="F188" s="1066"/>
      <c r="G188" s="938"/>
      <c r="H188" s="1029"/>
      <c r="I188" s="1256">
        <v>35445.22</v>
      </c>
    </row>
    <row r="189" spans="2:9" ht="15.75">
      <c r="B189" s="1026">
        <v>3.3</v>
      </c>
      <c r="C189" s="937" t="s">
        <v>561</v>
      </c>
      <c r="D189" s="938"/>
      <c r="E189" s="962" t="s">
        <v>22</v>
      </c>
      <c r="F189" s="1066"/>
      <c r="G189" s="938"/>
      <c r="H189" s="1029"/>
      <c r="I189" s="1256">
        <v>25972.560000000001</v>
      </c>
    </row>
    <row r="190" spans="2:9" ht="15.75">
      <c r="B190" s="1026">
        <v>3.4</v>
      </c>
      <c r="C190" s="937" t="s">
        <v>562</v>
      </c>
      <c r="D190" s="938"/>
      <c r="E190" s="962" t="s">
        <v>22</v>
      </c>
      <c r="F190" s="1066"/>
      <c r="G190" s="938"/>
      <c r="H190" s="1029"/>
      <c r="I190" s="1256">
        <v>11962.86</v>
      </c>
    </row>
    <row r="191" spans="2:9" ht="15.75">
      <c r="B191" s="1026">
        <v>4.0999999999999996</v>
      </c>
      <c r="C191" s="937" t="s">
        <v>563</v>
      </c>
      <c r="D191" s="938"/>
      <c r="E191" s="962" t="s">
        <v>20</v>
      </c>
      <c r="F191" s="1066"/>
      <c r="G191" s="938"/>
      <c r="H191" s="1029"/>
      <c r="I191" s="1256">
        <v>453.5</v>
      </c>
    </row>
    <row r="192" spans="2:9" ht="15.75">
      <c r="B192" s="1026">
        <v>4.2</v>
      </c>
      <c r="C192" s="937" t="s">
        <v>519</v>
      </c>
      <c r="D192" s="938"/>
      <c r="E192" s="962" t="s">
        <v>20</v>
      </c>
      <c r="F192" s="1066"/>
      <c r="G192" s="938"/>
      <c r="H192" s="1029"/>
      <c r="I192" s="1256">
        <v>101.1</v>
      </c>
    </row>
    <row r="193" spans="2:9" ht="15.75">
      <c r="B193" s="1026">
        <v>4.3</v>
      </c>
      <c r="C193" s="937" t="s">
        <v>564</v>
      </c>
      <c r="D193" s="938"/>
      <c r="E193" s="962" t="s">
        <v>20</v>
      </c>
      <c r="F193" s="1066"/>
      <c r="G193" s="938"/>
      <c r="H193" s="1029"/>
      <c r="I193" s="1256">
        <v>168.48</v>
      </c>
    </row>
    <row r="194" spans="2:9" ht="110.25">
      <c r="B194" s="1026">
        <v>4.4000000000000004</v>
      </c>
      <c r="C194" s="937" t="s">
        <v>565</v>
      </c>
      <c r="D194" s="938"/>
      <c r="E194" s="962" t="s">
        <v>1106</v>
      </c>
      <c r="F194" s="1066"/>
      <c r="G194" s="938"/>
      <c r="H194" s="1029"/>
      <c r="I194" s="1256">
        <v>10000</v>
      </c>
    </row>
    <row r="195" spans="2:9" ht="78.75">
      <c r="B195" s="1026">
        <v>4.5</v>
      </c>
      <c r="C195" s="937" t="s">
        <v>566</v>
      </c>
      <c r="D195" s="938"/>
      <c r="E195" s="962" t="s">
        <v>1106</v>
      </c>
      <c r="F195" s="1066"/>
      <c r="G195" s="938"/>
      <c r="H195" s="1029"/>
      <c r="I195" s="1256">
        <v>13500</v>
      </c>
    </row>
    <row r="196" spans="2:9" ht="15.75">
      <c r="B196" s="1026">
        <v>4.5999999999999996</v>
      </c>
      <c r="C196" s="937" t="s">
        <v>544</v>
      </c>
      <c r="D196" s="938"/>
      <c r="E196" s="962" t="s">
        <v>15</v>
      </c>
      <c r="F196" s="1066"/>
      <c r="G196" s="938"/>
      <c r="H196" s="1029"/>
      <c r="I196" s="1256">
        <v>158.5</v>
      </c>
    </row>
    <row r="197" spans="2:9" ht="15.75">
      <c r="B197" s="1026">
        <v>4.7</v>
      </c>
      <c r="C197" s="937" t="s">
        <v>567</v>
      </c>
      <c r="D197" s="938"/>
      <c r="E197" s="962" t="s">
        <v>15</v>
      </c>
      <c r="F197" s="1066"/>
      <c r="G197" s="938"/>
      <c r="H197" s="1029"/>
      <c r="I197" s="1256">
        <v>158.5</v>
      </c>
    </row>
    <row r="198" spans="2:9" ht="31.5">
      <c r="B198" s="1026">
        <v>4.8</v>
      </c>
      <c r="C198" s="937" t="s">
        <v>568</v>
      </c>
      <c r="D198" s="938"/>
      <c r="E198" s="962" t="s">
        <v>1106</v>
      </c>
      <c r="F198" s="1066"/>
      <c r="G198" s="938"/>
      <c r="H198" s="1029"/>
      <c r="I198" s="1256">
        <v>4018.2</v>
      </c>
    </row>
    <row r="199" spans="2:9" ht="31.5">
      <c r="B199" s="1026">
        <v>4.9000000000000004</v>
      </c>
      <c r="C199" s="937" t="s">
        <v>569</v>
      </c>
      <c r="D199" s="938"/>
      <c r="E199" s="962" t="s">
        <v>20</v>
      </c>
      <c r="F199" s="1066"/>
      <c r="G199" s="938"/>
      <c r="H199" s="1029"/>
      <c r="I199" s="1256">
        <v>419.4</v>
      </c>
    </row>
    <row r="200" spans="2:9" ht="15.75">
      <c r="B200" s="1026">
        <v>5.0999999999999996</v>
      </c>
      <c r="C200" s="937" t="s">
        <v>571</v>
      </c>
      <c r="D200" s="938"/>
      <c r="E200" s="962" t="s">
        <v>15</v>
      </c>
      <c r="F200" s="1066"/>
      <c r="G200" s="938"/>
      <c r="H200" s="1029"/>
      <c r="I200" s="1256">
        <v>14900</v>
      </c>
    </row>
    <row r="201" spans="2:9" ht="15.75">
      <c r="B201" s="1026">
        <v>5.2</v>
      </c>
      <c r="C201" s="937" t="s">
        <v>572</v>
      </c>
      <c r="D201" s="938"/>
      <c r="E201" s="962" t="s">
        <v>1056</v>
      </c>
      <c r="F201" s="1066"/>
      <c r="G201" s="938"/>
      <c r="H201" s="1029"/>
      <c r="I201" s="1256">
        <v>11700</v>
      </c>
    </row>
    <row r="202" spans="2:9" ht="15.75">
      <c r="B202" s="1026">
        <v>5.3</v>
      </c>
      <c r="C202" s="937" t="s">
        <v>573</v>
      </c>
      <c r="D202" s="938"/>
      <c r="E202" s="962" t="s">
        <v>1056</v>
      </c>
      <c r="F202" s="1066"/>
      <c r="G202" s="938"/>
      <c r="H202" s="1029"/>
      <c r="I202" s="1256">
        <v>4250</v>
      </c>
    </row>
    <row r="203" spans="2:9" ht="31.5">
      <c r="B203" s="1026">
        <v>5.4</v>
      </c>
      <c r="C203" s="937" t="s">
        <v>574</v>
      </c>
      <c r="D203" s="938"/>
      <c r="E203" s="962" t="s">
        <v>1056</v>
      </c>
      <c r="F203" s="1066"/>
      <c r="G203" s="938"/>
      <c r="H203" s="1029"/>
      <c r="I203" s="1256">
        <v>996.6</v>
      </c>
    </row>
    <row r="204" spans="2:9" ht="31.5">
      <c r="B204" s="1026">
        <v>5.5</v>
      </c>
      <c r="C204" s="937" t="s">
        <v>575</v>
      </c>
      <c r="D204" s="938"/>
      <c r="E204" s="962" t="s">
        <v>1056</v>
      </c>
      <c r="F204" s="1066"/>
      <c r="G204" s="938"/>
      <c r="H204" s="1029"/>
      <c r="I204" s="1256">
        <v>1550</v>
      </c>
    </row>
    <row r="205" spans="2:9" ht="15.75">
      <c r="B205" s="1075"/>
      <c r="C205" s="1076"/>
      <c r="D205" s="1257"/>
      <c r="E205" s="1078"/>
      <c r="F205" s="1258"/>
      <c r="G205" s="1257"/>
      <c r="H205" s="1259"/>
      <c r="I205" s="1260"/>
    </row>
    <row r="206" spans="2:9" ht="15.75">
      <c r="B206" s="1038">
        <v>6.1</v>
      </c>
      <c r="C206" s="937" t="s">
        <v>578</v>
      </c>
      <c r="D206" s="938"/>
      <c r="E206" s="962" t="s">
        <v>15</v>
      </c>
      <c r="F206" s="1066"/>
      <c r="G206" s="938"/>
      <c r="H206" s="1029"/>
      <c r="I206" s="1256">
        <v>1589.22</v>
      </c>
    </row>
    <row r="207" spans="2:9" ht="15.75">
      <c r="B207" s="1025"/>
      <c r="C207" s="937" t="s">
        <v>579</v>
      </c>
      <c r="D207" s="938"/>
      <c r="E207" s="962" t="s">
        <v>140</v>
      </c>
      <c r="F207" s="1066"/>
      <c r="G207" s="938"/>
      <c r="H207" s="1029"/>
      <c r="I207" s="1256">
        <v>87000</v>
      </c>
    </row>
    <row r="208" spans="2:9" ht="18.75">
      <c r="B208" s="1435" t="s">
        <v>1574</v>
      </c>
      <c r="C208" s="1435"/>
      <c r="D208" s="1435"/>
      <c r="E208" s="1435"/>
      <c r="F208" s="1435"/>
      <c r="G208" s="1435"/>
      <c r="H208" s="1435"/>
      <c r="I208" s="1436"/>
    </row>
    <row r="209" spans="2:9" ht="31.5">
      <c r="B209" s="1026">
        <v>1.1000000000000001</v>
      </c>
      <c r="C209" s="937" t="s">
        <v>583</v>
      </c>
      <c r="D209" s="938"/>
      <c r="E209" s="962" t="s">
        <v>1554</v>
      </c>
      <c r="F209" s="1066"/>
      <c r="G209" s="938"/>
      <c r="H209" s="1029"/>
      <c r="I209" s="1256">
        <v>67.5</v>
      </c>
    </row>
    <row r="210" spans="2:9" ht="31.5">
      <c r="B210" s="1026">
        <v>1.2</v>
      </c>
      <c r="C210" s="937" t="s">
        <v>509</v>
      </c>
      <c r="D210" s="938"/>
      <c r="E210" s="962" t="s">
        <v>219</v>
      </c>
      <c r="F210" s="1066"/>
      <c r="G210" s="938"/>
      <c r="H210" s="1029"/>
      <c r="I210" s="1256">
        <v>455.24</v>
      </c>
    </row>
    <row r="211" spans="2:9" ht="15.75">
      <c r="B211" s="1024">
        <v>1.3</v>
      </c>
      <c r="C211" s="937" t="s">
        <v>584</v>
      </c>
      <c r="D211" s="938"/>
      <c r="E211" s="939" t="s">
        <v>20</v>
      </c>
      <c r="F211" s="1066"/>
      <c r="G211" s="938"/>
      <c r="H211" s="1029"/>
      <c r="I211" s="1256">
        <v>39.22</v>
      </c>
    </row>
    <row r="212" spans="2:9" ht="15.75">
      <c r="B212" s="1024">
        <v>1.4</v>
      </c>
      <c r="C212" s="937" t="s">
        <v>585</v>
      </c>
      <c r="D212" s="938"/>
      <c r="E212" s="939" t="s">
        <v>20</v>
      </c>
      <c r="F212" s="1066"/>
      <c r="G212" s="938"/>
      <c r="H212" s="1029"/>
      <c r="I212" s="1256">
        <v>2200</v>
      </c>
    </row>
    <row r="213" spans="2:9" ht="15.75">
      <c r="B213" s="1024">
        <v>1.4</v>
      </c>
      <c r="C213" s="937" t="s">
        <v>586</v>
      </c>
      <c r="D213" s="938"/>
      <c r="E213" s="939" t="s">
        <v>20</v>
      </c>
      <c r="F213" s="1066"/>
      <c r="G213" s="938"/>
      <c r="H213" s="1029"/>
      <c r="I213" s="1256">
        <v>120</v>
      </c>
    </row>
    <row r="214" spans="2:9" ht="31.5">
      <c r="B214" s="1026">
        <v>2.1</v>
      </c>
      <c r="C214" s="937" t="s">
        <v>587</v>
      </c>
      <c r="D214" s="938"/>
      <c r="E214" s="962" t="s">
        <v>213</v>
      </c>
      <c r="F214" s="1066"/>
      <c r="G214" s="938"/>
      <c r="H214" s="1029"/>
      <c r="I214" s="1256">
        <v>441.3</v>
      </c>
    </row>
    <row r="215" spans="2:9" ht="31.5">
      <c r="B215" s="1026">
        <v>2.2000000000000002</v>
      </c>
      <c r="C215" s="937" t="s">
        <v>450</v>
      </c>
      <c r="D215" s="938"/>
      <c r="E215" s="962" t="s">
        <v>219</v>
      </c>
      <c r="F215" s="1066"/>
      <c r="G215" s="938"/>
      <c r="H215" s="1029"/>
      <c r="I215" s="1256">
        <v>468.89</v>
      </c>
    </row>
    <row r="216" spans="2:9" ht="15.75">
      <c r="B216" s="1026">
        <v>2.2999999999999998</v>
      </c>
      <c r="C216" s="937" t="s">
        <v>588</v>
      </c>
      <c r="D216" s="938"/>
      <c r="E216" s="962" t="s">
        <v>22</v>
      </c>
      <c r="F216" s="1066"/>
      <c r="G216" s="938"/>
      <c r="H216" s="1029"/>
      <c r="I216" s="1256">
        <v>468.89</v>
      </c>
    </row>
    <row r="217" spans="2:9" ht="31.5">
      <c r="B217" s="1026">
        <v>2.4</v>
      </c>
      <c r="C217" s="937" t="s">
        <v>509</v>
      </c>
      <c r="D217" s="938"/>
      <c r="E217" s="962" t="s">
        <v>213</v>
      </c>
      <c r="F217" s="1066"/>
      <c r="G217" s="938"/>
      <c r="H217" s="1029"/>
      <c r="I217" s="1256">
        <v>455.24</v>
      </c>
    </row>
    <row r="218" spans="2:9" ht="15.75">
      <c r="B218" s="1026">
        <v>3.1</v>
      </c>
      <c r="C218" s="937" t="s">
        <v>589</v>
      </c>
      <c r="D218" s="938"/>
      <c r="E218" s="962" t="s">
        <v>22</v>
      </c>
      <c r="F218" s="1066"/>
      <c r="G218" s="938"/>
      <c r="H218" s="1029"/>
      <c r="I218" s="1256">
        <v>11299.31</v>
      </c>
    </row>
    <row r="219" spans="2:9" ht="15.75">
      <c r="B219" s="1026">
        <v>3.2</v>
      </c>
      <c r="C219" s="937" t="s">
        <v>590</v>
      </c>
      <c r="D219" s="938"/>
      <c r="E219" s="962" t="s">
        <v>22</v>
      </c>
      <c r="F219" s="1066"/>
      <c r="G219" s="938"/>
      <c r="H219" s="1029"/>
      <c r="I219" s="1256">
        <v>11707.31</v>
      </c>
    </row>
    <row r="220" spans="2:9" ht="15.75">
      <c r="B220" s="1026">
        <v>3.3</v>
      </c>
      <c r="C220" s="937" t="s">
        <v>591</v>
      </c>
      <c r="D220" s="938"/>
      <c r="E220" s="962" t="s">
        <v>22</v>
      </c>
      <c r="F220" s="1066"/>
      <c r="G220" s="938"/>
      <c r="H220" s="1029"/>
      <c r="I220" s="1256">
        <v>14658.41</v>
      </c>
    </row>
    <row r="221" spans="2:9" ht="31.5">
      <c r="B221" s="1026">
        <v>3.4</v>
      </c>
      <c r="C221" s="937" t="s">
        <v>592</v>
      </c>
      <c r="D221" s="938"/>
      <c r="E221" s="962" t="s">
        <v>22</v>
      </c>
      <c r="F221" s="1066"/>
      <c r="G221" s="938"/>
      <c r="H221" s="1029"/>
      <c r="I221" s="1256">
        <v>42717.22</v>
      </c>
    </row>
    <row r="222" spans="2:9" ht="31.5">
      <c r="B222" s="1026">
        <v>3.5</v>
      </c>
      <c r="C222" s="937" t="s">
        <v>593</v>
      </c>
      <c r="D222" s="938"/>
      <c r="E222" s="962" t="s">
        <v>22</v>
      </c>
      <c r="F222" s="1066"/>
      <c r="G222" s="938"/>
      <c r="H222" s="1029"/>
      <c r="I222" s="1256">
        <v>45381.22</v>
      </c>
    </row>
    <row r="223" spans="2:9" ht="31.5">
      <c r="B223" s="1026">
        <v>3.6</v>
      </c>
      <c r="C223" s="937" t="s">
        <v>594</v>
      </c>
      <c r="D223" s="938"/>
      <c r="E223" s="962" t="s">
        <v>22</v>
      </c>
      <c r="F223" s="1066"/>
      <c r="G223" s="938"/>
      <c r="H223" s="1029"/>
      <c r="I223" s="1256">
        <v>34504.559999999998</v>
      </c>
    </row>
    <row r="224" spans="2:9" ht="31.5">
      <c r="B224" s="1026">
        <v>3.7</v>
      </c>
      <c r="C224" s="937" t="s">
        <v>595</v>
      </c>
      <c r="D224" s="938"/>
      <c r="E224" s="962" t="s">
        <v>22</v>
      </c>
      <c r="F224" s="1066"/>
      <c r="G224" s="938"/>
      <c r="H224" s="1029"/>
      <c r="I224" s="1256">
        <v>34504.559999999998</v>
      </c>
    </row>
    <row r="225" spans="2:9" ht="31.5">
      <c r="B225" s="1026">
        <v>3.8</v>
      </c>
      <c r="C225" s="937" t="s">
        <v>596</v>
      </c>
      <c r="D225" s="938"/>
      <c r="E225" s="962" t="s">
        <v>22</v>
      </c>
      <c r="F225" s="1066"/>
      <c r="G225" s="938"/>
      <c r="H225" s="1029"/>
      <c r="I225" s="1256">
        <v>31984.560000000001</v>
      </c>
    </row>
    <row r="226" spans="2:9" ht="15.75">
      <c r="B226" s="1026">
        <v>3.9</v>
      </c>
      <c r="C226" s="937" t="s">
        <v>597</v>
      </c>
      <c r="D226" s="938"/>
      <c r="E226" s="962" t="s">
        <v>22</v>
      </c>
      <c r="F226" s="1066"/>
      <c r="G226" s="938"/>
      <c r="H226" s="1029"/>
      <c r="I226" s="1256">
        <v>15794.64</v>
      </c>
    </row>
    <row r="227" spans="2:9" ht="15.75">
      <c r="B227" s="1062">
        <v>3.1</v>
      </c>
      <c r="C227" s="937" t="s">
        <v>598</v>
      </c>
      <c r="D227" s="938"/>
      <c r="E227" s="962" t="s">
        <v>22</v>
      </c>
      <c r="F227" s="1066"/>
      <c r="G227" s="938"/>
      <c r="H227" s="1029"/>
      <c r="I227" s="1256">
        <v>27700.560000000001</v>
      </c>
    </row>
    <row r="228" spans="2:9" ht="15.75">
      <c r="B228" s="1062">
        <v>3.11</v>
      </c>
      <c r="C228" s="937" t="s">
        <v>599</v>
      </c>
      <c r="D228" s="938"/>
      <c r="E228" s="962" t="s">
        <v>22</v>
      </c>
      <c r="F228" s="1066"/>
      <c r="G228" s="938"/>
      <c r="H228" s="1029"/>
      <c r="I228" s="1256">
        <v>16071.26</v>
      </c>
    </row>
    <row r="229" spans="2:9" ht="31.5">
      <c r="B229" s="1062">
        <v>3.12</v>
      </c>
      <c r="C229" s="937" t="s">
        <v>600</v>
      </c>
      <c r="D229" s="938"/>
      <c r="E229" s="962" t="s">
        <v>22</v>
      </c>
      <c r="F229" s="1066"/>
      <c r="G229" s="938"/>
      <c r="H229" s="1029"/>
      <c r="I229" s="1256">
        <v>33856.559999999998</v>
      </c>
    </row>
    <row r="230" spans="2:9" ht="31.5">
      <c r="B230" s="1062">
        <v>3.13</v>
      </c>
      <c r="C230" s="937" t="s">
        <v>601</v>
      </c>
      <c r="D230" s="938"/>
      <c r="E230" s="962" t="s">
        <v>22</v>
      </c>
      <c r="F230" s="1066"/>
      <c r="G230" s="938"/>
      <c r="H230" s="1029"/>
      <c r="I230" s="1256">
        <v>16539.259999999998</v>
      </c>
    </row>
    <row r="231" spans="2:9" ht="15.75">
      <c r="B231" s="1026">
        <v>4.0999999999999996</v>
      </c>
      <c r="C231" s="937" t="s">
        <v>602</v>
      </c>
      <c r="D231" s="938"/>
      <c r="E231" s="962" t="s">
        <v>20</v>
      </c>
      <c r="F231" s="1066"/>
      <c r="G231" s="938"/>
      <c r="H231" s="1029"/>
      <c r="I231" s="1256" t="e">
        <f>+#REF!</f>
        <v>#REF!</v>
      </c>
    </row>
    <row r="232" spans="2:9" ht="15.75">
      <c r="B232" s="1026">
        <v>4.2</v>
      </c>
      <c r="C232" s="937" t="s">
        <v>603</v>
      </c>
      <c r="D232" s="938"/>
      <c r="E232" s="962" t="s">
        <v>20</v>
      </c>
      <c r="F232" s="1066"/>
      <c r="G232" s="938"/>
      <c r="H232" s="1029"/>
      <c r="I232" s="1256" t="e">
        <f>+#REF!</f>
        <v>#REF!</v>
      </c>
    </row>
    <row r="233" spans="2:9" ht="15.75">
      <c r="B233" s="1026">
        <v>4.3</v>
      </c>
      <c r="C233" s="937" t="s">
        <v>604</v>
      </c>
      <c r="D233" s="938"/>
      <c r="E233" s="962" t="s">
        <v>20</v>
      </c>
      <c r="F233" s="1066"/>
      <c r="G233" s="938"/>
      <c r="H233" s="1029"/>
      <c r="I233" s="1256">
        <v>1347.71</v>
      </c>
    </row>
    <row r="234" spans="2:9" ht="31.5">
      <c r="B234" s="1026">
        <v>4.4000000000000004</v>
      </c>
      <c r="C234" s="937" t="s">
        <v>605</v>
      </c>
      <c r="D234" s="938"/>
      <c r="E234" s="962" t="s">
        <v>20</v>
      </c>
      <c r="F234" s="1066"/>
      <c r="G234" s="938"/>
      <c r="H234" s="1029"/>
      <c r="I234" s="1256">
        <v>1347.71</v>
      </c>
    </row>
    <row r="235" spans="2:9" ht="15.75">
      <c r="B235" s="1026">
        <v>5.0999999999999996</v>
      </c>
      <c r="C235" s="937" t="s">
        <v>606</v>
      </c>
      <c r="D235" s="938"/>
      <c r="E235" s="962" t="s">
        <v>20</v>
      </c>
      <c r="F235" s="1066"/>
      <c r="G235" s="938"/>
      <c r="H235" s="1029"/>
      <c r="I235" s="1256">
        <v>453.5</v>
      </c>
    </row>
    <row r="236" spans="2:9" ht="15.75">
      <c r="B236" s="1026">
        <v>5.2</v>
      </c>
      <c r="C236" s="937" t="s">
        <v>607</v>
      </c>
      <c r="D236" s="938"/>
      <c r="E236" s="962" t="s">
        <v>20</v>
      </c>
      <c r="F236" s="1066"/>
      <c r="G236" s="938"/>
      <c r="H236" s="1029"/>
      <c r="I236" s="1256">
        <v>453.5</v>
      </c>
    </row>
    <row r="237" spans="2:9" ht="15.75">
      <c r="B237" s="1026">
        <v>5.3</v>
      </c>
      <c r="C237" s="937" t="s">
        <v>608</v>
      </c>
      <c r="D237" s="938"/>
      <c r="E237" s="962" t="s">
        <v>20</v>
      </c>
      <c r="F237" s="1066"/>
      <c r="G237" s="938"/>
      <c r="H237" s="1029"/>
      <c r="I237" s="1256">
        <v>503.5</v>
      </c>
    </row>
    <row r="238" spans="2:9" ht="15.75">
      <c r="B238" s="1026">
        <v>5.4</v>
      </c>
      <c r="C238" s="937" t="s">
        <v>609</v>
      </c>
      <c r="D238" s="938"/>
      <c r="E238" s="962" t="s">
        <v>20</v>
      </c>
      <c r="F238" s="1066"/>
      <c r="G238" s="938"/>
      <c r="H238" s="1029"/>
      <c r="I238" s="1256">
        <v>101.1</v>
      </c>
    </row>
    <row r="239" spans="2:9" ht="15.75">
      <c r="B239" s="1026">
        <v>5.5</v>
      </c>
      <c r="C239" s="937" t="s">
        <v>610</v>
      </c>
      <c r="D239" s="938"/>
      <c r="E239" s="962" t="s">
        <v>20</v>
      </c>
      <c r="F239" s="1066"/>
      <c r="G239" s="938"/>
      <c r="H239" s="1029"/>
      <c r="I239" s="1256">
        <v>317.60000000000002</v>
      </c>
    </row>
    <row r="240" spans="2:9" ht="31.5">
      <c r="B240" s="1026">
        <v>5.6</v>
      </c>
      <c r="C240" s="937" t="s">
        <v>611</v>
      </c>
      <c r="D240" s="938"/>
      <c r="E240" s="962" t="s">
        <v>20</v>
      </c>
      <c r="F240" s="1066"/>
      <c r="G240" s="938"/>
      <c r="H240" s="1029"/>
      <c r="I240" s="1256">
        <v>319.89999999999998</v>
      </c>
    </row>
    <row r="241" spans="2:9" ht="15.75">
      <c r="B241" s="1026">
        <v>5.7</v>
      </c>
      <c r="C241" s="937" t="s">
        <v>612</v>
      </c>
      <c r="D241" s="938"/>
      <c r="E241" s="962" t="s">
        <v>15</v>
      </c>
      <c r="F241" s="1066"/>
      <c r="G241" s="938"/>
      <c r="H241" s="1029"/>
      <c r="I241" s="1256">
        <v>138.5</v>
      </c>
    </row>
    <row r="242" spans="2:9" ht="15.75">
      <c r="B242" s="1026">
        <v>5.8</v>
      </c>
      <c r="C242" s="937" t="s">
        <v>613</v>
      </c>
      <c r="D242" s="938"/>
      <c r="E242" s="962" t="s">
        <v>15</v>
      </c>
      <c r="F242" s="1066"/>
      <c r="G242" s="938"/>
      <c r="H242" s="1029"/>
      <c r="I242" s="1256">
        <v>158.5</v>
      </c>
    </row>
    <row r="243" spans="2:9" ht="31.5">
      <c r="B243" s="1026">
        <v>6.1</v>
      </c>
      <c r="C243" s="937" t="s">
        <v>615</v>
      </c>
      <c r="D243" s="938"/>
      <c r="E243" s="962" t="s">
        <v>1585</v>
      </c>
      <c r="F243" s="1066"/>
      <c r="G243" s="938"/>
      <c r="H243" s="1029"/>
      <c r="I243" s="1256">
        <v>285.60000000000002</v>
      </c>
    </row>
    <row r="244" spans="2:9" ht="31.5">
      <c r="B244" s="1026">
        <v>6.2</v>
      </c>
      <c r="C244" s="937" t="s">
        <v>616</v>
      </c>
      <c r="D244" s="938"/>
      <c r="E244" s="962" t="s">
        <v>1585</v>
      </c>
      <c r="F244" s="1066"/>
      <c r="G244" s="938"/>
      <c r="H244" s="1029"/>
      <c r="I244" s="1256">
        <v>285.60000000000002</v>
      </c>
    </row>
    <row r="245" spans="2:9" ht="31.5">
      <c r="B245" s="1026">
        <v>7.1</v>
      </c>
      <c r="C245" s="937" t="s">
        <v>618</v>
      </c>
      <c r="D245" s="938"/>
      <c r="E245" s="962" t="s">
        <v>1106</v>
      </c>
      <c r="F245" s="1066"/>
      <c r="G245" s="938"/>
      <c r="H245" s="1029"/>
      <c r="I245" s="1256">
        <v>16007.88</v>
      </c>
    </row>
    <row r="246" spans="2:9" ht="15.75">
      <c r="B246" s="1026">
        <v>7.2</v>
      </c>
      <c r="C246" s="937" t="s">
        <v>619</v>
      </c>
      <c r="D246" s="938"/>
      <c r="E246" s="962" t="s">
        <v>1106</v>
      </c>
      <c r="F246" s="1066"/>
      <c r="G246" s="938"/>
      <c r="H246" s="1029"/>
      <c r="I246" s="1256">
        <v>8670</v>
      </c>
    </row>
    <row r="247" spans="2:9" ht="15.75">
      <c r="B247" s="1026">
        <v>7.3</v>
      </c>
      <c r="C247" s="937" t="s">
        <v>620</v>
      </c>
      <c r="D247" s="938"/>
      <c r="E247" s="962" t="s">
        <v>1106</v>
      </c>
      <c r="F247" s="1066"/>
      <c r="G247" s="938"/>
      <c r="H247" s="1029"/>
      <c r="I247" s="1256">
        <v>8670</v>
      </c>
    </row>
    <row r="248" spans="2:9" ht="15.75">
      <c r="B248" s="1026">
        <v>7.4</v>
      </c>
      <c r="C248" s="937" t="s">
        <v>621</v>
      </c>
      <c r="D248" s="938"/>
      <c r="E248" s="962" t="s">
        <v>1106</v>
      </c>
      <c r="F248" s="1066"/>
      <c r="G248" s="938"/>
      <c r="H248" s="1029"/>
      <c r="I248" s="1256">
        <v>8670</v>
      </c>
    </row>
    <row r="249" spans="2:9" ht="15.75">
      <c r="B249" s="1026">
        <v>7.5</v>
      </c>
      <c r="C249" s="937" t="s">
        <v>622</v>
      </c>
      <c r="D249" s="938"/>
      <c r="E249" s="962" t="s">
        <v>1106</v>
      </c>
      <c r="F249" s="1066"/>
      <c r="G249" s="938"/>
      <c r="H249" s="1029"/>
      <c r="I249" s="1256">
        <v>8670</v>
      </c>
    </row>
    <row r="250" spans="2:9" ht="15.75">
      <c r="B250" s="1026">
        <v>7.6</v>
      </c>
      <c r="C250" s="937" t="s">
        <v>623</v>
      </c>
      <c r="D250" s="938"/>
      <c r="E250" s="962" t="s">
        <v>1106</v>
      </c>
      <c r="F250" s="1066"/>
      <c r="G250" s="938"/>
      <c r="H250" s="1029"/>
      <c r="I250" s="1256">
        <v>8670</v>
      </c>
    </row>
    <row r="251" spans="2:9" ht="31.5">
      <c r="B251" s="1026">
        <v>7.7</v>
      </c>
      <c r="C251" s="937" t="s">
        <v>624</v>
      </c>
      <c r="D251" s="938"/>
      <c r="E251" s="962" t="s">
        <v>1106</v>
      </c>
      <c r="F251" s="1066"/>
      <c r="G251" s="938"/>
      <c r="H251" s="1029"/>
      <c r="I251" s="1256">
        <v>8160</v>
      </c>
    </row>
    <row r="252" spans="2:9" ht="15.75">
      <c r="B252" s="1026">
        <v>8.1</v>
      </c>
      <c r="C252" s="937" t="s">
        <v>625</v>
      </c>
      <c r="D252" s="938"/>
      <c r="E252" s="962" t="s">
        <v>1000</v>
      </c>
      <c r="F252" s="1066"/>
      <c r="G252" s="938"/>
      <c r="H252" s="1029"/>
      <c r="I252" s="1256">
        <v>1887</v>
      </c>
    </row>
    <row r="253" spans="2:9" ht="15.75">
      <c r="B253" s="1026">
        <v>8.1999999999999993</v>
      </c>
      <c r="C253" s="937" t="s">
        <v>626</v>
      </c>
      <c r="D253" s="938"/>
      <c r="E253" s="962" t="s">
        <v>1000</v>
      </c>
      <c r="F253" s="1066"/>
      <c r="G253" s="938"/>
      <c r="H253" s="1029"/>
      <c r="I253" s="1256">
        <v>1887</v>
      </c>
    </row>
    <row r="254" spans="2:9" ht="15.75">
      <c r="B254" s="1026">
        <v>8.3000000000000007</v>
      </c>
      <c r="C254" s="937" t="s">
        <v>627</v>
      </c>
      <c r="D254" s="938"/>
      <c r="E254" s="962" t="s">
        <v>1088</v>
      </c>
      <c r="F254" s="1066"/>
      <c r="G254" s="938"/>
      <c r="H254" s="1029"/>
      <c r="I254" s="1256">
        <v>765</v>
      </c>
    </row>
    <row r="255" spans="2:9" ht="15.75">
      <c r="B255" s="1026">
        <v>8.4</v>
      </c>
      <c r="C255" s="937" t="s">
        <v>628</v>
      </c>
      <c r="D255" s="938"/>
      <c r="E255" s="962" t="s">
        <v>1088</v>
      </c>
      <c r="F255" s="1066"/>
      <c r="G255" s="938"/>
      <c r="H255" s="1029"/>
      <c r="I255" s="1256">
        <v>765</v>
      </c>
    </row>
    <row r="256" spans="2:9" ht="15.75">
      <c r="B256" s="1026">
        <v>8.5</v>
      </c>
      <c r="C256" s="937" t="s">
        <v>629</v>
      </c>
      <c r="D256" s="938"/>
      <c r="E256" s="962" t="s">
        <v>1000</v>
      </c>
      <c r="F256" s="1066"/>
      <c r="G256" s="938"/>
      <c r="H256" s="1029"/>
      <c r="I256" s="1256">
        <v>1589.22</v>
      </c>
    </row>
    <row r="257" spans="2:9" ht="31.5">
      <c r="B257" s="1026">
        <v>8.6</v>
      </c>
      <c r="C257" s="937" t="s">
        <v>630</v>
      </c>
      <c r="D257" s="938"/>
      <c r="E257" s="962" t="s">
        <v>1000</v>
      </c>
      <c r="F257" s="1066"/>
      <c r="G257" s="938"/>
      <c r="H257" s="1029"/>
      <c r="I257" s="1256">
        <v>2326.77</v>
      </c>
    </row>
    <row r="258" spans="2:9" ht="31.5">
      <c r="B258" s="1026">
        <v>8.6999999999999993</v>
      </c>
      <c r="C258" s="937" t="s">
        <v>631</v>
      </c>
      <c r="D258" s="938"/>
      <c r="E258" s="962" t="s">
        <v>1000</v>
      </c>
      <c r="F258" s="1066"/>
      <c r="G258" s="938"/>
      <c r="H258" s="1029"/>
      <c r="I258" s="1256">
        <v>1448.13</v>
      </c>
    </row>
    <row r="259" spans="2:9" ht="15.75">
      <c r="B259" s="1026">
        <v>9.1</v>
      </c>
      <c r="C259" s="937" t="s">
        <v>633</v>
      </c>
      <c r="D259" s="938"/>
      <c r="E259" s="962" t="s">
        <v>1000</v>
      </c>
      <c r="F259" s="1066"/>
      <c r="G259" s="938"/>
      <c r="H259" s="1029"/>
      <c r="I259" s="1256">
        <v>1581</v>
      </c>
    </row>
    <row r="260" spans="2:9" ht="15.75">
      <c r="B260" s="1026">
        <v>9.1999999999999993</v>
      </c>
      <c r="C260" s="937" t="s">
        <v>634</v>
      </c>
      <c r="D260" s="938"/>
      <c r="E260" s="962" t="s">
        <v>1000</v>
      </c>
      <c r="F260" s="1066"/>
      <c r="G260" s="938"/>
      <c r="H260" s="1029"/>
      <c r="I260" s="1256">
        <v>1428</v>
      </c>
    </row>
    <row r="261" spans="2:9" ht="15.75">
      <c r="B261" s="1026">
        <v>10.1</v>
      </c>
      <c r="C261" s="937" t="s">
        <v>635</v>
      </c>
      <c r="D261" s="938"/>
      <c r="E261" s="962" t="s">
        <v>10</v>
      </c>
      <c r="F261" s="1066"/>
      <c r="G261" s="938"/>
      <c r="H261" s="1029"/>
      <c r="I261" s="1256">
        <v>13056</v>
      </c>
    </row>
    <row r="262" spans="2:9" ht="15.75">
      <c r="B262" s="1026">
        <v>10.199999999999999</v>
      </c>
      <c r="C262" s="937" t="s">
        <v>636</v>
      </c>
      <c r="D262" s="938"/>
      <c r="E262" s="962" t="s">
        <v>10</v>
      </c>
      <c r="F262" s="1066"/>
      <c r="G262" s="938"/>
      <c r="H262" s="1029"/>
      <c r="I262" s="1256">
        <v>11034.77</v>
      </c>
    </row>
    <row r="263" spans="2:9" ht="31.5">
      <c r="B263" s="1026">
        <v>10.3</v>
      </c>
      <c r="C263" s="937" t="s">
        <v>637</v>
      </c>
      <c r="D263" s="938"/>
      <c r="E263" s="962" t="s">
        <v>10</v>
      </c>
      <c r="F263" s="1066"/>
      <c r="G263" s="938"/>
      <c r="H263" s="1029"/>
      <c r="I263" s="1256">
        <v>12750.41</v>
      </c>
    </row>
    <row r="264" spans="2:9" ht="15.75">
      <c r="B264" s="1026">
        <v>10.4</v>
      </c>
      <c r="C264" s="937" t="s">
        <v>638</v>
      </c>
      <c r="D264" s="938"/>
      <c r="E264" s="962" t="s">
        <v>10</v>
      </c>
      <c r="F264" s="1066"/>
      <c r="G264" s="938"/>
      <c r="H264" s="1029"/>
      <c r="I264" s="1256">
        <v>7333.8</v>
      </c>
    </row>
    <row r="265" spans="2:9" ht="15.75">
      <c r="B265" s="1026">
        <v>10.5</v>
      </c>
      <c r="C265" s="937" t="s">
        <v>639</v>
      </c>
      <c r="D265" s="938"/>
      <c r="E265" s="962" t="s">
        <v>10</v>
      </c>
      <c r="F265" s="1066"/>
      <c r="G265" s="938"/>
      <c r="H265" s="1029"/>
      <c r="I265" s="1256">
        <v>5467.2</v>
      </c>
    </row>
    <row r="266" spans="2:9" ht="15.75">
      <c r="B266" s="1026">
        <v>10.6</v>
      </c>
      <c r="C266" s="937" t="s">
        <v>640</v>
      </c>
      <c r="D266" s="938"/>
      <c r="E266" s="962" t="s">
        <v>10</v>
      </c>
      <c r="F266" s="1066"/>
      <c r="G266" s="938"/>
      <c r="H266" s="1029"/>
      <c r="I266" s="1256">
        <v>1382.51</v>
      </c>
    </row>
    <row r="267" spans="2:9" ht="15.75">
      <c r="B267" s="1026">
        <v>10.7</v>
      </c>
      <c r="C267" s="937" t="s">
        <v>641</v>
      </c>
      <c r="D267" s="938"/>
      <c r="E267" s="962" t="s">
        <v>10</v>
      </c>
      <c r="F267" s="1066"/>
      <c r="G267" s="938"/>
      <c r="H267" s="1029"/>
      <c r="I267" s="1256">
        <v>2580.6</v>
      </c>
    </row>
    <row r="268" spans="2:9" ht="15.75">
      <c r="B268" s="1026">
        <v>10.8</v>
      </c>
      <c r="C268" s="937" t="s">
        <v>642</v>
      </c>
      <c r="D268" s="938"/>
      <c r="E268" s="962" t="s">
        <v>10</v>
      </c>
      <c r="F268" s="1066"/>
      <c r="G268" s="938"/>
      <c r="H268" s="1029"/>
      <c r="I268" s="1256">
        <v>1382.51</v>
      </c>
    </row>
    <row r="269" spans="2:9" ht="15.75">
      <c r="B269" s="1026">
        <v>10.9</v>
      </c>
      <c r="C269" s="937" t="s">
        <v>643</v>
      </c>
      <c r="D269" s="938"/>
      <c r="E269" s="962" t="s">
        <v>10</v>
      </c>
      <c r="F269" s="1066"/>
      <c r="G269" s="938"/>
      <c r="H269" s="1029"/>
      <c r="I269" s="1256">
        <v>2073.66</v>
      </c>
    </row>
    <row r="270" spans="2:9" ht="31.5">
      <c r="B270" s="1062">
        <v>10.1</v>
      </c>
      <c r="C270" s="937" t="s">
        <v>644</v>
      </c>
      <c r="D270" s="938"/>
      <c r="E270" s="962" t="s">
        <v>10</v>
      </c>
      <c r="F270" s="1066"/>
      <c r="G270" s="938"/>
      <c r="H270" s="1029"/>
      <c r="I270" s="1256">
        <v>9874.82</v>
      </c>
    </row>
    <row r="271" spans="2:9" ht="31.5">
      <c r="B271" s="1062">
        <v>10.11</v>
      </c>
      <c r="C271" s="937" t="s">
        <v>645</v>
      </c>
      <c r="D271" s="938"/>
      <c r="E271" s="962" t="s">
        <v>10</v>
      </c>
      <c r="F271" s="1066"/>
      <c r="G271" s="938"/>
      <c r="H271" s="1029"/>
      <c r="I271" s="1256">
        <v>5158.1400000000003</v>
      </c>
    </row>
    <row r="272" spans="2:9" ht="31.5">
      <c r="B272" s="1062">
        <v>10.119999999999999</v>
      </c>
      <c r="C272" s="937" t="s">
        <v>646</v>
      </c>
      <c r="D272" s="938"/>
      <c r="E272" s="962" t="s">
        <v>10</v>
      </c>
      <c r="F272" s="1066"/>
      <c r="G272" s="938"/>
      <c r="H272" s="1029"/>
      <c r="I272" s="1256">
        <v>137305.76999999999</v>
      </c>
    </row>
    <row r="273" spans="2:9" ht="31.5">
      <c r="B273" s="1062">
        <v>10.130000000000001</v>
      </c>
      <c r="C273" s="937" t="s">
        <v>647</v>
      </c>
      <c r="D273" s="938"/>
      <c r="E273" s="962" t="s">
        <v>10</v>
      </c>
      <c r="F273" s="1066"/>
      <c r="G273" s="938"/>
      <c r="H273" s="1029"/>
      <c r="I273" s="1256">
        <v>66139.960000000006</v>
      </c>
    </row>
    <row r="274" spans="2:9" ht="15.75">
      <c r="B274" s="1062">
        <v>10.14</v>
      </c>
      <c r="C274" s="937" t="s">
        <v>648</v>
      </c>
      <c r="D274" s="938"/>
      <c r="E274" s="962" t="s">
        <v>10</v>
      </c>
      <c r="F274" s="1066"/>
      <c r="G274" s="938"/>
      <c r="H274" s="1029"/>
      <c r="I274" s="1256">
        <v>2407.1999999999998</v>
      </c>
    </row>
    <row r="275" spans="2:9" ht="15.75">
      <c r="B275" s="1062">
        <v>10.15</v>
      </c>
      <c r="C275" s="937" t="s">
        <v>649</v>
      </c>
      <c r="D275" s="938"/>
      <c r="E275" s="962" t="s">
        <v>10</v>
      </c>
      <c r="F275" s="1066"/>
      <c r="G275" s="938"/>
      <c r="H275" s="1029"/>
      <c r="I275" s="1256">
        <v>11371.57</v>
      </c>
    </row>
    <row r="276" spans="2:9" ht="15.75">
      <c r="B276" s="1062">
        <v>10.16</v>
      </c>
      <c r="C276" s="937" t="s">
        <v>650</v>
      </c>
      <c r="D276" s="938"/>
      <c r="E276" s="962" t="s">
        <v>10</v>
      </c>
      <c r="F276" s="1066"/>
      <c r="G276" s="938"/>
      <c r="H276" s="1029"/>
      <c r="I276" s="1256">
        <v>346800</v>
      </c>
    </row>
    <row r="277" spans="2:9" ht="15.75">
      <c r="B277" s="1062">
        <v>10.17</v>
      </c>
      <c r="C277" s="937" t="s">
        <v>651</v>
      </c>
      <c r="D277" s="938"/>
      <c r="E277" s="962" t="s">
        <v>10</v>
      </c>
      <c r="F277" s="1066"/>
      <c r="G277" s="938"/>
      <c r="H277" s="1029"/>
      <c r="I277" s="1256">
        <v>77010</v>
      </c>
    </row>
    <row r="278" spans="2:9" ht="15.75">
      <c r="B278" s="1062">
        <v>10.18</v>
      </c>
      <c r="C278" s="937" t="s">
        <v>652</v>
      </c>
      <c r="D278" s="938"/>
      <c r="E278" s="962" t="s">
        <v>10</v>
      </c>
      <c r="F278" s="1066"/>
      <c r="G278" s="938"/>
      <c r="H278" s="1029"/>
      <c r="I278" s="1256">
        <v>28501.25</v>
      </c>
    </row>
    <row r="279" spans="2:9" ht="15.75">
      <c r="B279" s="1062">
        <v>10.19</v>
      </c>
      <c r="C279" s="937" t="s">
        <v>653</v>
      </c>
      <c r="D279" s="938"/>
      <c r="E279" s="962" t="s">
        <v>10</v>
      </c>
      <c r="F279" s="1066"/>
      <c r="G279" s="938"/>
      <c r="H279" s="1029"/>
      <c r="I279" s="1256">
        <v>78258.070000000007</v>
      </c>
    </row>
    <row r="280" spans="2:9" ht="31.5">
      <c r="B280" s="1062">
        <v>10.199999999999999</v>
      </c>
      <c r="C280" s="937" t="s">
        <v>654</v>
      </c>
      <c r="D280" s="938"/>
      <c r="E280" s="962" t="s">
        <v>1109</v>
      </c>
      <c r="F280" s="1066"/>
      <c r="G280" s="938"/>
      <c r="H280" s="1029"/>
      <c r="I280" s="1256">
        <v>1530</v>
      </c>
    </row>
    <row r="281" spans="2:9" ht="31.5">
      <c r="B281" s="1062">
        <v>10.210000000000001</v>
      </c>
      <c r="C281" s="937" t="s">
        <v>655</v>
      </c>
      <c r="D281" s="938"/>
      <c r="E281" s="962" t="s">
        <v>1109</v>
      </c>
      <c r="F281" s="1066"/>
      <c r="G281" s="938"/>
      <c r="H281" s="1029"/>
      <c r="I281" s="1256">
        <v>35700</v>
      </c>
    </row>
    <row r="282" spans="2:9" ht="31.5">
      <c r="B282" s="1062">
        <v>10.220000000000001</v>
      </c>
      <c r="C282" s="937" t="s">
        <v>656</v>
      </c>
      <c r="D282" s="938"/>
      <c r="E282" s="962" t="s">
        <v>1109</v>
      </c>
      <c r="F282" s="1066"/>
      <c r="G282" s="938"/>
      <c r="H282" s="1029"/>
      <c r="I282" s="1256">
        <v>12240</v>
      </c>
    </row>
    <row r="283" spans="2:9" ht="31.5">
      <c r="B283" s="1062">
        <v>10.23</v>
      </c>
      <c r="C283" s="937" t="s">
        <v>657</v>
      </c>
      <c r="D283" s="938"/>
      <c r="E283" s="962" t="s">
        <v>1109</v>
      </c>
      <c r="F283" s="1066"/>
      <c r="G283" s="938"/>
      <c r="H283" s="1029"/>
      <c r="I283" s="1256">
        <v>15300</v>
      </c>
    </row>
    <row r="284" spans="2:9" ht="15.75">
      <c r="B284" s="1062">
        <v>10.24</v>
      </c>
      <c r="C284" s="937" t="s">
        <v>658</v>
      </c>
      <c r="D284" s="938"/>
      <c r="E284" s="962" t="s">
        <v>1109</v>
      </c>
      <c r="F284" s="1066"/>
      <c r="G284" s="938"/>
      <c r="H284" s="1029"/>
      <c r="I284" s="1256">
        <v>50000</v>
      </c>
    </row>
    <row r="285" spans="2:9" ht="15.75">
      <c r="B285" s="1063">
        <v>11.1</v>
      </c>
      <c r="C285" s="937" t="s">
        <v>659</v>
      </c>
      <c r="D285" s="938"/>
      <c r="E285" s="962" t="s">
        <v>10</v>
      </c>
      <c r="F285" s="1066"/>
      <c r="G285" s="938"/>
      <c r="H285" s="1029"/>
      <c r="I285" s="1256">
        <v>1945.14</v>
      </c>
    </row>
    <row r="286" spans="2:9" ht="15.75">
      <c r="B286" s="1063">
        <v>11.2</v>
      </c>
      <c r="C286" s="937" t="s">
        <v>660</v>
      </c>
      <c r="D286" s="938"/>
      <c r="E286" s="962" t="s">
        <v>1056</v>
      </c>
      <c r="F286" s="1066"/>
      <c r="G286" s="938"/>
      <c r="H286" s="1029"/>
      <c r="I286" s="1256">
        <v>1974.72</v>
      </c>
    </row>
    <row r="287" spans="2:9" ht="15.75">
      <c r="B287" s="1063">
        <v>11.3</v>
      </c>
      <c r="C287" s="937" t="s">
        <v>661</v>
      </c>
      <c r="D287" s="938"/>
      <c r="E287" s="962" t="s">
        <v>1056</v>
      </c>
      <c r="F287" s="1066"/>
      <c r="G287" s="938"/>
      <c r="H287" s="1029"/>
      <c r="I287" s="1256">
        <v>2035.92</v>
      </c>
    </row>
    <row r="288" spans="2:9" ht="15.75">
      <c r="B288" s="1063">
        <v>11.4</v>
      </c>
      <c r="C288" s="937" t="s">
        <v>662</v>
      </c>
      <c r="D288" s="938"/>
      <c r="E288" s="962" t="s">
        <v>1056</v>
      </c>
      <c r="F288" s="1066"/>
      <c r="G288" s="938"/>
      <c r="H288" s="1029"/>
      <c r="I288" s="1256">
        <v>2175.66</v>
      </c>
    </row>
    <row r="289" spans="2:9" ht="15.75">
      <c r="B289" s="1063">
        <v>11.5</v>
      </c>
      <c r="C289" s="937" t="s">
        <v>663</v>
      </c>
      <c r="D289" s="938"/>
      <c r="E289" s="962" t="s">
        <v>1056</v>
      </c>
      <c r="F289" s="1066"/>
      <c r="G289" s="938"/>
      <c r="H289" s="1029"/>
      <c r="I289" s="1256">
        <v>3159.96</v>
      </c>
    </row>
    <row r="290" spans="2:9" ht="15.75">
      <c r="B290" s="1063">
        <v>11.6</v>
      </c>
      <c r="C290" s="937" t="s">
        <v>664</v>
      </c>
      <c r="D290" s="938"/>
      <c r="E290" s="962" t="s">
        <v>1056</v>
      </c>
      <c r="F290" s="1066"/>
      <c r="G290" s="938"/>
      <c r="H290" s="1029"/>
      <c r="I290" s="1256">
        <v>5457</v>
      </c>
    </row>
    <row r="291" spans="2:9" ht="15.75">
      <c r="B291" s="1063">
        <v>11.7</v>
      </c>
      <c r="C291" s="937" t="s">
        <v>665</v>
      </c>
      <c r="D291" s="938"/>
      <c r="E291" s="962" t="s">
        <v>1056</v>
      </c>
      <c r="F291" s="1066"/>
      <c r="G291" s="938"/>
      <c r="H291" s="1029"/>
      <c r="I291" s="1256">
        <v>1071</v>
      </c>
    </row>
    <row r="292" spans="2:9" ht="31.5">
      <c r="B292" s="1063">
        <v>11.8</v>
      </c>
      <c r="C292" s="937" t="s">
        <v>666</v>
      </c>
      <c r="D292" s="938"/>
      <c r="E292" s="962" t="s">
        <v>1056</v>
      </c>
      <c r="F292" s="1066"/>
      <c r="G292" s="938"/>
      <c r="H292" s="1029"/>
      <c r="I292" s="1256">
        <v>33057.18</v>
      </c>
    </row>
    <row r="293" spans="2:9" ht="15.75">
      <c r="B293" s="1063">
        <v>11.9</v>
      </c>
      <c r="C293" s="937" t="s">
        <v>667</v>
      </c>
      <c r="D293" s="938"/>
      <c r="E293" s="962" t="s">
        <v>1056</v>
      </c>
      <c r="F293" s="1066"/>
      <c r="G293" s="938"/>
      <c r="H293" s="1029"/>
      <c r="I293" s="1256">
        <v>33057.18</v>
      </c>
    </row>
    <row r="294" spans="2:9" ht="15.75">
      <c r="B294" s="1062">
        <v>11.1</v>
      </c>
      <c r="C294" s="937" t="s">
        <v>668</v>
      </c>
      <c r="D294" s="938"/>
      <c r="E294" s="962" t="s">
        <v>1056</v>
      </c>
      <c r="F294" s="1066"/>
      <c r="G294" s="938"/>
      <c r="H294" s="1029"/>
      <c r="I294" s="1256">
        <v>1071</v>
      </c>
    </row>
    <row r="295" spans="2:9" ht="15.75">
      <c r="B295" s="1062">
        <v>11.11</v>
      </c>
      <c r="C295" s="937" t="s">
        <v>669</v>
      </c>
      <c r="D295" s="938"/>
      <c r="E295" s="962" t="s">
        <v>1056</v>
      </c>
      <c r="F295" s="1066"/>
      <c r="G295" s="938"/>
      <c r="H295" s="1029"/>
      <c r="I295" s="1256">
        <v>1836</v>
      </c>
    </row>
    <row r="296" spans="2:9" ht="31.5">
      <c r="B296" s="1062">
        <v>11.12</v>
      </c>
      <c r="C296" s="937" t="s">
        <v>670</v>
      </c>
      <c r="D296" s="938"/>
      <c r="E296" s="962" t="s">
        <v>1056</v>
      </c>
      <c r="F296" s="1066"/>
      <c r="G296" s="938"/>
      <c r="H296" s="1029"/>
      <c r="I296" s="1256">
        <v>8509.15</v>
      </c>
    </row>
    <row r="297" spans="2:9" ht="15.75">
      <c r="B297" s="1062">
        <v>11.13</v>
      </c>
      <c r="C297" s="937" t="s">
        <v>671</v>
      </c>
      <c r="D297" s="938"/>
      <c r="E297" s="962" t="s">
        <v>1056</v>
      </c>
      <c r="F297" s="1066"/>
      <c r="G297" s="938"/>
      <c r="H297" s="1029"/>
      <c r="I297" s="1256">
        <v>4590</v>
      </c>
    </row>
    <row r="298" spans="2:9" ht="15.75">
      <c r="B298" s="1062">
        <v>11.14</v>
      </c>
      <c r="C298" s="937" t="s">
        <v>672</v>
      </c>
      <c r="D298" s="938"/>
      <c r="E298" s="962" t="s">
        <v>1056</v>
      </c>
      <c r="F298" s="1066"/>
      <c r="G298" s="938"/>
      <c r="H298" s="1029"/>
      <c r="I298" s="1256">
        <v>35700</v>
      </c>
    </row>
    <row r="299" spans="2:9" ht="15.75">
      <c r="B299" s="1063">
        <v>12.1</v>
      </c>
      <c r="C299" s="937" t="s">
        <v>674</v>
      </c>
      <c r="D299" s="938"/>
      <c r="E299" s="962" t="s">
        <v>1000</v>
      </c>
      <c r="F299" s="1066"/>
      <c r="G299" s="938"/>
      <c r="H299" s="1029"/>
      <c r="I299" s="1256">
        <v>542.22</v>
      </c>
    </row>
    <row r="300" spans="2:9" ht="15.75">
      <c r="B300" s="1063">
        <v>12.2</v>
      </c>
      <c r="C300" s="937" t="s">
        <v>675</v>
      </c>
      <c r="D300" s="938"/>
      <c r="E300" s="962" t="s">
        <v>1088</v>
      </c>
      <c r="F300" s="1066"/>
      <c r="G300" s="938"/>
      <c r="H300" s="1029"/>
      <c r="I300" s="1256">
        <v>137.75</v>
      </c>
    </row>
    <row r="301" spans="2:9" ht="15.75">
      <c r="B301" s="1026">
        <v>12.3</v>
      </c>
      <c r="C301" s="937" t="s">
        <v>676</v>
      </c>
      <c r="D301" s="938"/>
      <c r="E301" s="962" t="s">
        <v>20</v>
      </c>
      <c r="F301" s="1066"/>
      <c r="G301" s="938"/>
      <c r="H301" s="1029"/>
      <c r="I301" s="1256">
        <v>677.4</v>
      </c>
    </row>
    <row r="302" spans="2:9" ht="15.75">
      <c r="B302" s="1026">
        <v>12.4</v>
      </c>
      <c r="C302" s="937" t="s">
        <v>677</v>
      </c>
      <c r="D302" s="938"/>
      <c r="E302" s="962" t="s">
        <v>15</v>
      </c>
      <c r="F302" s="1066"/>
      <c r="G302" s="938"/>
      <c r="H302" s="1029"/>
      <c r="I302" s="1256">
        <v>158.5</v>
      </c>
    </row>
    <row r="303" spans="2:9" ht="31.5">
      <c r="B303" s="1063">
        <v>13.1</v>
      </c>
      <c r="C303" s="937" t="s">
        <v>679</v>
      </c>
      <c r="D303" s="938"/>
      <c r="E303" s="962" t="s">
        <v>1225</v>
      </c>
      <c r="F303" s="1066"/>
      <c r="G303" s="938"/>
      <c r="H303" s="1029"/>
      <c r="I303" s="1256">
        <v>2856</v>
      </c>
    </row>
    <row r="304" spans="2:9" ht="31.5">
      <c r="B304" s="1063">
        <v>13.2</v>
      </c>
      <c r="C304" s="937" t="s">
        <v>680</v>
      </c>
      <c r="D304" s="938"/>
      <c r="E304" s="962" t="s">
        <v>1225</v>
      </c>
      <c r="F304" s="1066"/>
      <c r="G304" s="938"/>
      <c r="H304" s="1029"/>
      <c r="I304" s="1256">
        <v>2856</v>
      </c>
    </row>
    <row r="305" spans="2:9" ht="15.75">
      <c r="B305" s="1063">
        <v>13.3</v>
      </c>
      <c r="C305" s="937" t="s">
        <v>681</v>
      </c>
      <c r="D305" s="938"/>
      <c r="E305" s="962" t="s">
        <v>1109</v>
      </c>
      <c r="F305" s="1066"/>
      <c r="G305" s="938"/>
      <c r="H305" s="1029"/>
      <c r="I305" s="1256">
        <v>4500</v>
      </c>
    </row>
    <row r="306" spans="2:9" ht="15.75">
      <c r="B306" s="1063">
        <v>13.4</v>
      </c>
      <c r="C306" s="937" t="s">
        <v>682</v>
      </c>
      <c r="D306" s="938"/>
      <c r="E306" s="962" t="s">
        <v>406</v>
      </c>
      <c r="F306" s="1066"/>
      <c r="G306" s="938"/>
      <c r="H306" s="1029"/>
      <c r="I306" s="1256">
        <v>1300</v>
      </c>
    </row>
    <row r="307" spans="2:9" ht="15.75">
      <c r="B307" s="1026">
        <v>14.1</v>
      </c>
      <c r="C307" s="937" t="s">
        <v>684</v>
      </c>
      <c r="D307" s="938"/>
      <c r="E307" s="962" t="s">
        <v>20</v>
      </c>
      <c r="F307" s="1066"/>
      <c r="G307" s="938"/>
      <c r="H307" s="1029"/>
      <c r="I307" s="1256">
        <v>168.48</v>
      </c>
    </row>
    <row r="308" spans="2:9" ht="15.75">
      <c r="B308" s="1026">
        <v>14.2</v>
      </c>
      <c r="C308" s="937" t="s">
        <v>685</v>
      </c>
      <c r="D308" s="938"/>
      <c r="E308" s="962" t="s">
        <v>20</v>
      </c>
      <c r="F308" s="1066"/>
      <c r="G308" s="938"/>
      <c r="H308" s="1029"/>
      <c r="I308" s="1256">
        <v>168.48</v>
      </c>
    </row>
    <row r="309" spans="2:9" ht="15.75">
      <c r="B309" s="1026">
        <v>14.3</v>
      </c>
      <c r="C309" s="937" t="s">
        <v>686</v>
      </c>
      <c r="D309" s="938"/>
      <c r="E309" s="962" t="s">
        <v>20</v>
      </c>
      <c r="F309" s="1066"/>
      <c r="G309" s="938"/>
      <c r="H309" s="1029"/>
      <c r="I309" s="1256">
        <v>168.48</v>
      </c>
    </row>
    <row r="310" spans="2:9" ht="31.5">
      <c r="B310" s="1026">
        <v>14.4</v>
      </c>
      <c r="C310" s="937" t="s">
        <v>687</v>
      </c>
      <c r="D310" s="938"/>
      <c r="E310" s="962" t="s">
        <v>1109</v>
      </c>
      <c r="F310" s="1066"/>
      <c r="G310" s="938"/>
      <c r="H310" s="1029"/>
      <c r="I310" s="1256">
        <v>13000</v>
      </c>
    </row>
    <row r="311" spans="2:9" ht="15.75">
      <c r="B311" s="1063">
        <v>15.1</v>
      </c>
      <c r="C311" s="937" t="s">
        <v>688</v>
      </c>
      <c r="D311" s="938"/>
      <c r="E311" s="962" t="s">
        <v>1056</v>
      </c>
      <c r="F311" s="1066"/>
      <c r="G311" s="938"/>
      <c r="H311" s="1029"/>
      <c r="I311" s="1256">
        <v>5100</v>
      </c>
    </row>
    <row r="312" spans="2:9" ht="15.75">
      <c r="B312" s="1089">
        <v>15.1</v>
      </c>
      <c r="C312" s="1090" t="s">
        <v>688</v>
      </c>
      <c r="D312" s="1091"/>
      <c r="E312" s="1092" t="s">
        <v>1109</v>
      </c>
      <c r="F312" s="1093"/>
      <c r="G312" s="1091"/>
      <c r="H312" s="1094"/>
      <c r="I312" s="1261">
        <v>5100</v>
      </c>
    </row>
    <row r="313" spans="2:9" ht="15.75">
      <c r="B313" s="1063">
        <v>15.2</v>
      </c>
      <c r="C313" s="937" t="s">
        <v>689</v>
      </c>
      <c r="D313" s="938"/>
      <c r="E313" s="962" t="s">
        <v>1056</v>
      </c>
      <c r="F313" s="1066"/>
      <c r="G313" s="938"/>
      <c r="H313" s="1029"/>
      <c r="I313" s="1256">
        <v>3500</v>
      </c>
    </row>
    <row r="314" spans="2:9" ht="15.75">
      <c r="B314" s="1063">
        <v>15.3</v>
      </c>
      <c r="C314" s="937" t="s">
        <v>690</v>
      </c>
      <c r="D314" s="938"/>
      <c r="E314" s="962" t="s">
        <v>1652</v>
      </c>
      <c r="F314" s="1066"/>
      <c r="G314" s="938"/>
      <c r="H314" s="1029"/>
      <c r="I314" s="1256">
        <v>2790</v>
      </c>
    </row>
    <row r="315" spans="2:9" ht="15.75">
      <c r="B315" s="1063">
        <v>15.4</v>
      </c>
      <c r="C315" s="937" t="s">
        <v>691</v>
      </c>
      <c r="D315" s="938"/>
      <c r="E315" s="962" t="s">
        <v>1652</v>
      </c>
      <c r="F315" s="1066"/>
      <c r="G315" s="938"/>
      <c r="H315" s="1029"/>
      <c r="I315" s="1256">
        <v>7000</v>
      </c>
    </row>
    <row r="316" spans="2:9" ht="15.75">
      <c r="B316" s="1063">
        <v>15.5</v>
      </c>
      <c r="C316" s="937" t="s">
        <v>692</v>
      </c>
      <c r="D316" s="938"/>
      <c r="E316" s="962" t="s">
        <v>1652</v>
      </c>
      <c r="F316" s="1066"/>
      <c r="G316" s="938"/>
      <c r="H316" s="1029"/>
      <c r="I316" s="1256">
        <v>9000</v>
      </c>
    </row>
    <row r="317" spans="2:9" ht="31.5">
      <c r="B317" s="1063">
        <v>15.6</v>
      </c>
      <c r="C317" s="937" t="s">
        <v>693</v>
      </c>
      <c r="D317" s="938"/>
      <c r="E317" s="962" t="s">
        <v>1409</v>
      </c>
      <c r="F317" s="1066"/>
      <c r="G317" s="938"/>
      <c r="H317" s="1029"/>
      <c r="I317" s="1256">
        <v>1600</v>
      </c>
    </row>
    <row r="318" spans="2:9" ht="15.75">
      <c r="B318" s="1063">
        <v>15.7</v>
      </c>
      <c r="C318" s="937" t="s">
        <v>694</v>
      </c>
      <c r="D318" s="938"/>
      <c r="E318" s="962" t="s">
        <v>140</v>
      </c>
      <c r="F318" s="1066"/>
      <c r="G318" s="938"/>
      <c r="H318" s="1029"/>
      <c r="I318" s="1256">
        <v>3000</v>
      </c>
    </row>
    <row r="319" spans="2:9" ht="18.75">
      <c r="B319" s="1435" t="s">
        <v>1654</v>
      </c>
      <c r="C319" s="1435"/>
      <c r="D319" s="1435"/>
      <c r="E319" s="1435"/>
      <c r="F319" s="1435"/>
      <c r="G319" s="1435"/>
      <c r="H319" s="1435"/>
      <c r="I319" s="1436"/>
    </row>
    <row r="320" spans="2:9" ht="15.75">
      <c r="B320" s="1024">
        <v>1.1000000000000001</v>
      </c>
      <c r="C320" s="937" t="s">
        <v>697</v>
      </c>
      <c r="D320" s="938"/>
      <c r="E320" s="939" t="s">
        <v>20</v>
      </c>
      <c r="F320" s="1066"/>
      <c r="G320" s="938"/>
      <c r="H320" s="1029"/>
      <c r="I320" s="1256">
        <v>162.29</v>
      </c>
    </row>
    <row r="321" spans="2:9" ht="63">
      <c r="B321" s="1063">
        <v>2</v>
      </c>
      <c r="C321" s="937" t="s">
        <v>1775</v>
      </c>
      <c r="D321" s="938"/>
      <c r="E321" s="962" t="s">
        <v>140</v>
      </c>
      <c r="F321" s="1066"/>
      <c r="G321" s="938"/>
      <c r="H321" s="1029"/>
      <c r="I321" s="1256">
        <v>12000</v>
      </c>
    </row>
    <row r="322" spans="2:9" ht="31.5">
      <c r="B322" s="1026">
        <v>3.1</v>
      </c>
      <c r="C322" s="937" t="s">
        <v>699</v>
      </c>
      <c r="D322" s="938"/>
      <c r="E322" s="962" t="s">
        <v>22</v>
      </c>
      <c r="F322" s="1066"/>
      <c r="G322" s="938"/>
      <c r="H322" s="1029"/>
      <c r="I322" s="1256">
        <v>10867.31</v>
      </c>
    </row>
    <row r="323" spans="2:9" ht="31.5">
      <c r="B323" s="1026">
        <v>3.2</v>
      </c>
      <c r="C323" s="937" t="s">
        <v>700</v>
      </c>
      <c r="D323" s="938"/>
      <c r="E323" s="962" t="s">
        <v>22</v>
      </c>
      <c r="F323" s="1066"/>
      <c r="G323" s="938"/>
      <c r="H323" s="1029"/>
      <c r="I323" s="1256">
        <v>30343.439999999999</v>
      </c>
    </row>
    <row r="324" spans="2:9" ht="31.5">
      <c r="B324" s="1026">
        <v>3.3</v>
      </c>
      <c r="C324" s="937" t="s">
        <v>701</v>
      </c>
      <c r="D324" s="938"/>
      <c r="E324" s="962" t="s">
        <v>22</v>
      </c>
      <c r="F324" s="1066"/>
      <c r="G324" s="938"/>
      <c r="H324" s="1029"/>
      <c r="I324" s="1256">
        <v>29119.439999999999</v>
      </c>
    </row>
    <row r="325" spans="2:9" ht="15.75">
      <c r="B325" s="1026">
        <v>3.4</v>
      </c>
      <c r="C325" s="937" t="s">
        <v>702</v>
      </c>
      <c r="D325" s="938"/>
      <c r="E325" s="962" t="s">
        <v>22</v>
      </c>
      <c r="F325" s="1066"/>
      <c r="G325" s="938"/>
      <c r="H325" s="1029"/>
      <c r="I325" s="1256">
        <v>27744.66</v>
      </c>
    </row>
    <row r="326" spans="2:9" ht="15.75">
      <c r="B326" s="1026">
        <v>3.5</v>
      </c>
      <c r="C326" s="937" t="s">
        <v>703</v>
      </c>
      <c r="D326" s="938"/>
      <c r="E326" s="962" t="s">
        <v>22</v>
      </c>
      <c r="F326" s="1066"/>
      <c r="G326" s="938"/>
      <c r="H326" s="1029"/>
      <c r="I326" s="1256">
        <v>25290.98</v>
      </c>
    </row>
    <row r="327" spans="2:9" ht="15.75">
      <c r="B327" s="1026">
        <v>3.6</v>
      </c>
      <c r="C327" s="937" t="s">
        <v>704</v>
      </c>
      <c r="D327" s="938"/>
      <c r="E327" s="962" t="s">
        <v>22</v>
      </c>
      <c r="F327" s="1066"/>
      <c r="G327" s="938"/>
      <c r="H327" s="1029"/>
      <c r="I327" s="1256">
        <v>52830.28</v>
      </c>
    </row>
    <row r="328" spans="2:9" ht="15.75">
      <c r="B328" s="1026">
        <v>3.7</v>
      </c>
      <c r="C328" s="937" t="s">
        <v>705</v>
      </c>
      <c r="D328" s="938"/>
      <c r="E328" s="962" t="s">
        <v>22</v>
      </c>
      <c r="F328" s="1066"/>
      <c r="G328" s="938"/>
      <c r="H328" s="1029"/>
      <c r="I328" s="1256">
        <v>22426.18</v>
      </c>
    </row>
    <row r="329" spans="2:9" ht="15.75">
      <c r="B329" s="1026">
        <v>4.0999999999999996</v>
      </c>
      <c r="C329" s="937" t="s">
        <v>706</v>
      </c>
      <c r="D329" s="938"/>
      <c r="E329" s="962" t="s">
        <v>20</v>
      </c>
      <c r="F329" s="1066"/>
      <c r="G329" s="938"/>
      <c r="H329" s="1029"/>
      <c r="I329" s="1256">
        <v>1379.06</v>
      </c>
    </row>
    <row r="330" spans="2:9" ht="15.75">
      <c r="B330" s="1026">
        <v>4.2</v>
      </c>
      <c r="C330" s="937" t="s">
        <v>707</v>
      </c>
      <c r="D330" s="938"/>
      <c r="E330" s="962" t="s">
        <v>20</v>
      </c>
      <c r="F330" s="1066"/>
      <c r="G330" s="938"/>
      <c r="H330" s="1029"/>
      <c r="I330" s="1256">
        <v>1523.06</v>
      </c>
    </row>
    <row r="331" spans="2:9" ht="15.75">
      <c r="B331" s="1026">
        <v>5.0999999999999996</v>
      </c>
      <c r="C331" s="937" t="s">
        <v>519</v>
      </c>
      <c r="D331" s="938"/>
      <c r="E331" s="962" t="s">
        <v>20</v>
      </c>
      <c r="F331" s="1066"/>
      <c r="G331" s="938"/>
      <c r="H331" s="1029"/>
      <c r="I331" s="1256">
        <v>101.1</v>
      </c>
    </row>
    <row r="332" spans="2:9" ht="15.75">
      <c r="B332" s="1026">
        <v>5.2</v>
      </c>
      <c r="C332" s="937" t="s">
        <v>708</v>
      </c>
      <c r="D332" s="938"/>
      <c r="E332" s="962" t="s">
        <v>20</v>
      </c>
      <c r="F332" s="1066"/>
      <c r="G332" s="938"/>
      <c r="H332" s="1029"/>
      <c r="I332" s="1256">
        <v>453.5</v>
      </c>
    </row>
    <row r="333" spans="2:9" ht="15.75">
      <c r="B333" s="1026">
        <v>5.3</v>
      </c>
      <c r="C333" s="937" t="s">
        <v>709</v>
      </c>
      <c r="D333" s="938"/>
      <c r="E333" s="962" t="s">
        <v>20</v>
      </c>
      <c r="F333" s="1066"/>
      <c r="G333" s="938"/>
      <c r="H333" s="1029"/>
      <c r="I333" s="1256">
        <v>453.5</v>
      </c>
    </row>
    <row r="334" spans="2:9" ht="15.75">
      <c r="B334" s="1063">
        <v>5.4</v>
      </c>
      <c r="C334" s="937" t="s">
        <v>710</v>
      </c>
      <c r="D334" s="938"/>
      <c r="E334" s="962" t="s">
        <v>1000</v>
      </c>
      <c r="F334" s="1066"/>
      <c r="G334" s="938"/>
      <c r="H334" s="1029"/>
      <c r="I334" s="1256">
        <v>542.22</v>
      </c>
    </row>
    <row r="335" spans="2:9" ht="15.75">
      <c r="B335" s="1026">
        <v>5.6</v>
      </c>
      <c r="C335" s="937" t="s">
        <v>544</v>
      </c>
      <c r="D335" s="938"/>
      <c r="E335" s="962" t="s">
        <v>15</v>
      </c>
      <c r="F335" s="1066"/>
      <c r="G335" s="938"/>
      <c r="H335" s="1029"/>
      <c r="I335" s="1256">
        <v>158.5</v>
      </c>
    </row>
    <row r="336" spans="2:9" ht="15.75">
      <c r="B336" s="1026">
        <v>5.7</v>
      </c>
      <c r="C336" s="937" t="s">
        <v>315</v>
      </c>
      <c r="D336" s="938"/>
      <c r="E336" s="962" t="s">
        <v>1045</v>
      </c>
      <c r="F336" s="1066"/>
      <c r="G336" s="938"/>
      <c r="H336" s="1029"/>
      <c r="I336" s="1256">
        <v>336.93</v>
      </c>
    </row>
    <row r="337" spans="2:9" ht="15.75">
      <c r="B337" s="1063">
        <v>5.8</v>
      </c>
      <c r="C337" s="937" t="s">
        <v>675</v>
      </c>
      <c r="D337" s="938"/>
      <c r="E337" s="962" t="s">
        <v>1088</v>
      </c>
      <c r="F337" s="1066"/>
      <c r="G337" s="938"/>
      <c r="H337" s="1029"/>
      <c r="I337" s="1256">
        <v>131.75</v>
      </c>
    </row>
    <row r="338" spans="2:9" ht="15.75">
      <c r="B338" s="1026">
        <v>5.8</v>
      </c>
      <c r="C338" s="937" t="s">
        <v>711</v>
      </c>
      <c r="D338" s="938"/>
      <c r="E338" s="962" t="s">
        <v>15</v>
      </c>
      <c r="F338" s="1066"/>
      <c r="G338" s="938"/>
      <c r="H338" s="1029"/>
      <c r="I338" s="1256">
        <v>158.5</v>
      </c>
    </row>
    <row r="339" spans="2:9" ht="31.5">
      <c r="B339" s="1026">
        <v>5.8</v>
      </c>
      <c r="C339" s="937" t="s">
        <v>712</v>
      </c>
      <c r="D339" s="938"/>
      <c r="E339" s="962" t="s">
        <v>20</v>
      </c>
      <c r="F339" s="1066"/>
      <c r="G339" s="938"/>
      <c r="H339" s="1029"/>
      <c r="I339" s="1256">
        <v>419.4</v>
      </c>
    </row>
    <row r="340" spans="2:9" ht="15.75">
      <c r="B340" s="1026">
        <v>5.8</v>
      </c>
      <c r="C340" s="937" t="s">
        <v>713</v>
      </c>
      <c r="D340" s="938"/>
      <c r="E340" s="962" t="s">
        <v>1000</v>
      </c>
      <c r="F340" s="1066"/>
      <c r="G340" s="938"/>
      <c r="H340" s="1029"/>
      <c r="I340" s="1256">
        <v>1887</v>
      </c>
    </row>
    <row r="341" spans="2:9" ht="31.5">
      <c r="B341" s="1026">
        <v>5.5</v>
      </c>
      <c r="C341" s="937" t="s">
        <v>714</v>
      </c>
      <c r="D341" s="938"/>
      <c r="E341" s="962" t="s">
        <v>20</v>
      </c>
      <c r="F341" s="1066"/>
      <c r="G341" s="938"/>
      <c r="H341" s="1029"/>
      <c r="I341" s="1256">
        <v>245.56</v>
      </c>
    </row>
    <row r="342" spans="2:9" ht="31.5">
      <c r="B342" s="1024">
        <v>6</v>
      </c>
      <c r="C342" s="937" t="s">
        <v>715</v>
      </c>
      <c r="D342" s="938"/>
      <c r="E342" s="939" t="s">
        <v>1000</v>
      </c>
      <c r="F342" s="1066"/>
      <c r="G342" s="938"/>
      <c r="H342" s="1029"/>
      <c r="I342" s="1256">
        <v>1045.04</v>
      </c>
    </row>
    <row r="343" spans="2:9" ht="15.75">
      <c r="B343" s="1026">
        <v>7</v>
      </c>
      <c r="C343" s="937" t="s">
        <v>716</v>
      </c>
      <c r="D343" s="938"/>
      <c r="E343" s="962" t="s">
        <v>1000</v>
      </c>
      <c r="F343" s="1066"/>
      <c r="G343" s="938"/>
      <c r="H343" s="1029"/>
      <c r="I343" s="1256">
        <v>1393.22</v>
      </c>
    </row>
    <row r="344" spans="2:9" ht="15.75">
      <c r="B344" s="1063">
        <v>8.1</v>
      </c>
      <c r="C344" s="937" t="s">
        <v>718</v>
      </c>
      <c r="D344" s="938"/>
      <c r="E344" s="962" t="s">
        <v>1088</v>
      </c>
      <c r="F344" s="1066"/>
      <c r="G344" s="938"/>
      <c r="H344" s="1029"/>
      <c r="I344" s="1256">
        <v>150</v>
      </c>
    </row>
    <row r="345" spans="2:9" ht="31.5">
      <c r="B345" s="1063">
        <v>8.1999999999999993</v>
      </c>
      <c r="C345" s="937" t="s">
        <v>719</v>
      </c>
      <c r="D345" s="938"/>
      <c r="E345" s="962" t="s">
        <v>1056</v>
      </c>
      <c r="F345" s="1066"/>
      <c r="G345" s="938"/>
      <c r="H345" s="1029"/>
      <c r="I345" s="1256">
        <v>8500</v>
      </c>
    </row>
    <row r="346" spans="2:9" ht="15.75">
      <c r="B346" s="1063">
        <v>8.3000000000000007</v>
      </c>
      <c r="C346" s="937" t="s">
        <v>720</v>
      </c>
      <c r="D346" s="938"/>
      <c r="E346" s="962" t="s">
        <v>1056</v>
      </c>
      <c r="F346" s="1066"/>
      <c r="G346" s="938"/>
      <c r="H346" s="1029"/>
      <c r="I346" s="1256">
        <v>12000</v>
      </c>
    </row>
    <row r="347" spans="2:9" ht="31.5">
      <c r="B347" s="1063">
        <v>9.1</v>
      </c>
      <c r="C347" s="937" t="s">
        <v>722</v>
      </c>
      <c r="D347" s="938"/>
      <c r="E347" s="962" t="s">
        <v>1409</v>
      </c>
      <c r="F347" s="1066"/>
      <c r="G347" s="938"/>
      <c r="H347" s="1029"/>
      <c r="I347" s="1256">
        <v>280</v>
      </c>
    </row>
    <row r="348" spans="2:9" ht="15.75">
      <c r="B348" s="1063">
        <v>9.1999999999999993</v>
      </c>
      <c r="C348" s="937" t="s">
        <v>723</v>
      </c>
      <c r="D348" s="938"/>
      <c r="E348" s="962" t="s">
        <v>1056</v>
      </c>
      <c r="F348" s="1066"/>
      <c r="G348" s="938"/>
      <c r="H348" s="1029"/>
      <c r="I348" s="1256">
        <v>1300</v>
      </c>
    </row>
    <row r="349" spans="2:9" ht="15.75">
      <c r="B349" s="1026">
        <v>10.1</v>
      </c>
      <c r="C349" s="937" t="s">
        <v>725</v>
      </c>
      <c r="D349" s="938"/>
      <c r="E349" s="962" t="s">
        <v>10</v>
      </c>
      <c r="F349" s="1066"/>
      <c r="G349" s="938"/>
      <c r="H349" s="1029"/>
      <c r="I349" s="1256">
        <v>11034.77</v>
      </c>
    </row>
    <row r="350" spans="2:9" ht="15.75">
      <c r="B350" s="1026">
        <v>10.199999999999999</v>
      </c>
      <c r="C350" s="937" t="s">
        <v>726</v>
      </c>
      <c r="D350" s="938"/>
      <c r="E350" s="962" t="s">
        <v>10</v>
      </c>
      <c r="F350" s="1066"/>
      <c r="G350" s="938"/>
      <c r="H350" s="1029"/>
      <c r="I350" s="1256">
        <v>13056</v>
      </c>
    </row>
    <row r="351" spans="2:9" ht="15.75">
      <c r="B351" s="1026">
        <v>10.3</v>
      </c>
      <c r="C351" s="937" t="s">
        <v>324</v>
      </c>
      <c r="D351" s="938"/>
      <c r="E351" s="962" t="s">
        <v>10</v>
      </c>
      <c r="F351" s="1066"/>
      <c r="G351" s="938"/>
      <c r="H351" s="1029"/>
      <c r="I351" s="1256">
        <v>2073.66</v>
      </c>
    </row>
    <row r="352" spans="2:9" ht="15.75">
      <c r="B352" s="1026">
        <v>10.4</v>
      </c>
      <c r="C352" s="937" t="s">
        <v>638</v>
      </c>
      <c r="D352" s="938"/>
      <c r="E352" s="962" t="s">
        <v>10</v>
      </c>
      <c r="F352" s="1066"/>
      <c r="G352" s="938"/>
      <c r="H352" s="1029"/>
      <c r="I352" s="1256">
        <v>7333.8</v>
      </c>
    </row>
    <row r="353" spans="2:9" ht="15.75">
      <c r="B353" s="1026">
        <v>10.5</v>
      </c>
      <c r="C353" s="937" t="s">
        <v>727</v>
      </c>
      <c r="D353" s="938"/>
      <c r="E353" s="962" t="s">
        <v>10</v>
      </c>
      <c r="F353" s="1066"/>
      <c r="G353" s="938"/>
      <c r="H353" s="1029"/>
      <c r="I353" s="1256">
        <v>1794.49</v>
      </c>
    </row>
    <row r="354" spans="2:9" ht="15.75">
      <c r="B354" s="1026">
        <v>10.6</v>
      </c>
      <c r="C354" s="937" t="s">
        <v>728</v>
      </c>
      <c r="D354" s="938"/>
      <c r="E354" s="962" t="s">
        <v>10</v>
      </c>
      <c r="F354" s="1066"/>
      <c r="G354" s="938"/>
      <c r="H354" s="1029"/>
      <c r="I354" s="1256">
        <v>2580.6</v>
      </c>
    </row>
    <row r="355" spans="2:9" ht="15.75">
      <c r="B355" s="1026">
        <v>10.7</v>
      </c>
      <c r="C355" s="937" t="s">
        <v>729</v>
      </c>
      <c r="D355" s="938"/>
      <c r="E355" s="962" t="s">
        <v>10</v>
      </c>
      <c r="F355" s="1066"/>
      <c r="G355" s="938"/>
      <c r="H355" s="1029"/>
      <c r="I355" s="1256">
        <v>6426.2</v>
      </c>
    </row>
    <row r="356" spans="2:9" ht="15.75">
      <c r="B356" s="1063">
        <v>10.8</v>
      </c>
      <c r="C356" s="937" t="s">
        <v>730</v>
      </c>
      <c r="D356" s="938"/>
      <c r="E356" s="962" t="s">
        <v>10</v>
      </c>
      <c r="F356" s="1066"/>
      <c r="G356" s="938"/>
      <c r="H356" s="1029"/>
      <c r="I356" s="1256">
        <v>66139.960000000006</v>
      </c>
    </row>
    <row r="357" spans="2:9" ht="15.75">
      <c r="B357" s="1063">
        <v>10.9</v>
      </c>
      <c r="C357" s="937" t="s">
        <v>731</v>
      </c>
      <c r="D357" s="938"/>
      <c r="E357" s="962" t="s">
        <v>10</v>
      </c>
      <c r="F357" s="1066"/>
      <c r="G357" s="938"/>
      <c r="H357" s="1029"/>
      <c r="I357" s="1256">
        <v>7956</v>
      </c>
    </row>
    <row r="358" spans="2:9" ht="15.75">
      <c r="B358" s="1062">
        <v>10.1</v>
      </c>
      <c r="C358" s="937" t="s">
        <v>732</v>
      </c>
      <c r="D358" s="938"/>
      <c r="E358" s="962" t="s">
        <v>10</v>
      </c>
      <c r="F358" s="1066"/>
      <c r="G358" s="938"/>
      <c r="H358" s="1029"/>
      <c r="I358" s="1256">
        <v>77010</v>
      </c>
    </row>
    <row r="359" spans="2:9" ht="15.75">
      <c r="B359" s="1062">
        <v>10.11</v>
      </c>
      <c r="C359" s="937" t="s">
        <v>733</v>
      </c>
      <c r="D359" s="938"/>
      <c r="E359" s="962" t="s">
        <v>10</v>
      </c>
      <c r="F359" s="1066"/>
      <c r="G359" s="938"/>
      <c r="H359" s="1029"/>
      <c r="I359" s="1256">
        <v>1606.81</v>
      </c>
    </row>
    <row r="360" spans="2:9" ht="47.25">
      <c r="B360" s="1062">
        <v>10.119999999999999</v>
      </c>
      <c r="C360" s="937" t="s">
        <v>734</v>
      </c>
      <c r="D360" s="938"/>
      <c r="E360" s="962" t="s">
        <v>10</v>
      </c>
      <c r="F360" s="1066"/>
      <c r="G360" s="938"/>
      <c r="H360" s="1029"/>
      <c r="I360" s="1256">
        <v>6120</v>
      </c>
    </row>
    <row r="361" spans="2:9" ht="15.75">
      <c r="B361" s="1062">
        <v>10.130000000000001</v>
      </c>
      <c r="C361" s="937" t="s">
        <v>735</v>
      </c>
      <c r="D361" s="938"/>
      <c r="E361" s="962" t="s">
        <v>10</v>
      </c>
      <c r="F361" s="1066"/>
      <c r="G361" s="938"/>
      <c r="H361" s="1029"/>
      <c r="I361" s="1256">
        <v>13260</v>
      </c>
    </row>
    <row r="362" spans="2:9" ht="31.5">
      <c r="B362" s="1063">
        <v>11.1</v>
      </c>
      <c r="C362" s="937" t="s">
        <v>736</v>
      </c>
      <c r="D362" s="938"/>
      <c r="E362" s="962" t="s">
        <v>1056</v>
      </c>
      <c r="F362" s="1066"/>
      <c r="G362" s="938"/>
      <c r="H362" s="1029"/>
      <c r="I362" s="1256">
        <v>3993.3</v>
      </c>
    </row>
    <row r="363" spans="2:9" ht="15.75">
      <c r="B363" s="1063">
        <v>11.2</v>
      </c>
      <c r="C363" s="937" t="s">
        <v>737</v>
      </c>
      <c r="D363" s="938"/>
      <c r="E363" s="962" t="s">
        <v>1056</v>
      </c>
      <c r="F363" s="1066"/>
      <c r="G363" s="938"/>
      <c r="H363" s="1029"/>
      <c r="I363" s="1256">
        <v>1945.14</v>
      </c>
    </row>
    <row r="364" spans="2:9" ht="15.75">
      <c r="B364" s="1063">
        <v>11.3</v>
      </c>
      <c r="C364" s="937" t="s">
        <v>738</v>
      </c>
      <c r="D364" s="938"/>
      <c r="E364" s="962" t="s">
        <v>1056</v>
      </c>
      <c r="F364" s="1066"/>
      <c r="G364" s="938"/>
      <c r="H364" s="1029"/>
      <c r="I364" s="1256">
        <v>2175.66</v>
      </c>
    </row>
    <row r="365" spans="2:9" ht="15.75">
      <c r="B365" s="1063">
        <v>11.4</v>
      </c>
      <c r="C365" s="937" t="s">
        <v>329</v>
      </c>
      <c r="D365" s="938"/>
      <c r="E365" s="962" t="s">
        <v>1056</v>
      </c>
      <c r="F365" s="1066"/>
      <c r="G365" s="938"/>
      <c r="H365" s="1029"/>
      <c r="I365" s="1256">
        <v>1974.72</v>
      </c>
    </row>
    <row r="366" spans="2:9" ht="15.75">
      <c r="B366" s="1063">
        <v>12</v>
      </c>
      <c r="C366" s="937" t="s">
        <v>739</v>
      </c>
      <c r="D366" s="938"/>
      <c r="E366" s="962" t="s">
        <v>1617</v>
      </c>
      <c r="F366" s="1066"/>
      <c r="G366" s="938"/>
      <c r="H366" s="1029"/>
      <c r="I366" s="1256">
        <v>25500</v>
      </c>
    </row>
    <row r="367" spans="2:9" ht="18.75">
      <c r="B367" s="1025"/>
      <c r="C367" s="1435" t="s">
        <v>1663</v>
      </c>
      <c r="D367" s="1435"/>
      <c r="E367" s="1435"/>
      <c r="F367" s="1435"/>
      <c r="G367" s="1435"/>
      <c r="H367" s="1435"/>
      <c r="I367" s="1436"/>
    </row>
    <row r="368" spans="2:9" ht="15.75">
      <c r="B368" s="1024">
        <v>1.1000000000000001</v>
      </c>
      <c r="C368" s="937" t="s">
        <v>697</v>
      </c>
      <c r="D368" s="938"/>
      <c r="E368" s="939" t="s">
        <v>1088</v>
      </c>
      <c r="F368" s="1066"/>
      <c r="G368" s="938"/>
      <c r="H368" s="1029"/>
      <c r="I368" s="1256">
        <v>162.29</v>
      </c>
    </row>
    <row r="369" spans="2:9" ht="31.5">
      <c r="B369" s="1026">
        <v>2.1</v>
      </c>
      <c r="C369" s="937" t="s">
        <v>743</v>
      </c>
      <c r="D369" s="938"/>
      <c r="E369" s="962" t="s">
        <v>1554</v>
      </c>
      <c r="F369" s="1066"/>
      <c r="G369" s="938"/>
      <c r="H369" s="1029"/>
      <c r="I369" s="1256">
        <v>118.09</v>
      </c>
    </row>
    <row r="370" spans="2:9" ht="31.5">
      <c r="B370" s="1026">
        <v>2.2000000000000002</v>
      </c>
      <c r="C370" s="937" t="s">
        <v>812</v>
      </c>
      <c r="D370" s="938"/>
      <c r="E370" s="962" t="s">
        <v>219</v>
      </c>
      <c r="F370" s="1066"/>
      <c r="G370" s="938"/>
      <c r="H370" s="1029"/>
      <c r="I370" s="1256">
        <v>87.49</v>
      </c>
    </row>
    <row r="371" spans="2:9" ht="15.75">
      <c r="B371" s="1026">
        <v>2.2999999999999998</v>
      </c>
      <c r="C371" s="937" t="s">
        <v>308</v>
      </c>
      <c r="D371" s="938"/>
      <c r="E371" s="962" t="s">
        <v>213</v>
      </c>
      <c r="F371" s="1066"/>
      <c r="G371" s="938"/>
      <c r="H371" s="1029"/>
      <c r="I371" s="1256">
        <v>455.24</v>
      </c>
    </row>
    <row r="372" spans="2:9" ht="31.5">
      <c r="B372" s="1026">
        <v>3.1</v>
      </c>
      <c r="C372" s="937" t="s">
        <v>746</v>
      </c>
      <c r="D372" s="938"/>
      <c r="E372" s="962" t="s">
        <v>22</v>
      </c>
      <c r="F372" s="1066"/>
      <c r="G372" s="938"/>
      <c r="H372" s="1029"/>
      <c r="I372" s="1256">
        <v>15993.52</v>
      </c>
    </row>
    <row r="373" spans="2:9" ht="31.5">
      <c r="B373" s="1026">
        <v>3.2</v>
      </c>
      <c r="C373" s="937" t="s">
        <v>747</v>
      </c>
      <c r="D373" s="938"/>
      <c r="E373" s="962" t="s">
        <v>22</v>
      </c>
      <c r="F373" s="1066"/>
      <c r="G373" s="938"/>
      <c r="H373" s="1029"/>
      <c r="I373" s="1256">
        <v>10367.040000000001</v>
      </c>
    </row>
    <row r="374" spans="2:9" ht="15.75">
      <c r="B374" s="1026">
        <v>3.3</v>
      </c>
      <c r="C374" s="937" t="s">
        <v>748</v>
      </c>
      <c r="D374" s="938"/>
      <c r="E374" s="962" t="s">
        <v>22</v>
      </c>
      <c r="F374" s="1066"/>
      <c r="G374" s="938"/>
      <c r="H374" s="1029"/>
      <c r="I374" s="1256">
        <v>54906.77</v>
      </c>
    </row>
    <row r="375" spans="2:9" ht="15.75">
      <c r="B375" s="1026">
        <v>3.4</v>
      </c>
      <c r="C375" s="937" t="s">
        <v>749</v>
      </c>
      <c r="D375" s="938"/>
      <c r="E375" s="962" t="s">
        <v>22</v>
      </c>
      <c r="F375" s="1066"/>
      <c r="G375" s="938"/>
      <c r="H375" s="1029"/>
      <c r="I375" s="1256">
        <v>38547.58</v>
      </c>
    </row>
    <row r="376" spans="2:9" ht="31.5">
      <c r="B376" s="1026">
        <v>3.5</v>
      </c>
      <c r="C376" s="937" t="s">
        <v>750</v>
      </c>
      <c r="D376" s="938"/>
      <c r="E376" s="962" t="s">
        <v>22</v>
      </c>
      <c r="F376" s="1066"/>
      <c r="G376" s="938"/>
      <c r="H376" s="1029"/>
      <c r="I376" s="1256">
        <v>30203.29</v>
      </c>
    </row>
    <row r="377" spans="2:9" ht="15.75">
      <c r="B377" s="1026">
        <v>3.6</v>
      </c>
      <c r="C377" s="937" t="s">
        <v>751</v>
      </c>
      <c r="D377" s="938"/>
      <c r="E377" s="962" t="s">
        <v>22</v>
      </c>
      <c r="F377" s="1066"/>
      <c r="G377" s="938"/>
      <c r="H377" s="1029"/>
      <c r="I377" s="1256">
        <v>36831.870000000003</v>
      </c>
    </row>
    <row r="378" spans="2:9" ht="15.75">
      <c r="B378" s="1026">
        <v>4.0999999999999996</v>
      </c>
      <c r="C378" s="937" t="s">
        <v>752</v>
      </c>
      <c r="D378" s="938"/>
      <c r="E378" s="962" t="s">
        <v>20</v>
      </c>
      <c r="F378" s="1066"/>
      <c r="G378" s="938"/>
      <c r="H378" s="1029"/>
      <c r="I378" s="1256">
        <v>1379.06</v>
      </c>
    </row>
    <row r="379" spans="2:9" ht="15.75">
      <c r="B379" s="1026">
        <v>4.2</v>
      </c>
      <c r="C379" s="937" t="s">
        <v>753</v>
      </c>
      <c r="D379" s="938"/>
      <c r="E379" s="962" t="s">
        <v>20</v>
      </c>
      <c r="F379" s="1066"/>
      <c r="G379" s="938"/>
      <c r="H379" s="1029"/>
      <c r="I379" s="1256">
        <v>1523.06</v>
      </c>
    </row>
    <row r="380" spans="2:9" ht="31.5">
      <c r="B380" s="1026">
        <v>5.0999999999999996</v>
      </c>
      <c r="C380" s="937" t="s">
        <v>754</v>
      </c>
      <c r="D380" s="938"/>
      <c r="E380" s="962" t="s">
        <v>20</v>
      </c>
      <c r="F380" s="1066"/>
      <c r="G380" s="938"/>
      <c r="H380" s="1029"/>
      <c r="I380" s="1256">
        <v>101.1</v>
      </c>
    </row>
    <row r="381" spans="2:9" ht="15.75">
      <c r="B381" s="1026">
        <v>5.2</v>
      </c>
      <c r="C381" s="937" t="s">
        <v>755</v>
      </c>
      <c r="D381" s="938"/>
      <c r="E381" s="962" t="s">
        <v>20</v>
      </c>
      <c r="F381" s="1066"/>
      <c r="G381" s="938"/>
      <c r="H381" s="1029"/>
      <c r="I381" s="1256">
        <v>453.5</v>
      </c>
    </row>
    <row r="382" spans="2:9" ht="15.75">
      <c r="B382" s="1026">
        <v>5.3</v>
      </c>
      <c r="C382" s="937" t="s">
        <v>756</v>
      </c>
      <c r="D382" s="938"/>
      <c r="E382" s="962" t="s">
        <v>20</v>
      </c>
      <c r="F382" s="1066"/>
      <c r="G382" s="938"/>
      <c r="H382" s="1029"/>
      <c r="I382" s="1256">
        <v>453.5</v>
      </c>
    </row>
    <row r="383" spans="2:9" ht="15.75">
      <c r="B383" s="1026">
        <v>5.4</v>
      </c>
      <c r="C383" s="937" t="s">
        <v>757</v>
      </c>
      <c r="D383" s="938"/>
      <c r="E383" s="962" t="s">
        <v>20</v>
      </c>
      <c r="F383" s="1066"/>
      <c r="G383" s="938"/>
      <c r="H383" s="1029"/>
      <c r="I383" s="1256">
        <v>503.5</v>
      </c>
    </row>
    <row r="384" spans="2:9" ht="15.75">
      <c r="B384" s="1026">
        <v>6.1</v>
      </c>
      <c r="C384" s="937" t="s">
        <v>759</v>
      </c>
      <c r="D384" s="938"/>
      <c r="E384" s="962" t="s">
        <v>1190</v>
      </c>
      <c r="F384" s="1066"/>
      <c r="G384" s="938"/>
      <c r="H384" s="1029"/>
      <c r="I384" s="1256">
        <v>91.8</v>
      </c>
    </row>
    <row r="385" spans="2:9" ht="15.75">
      <c r="B385" s="1026">
        <v>6.2</v>
      </c>
      <c r="C385" s="937" t="s">
        <v>761</v>
      </c>
      <c r="D385" s="938"/>
      <c r="E385" s="962" t="s">
        <v>1190</v>
      </c>
      <c r="F385" s="1066"/>
      <c r="G385" s="938"/>
      <c r="H385" s="1029"/>
      <c r="I385" s="1256">
        <v>36.72</v>
      </c>
    </row>
    <row r="386" spans="2:9" ht="47.25">
      <c r="B386" s="1026">
        <v>6.3</v>
      </c>
      <c r="C386" s="937" t="s">
        <v>762</v>
      </c>
      <c r="D386" s="938"/>
      <c r="E386" s="962" t="s">
        <v>1190</v>
      </c>
      <c r="F386" s="1066"/>
      <c r="G386" s="938"/>
      <c r="H386" s="1029"/>
      <c r="I386" s="1256">
        <v>1016.53</v>
      </c>
    </row>
    <row r="387" spans="2:9" ht="15.75">
      <c r="B387" s="1026">
        <v>6.4</v>
      </c>
      <c r="C387" s="937" t="s">
        <v>763</v>
      </c>
      <c r="D387" s="938"/>
      <c r="E387" s="962" t="s">
        <v>1190</v>
      </c>
      <c r="F387" s="1066"/>
      <c r="G387" s="938"/>
      <c r="H387" s="1029"/>
      <c r="I387" s="1256">
        <v>41.82</v>
      </c>
    </row>
    <row r="388" spans="2:9" ht="15.75">
      <c r="B388" s="1026">
        <v>6.5</v>
      </c>
      <c r="C388" s="937" t="s">
        <v>764</v>
      </c>
      <c r="D388" s="938"/>
      <c r="E388" s="962" t="s">
        <v>1190</v>
      </c>
      <c r="F388" s="1066"/>
      <c r="G388" s="938"/>
      <c r="H388" s="1029"/>
      <c r="I388" s="1256">
        <v>36.72</v>
      </c>
    </row>
    <row r="389" spans="2:9" ht="15.75">
      <c r="B389" s="1026">
        <v>6.6</v>
      </c>
      <c r="C389" s="937" t="s">
        <v>765</v>
      </c>
      <c r="D389" s="938"/>
      <c r="E389" s="962" t="s">
        <v>1190</v>
      </c>
      <c r="F389" s="1066"/>
      <c r="G389" s="938"/>
      <c r="H389" s="1029"/>
      <c r="I389" s="1256">
        <v>39.78</v>
      </c>
    </row>
    <row r="390" spans="2:9" ht="15.75">
      <c r="B390" s="1026">
        <v>6.7</v>
      </c>
      <c r="C390" s="937" t="s">
        <v>766</v>
      </c>
      <c r="D390" s="938"/>
      <c r="E390" s="962" t="s">
        <v>1190</v>
      </c>
      <c r="F390" s="1066"/>
      <c r="G390" s="938"/>
      <c r="H390" s="1029"/>
      <c r="I390" s="1256">
        <v>42.84</v>
      </c>
    </row>
    <row r="391" spans="2:9" ht="15.75">
      <c r="B391" s="1026">
        <v>6.8</v>
      </c>
      <c r="C391" s="937" t="s">
        <v>767</v>
      </c>
      <c r="D391" s="938"/>
      <c r="E391" s="962" t="s">
        <v>1056</v>
      </c>
      <c r="F391" s="1066"/>
      <c r="G391" s="938"/>
      <c r="H391" s="1029"/>
      <c r="I391" s="1256">
        <v>25.81</v>
      </c>
    </row>
    <row r="392" spans="2:9" ht="47.25">
      <c r="B392" s="1026">
        <v>6.9</v>
      </c>
      <c r="C392" s="937" t="s">
        <v>768</v>
      </c>
      <c r="D392" s="938"/>
      <c r="E392" s="962" t="s">
        <v>1056</v>
      </c>
      <c r="F392" s="1066"/>
      <c r="G392" s="938"/>
      <c r="H392" s="1029"/>
      <c r="I392" s="1256">
        <v>29.58</v>
      </c>
    </row>
    <row r="393" spans="2:9" ht="15.75">
      <c r="B393" s="1026">
        <v>6.1</v>
      </c>
      <c r="C393" s="937" t="s">
        <v>769</v>
      </c>
      <c r="D393" s="938"/>
      <c r="E393" s="962" t="s">
        <v>1056</v>
      </c>
      <c r="F393" s="1066"/>
      <c r="G393" s="938"/>
      <c r="H393" s="1029"/>
      <c r="I393" s="1256">
        <v>4.79</v>
      </c>
    </row>
    <row r="394" spans="2:9" ht="15.75">
      <c r="B394" s="1026">
        <v>7.1</v>
      </c>
      <c r="C394" s="937" t="s">
        <v>726</v>
      </c>
      <c r="D394" s="938"/>
      <c r="E394" s="962" t="s">
        <v>10</v>
      </c>
      <c r="F394" s="1066"/>
      <c r="G394" s="938"/>
      <c r="H394" s="1029"/>
      <c r="I394" s="1256">
        <v>13056</v>
      </c>
    </row>
    <row r="395" spans="2:9" ht="15.75">
      <c r="B395" s="1026">
        <v>7.2</v>
      </c>
      <c r="C395" s="937" t="s">
        <v>770</v>
      </c>
      <c r="D395" s="938"/>
      <c r="E395" s="962" t="s">
        <v>10</v>
      </c>
      <c r="F395" s="1066"/>
      <c r="G395" s="938"/>
      <c r="H395" s="1029"/>
      <c r="I395" s="1256">
        <v>11034.77</v>
      </c>
    </row>
    <row r="396" spans="2:9" ht="31.5">
      <c r="B396" s="1026">
        <v>7.3</v>
      </c>
      <c r="C396" s="937" t="s">
        <v>771</v>
      </c>
      <c r="D396" s="938"/>
      <c r="E396" s="962" t="s">
        <v>10</v>
      </c>
      <c r="F396" s="1066"/>
      <c r="G396" s="938"/>
      <c r="H396" s="1029"/>
      <c r="I396" s="1256">
        <v>1382.51</v>
      </c>
    </row>
    <row r="397" spans="2:9" ht="15.75">
      <c r="B397" s="1026">
        <v>7.4</v>
      </c>
      <c r="C397" s="937" t="s">
        <v>772</v>
      </c>
      <c r="D397" s="938"/>
      <c r="E397" s="962" t="s">
        <v>10</v>
      </c>
      <c r="F397" s="1066"/>
      <c r="G397" s="938"/>
      <c r="H397" s="1029"/>
      <c r="I397" s="1256">
        <v>12750.41</v>
      </c>
    </row>
    <row r="398" spans="2:9" ht="31.5">
      <c r="B398" s="1063">
        <v>7.5</v>
      </c>
      <c r="C398" s="937" t="s">
        <v>773</v>
      </c>
      <c r="D398" s="938"/>
      <c r="E398" s="962" t="s">
        <v>10</v>
      </c>
      <c r="F398" s="1066"/>
      <c r="G398" s="938"/>
      <c r="H398" s="1029"/>
      <c r="I398" s="1256">
        <v>9874.82</v>
      </c>
    </row>
    <row r="399" spans="2:9" ht="31.5">
      <c r="B399" s="1063">
        <v>7.6</v>
      </c>
      <c r="C399" s="937" t="s">
        <v>774</v>
      </c>
      <c r="D399" s="938"/>
      <c r="E399" s="962" t="s">
        <v>10</v>
      </c>
      <c r="F399" s="1066"/>
      <c r="G399" s="938"/>
      <c r="H399" s="1029"/>
      <c r="I399" s="1256">
        <v>66139.960000000006</v>
      </c>
    </row>
    <row r="400" spans="2:9" ht="31.5">
      <c r="B400" s="1063">
        <v>7.7</v>
      </c>
      <c r="C400" s="937" t="s">
        <v>775</v>
      </c>
      <c r="D400" s="938"/>
      <c r="E400" s="962" t="s">
        <v>10</v>
      </c>
      <c r="F400" s="1066"/>
      <c r="G400" s="938"/>
      <c r="H400" s="1029"/>
      <c r="I400" s="1256">
        <v>5158.1400000000003</v>
      </c>
    </row>
    <row r="401" spans="2:9" ht="15.75">
      <c r="B401" s="1063">
        <v>7.8</v>
      </c>
      <c r="C401" s="937" t="s">
        <v>776</v>
      </c>
      <c r="D401" s="938"/>
      <c r="E401" s="962" t="s">
        <v>1088</v>
      </c>
      <c r="F401" s="1066"/>
      <c r="G401" s="938"/>
      <c r="H401" s="1029"/>
      <c r="I401" s="1256">
        <v>143.41</v>
      </c>
    </row>
    <row r="402" spans="2:9" ht="15.75">
      <c r="B402" s="1063">
        <v>7.9</v>
      </c>
      <c r="C402" s="937" t="s">
        <v>777</v>
      </c>
      <c r="D402" s="938"/>
      <c r="E402" s="962" t="s">
        <v>1088</v>
      </c>
      <c r="F402" s="1066"/>
      <c r="G402" s="938"/>
      <c r="H402" s="1029"/>
      <c r="I402" s="1256">
        <v>98.43</v>
      </c>
    </row>
    <row r="403" spans="2:9" ht="15.75">
      <c r="B403" s="1062">
        <v>7.1</v>
      </c>
      <c r="C403" s="937" t="s">
        <v>778</v>
      </c>
      <c r="D403" s="938"/>
      <c r="E403" s="962" t="s">
        <v>1088</v>
      </c>
      <c r="F403" s="1066"/>
      <c r="G403" s="938"/>
      <c r="H403" s="1029"/>
      <c r="I403" s="1256">
        <v>46.1</v>
      </c>
    </row>
    <row r="404" spans="2:9" ht="15.75">
      <c r="B404" s="1062">
        <v>7.11</v>
      </c>
      <c r="C404" s="937" t="s">
        <v>779</v>
      </c>
      <c r="D404" s="938"/>
      <c r="E404" s="962" t="s">
        <v>1088</v>
      </c>
      <c r="F404" s="1066"/>
      <c r="G404" s="938"/>
      <c r="H404" s="1029"/>
      <c r="I404" s="1256">
        <v>191.56</v>
      </c>
    </row>
    <row r="405" spans="2:9" ht="15.75">
      <c r="B405" s="1062">
        <v>7.12</v>
      </c>
      <c r="C405" s="937" t="s">
        <v>780</v>
      </c>
      <c r="D405" s="938"/>
      <c r="E405" s="962" t="s">
        <v>1088</v>
      </c>
      <c r="F405" s="1066"/>
      <c r="G405" s="938"/>
      <c r="H405" s="1029"/>
      <c r="I405" s="1256">
        <v>88.03</v>
      </c>
    </row>
    <row r="406" spans="2:9" ht="15.75">
      <c r="B406" s="1062">
        <v>7.13</v>
      </c>
      <c r="C406" s="937" t="s">
        <v>781</v>
      </c>
      <c r="D406" s="938"/>
      <c r="E406" s="962" t="s">
        <v>1088</v>
      </c>
      <c r="F406" s="1066"/>
      <c r="G406" s="938"/>
      <c r="H406" s="1029"/>
      <c r="I406" s="1256">
        <v>51.61</v>
      </c>
    </row>
    <row r="407" spans="2:9" ht="15.75">
      <c r="B407" s="1062">
        <v>7.14</v>
      </c>
      <c r="C407" s="937" t="s">
        <v>782</v>
      </c>
      <c r="D407" s="938"/>
      <c r="E407" s="962" t="s">
        <v>1088</v>
      </c>
      <c r="F407" s="1066"/>
      <c r="G407" s="938"/>
      <c r="H407" s="1029"/>
      <c r="I407" s="1256">
        <v>44.98</v>
      </c>
    </row>
    <row r="408" spans="2:9" ht="15.75">
      <c r="B408" s="1062">
        <v>7.15</v>
      </c>
      <c r="C408" s="937" t="s">
        <v>783</v>
      </c>
      <c r="D408" s="938"/>
      <c r="E408" s="962" t="s">
        <v>1056</v>
      </c>
      <c r="F408" s="1066"/>
      <c r="G408" s="938"/>
      <c r="H408" s="1029"/>
      <c r="I408" s="1256">
        <v>1249.5</v>
      </c>
    </row>
    <row r="409" spans="2:9" ht="15.75">
      <c r="B409" s="1062">
        <v>7.16</v>
      </c>
      <c r="C409" s="937" t="s">
        <v>784</v>
      </c>
      <c r="D409" s="938"/>
      <c r="E409" s="962" t="s">
        <v>1056</v>
      </c>
      <c r="F409" s="1066"/>
      <c r="G409" s="938"/>
      <c r="H409" s="1029"/>
      <c r="I409" s="1256">
        <v>979.2</v>
      </c>
    </row>
    <row r="410" spans="2:9" ht="15.75">
      <c r="B410" s="1062">
        <v>7.17</v>
      </c>
      <c r="C410" s="937" t="s">
        <v>785</v>
      </c>
      <c r="D410" s="938"/>
      <c r="E410" s="962" t="s">
        <v>1056</v>
      </c>
      <c r="F410" s="1066"/>
      <c r="G410" s="938"/>
      <c r="H410" s="1029"/>
      <c r="I410" s="1256">
        <v>877.2</v>
      </c>
    </row>
    <row r="411" spans="2:9" ht="15.75">
      <c r="B411" s="1063">
        <v>8.1</v>
      </c>
      <c r="C411" s="937" t="s">
        <v>737</v>
      </c>
      <c r="D411" s="938"/>
      <c r="E411" s="962">
        <v>0</v>
      </c>
      <c r="F411" s="1066"/>
      <c r="G411" s="938"/>
      <c r="H411" s="1029"/>
      <c r="I411" s="1256">
        <v>1945.14</v>
      </c>
    </row>
    <row r="412" spans="2:9" ht="15.75">
      <c r="B412" s="1063">
        <v>8.1999999999999993</v>
      </c>
      <c r="C412" s="937" t="s">
        <v>329</v>
      </c>
      <c r="D412" s="938"/>
      <c r="E412" s="962" t="s">
        <v>1056</v>
      </c>
      <c r="F412" s="1066"/>
      <c r="G412" s="938"/>
      <c r="H412" s="1029"/>
      <c r="I412" s="1256">
        <v>1974.72</v>
      </c>
    </row>
    <row r="413" spans="2:9" ht="15.75">
      <c r="B413" s="1063">
        <v>8.3000000000000007</v>
      </c>
      <c r="C413" s="937" t="s">
        <v>786</v>
      </c>
      <c r="D413" s="938"/>
      <c r="E413" s="962" t="s">
        <v>1056</v>
      </c>
      <c r="F413" s="1066"/>
      <c r="G413" s="938"/>
      <c r="H413" s="1029"/>
      <c r="I413" s="1256">
        <v>1882.92</v>
      </c>
    </row>
    <row r="414" spans="2:9" ht="15.75">
      <c r="B414" s="1063">
        <v>8.4</v>
      </c>
      <c r="C414" s="937" t="s">
        <v>787</v>
      </c>
      <c r="D414" s="938"/>
      <c r="E414" s="962" t="s">
        <v>1056</v>
      </c>
      <c r="F414" s="1066"/>
      <c r="G414" s="938"/>
      <c r="H414" s="1029"/>
      <c r="I414" s="1256">
        <v>2175.66</v>
      </c>
    </row>
    <row r="415" spans="2:9" ht="31.5">
      <c r="B415" s="1063">
        <v>8.5</v>
      </c>
      <c r="C415" s="937" t="s">
        <v>788</v>
      </c>
      <c r="D415" s="938"/>
      <c r="E415" s="962" t="s">
        <v>1056</v>
      </c>
      <c r="F415" s="1066"/>
      <c r="G415" s="938"/>
      <c r="H415" s="1029"/>
      <c r="I415" s="1256">
        <v>2175.66</v>
      </c>
    </row>
    <row r="416" spans="2:9" ht="31.5">
      <c r="B416" s="1063">
        <v>8.6</v>
      </c>
      <c r="C416" s="937" t="s">
        <v>789</v>
      </c>
      <c r="D416" s="938"/>
      <c r="E416" s="962" t="s">
        <v>1056</v>
      </c>
      <c r="F416" s="1066"/>
      <c r="G416" s="938"/>
      <c r="H416" s="1029"/>
      <c r="I416" s="1256">
        <v>9537</v>
      </c>
    </row>
    <row r="417" spans="2:9" ht="31.5">
      <c r="B417" s="1026">
        <v>9.1</v>
      </c>
      <c r="C417" s="937" t="s">
        <v>791</v>
      </c>
      <c r="D417" s="938"/>
      <c r="E417" s="962" t="s">
        <v>1000</v>
      </c>
      <c r="F417" s="1066"/>
      <c r="G417" s="938"/>
      <c r="H417" s="1029"/>
      <c r="I417" s="1256">
        <v>1479.31</v>
      </c>
    </row>
    <row r="418" spans="2:9" ht="31.5">
      <c r="B418" s="1026">
        <v>9.1999999999999993</v>
      </c>
      <c r="C418" s="937" t="s">
        <v>792</v>
      </c>
      <c r="D418" s="938"/>
      <c r="E418" s="962" t="s">
        <v>1000</v>
      </c>
      <c r="F418" s="1066"/>
      <c r="G418" s="938"/>
      <c r="H418" s="1029"/>
      <c r="I418" s="1256">
        <v>317.22000000000003</v>
      </c>
    </row>
    <row r="419" spans="2:9" ht="15.75">
      <c r="B419" s="1026">
        <v>9.3000000000000007</v>
      </c>
      <c r="C419" s="937" t="s">
        <v>794</v>
      </c>
      <c r="D419" s="938"/>
      <c r="E419" s="962" t="s">
        <v>1000</v>
      </c>
      <c r="F419" s="1066"/>
      <c r="G419" s="938"/>
      <c r="H419" s="1029"/>
      <c r="I419" s="1256">
        <v>1887</v>
      </c>
    </row>
    <row r="420" spans="2:9" ht="15.75">
      <c r="B420" s="1026">
        <v>9.4</v>
      </c>
      <c r="C420" s="937" t="s">
        <v>795</v>
      </c>
      <c r="D420" s="938"/>
      <c r="E420" s="962" t="s">
        <v>1000</v>
      </c>
      <c r="F420" s="1066"/>
      <c r="G420" s="938"/>
      <c r="H420" s="1029"/>
      <c r="I420" s="1256">
        <v>1887</v>
      </c>
    </row>
    <row r="421" spans="2:9" ht="15.75">
      <c r="B421" s="1026">
        <v>10.1</v>
      </c>
      <c r="C421" s="937" t="s">
        <v>796</v>
      </c>
      <c r="D421" s="938"/>
      <c r="E421" s="962" t="s">
        <v>20</v>
      </c>
      <c r="F421" s="1066"/>
      <c r="G421" s="938"/>
      <c r="H421" s="1029"/>
      <c r="I421" s="1256">
        <v>168.47</v>
      </c>
    </row>
    <row r="422" spans="2:9" ht="15.75">
      <c r="B422" s="1026">
        <v>10.199999999999999</v>
      </c>
      <c r="C422" s="937" t="s">
        <v>797</v>
      </c>
      <c r="D422" s="938"/>
      <c r="E422" s="962" t="s">
        <v>20</v>
      </c>
      <c r="F422" s="1066"/>
      <c r="G422" s="938"/>
      <c r="H422" s="1029"/>
      <c r="I422" s="1256">
        <v>168.48</v>
      </c>
    </row>
    <row r="423" spans="2:9" ht="15.75">
      <c r="B423" s="1026">
        <v>10.3</v>
      </c>
      <c r="C423" s="937" t="s">
        <v>798</v>
      </c>
      <c r="D423" s="938"/>
      <c r="E423" s="962" t="s">
        <v>20</v>
      </c>
      <c r="F423" s="1066"/>
      <c r="G423" s="938"/>
      <c r="H423" s="1029"/>
      <c r="I423" s="1256">
        <v>168.48</v>
      </c>
    </row>
    <row r="424" spans="2:9" ht="15.75">
      <c r="B424" s="1026">
        <v>11.1</v>
      </c>
      <c r="C424" s="937" t="s">
        <v>800</v>
      </c>
      <c r="D424" s="938"/>
      <c r="E424" s="962" t="s">
        <v>1106</v>
      </c>
      <c r="F424" s="1066"/>
      <c r="G424" s="938"/>
      <c r="H424" s="1029"/>
      <c r="I424" s="1256">
        <v>8670</v>
      </c>
    </row>
    <row r="425" spans="2:9" ht="15.75">
      <c r="B425" s="1026">
        <v>11.2</v>
      </c>
      <c r="C425" s="937" t="s">
        <v>801</v>
      </c>
      <c r="D425" s="938"/>
      <c r="E425" s="962" t="s">
        <v>1106</v>
      </c>
      <c r="F425" s="1066"/>
      <c r="G425" s="938"/>
      <c r="H425" s="1029"/>
      <c r="I425" s="1256">
        <v>8670</v>
      </c>
    </row>
    <row r="426" spans="2:9" ht="15.75">
      <c r="B426" s="1026">
        <v>11.3</v>
      </c>
      <c r="C426" s="937" t="s">
        <v>802</v>
      </c>
      <c r="D426" s="938"/>
      <c r="E426" s="962" t="s">
        <v>1106</v>
      </c>
      <c r="F426" s="1066"/>
      <c r="G426" s="938"/>
      <c r="H426" s="1029"/>
      <c r="I426" s="1256">
        <v>8670</v>
      </c>
    </row>
    <row r="427" spans="2:9" ht="15.75">
      <c r="B427" s="1026">
        <v>11.4</v>
      </c>
      <c r="C427" s="937" t="s">
        <v>803</v>
      </c>
      <c r="D427" s="938"/>
      <c r="E427" s="962" t="s">
        <v>1409</v>
      </c>
      <c r="F427" s="1066"/>
      <c r="G427" s="938"/>
      <c r="H427" s="1029"/>
      <c r="I427" s="1256">
        <v>173.4</v>
      </c>
    </row>
    <row r="428" spans="2:9" ht="63">
      <c r="B428" s="1026">
        <v>12.1</v>
      </c>
      <c r="C428" s="937" t="s">
        <v>805</v>
      </c>
      <c r="D428" s="938"/>
      <c r="E428" s="962" t="s">
        <v>1056</v>
      </c>
      <c r="F428" s="1066"/>
      <c r="G428" s="938"/>
      <c r="H428" s="1029"/>
      <c r="I428" s="1256">
        <v>35700</v>
      </c>
    </row>
    <row r="429" spans="2:9" ht="63">
      <c r="B429" s="1026">
        <v>12.2</v>
      </c>
      <c r="C429" s="937" t="s">
        <v>806</v>
      </c>
      <c r="D429" s="938"/>
      <c r="E429" s="962" t="s">
        <v>1056</v>
      </c>
      <c r="F429" s="1066"/>
      <c r="G429" s="938"/>
      <c r="H429" s="1029"/>
      <c r="I429" s="1256">
        <v>12852</v>
      </c>
    </row>
    <row r="430" spans="2:9" ht="31.5">
      <c r="B430" s="1026">
        <v>12.3</v>
      </c>
      <c r="C430" s="937" t="s">
        <v>807</v>
      </c>
      <c r="D430" s="938"/>
      <c r="E430" s="962" t="s">
        <v>1000</v>
      </c>
      <c r="F430" s="1066"/>
      <c r="G430" s="938"/>
      <c r="H430" s="1029"/>
      <c r="I430" s="1256">
        <v>1589.22</v>
      </c>
    </row>
    <row r="431" spans="2:9" ht="31.5">
      <c r="B431" s="1026">
        <v>12.4</v>
      </c>
      <c r="C431" s="937" t="s">
        <v>808</v>
      </c>
      <c r="D431" s="938"/>
      <c r="E431" s="962" t="s">
        <v>15</v>
      </c>
      <c r="F431" s="1066"/>
      <c r="G431" s="938"/>
      <c r="H431" s="1029"/>
      <c r="I431" s="1256">
        <v>1079.22</v>
      </c>
    </row>
    <row r="432" spans="2:9" ht="15.75">
      <c r="B432" s="1063">
        <v>12.5</v>
      </c>
      <c r="C432" s="937" t="s">
        <v>809</v>
      </c>
      <c r="D432" s="938"/>
      <c r="E432" s="962" t="s">
        <v>1000</v>
      </c>
      <c r="F432" s="1066"/>
      <c r="G432" s="938"/>
      <c r="H432" s="1029"/>
      <c r="I432" s="1256">
        <v>9500</v>
      </c>
    </row>
    <row r="433" spans="2:9" ht="18.75">
      <c r="B433" s="1025"/>
      <c r="C433" s="1435" t="s">
        <v>1683</v>
      </c>
      <c r="D433" s="1435"/>
      <c r="E433" s="1435"/>
      <c r="F433" s="1435"/>
      <c r="G433" s="1435"/>
      <c r="H433" s="1435"/>
      <c r="I433" s="1436"/>
    </row>
    <row r="434" spans="2:9" ht="15.75">
      <c r="B434" s="1024">
        <v>1</v>
      </c>
      <c r="C434" s="937" t="s">
        <v>307</v>
      </c>
      <c r="D434" s="938"/>
      <c r="E434" s="939" t="s">
        <v>38</v>
      </c>
      <c r="F434" s="1066"/>
      <c r="G434" s="938"/>
      <c r="H434" s="1029"/>
      <c r="I434" s="1256">
        <v>32457.25</v>
      </c>
    </row>
    <row r="435" spans="2:9" ht="31.5">
      <c r="B435" s="1026">
        <v>2.1</v>
      </c>
      <c r="C435" s="937" t="s">
        <v>743</v>
      </c>
      <c r="D435" s="938"/>
      <c r="E435" s="962" t="s">
        <v>1554</v>
      </c>
      <c r="F435" s="1066"/>
      <c r="G435" s="938"/>
      <c r="H435" s="1029"/>
      <c r="I435" s="1256">
        <v>118.09</v>
      </c>
    </row>
    <row r="436" spans="2:9" ht="31.5">
      <c r="B436" s="1026">
        <v>2.2000000000000002</v>
      </c>
      <c r="C436" s="937" t="s">
        <v>812</v>
      </c>
      <c r="D436" s="938"/>
      <c r="E436" s="962" t="s">
        <v>219</v>
      </c>
      <c r="F436" s="1066"/>
      <c r="G436" s="938"/>
      <c r="H436" s="1029"/>
      <c r="I436" s="1256">
        <v>477.49</v>
      </c>
    </row>
    <row r="437" spans="2:9" ht="15.75">
      <c r="B437" s="1026">
        <v>2.2999999999999998</v>
      </c>
      <c r="C437" s="937" t="s">
        <v>308</v>
      </c>
      <c r="D437" s="938"/>
      <c r="E437" s="962" t="s">
        <v>213</v>
      </c>
      <c r="F437" s="1066"/>
      <c r="G437" s="938"/>
      <c r="H437" s="1029"/>
      <c r="I437" s="1256">
        <v>455.24</v>
      </c>
    </row>
    <row r="438" spans="2:9" ht="15.75">
      <c r="B438" s="1026">
        <v>3.1</v>
      </c>
      <c r="C438" s="937" t="s">
        <v>338</v>
      </c>
      <c r="D438" s="938"/>
      <c r="E438" s="962" t="s">
        <v>22</v>
      </c>
      <c r="F438" s="1066"/>
      <c r="G438" s="938"/>
      <c r="H438" s="1029"/>
      <c r="I438" s="1256">
        <v>10623.4</v>
      </c>
    </row>
    <row r="439" spans="2:9" ht="31.5">
      <c r="B439" s="1026">
        <v>3.3</v>
      </c>
      <c r="C439" s="937" t="s">
        <v>814</v>
      </c>
      <c r="D439" s="938"/>
      <c r="E439" s="962" t="s">
        <v>22</v>
      </c>
      <c r="F439" s="1066"/>
      <c r="G439" s="938"/>
      <c r="H439" s="1029"/>
      <c r="I439" s="1256">
        <v>30349.78</v>
      </c>
    </row>
    <row r="440" spans="2:9" ht="31.5">
      <c r="B440" s="1026">
        <v>3.4</v>
      </c>
      <c r="C440" s="937" t="s">
        <v>815</v>
      </c>
      <c r="D440" s="938"/>
      <c r="E440" s="962" t="s">
        <v>22</v>
      </c>
      <c r="F440" s="1066"/>
      <c r="G440" s="938"/>
      <c r="H440" s="1029"/>
      <c r="I440" s="1256">
        <v>26651.03</v>
      </c>
    </row>
    <row r="441" spans="2:9" ht="31.5">
      <c r="B441" s="1026">
        <v>3.5</v>
      </c>
      <c r="C441" s="937" t="s">
        <v>816</v>
      </c>
      <c r="D441" s="938"/>
      <c r="E441" s="962" t="s">
        <v>22</v>
      </c>
      <c r="F441" s="1066"/>
      <c r="G441" s="938"/>
      <c r="H441" s="1029"/>
      <c r="I441" s="1256">
        <v>45524.81</v>
      </c>
    </row>
    <row r="442" spans="2:9" ht="31.5">
      <c r="B442" s="1026">
        <v>3.6</v>
      </c>
      <c r="C442" s="937" t="s">
        <v>817</v>
      </c>
      <c r="D442" s="938"/>
      <c r="E442" s="962" t="s">
        <v>22</v>
      </c>
      <c r="F442" s="1066"/>
      <c r="G442" s="938"/>
      <c r="H442" s="1029"/>
      <c r="I442" s="1256">
        <v>46036.23</v>
      </c>
    </row>
    <row r="443" spans="2:9" ht="15.75">
      <c r="B443" s="1062">
        <v>3.7</v>
      </c>
      <c r="C443" s="937" t="s">
        <v>818</v>
      </c>
      <c r="D443" s="938"/>
      <c r="E443" s="962" t="s">
        <v>22</v>
      </c>
      <c r="F443" s="1066"/>
      <c r="G443" s="938"/>
      <c r="H443" s="1029"/>
      <c r="I443" s="1256">
        <v>16107.26</v>
      </c>
    </row>
    <row r="444" spans="2:9" ht="47.25">
      <c r="B444" s="1026">
        <v>3.8</v>
      </c>
      <c r="C444" s="937" t="s">
        <v>819</v>
      </c>
      <c r="D444" s="938"/>
      <c r="E444" s="962" t="s">
        <v>1000</v>
      </c>
      <c r="F444" s="1066"/>
      <c r="G444" s="938"/>
      <c r="H444" s="1029"/>
      <c r="I444" s="1256">
        <v>1442.13</v>
      </c>
    </row>
    <row r="445" spans="2:9" ht="15.75">
      <c r="B445" s="1026">
        <v>4.2</v>
      </c>
      <c r="C445" s="937" t="s">
        <v>339</v>
      </c>
      <c r="D445" s="938"/>
      <c r="E445" s="962" t="s">
        <v>20</v>
      </c>
      <c r="F445" s="1066"/>
      <c r="G445" s="938"/>
      <c r="H445" s="1029"/>
      <c r="I445" s="1256">
        <v>1615.54</v>
      </c>
    </row>
    <row r="446" spans="2:9" ht="15.75">
      <c r="B446" s="1026">
        <v>4.3</v>
      </c>
      <c r="C446" s="937" t="s">
        <v>309</v>
      </c>
      <c r="D446" s="938"/>
      <c r="E446" s="962" t="s">
        <v>20</v>
      </c>
      <c r="F446" s="1066"/>
      <c r="G446" s="938"/>
      <c r="H446" s="1029"/>
      <c r="I446" s="1256">
        <v>1471.94</v>
      </c>
    </row>
    <row r="447" spans="2:9" ht="15.75">
      <c r="B447" s="1026">
        <v>4.4000000000000004</v>
      </c>
      <c r="C447" s="937" t="s">
        <v>310</v>
      </c>
      <c r="D447" s="938"/>
      <c r="E447" s="962" t="s">
        <v>20</v>
      </c>
      <c r="F447" s="1066"/>
      <c r="G447" s="938"/>
      <c r="H447" s="1029"/>
      <c r="I447" s="1256">
        <v>702.22</v>
      </c>
    </row>
    <row r="448" spans="2:9" ht="15.75">
      <c r="B448" s="1026">
        <v>5.0999999999999996</v>
      </c>
      <c r="C448" s="937" t="s">
        <v>311</v>
      </c>
      <c r="D448" s="938"/>
      <c r="E448" s="962" t="s">
        <v>20</v>
      </c>
      <c r="F448" s="1066"/>
      <c r="G448" s="938"/>
      <c r="H448" s="1029"/>
      <c r="I448" s="1256">
        <v>503.5</v>
      </c>
    </row>
    <row r="449" spans="2:9" ht="15.75">
      <c r="B449" s="1026">
        <v>5.2</v>
      </c>
      <c r="C449" s="937" t="s">
        <v>312</v>
      </c>
      <c r="D449" s="938"/>
      <c r="E449" s="962" t="s">
        <v>20</v>
      </c>
      <c r="F449" s="1066"/>
      <c r="G449" s="938"/>
      <c r="H449" s="1029"/>
      <c r="I449" s="1256">
        <v>453.5</v>
      </c>
    </row>
    <row r="450" spans="2:9" ht="15.75">
      <c r="B450" s="1026">
        <v>5.3</v>
      </c>
      <c r="C450" s="937" t="s">
        <v>313</v>
      </c>
      <c r="D450" s="938"/>
      <c r="E450" s="962" t="s">
        <v>20</v>
      </c>
      <c r="F450" s="1066"/>
      <c r="G450" s="938"/>
      <c r="H450" s="1029"/>
      <c r="I450" s="1256">
        <v>453.5</v>
      </c>
    </row>
    <row r="451" spans="2:9" ht="15.75">
      <c r="B451" s="1026">
        <v>5.4</v>
      </c>
      <c r="C451" s="937" t="s">
        <v>314</v>
      </c>
      <c r="D451" s="938"/>
      <c r="E451" s="962" t="s">
        <v>15</v>
      </c>
      <c r="F451" s="1066"/>
      <c r="G451" s="938"/>
      <c r="H451" s="1029"/>
      <c r="I451" s="1256">
        <v>138.5</v>
      </c>
    </row>
    <row r="452" spans="2:9" ht="15.75">
      <c r="B452" s="1026">
        <v>5.5</v>
      </c>
      <c r="C452" s="937" t="s">
        <v>315</v>
      </c>
      <c r="D452" s="938"/>
      <c r="E452" s="962" t="s">
        <v>1045</v>
      </c>
      <c r="F452" s="1066"/>
      <c r="G452" s="938"/>
      <c r="H452" s="1029"/>
      <c r="I452" s="1256">
        <v>336.93</v>
      </c>
    </row>
    <row r="453" spans="2:9" ht="15.75">
      <c r="B453" s="1026">
        <v>5.6</v>
      </c>
      <c r="C453" s="937" t="s">
        <v>316</v>
      </c>
      <c r="D453" s="938"/>
      <c r="E453" s="962" t="s">
        <v>1045</v>
      </c>
      <c r="F453" s="1066"/>
      <c r="G453" s="938"/>
      <c r="H453" s="1029"/>
      <c r="I453" s="1256">
        <v>578.22</v>
      </c>
    </row>
    <row r="454" spans="2:9" ht="15.75">
      <c r="B454" s="1026">
        <v>5.7</v>
      </c>
      <c r="C454" s="937" t="s">
        <v>317</v>
      </c>
      <c r="D454" s="938"/>
      <c r="E454" s="962" t="s">
        <v>20</v>
      </c>
      <c r="F454" s="1066"/>
      <c r="G454" s="938"/>
      <c r="H454" s="1029"/>
      <c r="I454" s="1256">
        <v>245.56</v>
      </c>
    </row>
    <row r="455" spans="2:9" ht="31.5">
      <c r="B455" s="1026">
        <v>5.8</v>
      </c>
      <c r="C455" s="937" t="s">
        <v>318</v>
      </c>
      <c r="D455" s="938"/>
      <c r="E455" s="962" t="s">
        <v>20</v>
      </c>
      <c r="F455" s="1066"/>
      <c r="G455" s="938"/>
      <c r="H455" s="1029"/>
      <c r="I455" s="1256">
        <v>245.56</v>
      </c>
    </row>
    <row r="456" spans="2:9" ht="47.25">
      <c r="B456" s="1026">
        <v>5.9</v>
      </c>
      <c r="C456" s="937" t="s">
        <v>343</v>
      </c>
      <c r="D456" s="938"/>
      <c r="E456" s="962" t="s">
        <v>1000</v>
      </c>
      <c r="F456" s="1066"/>
      <c r="G456" s="938"/>
      <c r="H456" s="1029"/>
      <c r="I456" s="1256">
        <v>1876.8</v>
      </c>
    </row>
    <row r="457" spans="2:9" ht="31.5">
      <c r="B457" s="1062">
        <v>5.0999999999999996</v>
      </c>
      <c r="C457" s="937" t="s">
        <v>319</v>
      </c>
      <c r="D457" s="938"/>
      <c r="E457" s="962" t="s">
        <v>1000</v>
      </c>
      <c r="F457" s="1066"/>
      <c r="G457" s="938"/>
      <c r="H457" s="1029"/>
      <c r="I457" s="1256">
        <v>1377</v>
      </c>
    </row>
    <row r="458" spans="2:9" ht="31.5">
      <c r="B458" s="1062">
        <v>5.1100000000000003</v>
      </c>
      <c r="C458" s="937" t="s">
        <v>345</v>
      </c>
      <c r="D458" s="938"/>
      <c r="E458" s="962" t="s">
        <v>1109</v>
      </c>
      <c r="F458" s="1066"/>
      <c r="G458" s="938"/>
      <c r="H458" s="1029"/>
      <c r="I458" s="1256">
        <v>1530</v>
      </c>
    </row>
    <row r="459" spans="2:9" ht="15.75">
      <c r="B459" s="1099"/>
      <c r="C459" s="1100"/>
      <c r="D459" s="1262"/>
      <c r="E459" s="1102"/>
      <c r="F459" s="1263"/>
      <c r="G459" s="1262"/>
      <c r="H459" s="1264"/>
      <c r="I459" s="1261"/>
    </row>
    <row r="460" spans="2:9" ht="15.75">
      <c r="B460" s="1026">
        <v>5.12</v>
      </c>
      <c r="C460" s="937" t="s">
        <v>320</v>
      </c>
      <c r="D460" s="938"/>
      <c r="E460" s="962" t="s">
        <v>1000</v>
      </c>
      <c r="F460" s="1066"/>
      <c r="G460" s="938"/>
      <c r="H460" s="1029"/>
      <c r="I460" s="1256">
        <v>1589.22</v>
      </c>
    </row>
    <row r="461" spans="2:9" ht="31.5">
      <c r="B461" s="1026">
        <v>5.13</v>
      </c>
      <c r="C461" s="937" t="s">
        <v>820</v>
      </c>
      <c r="D461" s="938"/>
      <c r="E461" s="962" t="s">
        <v>15</v>
      </c>
      <c r="F461" s="1066"/>
      <c r="G461" s="938"/>
      <c r="H461" s="1029"/>
      <c r="I461" s="1256">
        <v>1079.22</v>
      </c>
    </row>
    <row r="462" spans="2:9" ht="15.75">
      <c r="B462" s="1026">
        <v>6.1</v>
      </c>
      <c r="C462" s="937" t="s">
        <v>321</v>
      </c>
      <c r="D462" s="938"/>
      <c r="E462" s="962" t="s">
        <v>10</v>
      </c>
      <c r="F462" s="1066"/>
      <c r="G462" s="938"/>
      <c r="H462" s="1029"/>
      <c r="I462" s="1256">
        <v>13056</v>
      </c>
    </row>
    <row r="463" spans="2:9" ht="31.5">
      <c r="B463" s="1026">
        <v>6.2</v>
      </c>
      <c r="C463" s="937" t="s">
        <v>322</v>
      </c>
      <c r="D463" s="938"/>
      <c r="E463" s="962" t="s">
        <v>10</v>
      </c>
      <c r="F463" s="1066"/>
      <c r="G463" s="938"/>
      <c r="H463" s="1029"/>
      <c r="I463" s="1256">
        <v>11034.77</v>
      </c>
    </row>
    <row r="464" spans="2:9" ht="15.75">
      <c r="B464" s="1026">
        <v>6.3</v>
      </c>
      <c r="C464" s="937" t="s">
        <v>340</v>
      </c>
      <c r="D464" s="938"/>
      <c r="E464" s="962" t="s">
        <v>10</v>
      </c>
      <c r="F464" s="1066"/>
      <c r="G464" s="938"/>
      <c r="H464" s="1029"/>
      <c r="I464" s="1256">
        <v>19227</v>
      </c>
    </row>
    <row r="465" spans="2:9" ht="31.5">
      <c r="B465" s="1026">
        <v>6.4</v>
      </c>
      <c r="C465" s="937" t="s">
        <v>344</v>
      </c>
      <c r="D465" s="938"/>
      <c r="E465" s="962" t="s">
        <v>10</v>
      </c>
      <c r="F465" s="1066"/>
      <c r="G465" s="938"/>
      <c r="H465" s="1029"/>
      <c r="I465" s="1256">
        <v>9690</v>
      </c>
    </row>
    <row r="466" spans="2:9" ht="15.75">
      <c r="B466" s="1026">
        <v>6.5</v>
      </c>
      <c r="C466" s="937" t="s">
        <v>323</v>
      </c>
      <c r="D466" s="938"/>
      <c r="E466" s="962" t="s">
        <v>10</v>
      </c>
      <c r="F466" s="1066"/>
      <c r="G466" s="938"/>
      <c r="H466" s="1029"/>
      <c r="I466" s="1256">
        <v>1382.51</v>
      </c>
    </row>
    <row r="467" spans="2:9" ht="15.75">
      <c r="B467" s="1026">
        <v>6.6</v>
      </c>
      <c r="C467" s="937" t="s">
        <v>324</v>
      </c>
      <c r="D467" s="938"/>
      <c r="E467" s="962" t="s">
        <v>10</v>
      </c>
      <c r="F467" s="1066"/>
      <c r="G467" s="938"/>
      <c r="H467" s="1029"/>
      <c r="I467" s="1256">
        <v>2073.66</v>
      </c>
    </row>
    <row r="468" spans="2:9" ht="15.75">
      <c r="B468" s="1026">
        <v>6.7</v>
      </c>
      <c r="C468" s="937" t="s">
        <v>325</v>
      </c>
      <c r="D468" s="938"/>
      <c r="E468" s="962" t="s">
        <v>10</v>
      </c>
      <c r="F468" s="1066"/>
      <c r="G468" s="938"/>
      <c r="H468" s="1029"/>
      <c r="I468" s="1256">
        <v>6426.2</v>
      </c>
    </row>
    <row r="469" spans="2:9" ht="15.75">
      <c r="B469" s="1063">
        <v>6.8</v>
      </c>
      <c r="C469" s="937" t="s">
        <v>326</v>
      </c>
      <c r="D469" s="938"/>
      <c r="E469" s="962" t="s">
        <v>10</v>
      </c>
      <c r="F469" s="1066"/>
      <c r="G469" s="938"/>
      <c r="H469" s="1029"/>
      <c r="I469" s="1256">
        <v>66139.960000000006</v>
      </c>
    </row>
    <row r="470" spans="2:9" ht="15.75">
      <c r="B470" s="1026">
        <v>6.9</v>
      </c>
      <c r="C470" s="937" t="s">
        <v>821</v>
      </c>
      <c r="D470" s="938"/>
      <c r="E470" s="962" t="s">
        <v>1000</v>
      </c>
      <c r="F470" s="1066"/>
      <c r="G470" s="938"/>
      <c r="H470" s="1029"/>
      <c r="I470" s="1256">
        <v>317.22000000000003</v>
      </c>
    </row>
    <row r="471" spans="2:9" ht="47.25">
      <c r="B471" s="1062">
        <v>10.220000000000001</v>
      </c>
      <c r="C471" s="937" t="s">
        <v>327</v>
      </c>
      <c r="D471" s="938"/>
      <c r="E471" s="962" t="s">
        <v>1109</v>
      </c>
      <c r="F471" s="1066"/>
      <c r="G471" s="938"/>
      <c r="H471" s="1029"/>
      <c r="I471" s="1256">
        <v>27540</v>
      </c>
    </row>
    <row r="472" spans="2:9" ht="15.75">
      <c r="B472" s="1026">
        <v>6.11</v>
      </c>
      <c r="C472" s="937" t="s">
        <v>349</v>
      </c>
      <c r="D472" s="938"/>
      <c r="E472" s="962" t="s">
        <v>1056</v>
      </c>
      <c r="F472" s="1066"/>
      <c r="G472" s="938"/>
      <c r="H472" s="1029"/>
      <c r="I472" s="1256">
        <v>1326</v>
      </c>
    </row>
    <row r="473" spans="2:9" ht="15.75">
      <c r="B473" s="1026">
        <v>6.12</v>
      </c>
      <c r="C473" s="937" t="s">
        <v>350</v>
      </c>
      <c r="D473" s="938"/>
      <c r="E473" s="962" t="s">
        <v>1056</v>
      </c>
      <c r="F473" s="1066"/>
      <c r="G473" s="938"/>
      <c r="H473" s="1029"/>
      <c r="I473" s="1256">
        <v>1881.9</v>
      </c>
    </row>
    <row r="474" spans="2:9" ht="31.5">
      <c r="B474" s="1026">
        <v>6.13</v>
      </c>
      <c r="C474" s="937" t="s">
        <v>346</v>
      </c>
      <c r="D474" s="938"/>
      <c r="E474" s="962" t="s">
        <v>1056</v>
      </c>
      <c r="F474" s="1066"/>
      <c r="G474" s="938"/>
      <c r="H474" s="1029"/>
      <c r="I474" s="1256">
        <v>4998</v>
      </c>
    </row>
    <row r="475" spans="2:9" ht="31.5">
      <c r="B475" s="1026">
        <v>6.14</v>
      </c>
      <c r="C475" s="937" t="s">
        <v>347</v>
      </c>
      <c r="D475" s="938"/>
      <c r="E475" s="962" t="s">
        <v>1056</v>
      </c>
      <c r="F475" s="1066"/>
      <c r="G475" s="938"/>
      <c r="H475" s="1029"/>
      <c r="I475" s="1256">
        <v>6120</v>
      </c>
    </row>
    <row r="476" spans="2:9" ht="31.5">
      <c r="B476" s="1026">
        <v>6.15</v>
      </c>
      <c r="C476" s="937" t="s">
        <v>348</v>
      </c>
      <c r="D476" s="938"/>
      <c r="E476" s="962" t="s">
        <v>1056</v>
      </c>
      <c r="F476" s="1066"/>
      <c r="G476" s="938"/>
      <c r="H476" s="1029"/>
      <c r="I476" s="1256">
        <v>1606.81</v>
      </c>
    </row>
    <row r="477" spans="2:9" ht="31.5">
      <c r="B477" s="1026">
        <v>6.16</v>
      </c>
      <c r="C477" s="937" t="s">
        <v>341</v>
      </c>
      <c r="D477" s="938"/>
      <c r="E477" s="962" t="s">
        <v>1056</v>
      </c>
      <c r="F477" s="1066"/>
      <c r="G477" s="938"/>
      <c r="H477" s="1029"/>
      <c r="I477" s="1256">
        <v>22086.06</v>
      </c>
    </row>
    <row r="478" spans="2:9" ht="15.75">
      <c r="B478" s="1026">
        <v>6.17</v>
      </c>
      <c r="C478" s="937" t="s">
        <v>342</v>
      </c>
      <c r="D478" s="938"/>
      <c r="E478" s="962" t="s">
        <v>1056</v>
      </c>
      <c r="F478" s="1066"/>
      <c r="G478" s="938"/>
      <c r="H478" s="1029"/>
      <c r="I478" s="1256">
        <v>40800</v>
      </c>
    </row>
    <row r="479" spans="2:9" ht="31.5">
      <c r="B479" s="1063">
        <v>7.1</v>
      </c>
      <c r="C479" s="937" t="s">
        <v>822</v>
      </c>
      <c r="D479" s="938"/>
      <c r="E479" s="962" t="s">
        <v>1056</v>
      </c>
      <c r="F479" s="1066"/>
      <c r="G479" s="938"/>
      <c r="H479" s="1029"/>
      <c r="I479" s="1256">
        <v>8500</v>
      </c>
    </row>
    <row r="480" spans="2:9" ht="31.5">
      <c r="B480" s="1026">
        <v>7.2</v>
      </c>
      <c r="C480" s="937" t="s">
        <v>823</v>
      </c>
      <c r="D480" s="938"/>
      <c r="E480" s="962" t="s">
        <v>1106</v>
      </c>
      <c r="F480" s="1066"/>
      <c r="G480" s="938"/>
      <c r="H480" s="1029"/>
      <c r="I480" s="1256">
        <v>9996</v>
      </c>
    </row>
    <row r="481" spans="2:9" ht="31.5">
      <c r="B481" s="1026">
        <v>7.3</v>
      </c>
      <c r="C481" s="937" t="s">
        <v>824</v>
      </c>
      <c r="D481" s="938"/>
      <c r="E481" s="962" t="s">
        <v>1106</v>
      </c>
      <c r="F481" s="1066"/>
      <c r="G481" s="938"/>
      <c r="H481" s="1029"/>
      <c r="I481" s="1256">
        <v>10812</v>
      </c>
    </row>
    <row r="482" spans="2:9" ht="15.75">
      <c r="B482" s="1026">
        <v>8.1</v>
      </c>
      <c r="C482" s="937" t="s">
        <v>826</v>
      </c>
      <c r="D482" s="938"/>
      <c r="E482" s="962" t="s">
        <v>1106</v>
      </c>
      <c r="F482" s="1066"/>
      <c r="G482" s="938"/>
      <c r="H482" s="1029"/>
      <c r="I482" s="1256">
        <v>285.60000000000002</v>
      </c>
    </row>
    <row r="483" spans="2:9" ht="15.75">
      <c r="B483" s="1063">
        <v>9</v>
      </c>
      <c r="C483" s="937" t="s">
        <v>330</v>
      </c>
      <c r="D483" s="938"/>
      <c r="E483" s="962" t="s">
        <v>140</v>
      </c>
      <c r="F483" s="1066"/>
      <c r="G483" s="938"/>
      <c r="H483" s="1029"/>
      <c r="I483" s="1256">
        <v>3000</v>
      </c>
    </row>
    <row r="484" spans="2:9" ht="18.75">
      <c r="B484" s="1435" t="s">
        <v>1699</v>
      </c>
      <c r="C484" s="1435"/>
      <c r="D484" s="1435"/>
      <c r="E484" s="1435"/>
      <c r="F484" s="1435"/>
      <c r="G484" s="1435"/>
      <c r="H484" s="1435"/>
      <c r="I484" s="1436"/>
    </row>
    <row r="485" spans="2:9" ht="15.75">
      <c r="B485" s="1024">
        <v>1.1000000000000001</v>
      </c>
      <c r="C485" s="937" t="s">
        <v>697</v>
      </c>
      <c r="D485" s="938"/>
      <c r="E485" s="939" t="s">
        <v>20</v>
      </c>
      <c r="F485" s="1066"/>
      <c r="G485" s="938"/>
      <c r="H485" s="1029"/>
      <c r="I485" s="1256">
        <v>162.29</v>
      </c>
    </row>
    <row r="486" spans="2:9" ht="31.5">
      <c r="B486" s="1026">
        <v>2.1</v>
      </c>
      <c r="C486" s="937" t="s">
        <v>743</v>
      </c>
      <c r="D486" s="938"/>
      <c r="E486" s="962" t="s">
        <v>1554</v>
      </c>
      <c r="F486" s="1066"/>
      <c r="G486" s="938"/>
      <c r="H486" s="1029"/>
      <c r="I486" s="1256">
        <v>118.09</v>
      </c>
    </row>
    <row r="487" spans="2:9" ht="15.75">
      <c r="B487" s="1026">
        <v>2.2000000000000002</v>
      </c>
      <c r="C487" s="937" t="s">
        <v>744</v>
      </c>
      <c r="D487" s="938"/>
      <c r="E487" s="962" t="s">
        <v>219</v>
      </c>
      <c r="F487" s="1066"/>
      <c r="G487" s="938"/>
      <c r="H487" s="1029"/>
      <c r="I487" s="1256">
        <v>87.49</v>
      </c>
    </row>
    <row r="488" spans="2:9" ht="15.75">
      <c r="B488" s="1026">
        <v>2.2999999999999998</v>
      </c>
      <c r="C488" s="937" t="s">
        <v>308</v>
      </c>
      <c r="D488" s="938"/>
      <c r="E488" s="962" t="s">
        <v>213</v>
      </c>
      <c r="F488" s="1066"/>
      <c r="G488" s="938"/>
      <c r="H488" s="1029"/>
      <c r="I488" s="1256">
        <v>455.24</v>
      </c>
    </row>
    <row r="489" spans="2:9" ht="31.5">
      <c r="B489" s="1026">
        <v>3.1</v>
      </c>
      <c r="C489" s="937" t="s">
        <v>831</v>
      </c>
      <c r="D489" s="938"/>
      <c r="E489" s="962" t="s">
        <v>22</v>
      </c>
      <c r="F489" s="1066"/>
      <c r="G489" s="938"/>
      <c r="H489" s="1029"/>
      <c r="I489" s="1256">
        <v>10257.18</v>
      </c>
    </row>
    <row r="490" spans="2:9" ht="31.5">
      <c r="B490" s="1026">
        <v>3.2</v>
      </c>
      <c r="C490" s="937" t="s">
        <v>832</v>
      </c>
      <c r="D490" s="938"/>
      <c r="E490" s="962" t="s">
        <v>22</v>
      </c>
      <c r="F490" s="1066"/>
      <c r="G490" s="938"/>
      <c r="H490" s="1029"/>
      <c r="I490" s="1256">
        <v>40970.160000000003</v>
      </c>
    </row>
    <row r="491" spans="2:9" ht="31.5">
      <c r="B491" s="1026">
        <v>3.3</v>
      </c>
      <c r="C491" s="937" t="s">
        <v>833</v>
      </c>
      <c r="D491" s="938"/>
      <c r="E491" s="962" t="s">
        <v>22</v>
      </c>
      <c r="F491" s="1066"/>
      <c r="G491" s="938"/>
      <c r="H491" s="1029"/>
      <c r="I491" s="1256">
        <v>44136.67</v>
      </c>
    </row>
    <row r="492" spans="2:9" ht="15.75">
      <c r="B492" s="1026">
        <v>3.4</v>
      </c>
      <c r="C492" s="937" t="s">
        <v>834</v>
      </c>
      <c r="D492" s="938"/>
      <c r="E492" s="962" t="s">
        <v>22</v>
      </c>
      <c r="F492" s="1066"/>
      <c r="G492" s="938"/>
      <c r="H492" s="1029"/>
      <c r="I492" s="1256">
        <v>32583.72</v>
      </c>
    </row>
    <row r="493" spans="2:9" ht="15.75">
      <c r="B493" s="1063">
        <v>3.6</v>
      </c>
      <c r="C493" s="937" t="s">
        <v>836</v>
      </c>
      <c r="D493" s="938"/>
      <c r="E493" s="962" t="s">
        <v>22</v>
      </c>
      <c r="F493" s="1066"/>
      <c r="G493" s="938"/>
      <c r="H493" s="1029"/>
      <c r="I493" s="1256">
        <v>18195.259999999998</v>
      </c>
    </row>
    <row r="494" spans="2:9" ht="47.25">
      <c r="B494" s="1026">
        <v>3.5</v>
      </c>
      <c r="C494" s="937" t="s">
        <v>835</v>
      </c>
      <c r="D494" s="938"/>
      <c r="E494" s="962" t="s">
        <v>1000</v>
      </c>
      <c r="F494" s="1066"/>
      <c r="G494" s="938"/>
      <c r="H494" s="1029"/>
      <c r="I494" s="1256">
        <v>1442.13</v>
      </c>
    </row>
    <row r="495" spans="2:9" ht="15.75">
      <c r="B495" s="1026">
        <v>4.0999999999999996</v>
      </c>
      <c r="C495" s="937" t="s">
        <v>752</v>
      </c>
      <c r="D495" s="938"/>
      <c r="E495" s="962" t="s">
        <v>20</v>
      </c>
      <c r="F495" s="1066"/>
      <c r="G495" s="938"/>
      <c r="H495" s="1029"/>
      <c r="I495" s="1256">
        <v>1379.06</v>
      </c>
    </row>
    <row r="496" spans="2:9" ht="15.75">
      <c r="B496" s="1026">
        <v>4.2</v>
      </c>
      <c r="C496" s="937" t="s">
        <v>753</v>
      </c>
      <c r="D496" s="938"/>
      <c r="E496" s="962" t="s">
        <v>20</v>
      </c>
      <c r="F496" s="1066"/>
      <c r="G496" s="938"/>
      <c r="H496" s="1029"/>
      <c r="I496" s="1256">
        <v>1523.06</v>
      </c>
    </row>
    <row r="497" spans="2:9" ht="15.75">
      <c r="B497" s="1026">
        <v>5.0999999999999996</v>
      </c>
      <c r="C497" s="937" t="s">
        <v>519</v>
      </c>
      <c r="D497" s="938"/>
      <c r="E497" s="962" t="s">
        <v>20</v>
      </c>
      <c r="F497" s="1066"/>
      <c r="G497" s="938"/>
      <c r="H497" s="1029"/>
      <c r="I497" s="1256">
        <v>101.1</v>
      </c>
    </row>
    <row r="498" spans="2:9" ht="15.75">
      <c r="B498" s="1026">
        <v>5.2</v>
      </c>
      <c r="C498" s="937" t="s">
        <v>312</v>
      </c>
      <c r="D498" s="938"/>
      <c r="E498" s="962" t="s">
        <v>20</v>
      </c>
      <c r="F498" s="1066"/>
      <c r="G498" s="938"/>
      <c r="H498" s="1029"/>
      <c r="I498" s="1256">
        <v>453.5</v>
      </c>
    </row>
    <row r="499" spans="2:9" ht="15.75">
      <c r="B499" s="1026">
        <v>5.3</v>
      </c>
      <c r="C499" s="937" t="s">
        <v>756</v>
      </c>
      <c r="D499" s="938"/>
      <c r="E499" s="962" t="s">
        <v>20</v>
      </c>
      <c r="F499" s="1066"/>
      <c r="G499" s="938"/>
      <c r="H499" s="1029"/>
      <c r="I499" s="1256">
        <v>453.5</v>
      </c>
    </row>
    <row r="500" spans="2:9" ht="15.75">
      <c r="B500" s="1026">
        <v>5.4</v>
      </c>
      <c r="C500" s="937" t="s">
        <v>544</v>
      </c>
      <c r="D500" s="938"/>
      <c r="E500" s="962" t="s">
        <v>15</v>
      </c>
      <c r="F500" s="1066"/>
      <c r="G500" s="938"/>
      <c r="H500" s="1029"/>
      <c r="I500" s="1256">
        <v>158.5</v>
      </c>
    </row>
    <row r="501" spans="2:9" ht="15.75">
      <c r="B501" s="1026">
        <v>5.5</v>
      </c>
      <c r="C501" s="937" t="s">
        <v>837</v>
      </c>
      <c r="D501" s="938"/>
      <c r="E501" s="962" t="s">
        <v>20</v>
      </c>
      <c r="F501" s="1066"/>
      <c r="G501" s="938"/>
      <c r="H501" s="1029"/>
      <c r="I501" s="1256">
        <v>168.47</v>
      </c>
    </row>
    <row r="502" spans="2:9" ht="15.75">
      <c r="B502" s="1026">
        <v>5.6</v>
      </c>
      <c r="C502" s="937" t="s">
        <v>838</v>
      </c>
      <c r="D502" s="938"/>
      <c r="E502" s="962" t="s">
        <v>20</v>
      </c>
      <c r="F502" s="1066"/>
      <c r="G502" s="938"/>
      <c r="H502" s="1029"/>
      <c r="I502" s="1256">
        <v>168.48</v>
      </c>
    </row>
    <row r="503" spans="2:9" ht="15.75">
      <c r="B503" s="1026">
        <v>5.7</v>
      </c>
      <c r="C503" s="937" t="s">
        <v>315</v>
      </c>
      <c r="D503" s="938"/>
      <c r="E503" s="962" t="s">
        <v>1045</v>
      </c>
      <c r="F503" s="1066"/>
      <c r="G503" s="938"/>
      <c r="H503" s="1029"/>
      <c r="I503" s="1256">
        <v>336.93</v>
      </c>
    </row>
    <row r="504" spans="2:9" ht="15.75">
      <c r="B504" s="1026">
        <v>5.8</v>
      </c>
      <c r="C504" s="937" t="s">
        <v>316</v>
      </c>
      <c r="D504" s="938"/>
      <c r="E504" s="962" t="s">
        <v>20</v>
      </c>
      <c r="F504" s="1066"/>
      <c r="G504" s="938"/>
      <c r="H504" s="1029"/>
      <c r="I504" s="1256">
        <v>578.22</v>
      </c>
    </row>
    <row r="505" spans="2:9" ht="15.75">
      <c r="B505" s="1026">
        <v>6.1</v>
      </c>
      <c r="C505" s="937" t="s">
        <v>726</v>
      </c>
      <c r="D505" s="938"/>
      <c r="E505" s="962" t="s">
        <v>10</v>
      </c>
      <c r="F505" s="1066"/>
      <c r="G505" s="938"/>
      <c r="H505" s="1029"/>
      <c r="I505" s="1256">
        <v>13056</v>
      </c>
    </row>
    <row r="506" spans="2:9" ht="15.75">
      <c r="B506" s="1026">
        <v>6.2</v>
      </c>
      <c r="C506" s="937" t="s">
        <v>770</v>
      </c>
      <c r="D506" s="938"/>
      <c r="E506" s="962" t="s">
        <v>10</v>
      </c>
      <c r="F506" s="1066"/>
      <c r="G506" s="938"/>
      <c r="H506" s="1029"/>
      <c r="I506" s="1256">
        <v>11034.77</v>
      </c>
    </row>
    <row r="507" spans="2:9" ht="31.5">
      <c r="B507" s="1026">
        <v>6.3</v>
      </c>
      <c r="C507" s="937" t="s">
        <v>771</v>
      </c>
      <c r="D507" s="938"/>
      <c r="E507" s="962" t="s">
        <v>10</v>
      </c>
      <c r="F507" s="1066"/>
      <c r="G507" s="938"/>
      <c r="H507" s="1029"/>
      <c r="I507" s="1256">
        <v>1382.51</v>
      </c>
    </row>
    <row r="508" spans="2:9" ht="15.75">
      <c r="B508" s="1026">
        <v>6.4</v>
      </c>
      <c r="C508" s="937" t="s">
        <v>772</v>
      </c>
      <c r="D508" s="938"/>
      <c r="E508" s="962" t="s">
        <v>10</v>
      </c>
      <c r="F508" s="1066"/>
      <c r="G508" s="938"/>
      <c r="H508" s="1029"/>
      <c r="I508" s="1256">
        <v>12750.41</v>
      </c>
    </row>
    <row r="509" spans="2:9" ht="31.5">
      <c r="B509" s="1063">
        <v>6.5</v>
      </c>
      <c r="C509" s="937" t="s">
        <v>773</v>
      </c>
      <c r="D509" s="938"/>
      <c r="E509" s="962" t="s">
        <v>10</v>
      </c>
      <c r="F509" s="1066"/>
      <c r="G509" s="938"/>
      <c r="H509" s="1029"/>
      <c r="I509" s="1256">
        <v>9874.82</v>
      </c>
    </row>
    <row r="510" spans="2:9" ht="31.5">
      <c r="B510" s="1062">
        <v>6.6</v>
      </c>
      <c r="C510" s="937" t="s">
        <v>774</v>
      </c>
      <c r="D510" s="938"/>
      <c r="E510" s="962" t="s">
        <v>10</v>
      </c>
      <c r="F510" s="1066"/>
      <c r="G510" s="938"/>
      <c r="H510" s="1029"/>
      <c r="I510" s="1256">
        <v>66139.960000000006</v>
      </c>
    </row>
    <row r="511" spans="2:9" ht="31.5">
      <c r="B511" s="1063">
        <v>6.7</v>
      </c>
      <c r="C511" s="937" t="s">
        <v>775</v>
      </c>
      <c r="D511" s="938"/>
      <c r="E511" s="962" t="s">
        <v>10</v>
      </c>
      <c r="F511" s="1066"/>
      <c r="G511" s="938"/>
      <c r="H511" s="1029"/>
      <c r="I511" s="1256">
        <v>5158.1400000000003</v>
      </c>
    </row>
    <row r="512" spans="2:9" ht="15.75">
      <c r="B512" s="1062">
        <v>6.8</v>
      </c>
      <c r="C512" s="937" t="s">
        <v>839</v>
      </c>
      <c r="D512" s="938"/>
      <c r="E512" s="962" t="s">
        <v>1109</v>
      </c>
      <c r="F512" s="1066"/>
      <c r="G512" s="938"/>
      <c r="H512" s="1029"/>
      <c r="I512" s="1256">
        <v>12240</v>
      </c>
    </row>
    <row r="513" spans="2:9" ht="15.75">
      <c r="B513" s="1062">
        <v>6.9</v>
      </c>
      <c r="C513" s="937" t="s">
        <v>840</v>
      </c>
      <c r="D513" s="938"/>
      <c r="E513" s="962" t="s">
        <v>1109</v>
      </c>
      <c r="F513" s="1066"/>
      <c r="G513" s="938"/>
      <c r="H513" s="1029"/>
      <c r="I513" s="1256">
        <v>15300</v>
      </c>
    </row>
    <row r="514" spans="2:9" ht="15.75">
      <c r="B514" s="1062">
        <v>6.1</v>
      </c>
      <c r="C514" s="937" t="s">
        <v>841</v>
      </c>
      <c r="D514" s="938"/>
      <c r="E514" s="962" t="s">
        <v>1109</v>
      </c>
      <c r="F514" s="1066"/>
      <c r="G514" s="938"/>
      <c r="H514" s="1029"/>
      <c r="I514" s="1256">
        <v>40800</v>
      </c>
    </row>
    <row r="515" spans="2:9" ht="15.75">
      <c r="B515" s="1099"/>
      <c r="C515" s="1100"/>
      <c r="D515" s="1262"/>
      <c r="E515" s="1102"/>
      <c r="F515" s="1263"/>
      <c r="G515" s="1262"/>
      <c r="H515" s="1264"/>
      <c r="I515" s="1261"/>
    </row>
    <row r="516" spans="2:9" ht="31.5">
      <c r="B516" s="1063">
        <v>8.1</v>
      </c>
      <c r="C516" s="937" t="s">
        <v>843</v>
      </c>
      <c r="D516" s="938"/>
      <c r="E516" s="962" t="s">
        <v>1056</v>
      </c>
      <c r="F516" s="1066"/>
      <c r="G516" s="938"/>
      <c r="H516" s="1029"/>
      <c r="I516" s="1256">
        <v>8500</v>
      </c>
    </row>
    <row r="517" spans="2:9" ht="31.5">
      <c r="B517" s="1026">
        <v>8.1999999999999993</v>
      </c>
      <c r="C517" s="937" t="s">
        <v>844</v>
      </c>
      <c r="D517" s="938"/>
      <c r="E517" s="962" t="s">
        <v>1106</v>
      </c>
      <c r="F517" s="1066"/>
      <c r="G517" s="938"/>
      <c r="H517" s="1029"/>
      <c r="I517" s="1256">
        <v>8670</v>
      </c>
    </row>
    <row r="518" spans="2:9" ht="31.5">
      <c r="B518" s="1026">
        <v>8.3000000000000007</v>
      </c>
      <c r="C518" s="937" t="s">
        <v>845</v>
      </c>
      <c r="D518" s="938"/>
      <c r="E518" s="962" t="s">
        <v>1106</v>
      </c>
      <c r="F518" s="1066"/>
      <c r="G518" s="938"/>
      <c r="H518" s="1029"/>
      <c r="I518" s="1256">
        <v>8670</v>
      </c>
    </row>
    <row r="519" spans="2:9" ht="31.5">
      <c r="B519" s="1026">
        <v>8.4</v>
      </c>
      <c r="C519" s="937" t="s">
        <v>846</v>
      </c>
      <c r="D519" s="938"/>
      <c r="E519" s="962" t="s">
        <v>1585</v>
      </c>
      <c r="F519" s="1066"/>
      <c r="G519" s="938"/>
      <c r="H519" s="1029"/>
      <c r="I519" s="1256">
        <v>3614.8</v>
      </c>
    </row>
    <row r="520" spans="2:9" ht="31.5">
      <c r="B520" s="1026">
        <v>8.5</v>
      </c>
      <c r="C520" s="937" t="s">
        <v>847</v>
      </c>
      <c r="D520" s="938"/>
      <c r="E520" s="962" t="s">
        <v>1585</v>
      </c>
      <c r="F520" s="1066"/>
      <c r="G520" s="938"/>
      <c r="H520" s="1029"/>
      <c r="I520" s="1256">
        <v>3360</v>
      </c>
    </row>
    <row r="521" spans="2:9" ht="31.5">
      <c r="B521" s="1026">
        <v>8.6</v>
      </c>
      <c r="C521" s="937" t="s">
        <v>848</v>
      </c>
      <c r="D521" s="938"/>
      <c r="E521" s="962" t="s">
        <v>1585</v>
      </c>
      <c r="F521" s="1066"/>
      <c r="G521" s="938"/>
      <c r="H521" s="1029"/>
      <c r="I521" s="1256">
        <v>901.6</v>
      </c>
    </row>
    <row r="522" spans="2:9" ht="31.5">
      <c r="B522" s="1026">
        <v>9.1</v>
      </c>
      <c r="C522" s="937" t="s">
        <v>850</v>
      </c>
      <c r="D522" s="938"/>
      <c r="E522" s="962" t="s">
        <v>1056</v>
      </c>
      <c r="F522" s="1066"/>
      <c r="G522" s="938"/>
      <c r="H522" s="1029"/>
      <c r="I522" s="1256">
        <v>13173.5</v>
      </c>
    </row>
    <row r="523" spans="2:9" ht="15.75">
      <c r="B523" s="1026">
        <v>9.1999999999999993</v>
      </c>
      <c r="C523" s="937" t="s">
        <v>851</v>
      </c>
      <c r="D523" s="938"/>
      <c r="E523" s="962" t="s">
        <v>1056</v>
      </c>
      <c r="F523" s="1066"/>
      <c r="G523" s="938"/>
      <c r="H523" s="1029"/>
      <c r="I523" s="1256">
        <v>10868.9</v>
      </c>
    </row>
    <row r="524" spans="2:9" ht="15.75">
      <c r="B524" s="1026">
        <v>9.3000000000000007</v>
      </c>
      <c r="C524" s="937" t="s">
        <v>852</v>
      </c>
      <c r="D524" s="938"/>
      <c r="E524" s="962" t="s">
        <v>1056</v>
      </c>
      <c r="F524" s="1066"/>
      <c r="G524" s="938"/>
      <c r="H524" s="1029"/>
      <c r="I524" s="1256">
        <v>9090.7000000000007</v>
      </c>
    </row>
    <row r="525" spans="2:9" ht="31.5">
      <c r="B525" s="1026">
        <v>9.4</v>
      </c>
      <c r="C525" s="937" t="s">
        <v>853</v>
      </c>
      <c r="D525" s="938"/>
      <c r="E525" s="962" t="s">
        <v>1056</v>
      </c>
      <c r="F525" s="1066"/>
      <c r="G525" s="938"/>
      <c r="H525" s="1029"/>
      <c r="I525" s="1256">
        <v>8769.7999999999993</v>
      </c>
    </row>
    <row r="526" spans="2:9" ht="31.5">
      <c r="B526" s="1026">
        <v>10.1</v>
      </c>
      <c r="C526" s="937" t="s">
        <v>854</v>
      </c>
      <c r="D526" s="938"/>
      <c r="E526" s="962" t="s">
        <v>1088</v>
      </c>
      <c r="F526" s="1066"/>
      <c r="G526" s="938"/>
      <c r="H526" s="1029"/>
      <c r="I526" s="1256">
        <v>1167.68</v>
      </c>
    </row>
    <row r="527" spans="2:9" ht="15.75">
      <c r="B527" s="1026">
        <v>10.199999999999999</v>
      </c>
      <c r="C527" s="937" t="s">
        <v>809</v>
      </c>
      <c r="D527" s="938"/>
      <c r="E527" s="962" t="s">
        <v>1000</v>
      </c>
      <c r="F527" s="1066"/>
      <c r="G527" s="938"/>
      <c r="H527" s="1029"/>
      <c r="I527" s="1256">
        <v>9500</v>
      </c>
    </row>
    <row r="528" spans="2:9" ht="47.25">
      <c r="B528" s="1026">
        <v>10.3</v>
      </c>
      <c r="C528" s="937" t="s">
        <v>855</v>
      </c>
      <c r="D528" s="938"/>
      <c r="E528" s="962" t="s">
        <v>1056</v>
      </c>
      <c r="F528" s="1066"/>
      <c r="G528" s="938"/>
      <c r="H528" s="1029"/>
      <c r="I528" s="1256">
        <v>6500</v>
      </c>
    </row>
    <row r="529" spans="2:9" ht="15.75">
      <c r="B529" s="1026">
        <v>10.4</v>
      </c>
      <c r="C529" s="937" t="s">
        <v>739</v>
      </c>
      <c r="D529" s="938"/>
      <c r="E529" s="962" t="s">
        <v>1056</v>
      </c>
      <c r="F529" s="1066"/>
      <c r="G529" s="938"/>
      <c r="H529" s="1029"/>
      <c r="I529" s="1256">
        <v>25000</v>
      </c>
    </row>
    <row r="530" spans="2:9" ht="18.75">
      <c r="B530" s="1435" t="s">
        <v>1717</v>
      </c>
      <c r="C530" s="1435"/>
      <c r="D530" s="1435"/>
      <c r="E530" s="1435"/>
      <c r="F530" s="1435"/>
      <c r="G530" s="1435"/>
      <c r="H530" s="1435"/>
      <c r="I530" s="1436"/>
    </row>
    <row r="531" spans="2:9" ht="31.5">
      <c r="B531" s="1026">
        <v>1.1000000000000001</v>
      </c>
      <c r="C531" s="937" t="s">
        <v>860</v>
      </c>
      <c r="D531" s="938"/>
      <c r="E531" s="962" t="s">
        <v>1056</v>
      </c>
      <c r="F531" s="1066"/>
      <c r="G531" s="938"/>
      <c r="H531" s="1029"/>
      <c r="I531" s="1256">
        <v>12000</v>
      </c>
    </row>
    <row r="532" spans="2:9" ht="15.75">
      <c r="B532" s="1026">
        <v>1.2</v>
      </c>
      <c r="C532" s="937" t="s">
        <v>861</v>
      </c>
      <c r="D532" s="938"/>
      <c r="E532" s="962" t="s">
        <v>1056</v>
      </c>
      <c r="F532" s="1066"/>
      <c r="G532" s="938"/>
      <c r="H532" s="1029"/>
      <c r="I532" s="1256">
        <v>0</v>
      </c>
    </row>
    <row r="533" spans="2:9" ht="31.5">
      <c r="B533" s="1026">
        <v>1.3</v>
      </c>
      <c r="C533" s="937" t="s">
        <v>862</v>
      </c>
      <c r="D533" s="938"/>
      <c r="E533" s="962" t="s">
        <v>1056</v>
      </c>
      <c r="F533" s="1066"/>
      <c r="G533" s="938"/>
      <c r="H533" s="1029"/>
      <c r="I533" s="1256">
        <v>555.6</v>
      </c>
    </row>
    <row r="534" spans="2:9" ht="31.5">
      <c r="B534" s="1026">
        <v>1.3</v>
      </c>
      <c r="C534" s="937" t="s">
        <v>862</v>
      </c>
      <c r="D534" s="938"/>
      <c r="E534" s="962" t="s">
        <v>15</v>
      </c>
      <c r="F534" s="1066"/>
      <c r="G534" s="938"/>
      <c r="H534" s="1029"/>
      <c r="I534" s="1256">
        <v>555.6</v>
      </c>
    </row>
    <row r="535" spans="2:9" ht="47.25">
      <c r="B535" s="1026">
        <v>1.4</v>
      </c>
      <c r="C535" s="937" t="s">
        <v>863</v>
      </c>
      <c r="D535" s="938"/>
      <c r="E535" s="962" t="s">
        <v>10</v>
      </c>
      <c r="F535" s="1066"/>
      <c r="G535" s="938"/>
      <c r="H535" s="1029"/>
      <c r="I535" s="1256">
        <v>2800</v>
      </c>
    </row>
    <row r="536" spans="2:9" ht="15.75">
      <c r="B536" s="1026">
        <v>1.5</v>
      </c>
      <c r="C536" s="937" t="s">
        <v>864</v>
      </c>
      <c r="D536" s="938"/>
      <c r="E536" s="962" t="s">
        <v>135</v>
      </c>
      <c r="F536" s="1066"/>
      <c r="G536" s="938"/>
      <c r="H536" s="1029"/>
      <c r="I536" s="1256">
        <v>566.4</v>
      </c>
    </row>
    <row r="537" spans="2:9" ht="15.75">
      <c r="B537" s="1026">
        <v>1.6</v>
      </c>
      <c r="C537" s="937" t="s">
        <v>414</v>
      </c>
      <c r="D537" s="938"/>
      <c r="E537" s="962" t="s">
        <v>38</v>
      </c>
      <c r="F537" s="1066"/>
      <c r="G537" s="938"/>
      <c r="H537" s="1029"/>
      <c r="I537" s="1256">
        <v>3500</v>
      </c>
    </row>
    <row r="538" spans="2:9" ht="15.75">
      <c r="B538" s="1026">
        <v>1.7</v>
      </c>
      <c r="C538" s="937" t="s">
        <v>865</v>
      </c>
      <c r="D538" s="938"/>
      <c r="E538" s="962" t="s">
        <v>1056</v>
      </c>
      <c r="F538" s="1066"/>
      <c r="G538" s="938"/>
      <c r="H538" s="1029"/>
      <c r="I538" s="1256">
        <v>45000</v>
      </c>
    </row>
    <row r="539" spans="2:9" ht="31.5">
      <c r="B539" s="1026">
        <v>2.1</v>
      </c>
      <c r="C539" s="937" t="s">
        <v>867</v>
      </c>
      <c r="D539" s="938"/>
      <c r="E539" s="962" t="s">
        <v>1056</v>
      </c>
      <c r="F539" s="1066"/>
      <c r="G539" s="938"/>
      <c r="H539" s="1029"/>
      <c r="I539" s="1256">
        <v>3500</v>
      </c>
    </row>
    <row r="540" spans="2:9" ht="31.5">
      <c r="B540" s="1026">
        <v>2.2000000000000002</v>
      </c>
      <c r="C540" s="937" t="s">
        <v>868</v>
      </c>
      <c r="D540" s="938"/>
      <c r="E540" s="962" t="s">
        <v>1056</v>
      </c>
      <c r="F540" s="1066"/>
      <c r="G540" s="938"/>
      <c r="H540" s="1029"/>
      <c r="I540" s="1256">
        <v>2133</v>
      </c>
    </row>
    <row r="541" spans="2:9" ht="15.75">
      <c r="B541" s="1026">
        <v>2.2999999999999998</v>
      </c>
      <c r="C541" s="937" t="s">
        <v>873</v>
      </c>
      <c r="D541" s="938"/>
      <c r="E541" s="962" t="s">
        <v>1056</v>
      </c>
      <c r="F541" s="1066"/>
      <c r="G541" s="938"/>
      <c r="H541" s="1029"/>
      <c r="I541" s="1256">
        <v>73.099999999999994</v>
      </c>
    </row>
    <row r="542" spans="2:9" ht="31.5">
      <c r="B542" s="1026">
        <v>2.2999999999999998</v>
      </c>
      <c r="C542" s="937" t="s">
        <v>869</v>
      </c>
      <c r="D542" s="938"/>
      <c r="E542" s="962" t="s">
        <v>1056</v>
      </c>
      <c r="F542" s="1066"/>
      <c r="G542" s="938"/>
      <c r="H542" s="1029"/>
      <c r="I542" s="1256">
        <v>2690.3</v>
      </c>
    </row>
    <row r="543" spans="2:9" ht="31.5">
      <c r="B543" s="1026">
        <v>2.4</v>
      </c>
      <c r="C543" s="937" t="s">
        <v>870</v>
      </c>
      <c r="D543" s="938"/>
      <c r="E543" s="962" t="s">
        <v>1056</v>
      </c>
      <c r="F543" s="1066"/>
      <c r="G543" s="938"/>
      <c r="H543" s="1029"/>
      <c r="I543" s="1256">
        <v>288.5</v>
      </c>
    </row>
    <row r="544" spans="2:9" ht="15.75">
      <c r="B544" s="1026">
        <v>2.5</v>
      </c>
      <c r="C544" s="937" t="s">
        <v>864</v>
      </c>
      <c r="D544" s="938"/>
      <c r="E544" s="962" t="s">
        <v>1056</v>
      </c>
      <c r="F544" s="1066"/>
      <c r="G544" s="938"/>
      <c r="H544" s="1029"/>
      <c r="I544" s="1256">
        <v>566.4</v>
      </c>
    </row>
    <row r="545" spans="2:9" ht="15.75">
      <c r="B545" s="1026">
        <v>2.6</v>
      </c>
      <c r="C545" s="937" t="s">
        <v>865</v>
      </c>
      <c r="D545" s="938"/>
      <c r="E545" s="962" t="s">
        <v>1056</v>
      </c>
      <c r="F545" s="1066"/>
      <c r="G545" s="938"/>
      <c r="H545" s="1029"/>
      <c r="I545" s="1256">
        <v>45000</v>
      </c>
    </row>
    <row r="546" spans="2:9" ht="15.75">
      <c r="B546" s="1026">
        <v>3.1</v>
      </c>
      <c r="C546" s="937" t="s">
        <v>328</v>
      </c>
      <c r="D546" s="938"/>
      <c r="E546" s="962" t="s">
        <v>1056</v>
      </c>
      <c r="F546" s="1066"/>
      <c r="G546" s="938"/>
      <c r="H546" s="1029"/>
      <c r="I546" s="1256">
        <v>1907</v>
      </c>
    </row>
    <row r="547" spans="2:9" ht="31.5">
      <c r="B547" s="1026">
        <v>3.2</v>
      </c>
      <c r="C547" s="937" t="s">
        <v>872</v>
      </c>
      <c r="D547" s="938"/>
      <c r="E547" s="962" t="s">
        <v>1056</v>
      </c>
      <c r="F547" s="1066"/>
      <c r="G547" s="938"/>
      <c r="H547" s="1029"/>
      <c r="I547" s="1256">
        <v>2133</v>
      </c>
    </row>
    <row r="548" spans="2:9" ht="15.75">
      <c r="B548" s="1026">
        <v>3.3</v>
      </c>
      <c r="C548" s="937" t="s">
        <v>873</v>
      </c>
      <c r="D548" s="938"/>
      <c r="E548" s="962" t="s">
        <v>1056</v>
      </c>
      <c r="F548" s="1066"/>
      <c r="G548" s="938"/>
      <c r="H548" s="1029"/>
      <c r="I548" s="1256">
        <v>73.099999999999994</v>
      </c>
    </row>
    <row r="549" spans="2:9" ht="15.75">
      <c r="B549" s="1026">
        <v>3.4</v>
      </c>
      <c r="C549" s="937" t="s">
        <v>874</v>
      </c>
      <c r="D549" s="938"/>
      <c r="E549" s="962" t="s">
        <v>1056</v>
      </c>
      <c r="F549" s="1066"/>
      <c r="G549" s="938"/>
      <c r="H549" s="1029"/>
      <c r="I549" s="1256">
        <v>9002.1</v>
      </c>
    </row>
    <row r="550" spans="2:9" ht="15.75">
      <c r="B550" s="1026">
        <v>3.5</v>
      </c>
      <c r="C550" s="937" t="s">
        <v>329</v>
      </c>
      <c r="D550" s="938"/>
      <c r="E550" s="962" t="s">
        <v>1056</v>
      </c>
      <c r="F550" s="1066"/>
      <c r="G550" s="938"/>
      <c r="H550" s="1029"/>
      <c r="I550" s="1256">
        <v>1936</v>
      </c>
    </row>
    <row r="551" spans="2:9" ht="15.75">
      <c r="B551" s="1026">
        <v>3.6</v>
      </c>
      <c r="C551" s="937" t="s">
        <v>865</v>
      </c>
      <c r="D551" s="938"/>
      <c r="E551" s="962" t="s">
        <v>1056</v>
      </c>
      <c r="F551" s="1066"/>
      <c r="G551" s="938"/>
      <c r="H551" s="1029"/>
      <c r="I551" s="1256">
        <v>45000</v>
      </c>
    </row>
    <row r="552" spans="2:9" ht="15.75">
      <c r="B552" s="1026">
        <v>4.0999999999999996</v>
      </c>
      <c r="C552" s="937" t="s">
        <v>328</v>
      </c>
      <c r="D552" s="938"/>
      <c r="E552" s="962" t="s">
        <v>1056</v>
      </c>
      <c r="F552" s="1066"/>
      <c r="G552" s="938"/>
      <c r="H552" s="1029"/>
      <c r="I552" s="1256">
        <v>1907</v>
      </c>
    </row>
    <row r="553" spans="2:9" ht="31.5">
      <c r="B553" s="1026">
        <v>4.2</v>
      </c>
      <c r="C553" s="937" t="s">
        <v>872</v>
      </c>
      <c r="D553" s="938"/>
      <c r="E553" s="962" t="s">
        <v>1056</v>
      </c>
      <c r="F553" s="1066"/>
      <c r="G553" s="938"/>
      <c r="H553" s="1029"/>
      <c r="I553" s="1256">
        <v>2133</v>
      </c>
    </row>
    <row r="554" spans="2:9" ht="15.75">
      <c r="B554" s="1026">
        <v>4.3</v>
      </c>
      <c r="C554" s="937" t="s">
        <v>329</v>
      </c>
      <c r="D554" s="938"/>
      <c r="E554" s="962" t="s">
        <v>1056</v>
      </c>
      <c r="F554" s="1066"/>
      <c r="G554" s="938"/>
      <c r="H554" s="1029"/>
      <c r="I554" s="1256">
        <v>1936</v>
      </c>
    </row>
    <row r="555" spans="2:9" ht="15.75">
      <c r="B555" s="1026">
        <v>4.4000000000000004</v>
      </c>
      <c r="C555" s="937" t="s">
        <v>876</v>
      </c>
      <c r="D555" s="938"/>
      <c r="E555" s="962" t="s">
        <v>1056</v>
      </c>
      <c r="F555" s="1066"/>
      <c r="G555" s="938"/>
      <c r="H555" s="1029"/>
      <c r="I555" s="1256">
        <v>1996</v>
      </c>
    </row>
    <row r="556" spans="2:9" ht="15.75">
      <c r="B556" s="1026">
        <v>4.5</v>
      </c>
      <c r="C556" s="937" t="s">
        <v>786</v>
      </c>
      <c r="D556" s="938"/>
      <c r="E556" s="962" t="s">
        <v>1056</v>
      </c>
      <c r="F556" s="1066"/>
      <c r="G556" s="938"/>
      <c r="H556" s="1029"/>
      <c r="I556" s="1256">
        <v>1846</v>
      </c>
    </row>
    <row r="557" spans="2:9" ht="31.5">
      <c r="B557" s="1026">
        <v>4.5999999999999996</v>
      </c>
      <c r="C557" s="937" t="s">
        <v>872</v>
      </c>
      <c r="D557" s="938"/>
      <c r="E557" s="962" t="s">
        <v>1056</v>
      </c>
      <c r="F557" s="1066"/>
      <c r="G557" s="938"/>
      <c r="H557" s="1029"/>
      <c r="I557" s="1256">
        <v>2133</v>
      </c>
    </row>
    <row r="558" spans="2:9" ht="31.5">
      <c r="B558" s="1026">
        <v>4.7</v>
      </c>
      <c r="C558" s="937" t="s">
        <v>877</v>
      </c>
      <c r="D558" s="938"/>
      <c r="E558" s="962" t="s">
        <v>1056</v>
      </c>
      <c r="F558" s="1066"/>
      <c r="G558" s="938"/>
      <c r="H558" s="1029"/>
      <c r="I558" s="1256">
        <v>9247.7999999999993</v>
      </c>
    </row>
    <row r="559" spans="2:9" ht="15.75">
      <c r="B559" s="1026">
        <v>4.8</v>
      </c>
      <c r="C559" s="937" t="s">
        <v>878</v>
      </c>
      <c r="D559" s="938"/>
      <c r="E559" s="962" t="s">
        <v>1056</v>
      </c>
      <c r="F559" s="1066"/>
      <c r="G559" s="938"/>
      <c r="H559" s="1029"/>
      <c r="I559" s="1256">
        <v>986.6</v>
      </c>
    </row>
    <row r="560" spans="2:9" ht="15.75">
      <c r="B560" s="1026">
        <v>4.9000000000000004</v>
      </c>
      <c r="C560" s="937" t="s">
        <v>879</v>
      </c>
      <c r="D560" s="938"/>
      <c r="E560" s="962" t="s">
        <v>1056</v>
      </c>
      <c r="F560" s="1066"/>
      <c r="G560" s="938"/>
      <c r="H560" s="1029"/>
      <c r="I560" s="1256">
        <v>1169</v>
      </c>
    </row>
    <row r="561" spans="2:9" ht="15.75">
      <c r="B561" s="1062">
        <v>4.0999999999999996</v>
      </c>
      <c r="C561" s="937" t="s">
        <v>880</v>
      </c>
      <c r="D561" s="938"/>
      <c r="E561" s="962" t="s">
        <v>1056</v>
      </c>
      <c r="F561" s="1066"/>
      <c r="G561" s="938"/>
      <c r="H561" s="1029"/>
      <c r="I561" s="1256">
        <v>65</v>
      </c>
    </row>
    <row r="562" spans="2:9" ht="15.75">
      <c r="B562" s="1062">
        <v>4.1100000000000003</v>
      </c>
      <c r="C562" s="937" t="s">
        <v>873</v>
      </c>
      <c r="D562" s="938"/>
      <c r="E562" s="962" t="s">
        <v>1056</v>
      </c>
      <c r="F562" s="1066"/>
      <c r="G562" s="938"/>
      <c r="H562" s="1029"/>
      <c r="I562" s="1256">
        <v>73.099999999999994</v>
      </c>
    </row>
    <row r="563" spans="2:9" ht="15.75">
      <c r="B563" s="1062">
        <v>4.12</v>
      </c>
      <c r="C563" s="937" t="s">
        <v>865</v>
      </c>
      <c r="D563" s="938"/>
      <c r="E563" s="962" t="s">
        <v>1056</v>
      </c>
      <c r="F563" s="1066"/>
      <c r="G563" s="938"/>
      <c r="H563" s="1029"/>
      <c r="I563" s="1256">
        <v>45000</v>
      </c>
    </row>
    <row r="564" spans="2:9" ht="31.5">
      <c r="B564" s="1062">
        <v>5.0999999999999996</v>
      </c>
      <c r="C564" s="937" t="s">
        <v>881</v>
      </c>
      <c r="D564" s="938"/>
      <c r="E564" s="962" t="s">
        <v>1056</v>
      </c>
      <c r="F564" s="1066"/>
      <c r="G564" s="938"/>
      <c r="H564" s="1029"/>
      <c r="I564" s="1256">
        <v>12000</v>
      </c>
    </row>
    <row r="565" spans="2:9" ht="15.75">
      <c r="B565" s="1063">
        <v>5.2</v>
      </c>
      <c r="C565" s="937" t="s">
        <v>861</v>
      </c>
      <c r="D565" s="938"/>
      <c r="E565" s="962" t="s">
        <v>1056</v>
      </c>
      <c r="F565" s="1066"/>
      <c r="G565" s="938"/>
      <c r="H565" s="1029"/>
      <c r="I565" s="1256">
        <v>0</v>
      </c>
    </row>
    <row r="566" spans="2:9" ht="15.75">
      <c r="B566" s="1063">
        <v>5.3</v>
      </c>
      <c r="C566" s="937" t="s">
        <v>882</v>
      </c>
      <c r="D566" s="938"/>
      <c r="E566" s="962" t="s">
        <v>1088</v>
      </c>
      <c r="F566" s="1066"/>
      <c r="G566" s="938"/>
      <c r="H566" s="1029"/>
      <c r="I566" s="1256">
        <v>555.6</v>
      </c>
    </row>
    <row r="567" spans="2:9" ht="15.75">
      <c r="B567" s="1063">
        <v>5.4</v>
      </c>
      <c r="C567" s="937" t="s">
        <v>864</v>
      </c>
      <c r="D567" s="938"/>
      <c r="E567" s="962" t="s">
        <v>1088</v>
      </c>
      <c r="F567" s="1066"/>
      <c r="G567" s="938"/>
      <c r="H567" s="1029"/>
      <c r="I567" s="1256">
        <v>566.4</v>
      </c>
    </row>
    <row r="568" spans="2:9" ht="15.75">
      <c r="B568" s="1063">
        <v>5.5</v>
      </c>
      <c r="C568" s="937" t="s">
        <v>414</v>
      </c>
      <c r="D568" s="938"/>
      <c r="E568" s="962" t="s">
        <v>1056</v>
      </c>
      <c r="F568" s="1066"/>
      <c r="G568" s="938"/>
      <c r="H568" s="1029"/>
      <c r="I568" s="1256">
        <v>3500</v>
      </c>
    </row>
    <row r="569" spans="2:9" ht="15.75">
      <c r="B569" s="1063">
        <v>5.6</v>
      </c>
      <c r="C569" s="937" t="s">
        <v>865</v>
      </c>
      <c r="D569" s="938"/>
      <c r="E569" s="962" t="s">
        <v>1056</v>
      </c>
      <c r="F569" s="1066"/>
      <c r="G569" s="938"/>
      <c r="H569" s="1029"/>
      <c r="I569" s="1256">
        <v>35000</v>
      </c>
    </row>
    <row r="570" spans="2:9" ht="31.5">
      <c r="B570" s="1099"/>
      <c r="C570" s="1090" t="s">
        <v>1776</v>
      </c>
      <c r="D570" s="1091"/>
      <c r="E570" s="1092" t="s">
        <v>500</v>
      </c>
      <c r="F570" s="1093"/>
      <c r="G570" s="1091"/>
      <c r="H570" s="1094"/>
      <c r="I570" s="1261">
        <v>95500</v>
      </c>
    </row>
    <row r="571" spans="2:9" ht="18.75">
      <c r="B571" s="1025"/>
      <c r="C571" s="1435"/>
      <c r="D571" s="1435"/>
      <c r="E571" s="1435"/>
      <c r="F571" s="1435"/>
      <c r="G571" s="1435"/>
      <c r="H571" s="1435"/>
      <c r="I571" s="1436"/>
    </row>
    <row r="572" spans="2:9" ht="94.5">
      <c r="B572" s="1025"/>
      <c r="C572" s="937" t="s">
        <v>886</v>
      </c>
      <c r="D572" s="938"/>
      <c r="E572" s="962" t="s">
        <v>10</v>
      </c>
      <c r="F572" s="1066"/>
      <c r="G572" s="938"/>
      <c r="H572" s="1029"/>
      <c r="I572" s="1256">
        <v>93000</v>
      </c>
    </row>
    <row r="573" spans="2:9" ht="63">
      <c r="B573" s="1025"/>
      <c r="C573" s="937" t="s">
        <v>887</v>
      </c>
      <c r="D573" s="938"/>
      <c r="E573" s="962" t="s">
        <v>135</v>
      </c>
      <c r="F573" s="1066"/>
      <c r="G573" s="938"/>
      <c r="H573" s="1029"/>
      <c r="I573" s="1256">
        <v>1408296.35</v>
      </c>
    </row>
    <row r="574" spans="2:9" ht="15.75">
      <c r="B574" s="1025"/>
      <c r="C574" s="937" t="s">
        <v>503</v>
      </c>
      <c r="D574" s="938"/>
      <c r="E574" s="962" t="s">
        <v>888</v>
      </c>
      <c r="F574" s="1066"/>
      <c r="G574" s="938"/>
      <c r="H574" s="1029"/>
      <c r="I574" s="1256">
        <v>283000</v>
      </c>
    </row>
  </sheetData>
  <mergeCells count="16">
    <mergeCell ref="C433:I433"/>
    <mergeCell ref="B484:I484"/>
    <mergeCell ref="B530:I530"/>
    <mergeCell ref="C571:I571"/>
    <mergeCell ref="B145:I145"/>
    <mergeCell ref="B163:I163"/>
    <mergeCell ref="B182:I182"/>
    <mergeCell ref="B208:I208"/>
    <mergeCell ref="B319:I319"/>
    <mergeCell ref="C367:I367"/>
    <mergeCell ref="B127:I127"/>
    <mergeCell ref="B22:I22"/>
    <mergeCell ref="B36:I36"/>
    <mergeCell ref="B44:I44"/>
    <mergeCell ref="B54:I54"/>
    <mergeCell ref="B104:I10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87"/>
  <sheetViews>
    <sheetView view="pageBreakPreview" zoomScale="60" zoomScaleNormal="100" workbookViewId="0">
      <selection activeCell="B175" sqref="B175"/>
    </sheetView>
  </sheetViews>
  <sheetFormatPr baseColWidth="10" defaultRowHeight="12.75"/>
  <cols>
    <col min="2" max="2" width="21.85546875" style="1023" bestFit="1" customWidth="1"/>
    <col min="3" max="18" width="9.140625" style="1023" customWidth="1"/>
    <col min="19" max="19" width="10.5703125" style="1023" bestFit="1" customWidth="1"/>
    <col min="20" max="21" width="9.140625" style="1023" customWidth="1"/>
  </cols>
  <sheetData>
    <row r="1" spans="2:21" ht="15.75" thickBot="1">
      <c r="B1" s="984"/>
      <c r="C1" s="984"/>
      <c r="D1" s="985"/>
      <c r="E1" s="985"/>
      <c r="F1" s="985"/>
      <c r="G1" s="985"/>
      <c r="H1" s="985"/>
      <c r="I1" s="985"/>
      <c r="J1" s="985"/>
      <c r="K1" s="985"/>
      <c r="L1" s="985"/>
      <c r="M1" s="984"/>
      <c r="N1" s="984"/>
      <c r="O1" s="984"/>
      <c r="P1" s="984"/>
      <c r="Q1" s="984"/>
      <c r="R1" s="984"/>
      <c r="S1" s="984"/>
      <c r="T1" s="984"/>
      <c r="U1" s="984"/>
    </row>
    <row r="2" spans="2:21" ht="51.75" thickBot="1">
      <c r="B2" s="986" t="s">
        <v>1467</v>
      </c>
      <c r="C2" s="986" t="s">
        <v>10</v>
      </c>
      <c r="D2" s="987" t="s">
        <v>1468</v>
      </c>
      <c r="E2" s="987" t="s">
        <v>1469</v>
      </c>
      <c r="F2" s="987" t="s">
        <v>1470</v>
      </c>
      <c r="G2" s="987" t="s">
        <v>1471</v>
      </c>
      <c r="H2" s="987" t="s">
        <v>1472</v>
      </c>
      <c r="I2" s="987" t="s">
        <v>1473</v>
      </c>
      <c r="J2" s="987" t="s">
        <v>1474</v>
      </c>
      <c r="K2" s="987" t="s">
        <v>1475</v>
      </c>
      <c r="L2" s="987" t="s">
        <v>1476</v>
      </c>
      <c r="M2" s="987" t="s">
        <v>1477</v>
      </c>
      <c r="N2" s="988" t="s">
        <v>1478</v>
      </c>
      <c r="O2" s="987" t="s">
        <v>1479</v>
      </c>
      <c r="P2" s="987" t="s">
        <v>1480</v>
      </c>
      <c r="Q2" s="987" t="s">
        <v>1481</v>
      </c>
      <c r="R2" s="987" t="s">
        <v>1482</v>
      </c>
      <c r="S2" s="987" t="s">
        <v>1483</v>
      </c>
      <c r="T2" s="987" t="s">
        <v>1484</v>
      </c>
      <c r="U2" s="984"/>
    </row>
    <row r="3" spans="2:21" ht="15">
      <c r="B3" s="989" t="s">
        <v>1485</v>
      </c>
      <c r="C3" s="990" t="s">
        <v>1486</v>
      </c>
      <c r="D3" s="991">
        <v>100</v>
      </c>
      <c r="E3" s="991">
        <v>114</v>
      </c>
      <c r="F3" s="991">
        <v>70</v>
      </c>
      <c r="G3" s="991"/>
      <c r="H3" s="991">
        <v>75</v>
      </c>
      <c r="I3" s="991">
        <v>100</v>
      </c>
      <c r="J3" s="992">
        <v>90</v>
      </c>
      <c r="K3" s="991"/>
      <c r="L3" s="992">
        <v>0.28000000000000003</v>
      </c>
      <c r="M3" s="992">
        <v>0.34</v>
      </c>
      <c r="N3" s="993"/>
      <c r="O3" s="991"/>
      <c r="P3" s="993"/>
      <c r="Q3" s="994">
        <v>60</v>
      </c>
      <c r="R3" s="994">
        <v>50</v>
      </c>
      <c r="S3" s="995">
        <v>50</v>
      </c>
      <c r="T3" s="996"/>
      <c r="U3" s="984"/>
    </row>
    <row r="4" spans="2:21" ht="15">
      <c r="B4" s="997" t="s">
        <v>1487</v>
      </c>
      <c r="C4" s="998" t="s">
        <v>1486</v>
      </c>
      <c r="D4" s="999">
        <v>90</v>
      </c>
      <c r="E4" s="1000">
        <v>114</v>
      </c>
      <c r="F4" s="1000">
        <v>85</v>
      </c>
      <c r="G4" s="1000"/>
      <c r="H4" s="1000"/>
      <c r="I4" s="1000"/>
      <c r="J4" s="1001"/>
      <c r="K4" s="1000"/>
      <c r="L4" s="1001"/>
      <c r="M4" s="1001"/>
      <c r="N4" s="1002"/>
      <c r="O4" s="1000"/>
      <c r="P4" s="1002"/>
      <c r="Q4" s="1003"/>
      <c r="R4" s="1003"/>
      <c r="S4" s="1004"/>
      <c r="T4" s="1005"/>
      <c r="U4" s="984"/>
    </row>
    <row r="5" spans="2:21" ht="15">
      <c r="B5" s="997" t="s">
        <v>1488</v>
      </c>
      <c r="C5" s="998" t="s">
        <v>1486</v>
      </c>
      <c r="D5" s="999"/>
      <c r="E5" s="1000"/>
      <c r="F5" s="1000"/>
      <c r="G5" s="1000"/>
      <c r="H5" s="1000"/>
      <c r="I5" s="1000"/>
      <c r="J5" s="1001"/>
      <c r="K5" s="1000"/>
      <c r="L5" s="1001">
        <v>0.28000000000000003</v>
      </c>
      <c r="M5" s="1001">
        <v>0.34</v>
      </c>
      <c r="N5" s="1002"/>
      <c r="O5" s="1000"/>
      <c r="P5" s="1002"/>
      <c r="Q5" s="1003">
        <v>130</v>
      </c>
      <c r="R5" s="1003"/>
      <c r="S5" s="1004">
        <v>92.86</v>
      </c>
      <c r="T5" s="1005"/>
      <c r="U5" s="984"/>
    </row>
    <row r="6" spans="2:21" ht="15">
      <c r="B6" s="997" t="s">
        <v>1489</v>
      </c>
      <c r="C6" s="998" t="s">
        <v>1486</v>
      </c>
      <c r="D6" s="999">
        <v>130</v>
      </c>
      <c r="E6" s="1000">
        <v>130</v>
      </c>
      <c r="F6" s="1000">
        <v>150</v>
      </c>
      <c r="G6" s="1000"/>
      <c r="H6" s="1000">
        <v>120</v>
      </c>
      <c r="I6" s="1000"/>
      <c r="J6" s="1001"/>
      <c r="K6" s="1000"/>
      <c r="L6" s="1001"/>
      <c r="M6" s="1001"/>
      <c r="N6" s="1002"/>
      <c r="O6" s="1000"/>
      <c r="P6" s="1002"/>
      <c r="Q6" s="1003">
        <v>150</v>
      </c>
      <c r="R6" s="1003">
        <v>130</v>
      </c>
      <c r="S6" s="1004"/>
      <c r="T6" s="1005"/>
      <c r="U6" s="984"/>
    </row>
    <row r="7" spans="2:21" ht="15">
      <c r="B7" s="997" t="s">
        <v>1490</v>
      </c>
      <c r="C7" s="998" t="s">
        <v>1486</v>
      </c>
      <c r="D7" s="999">
        <v>120</v>
      </c>
      <c r="E7" s="1000">
        <v>130</v>
      </c>
      <c r="F7" s="1000">
        <v>130</v>
      </c>
      <c r="G7" s="1000"/>
      <c r="H7" s="1000"/>
      <c r="I7" s="1000">
        <v>137.5</v>
      </c>
      <c r="J7" s="1001"/>
      <c r="K7" s="1000"/>
      <c r="L7" s="1001"/>
      <c r="M7" s="1001"/>
      <c r="N7" s="1006">
        <v>130</v>
      </c>
      <c r="O7" s="1000"/>
      <c r="P7" s="1002"/>
      <c r="Q7" s="1003"/>
      <c r="R7" s="1003"/>
      <c r="S7" s="1004">
        <v>100</v>
      </c>
      <c r="T7" s="1005">
        <v>100</v>
      </c>
      <c r="U7" s="984"/>
    </row>
    <row r="8" spans="2:21" ht="15">
      <c r="B8" s="997" t="s">
        <v>1491</v>
      </c>
      <c r="C8" s="998" t="s">
        <v>1486</v>
      </c>
      <c r="D8" s="999"/>
      <c r="E8" s="1000"/>
      <c r="F8" s="1000"/>
      <c r="G8" s="1000"/>
      <c r="H8" s="1000"/>
      <c r="I8" s="1000"/>
      <c r="J8" s="1001"/>
      <c r="K8" s="1000"/>
      <c r="L8" s="1001"/>
      <c r="M8" s="1001"/>
      <c r="N8" s="1006"/>
      <c r="O8" s="1000"/>
      <c r="P8" s="1002"/>
      <c r="Q8" s="1003"/>
      <c r="R8" s="1003"/>
      <c r="S8" s="1004"/>
      <c r="T8" s="1005"/>
      <c r="U8" s="984"/>
    </row>
    <row r="9" spans="2:21" ht="15">
      <c r="B9" s="997" t="s">
        <v>1492</v>
      </c>
      <c r="C9" s="998" t="s">
        <v>1486</v>
      </c>
      <c r="D9" s="999">
        <v>140</v>
      </c>
      <c r="E9" s="1000">
        <v>95</v>
      </c>
      <c r="F9" s="1000">
        <v>90</v>
      </c>
      <c r="G9" s="1000"/>
      <c r="H9" s="1000">
        <v>85</v>
      </c>
      <c r="I9" s="1000">
        <v>100</v>
      </c>
      <c r="J9" s="1000">
        <v>85</v>
      </c>
      <c r="K9" s="1000"/>
      <c r="L9" s="1001">
        <v>0.28000000000000003</v>
      </c>
      <c r="M9" s="1001">
        <v>0.34</v>
      </c>
      <c r="N9" s="1006">
        <v>90</v>
      </c>
      <c r="O9" s="1000"/>
      <c r="P9" s="1002"/>
      <c r="Q9" s="1003">
        <v>80</v>
      </c>
      <c r="R9" s="1003">
        <v>80</v>
      </c>
      <c r="S9" s="1004">
        <v>80</v>
      </c>
      <c r="T9" s="1005">
        <v>90</v>
      </c>
      <c r="U9" s="984"/>
    </row>
    <row r="10" spans="2:21" ht="15">
      <c r="B10" s="997" t="s">
        <v>1493</v>
      </c>
      <c r="C10" s="998" t="s">
        <v>1486</v>
      </c>
      <c r="D10" s="999"/>
      <c r="E10" s="1000"/>
      <c r="F10" s="1000"/>
      <c r="G10" s="1000"/>
      <c r="H10" s="1000"/>
      <c r="I10" s="1000"/>
      <c r="J10" s="1001"/>
      <c r="K10" s="1000"/>
      <c r="L10" s="1001"/>
      <c r="M10" s="1001"/>
      <c r="N10" s="1006"/>
      <c r="O10" s="1000"/>
      <c r="P10" s="1002"/>
      <c r="Q10" s="1002"/>
      <c r="R10" s="1002"/>
      <c r="S10" s="1007"/>
      <c r="T10" s="1008"/>
      <c r="U10" s="984"/>
    </row>
    <row r="11" spans="2:21" ht="15">
      <c r="B11" s="997" t="s">
        <v>1494</v>
      </c>
      <c r="C11" s="998" t="s">
        <v>1495</v>
      </c>
      <c r="D11" s="999"/>
      <c r="E11" s="999"/>
      <c r="F11" s="1001">
        <v>1500</v>
      </c>
      <c r="G11" s="1000">
        <v>85</v>
      </c>
      <c r="H11" s="1000"/>
      <c r="I11" s="1000">
        <v>85</v>
      </c>
      <c r="J11" s="1001">
        <v>85</v>
      </c>
      <c r="K11" s="1000">
        <v>350</v>
      </c>
      <c r="L11" s="1001"/>
      <c r="M11" s="1001"/>
      <c r="N11" s="1006">
        <v>300</v>
      </c>
      <c r="O11" s="1000">
        <v>600</v>
      </c>
      <c r="P11" s="1003">
        <v>432</v>
      </c>
      <c r="Q11" s="1002"/>
      <c r="R11" s="1002"/>
      <c r="S11" s="1007"/>
      <c r="T11" s="1008"/>
      <c r="U11" s="984"/>
    </row>
    <row r="12" spans="2:21" ht="15">
      <c r="B12" s="997" t="s">
        <v>1496</v>
      </c>
      <c r="C12" s="998" t="s">
        <v>1495</v>
      </c>
      <c r="D12" s="999"/>
      <c r="E12" s="999"/>
      <c r="F12" s="1000"/>
      <c r="G12" s="1000"/>
      <c r="H12" s="1000"/>
      <c r="I12" s="1000"/>
      <c r="J12" s="1001"/>
      <c r="K12" s="1000"/>
      <c r="L12" s="1001"/>
      <c r="M12" s="1001"/>
      <c r="N12" s="1002"/>
      <c r="O12" s="1009"/>
      <c r="P12" s="1002"/>
      <c r="Q12" s="1002"/>
      <c r="R12" s="1002"/>
      <c r="S12" s="1007"/>
      <c r="T12" s="1008"/>
      <c r="U12" s="984"/>
    </row>
    <row r="13" spans="2:21" ht="15">
      <c r="B13" s="1010" t="s">
        <v>1497</v>
      </c>
      <c r="C13" s="998" t="s">
        <v>1486</v>
      </c>
      <c r="D13" s="999"/>
      <c r="E13" s="999"/>
      <c r="F13" s="1000">
        <v>70</v>
      </c>
      <c r="G13" s="1000"/>
      <c r="H13" s="1000"/>
      <c r="I13" s="1000"/>
      <c r="J13" s="1001"/>
      <c r="K13" s="1000"/>
      <c r="L13" s="1001"/>
      <c r="M13" s="1001"/>
      <c r="N13" s="1002"/>
      <c r="O13" s="1000"/>
      <c r="P13" s="1002"/>
      <c r="Q13" s="1002"/>
      <c r="R13" s="1002"/>
      <c r="S13" s="1004">
        <v>60</v>
      </c>
      <c r="T13" s="1008"/>
      <c r="U13" s="984"/>
    </row>
    <row r="14" spans="2:21">
      <c r="B14" s="1010" t="s">
        <v>1498</v>
      </c>
      <c r="C14" s="998" t="s">
        <v>1486</v>
      </c>
      <c r="D14" s="999"/>
      <c r="E14" s="999"/>
      <c r="F14" s="999"/>
      <c r="G14" s="1000"/>
      <c r="H14" s="1000"/>
      <c r="I14" s="1000"/>
      <c r="J14" s="1001"/>
      <c r="K14" s="1000"/>
      <c r="L14" s="1001"/>
      <c r="M14" s="1001"/>
      <c r="N14" s="1002"/>
      <c r="O14" s="1002"/>
      <c r="P14" s="1002"/>
      <c r="Q14" s="1002"/>
      <c r="R14" s="1002"/>
      <c r="S14" s="1007"/>
      <c r="T14" s="1008"/>
      <c r="U14" s="1011">
        <v>95</v>
      </c>
    </row>
    <row r="15" spans="2:21">
      <c r="B15" s="1010" t="s">
        <v>1499</v>
      </c>
      <c r="C15" s="998" t="s">
        <v>1486</v>
      </c>
      <c r="D15" s="999"/>
      <c r="E15" s="999"/>
      <c r="F15" s="999">
        <v>30</v>
      </c>
      <c r="G15" s="1000"/>
      <c r="H15" s="1000"/>
      <c r="I15" s="1000"/>
      <c r="J15" s="1001"/>
      <c r="K15" s="1000"/>
      <c r="L15" s="1001"/>
      <c r="M15" s="1001"/>
      <c r="N15" s="1002"/>
      <c r="O15" s="1002"/>
      <c r="P15" s="1002"/>
      <c r="Q15" s="1002"/>
      <c r="R15" s="1002"/>
      <c r="S15" s="1007"/>
      <c r="T15" s="1008"/>
      <c r="U15" s="1011">
        <v>85</v>
      </c>
    </row>
    <row r="16" spans="2:21">
      <c r="B16" s="997" t="s">
        <v>1500</v>
      </c>
      <c r="C16" s="998" t="s">
        <v>1486</v>
      </c>
      <c r="D16" s="999"/>
      <c r="E16" s="999"/>
      <c r="F16" s="999"/>
      <c r="G16" s="1000"/>
      <c r="H16" s="1000"/>
      <c r="I16" s="1000"/>
      <c r="J16" s="1001"/>
      <c r="K16" s="1000"/>
      <c r="L16" s="1001"/>
      <c r="M16" s="1001"/>
      <c r="N16" s="1002"/>
      <c r="O16" s="1002"/>
      <c r="P16" s="1002"/>
      <c r="Q16" s="1002"/>
      <c r="R16" s="1002"/>
      <c r="S16" s="1007"/>
      <c r="T16" s="1008"/>
      <c r="U16" s="1011">
        <v>60</v>
      </c>
    </row>
    <row r="17" spans="2:21" ht="15">
      <c r="B17" s="997" t="s">
        <v>1501</v>
      </c>
      <c r="C17" s="998" t="s">
        <v>1495</v>
      </c>
      <c r="D17" s="999"/>
      <c r="E17" s="999"/>
      <c r="F17" s="999"/>
      <c r="G17" s="1000">
        <v>7</v>
      </c>
      <c r="H17" s="1000"/>
      <c r="I17" s="1000">
        <v>8</v>
      </c>
      <c r="J17" s="1001"/>
      <c r="K17" s="1000"/>
      <c r="L17" s="1001"/>
      <c r="M17" s="1001"/>
      <c r="N17" s="1002"/>
      <c r="O17" s="1002"/>
      <c r="P17" s="1002"/>
      <c r="Q17" s="1002"/>
      <c r="R17" s="1002"/>
      <c r="S17" s="1007"/>
      <c r="T17" s="1008"/>
      <c r="U17" s="984"/>
    </row>
    <row r="18" spans="2:21" ht="15">
      <c r="B18" s="997" t="s">
        <v>1502</v>
      </c>
      <c r="C18" s="998" t="s">
        <v>1495</v>
      </c>
      <c r="D18" s="999"/>
      <c r="E18" s="999"/>
      <c r="F18" s="999"/>
      <c r="G18" s="1000">
        <v>85</v>
      </c>
      <c r="H18" s="1000"/>
      <c r="I18" s="1000">
        <v>85</v>
      </c>
      <c r="J18" s="1001">
        <v>85</v>
      </c>
      <c r="K18" s="1000"/>
      <c r="L18" s="1001"/>
      <c r="M18" s="1001"/>
      <c r="N18" s="1002"/>
      <c r="O18" s="1002"/>
      <c r="P18" s="1003">
        <v>432</v>
      </c>
      <c r="Q18" s="1002"/>
      <c r="R18" s="1002"/>
      <c r="S18" s="1007"/>
      <c r="T18" s="1008"/>
      <c r="U18" s="984"/>
    </row>
    <row r="19" spans="2:21" ht="15">
      <c r="B19" s="1012" t="s">
        <v>1503</v>
      </c>
      <c r="C19" s="998" t="s">
        <v>1495</v>
      </c>
      <c r="D19" s="999"/>
      <c r="E19" s="999"/>
      <c r="F19" s="999"/>
      <c r="G19" s="1000"/>
      <c r="H19" s="1000"/>
      <c r="I19" s="1000"/>
      <c r="J19" s="1001"/>
      <c r="K19" s="1000"/>
      <c r="L19" s="1001"/>
      <c r="M19" s="1001"/>
      <c r="N19" s="1002"/>
      <c r="O19" s="1006">
        <v>600</v>
      </c>
      <c r="P19" s="1003"/>
      <c r="Q19" s="1002"/>
      <c r="R19" s="1002"/>
      <c r="S19" s="1007"/>
      <c r="T19" s="1008"/>
      <c r="U19" s="984"/>
    </row>
    <row r="20" spans="2:21" ht="15">
      <c r="B20" s="997" t="s">
        <v>1504</v>
      </c>
      <c r="C20" s="998" t="s">
        <v>1505</v>
      </c>
      <c r="D20" s="999"/>
      <c r="E20" s="999"/>
      <c r="F20" s="999"/>
      <c r="G20" s="1000"/>
      <c r="H20" s="1000"/>
      <c r="I20" s="1000"/>
      <c r="J20" s="1001"/>
      <c r="K20" s="1000"/>
      <c r="L20" s="1001"/>
      <c r="M20" s="1001"/>
      <c r="N20" s="1002"/>
      <c r="O20" s="1002"/>
      <c r="P20" s="1003"/>
      <c r="Q20" s="1002"/>
      <c r="R20" s="1002"/>
      <c r="S20" s="1007"/>
      <c r="T20" s="1008"/>
      <c r="U20" s="984"/>
    </row>
    <row r="21" spans="2:21" ht="15">
      <c r="B21" s="997" t="s">
        <v>1506</v>
      </c>
      <c r="C21" s="998" t="s">
        <v>1495</v>
      </c>
      <c r="D21" s="999"/>
      <c r="E21" s="999"/>
      <c r="F21" s="999"/>
      <c r="G21" s="1000">
        <v>85</v>
      </c>
      <c r="H21" s="1000"/>
      <c r="I21" s="1000">
        <v>85</v>
      </c>
      <c r="J21" s="1000">
        <v>85</v>
      </c>
      <c r="K21" s="1001"/>
      <c r="L21" s="1001"/>
      <c r="M21" s="1001"/>
      <c r="N21" s="1002"/>
      <c r="O21" s="1002"/>
      <c r="P21" s="1003">
        <v>432</v>
      </c>
      <c r="Q21" s="1002"/>
      <c r="R21" s="1002"/>
      <c r="S21" s="1007"/>
      <c r="T21" s="1008"/>
      <c r="U21" s="984"/>
    </row>
    <row r="22" spans="2:21" ht="15">
      <c r="B22" s="1012" t="s">
        <v>1507</v>
      </c>
      <c r="C22" s="998" t="s">
        <v>1495</v>
      </c>
      <c r="D22" s="999"/>
      <c r="E22" s="999"/>
      <c r="F22" s="999"/>
      <c r="G22" s="999"/>
      <c r="H22" s="1000"/>
      <c r="I22" s="1000"/>
      <c r="J22" s="1000"/>
      <c r="K22" s="1001"/>
      <c r="L22" s="1001"/>
      <c r="M22" s="1001"/>
      <c r="N22" s="1002"/>
      <c r="O22" s="1002"/>
      <c r="P22" s="1002"/>
      <c r="Q22" s="1002"/>
      <c r="R22" s="1002"/>
      <c r="S22" s="1007"/>
      <c r="T22" s="1008"/>
      <c r="U22" s="984"/>
    </row>
    <row r="23" spans="2:21">
      <c r="B23" s="1012" t="s">
        <v>1508</v>
      </c>
      <c r="C23" s="998" t="s">
        <v>1495</v>
      </c>
      <c r="D23" s="999"/>
      <c r="E23" s="999"/>
      <c r="F23" s="999"/>
      <c r="G23" s="999"/>
      <c r="H23" s="1000"/>
      <c r="I23" s="1000"/>
      <c r="J23" s="1000"/>
      <c r="K23" s="1001"/>
      <c r="L23" s="1001"/>
      <c r="M23" s="1001"/>
      <c r="N23" s="1006">
        <v>62.5</v>
      </c>
      <c r="O23" s="1002"/>
      <c r="P23" s="1002"/>
      <c r="Q23" s="1002"/>
      <c r="R23" s="1002"/>
      <c r="S23" s="1007"/>
      <c r="T23" s="1008"/>
      <c r="U23" s="1011">
        <v>120</v>
      </c>
    </row>
    <row r="24" spans="2:21" ht="15">
      <c r="B24" s="1013" t="s">
        <v>1509</v>
      </c>
      <c r="C24" s="998" t="s">
        <v>1495</v>
      </c>
      <c r="D24" s="999"/>
      <c r="E24" s="999"/>
      <c r="F24" s="999"/>
      <c r="G24" s="999"/>
      <c r="H24" s="1000"/>
      <c r="I24" s="1000"/>
      <c r="J24" s="1000"/>
      <c r="K24" s="1001"/>
      <c r="L24" s="1002"/>
      <c r="M24" s="1001"/>
      <c r="N24" s="1002"/>
      <c r="O24" s="1002"/>
      <c r="P24" s="1002"/>
      <c r="Q24" s="1002"/>
      <c r="R24" s="1002"/>
      <c r="S24" s="1007"/>
      <c r="T24" s="1008"/>
      <c r="U24" s="984"/>
    </row>
    <row r="25" spans="2:21" ht="15">
      <c r="B25" s="1013" t="s">
        <v>1510</v>
      </c>
      <c r="C25" s="998" t="s">
        <v>1511</v>
      </c>
      <c r="D25" s="999"/>
      <c r="E25" s="999"/>
      <c r="F25" s="999"/>
      <c r="G25" s="999"/>
      <c r="H25" s="1000"/>
      <c r="I25" s="1000"/>
      <c r="J25" s="1000"/>
      <c r="K25" s="1001"/>
      <c r="L25" s="1002"/>
      <c r="M25" s="1001"/>
      <c r="N25" s="1014">
        <v>0.50800000000000001</v>
      </c>
      <c r="O25" s="1002"/>
      <c r="P25" s="1002"/>
      <c r="Q25" s="1002"/>
      <c r="R25" s="1002"/>
      <c r="S25" s="1007"/>
      <c r="T25" s="1008"/>
      <c r="U25" s="984"/>
    </row>
    <row r="26" spans="2:21" ht="15">
      <c r="B26" s="1015" t="s">
        <v>1512</v>
      </c>
      <c r="C26" s="998" t="s">
        <v>1513</v>
      </c>
      <c r="D26" s="999"/>
      <c r="E26" s="1000"/>
      <c r="F26" s="999"/>
      <c r="G26" s="999"/>
      <c r="H26" s="1000"/>
      <c r="I26" s="1000"/>
      <c r="J26" s="1000"/>
      <c r="K26" s="1001"/>
      <c r="L26" s="1001"/>
      <c r="M26" s="1002"/>
      <c r="N26" s="1002"/>
      <c r="O26" s="1002"/>
      <c r="P26" s="1002"/>
      <c r="Q26" s="1002"/>
      <c r="R26" s="1002"/>
      <c r="S26" s="1007"/>
      <c r="T26" s="1008"/>
      <c r="U26" s="984"/>
    </row>
    <row r="27" spans="2:21" ht="15">
      <c r="B27" s="1016" t="s">
        <v>1514</v>
      </c>
      <c r="C27" s="1017" t="s">
        <v>202</v>
      </c>
      <c r="D27" s="1001"/>
      <c r="E27" s="1001"/>
      <c r="F27" s="1001"/>
      <c r="G27" s="1001"/>
      <c r="H27" s="1001">
        <v>3</v>
      </c>
      <c r="I27" s="1001"/>
      <c r="J27" s="1001"/>
      <c r="K27" s="1001"/>
      <c r="L27" s="1001"/>
      <c r="M27" s="1002"/>
      <c r="N27" s="1002"/>
      <c r="O27" s="1002"/>
      <c r="P27" s="1002"/>
      <c r="Q27" s="1002"/>
      <c r="R27" s="1002"/>
      <c r="S27" s="1007"/>
      <c r="T27" s="1008"/>
      <c r="U27" s="984"/>
    </row>
    <row r="28" spans="2:21" ht="15">
      <c r="B28" s="1010" t="s">
        <v>1515</v>
      </c>
      <c r="C28" s="998" t="s">
        <v>1486</v>
      </c>
      <c r="D28" s="1001"/>
      <c r="E28" s="1001"/>
      <c r="F28" s="1001"/>
      <c r="G28" s="1001"/>
      <c r="H28" s="1001">
        <v>15</v>
      </c>
      <c r="I28" s="1001"/>
      <c r="J28" s="1001"/>
      <c r="K28" s="1001"/>
      <c r="L28" s="1001"/>
      <c r="M28" s="1002"/>
      <c r="N28" s="1002"/>
      <c r="O28" s="1002"/>
      <c r="P28" s="1002"/>
      <c r="Q28" s="1002"/>
      <c r="R28" s="1002"/>
      <c r="S28" s="1007"/>
      <c r="T28" s="1008"/>
      <c r="U28" s="984"/>
    </row>
    <row r="29" spans="2:21" ht="15">
      <c r="B29" s="1016"/>
      <c r="C29" s="1002"/>
      <c r="D29" s="1001"/>
      <c r="E29" s="1001"/>
      <c r="F29" s="1001"/>
      <c r="G29" s="1001"/>
      <c r="H29" s="1001"/>
      <c r="I29" s="1001"/>
      <c r="J29" s="1001"/>
      <c r="K29" s="1001"/>
      <c r="L29" s="1001"/>
      <c r="M29" s="1002"/>
      <c r="N29" s="1002"/>
      <c r="O29" s="1002"/>
      <c r="P29" s="1002"/>
      <c r="Q29" s="1002"/>
      <c r="R29" s="1002"/>
      <c r="S29" s="1007"/>
      <c r="T29" s="1008"/>
      <c r="U29" s="984"/>
    </row>
    <row r="30" spans="2:21" ht="15">
      <c r="B30" s="1016"/>
      <c r="C30" s="1002"/>
      <c r="D30" s="1001"/>
      <c r="E30" s="1001"/>
      <c r="F30" s="1001"/>
      <c r="G30" s="1001"/>
      <c r="H30" s="1001"/>
      <c r="I30" s="1001"/>
      <c r="J30" s="1001"/>
      <c r="K30" s="1001"/>
      <c r="L30" s="1001"/>
      <c r="M30" s="1002"/>
      <c r="N30" s="1002"/>
      <c r="O30" s="1002"/>
      <c r="P30" s="1002"/>
      <c r="Q30" s="1002"/>
      <c r="R30" s="1002"/>
      <c r="S30" s="1007"/>
      <c r="T30" s="1008"/>
      <c r="U30" s="984"/>
    </row>
    <row r="31" spans="2:21" ht="15">
      <c r="B31" s="1016"/>
      <c r="C31" s="1002"/>
      <c r="D31" s="1001"/>
      <c r="E31" s="1001"/>
      <c r="F31" s="1001"/>
      <c r="G31" s="1001"/>
      <c r="H31" s="1001"/>
      <c r="I31" s="1001"/>
      <c r="J31" s="1001"/>
      <c r="K31" s="1001"/>
      <c r="L31" s="1001"/>
      <c r="M31" s="1002"/>
      <c r="N31" s="1002"/>
      <c r="O31" s="1002"/>
      <c r="P31" s="1002"/>
      <c r="Q31" s="1002"/>
      <c r="R31" s="1002"/>
      <c r="S31" s="1007"/>
      <c r="T31" s="1008"/>
      <c r="U31" s="984"/>
    </row>
    <row r="32" spans="2:21" ht="15">
      <c r="B32" s="1016"/>
      <c r="C32" s="1002"/>
      <c r="D32" s="1001"/>
      <c r="E32" s="1001"/>
      <c r="F32" s="1001"/>
      <c r="G32" s="1001"/>
      <c r="H32" s="1001"/>
      <c r="I32" s="1001"/>
      <c r="J32" s="1001"/>
      <c r="K32" s="1001"/>
      <c r="L32" s="1001"/>
      <c r="M32" s="1002"/>
      <c r="N32" s="1002"/>
      <c r="O32" s="1002"/>
      <c r="P32" s="1002"/>
      <c r="Q32" s="1002"/>
      <c r="R32" s="1002"/>
      <c r="S32" s="1007"/>
      <c r="T32" s="1008"/>
      <c r="U32" s="984"/>
    </row>
    <row r="33" spans="2:20" ht="13.5" thickBot="1">
      <c r="B33" s="1018"/>
      <c r="C33" s="1019"/>
      <c r="D33" s="1020"/>
      <c r="E33" s="1020"/>
      <c r="F33" s="1020"/>
      <c r="G33" s="1020"/>
      <c r="H33" s="1020"/>
      <c r="I33" s="1020"/>
      <c r="J33" s="1020"/>
      <c r="K33" s="1020"/>
      <c r="L33" s="1020"/>
      <c r="M33" s="1019"/>
      <c r="N33" s="1019"/>
      <c r="O33" s="1019"/>
      <c r="P33" s="1019"/>
      <c r="Q33" s="1019"/>
      <c r="R33" s="1019"/>
      <c r="S33" s="1021"/>
      <c r="T33" s="1022"/>
    </row>
    <row r="34" spans="2:20" ht="15">
      <c r="B34" s="984"/>
      <c r="C34" s="984"/>
      <c r="D34" s="985"/>
      <c r="E34" s="985"/>
      <c r="F34" s="985"/>
      <c r="G34" s="985"/>
      <c r="H34" s="985"/>
      <c r="I34" s="985"/>
      <c r="J34" s="985"/>
      <c r="K34" s="985"/>
      <c r="L34" s="985"/>
      <c r="M34" s="984"/>
      <c r="N34" s="984"/>
      <c r="O34" s="984"/>
      <c r="P34" s="984"/>
      <c r="Q34" s="984"/>
      <c r="R34" s="984"/>
      <c r="S34" s="984"/>
      <c r="T34" s="984"/>
    </row>
    <row r="35" spans="2:20" ht="15">
      <c r="B35" s="984"/>
      <c r="C35" s="984"/>
      <c r="D35" s="985"/>
      <c r="E35" s="985"/>
      <c r="F35" s="985"/>
      <c r="G35" s="985"/>
      <c r="H35" s="985"/>
      <c r="I35" s="985"/>
      <c r="J35" s="985"/>
      <c r="K35" s="985"/>
      <c r="L35" s="985"/>
      <c r="M35" s="984"/>
      <c r="N35" s="984"/>
      <c r="O35" s="984"/>
      <c r="P35" s="984"/>
      <c r="Q35" s="984"/>
      <c r="R35" s="984"/>
      <c r="S35" s="984"/>
      <c r="T35" s="984"/>
    </row>
    <row r="36" spans="2:20" ht="15">
      <c r="B36" s="984"/>
      <c r="C36" s="984"/>
      <c r="D36" s="985"/>
      <c r="E36" s="985"/>
      <c r="F36" s="985"/>
      <c r="G36" s="985"/>
      <c r="H36" s="985"/>
      <c r="I36" s="985"/>
      <c r="J36" s="985"/>
      <c r="K36" s="985"/>
      <c r="L36" s="985"/>
      <c r="M36" s="984"/>
      <c r="N36" s="984"/>
      <c r="O36" s="984"/>
      <c r="P36" s="984"/>
      <c r="Q36" s="984"/>
      <c r="R36" s="984"/>
      <c r="S36" s="984"/>
      <c r="T36" s="984"/>
    </row>
    <row r="37" spans="2:20" ht="15">
      <c r="B37" s="984"/>
      <c r="C37" s="984"/>
      <c r="D37" s="985"/>
      <c r="E37" s="985"/>
      <c r="F37" s="985"/>
      <c r="G37" s="985"/>
      <c r="H37" s="985"/>
      <c r="I37" s="985"/>
      <c r="J37" s="985"/>
      <c r="K37" s="985"/>
      <c r="L37" s="985"/>
      <c r="M37" s="984"/>
      <c r="N37" s="984"/>
      <c r="O37" s="984"/>
      <c r="P37" s="984"/>
      <c r="Q37" s="984"/>
      <c r="R37" s="984"/>
      <c r="S37" s="984"/>
      <c r="T37" s="984"/>
    </row>
    <row r="38" spans="2:20" ht="15">
      <c r="B38" s="984"/>
      <c r="C38" s="984"/>
      <c r="D38" s="985"/>
      <c r="E38" s="985"/>
      <c r="F38" s="985"/>
      <c r="G38" s="985"/>
      <c r="H38" s="985"/>
      <c r="I38" s="985"/>
      <c r="J38" s="985"/>
      <c r="K38" s="985"/>
      <c r="L38" s="985"/>
      <c r="M38" s="984"/>
      <c r="N38" s="984"/>
      <c r="O38" s="984"/>
      <c r="P38" s="984"/>
      <c r="Q38" s="984"/>
      <c r="R38" s="984"/>
      <c r="S38" s="984"/>
      <c r="T38" s="984"/>
    </row>
    <row r="39" spans="2:20" ht="15">
      <c r="B39" s="984"/>
      <c r="C39" s="984"/>
      <c r="D39" s="985"/>
      <c r="E39" s="985"/>
      <c r="F39" s="985"/>
      <c r="G39" s="985"/>
      <c r="H39" s="985"/>
      <c r="I39" s="985"/>
      <c r="J39" s="985"/>
      <c r="K39" s="985"/>
      <c r="L39" s="985"/>
      <c r="M39" s="984"/>
      <c r="N39" s="984"/>
      <c r="O39" s="984"/>
      <c r="P39" s="984"/>
      <c r="Q39" s="984"/>
      <c r="R39" s="984"/>
      <c r="S39" s="984"/>
      <c r="T39" s="984"/>
    </row>
    <row r="40" spans="2:20" ht="15">
      <c r="B40" s="984"/>
      <c r="C40" s="984"/>
      <c r="D40" s="985"/>
      <c r="E40" s="985"/>
      <c r="F40" s="985"/>
      <c r="G40" s="985"/>
      <c r="H40" s="985"/>
      <c r="I40" s="985"/>
      <c r="J40" s="985"/>
      <c r="K40" s="985"/>
      <c r="L40" s="985"/>
      <c r="M40" s="984"/>
      <c r="N40" s="984"/>
      <c r="O40" s="984"/>
      <c r="P40" s="984"/>
      <c r="Q40" s="984"/>
      <c r="R40" s="984"/>
      <c r="S40" s="984"/>
      <c r="T40" s="984"/>
    </row>
    <row r="41" spans="2:20" ht="15">
      <c r="B41" s="984"/>
      <c r="C41" s="984"/>
      <c r="D41" s="985"/>
      <c r="E41" s="985"/>
      <c r="F41" s="985"/>
      <c r="G41" s="985"/>
      <c r="H41" s="985"/>
      <c r="I41" s="985"/>
      <c r="J41" s="985"/>
      <c r="K41" s="985"/>
      <c r="L41" s="985"/>
      <c r="M41" s="984"/>
      <c r="N41" s="984"/>
      <c r="O41" s="984"/>
      <c r="P41" s="984"/>
      <c r="Q41" s="984"/>
      <c r="R41" s="984"/>
      <c r="S41" s="984"/>
      <c r="T41" s="984"/>
    </row>
    <row r="42" spans="2:20" ht="15">
      <c r="B42" s="984"/>
      <c r="C42" s="984"/>
      <c r="D42" s="985"/>
      <c r="E42" s="985"/>
      <c r="F42" s="985"/>
      <c r="G42" s="985"/>
      <c r="H42" s="985"/>
      <c r="I42" s="985"/>
      <c r="J42" s="985"/>
      <c r="K42" s="985"/>
      <c r="L42" s="985"/>
      <c r="M42" s="984"/>
      <c r="N42" s="984"/>
      <c r="O42" s="984"/>
      <c r="P42" s="984"/>
      <c r="Q42" s="984"/>
      <c r="R42" s="984"/>
      <c r="S42" s="984"/>
      <c r="T42" s="984"/>
    </row>
    <row r="43" spans="2:20" ht="15">
      <c r="B43" s="984"/>
      <c r="C43" s="984"/>
      <c r="D43" s="985"/>
      <c r="E43" s="985"/>
      <c r="F43" s="985"/>
      <c r="G43" s="985"/>
      <c r="H43" s="985"/>
      <c r="I43" s="985"/>
      <c r="J43" s="985"/>
      <c r="K43" s="985"/>
      <c r="L43" s="985"/>
      <c r="M43" s="984"/>
      <c r="N43" s="984"/>
      <c r="O43" s="984"/>
      <c r="P43" s="984"/>
      <c r="Q43" s="984"/>
      <c r="R43" s="984"/>
      <c r="S43" s="984"/>
      <c r="T43" s="984"/>
    </row>
    <row r="44" spans="2:20" ht="15">
      <c r="B44" s="984"/>
      <c r="C44" s="984"/>
      <c r="D44" s="985"/>
      <c r="E44" s="985"/>
      <c r="F44" s="985"/>
      <c r="G44" s="985"/>
      <c r="H44" s="985"/>
      <c r="I44" s="985"/>
      <c r="J44" s="985"/>
      <c r="K44" s="985"/>
      <c r="L44" s="985"/>
      <c r="M44" s="984"/>
      <c r="N44" s="984"/>
      <c r="O44" s="984"/>
      <c r="P44" s="984"/>
      <c r="Q44" s="984"/>
      <c r="R44" s="984"/>
      <c r="S44" s="984"/>
      <c r="T44" s="984"/>
    </row>
    <row r="45" spans="2:20" ht="15">
      <c r="B45" s="984"/>
      <c r="C45" s="984"/>
      <c r="D45" s="985"/>
      <c r="E45" s="985"/>
      <c r="F45" s="985"/>
      <c r="G45" s="985"/>
      <c r="H45" s="985"/>
      <c r="I45" s="985"/>
      <c r="J45" s="985"/>
      <c r="K45" s="985"/>
      <c r="L45" s="985"/>
      <c r="M45" s="984"/>
      <c r="N45" s="984"/>
      <c r="O45" s="984"/>
      <c r="P45" s="984"/>
      <c r="Q45" s="984"/>
      <c r="R45" s="984"/>
      <c r="S45" s="984"/>
      <c r="T45" s="984"/>
    </row>
    <row r="46" spans="2:20" ht="15">
      <c r="B46" s="984"/>
      <c r="C46" s="984"/>
      <c r="D46" s="985"/>
      <c r="E46" s="985"/>
      <c r="F46" s="985"/>
      <c r="G46" s="985"/>
      <c r="H46" s="985"/>
      <c r="I46" s="985"/>
      <c r="J46" s="985"/>
      <c r="K46" s="985"/>
      <c r="L46" s="985"/>
      <c r="M46" s="984"/>
      <c r="N46" s="984"/>
      <c r="O46" s="984"/>
      <c r="P46" s="984"/>
      <c r="Q46" s="984"/>
      <c r="R46" s="984"/>
      <c r="S46" s="984"/>
      <c r="T46" s="984"/>
    </row>
    <row r="47" spans="2:20" ht="15">
      <c r="B47" s="984"/>
      <c r="C47" s="984"/>
      <c r="D47" s="985"/>
      <c r="E47" s="985"/>
      <c r="F47" s="985"/>
      <c r="G47" s="985"/>
      <c r="H47" s="985"/>
      <c r="I47" s="985"/>
      <c r="J47" s="985"/>
      <c r="K47" s="985"/>
      <c r="L47" s="985"/>
      <c r="M47" s="984"/>
      <c r="N47" s="984"/>
      <c r="O47" s="984"/>
      <c r="P47" s="984"/>
      <c r="Q47" s="984"/>
      <c r="R47" s="984"/>
      <c r="S47" s="984"/>
      <c r="T47" s="984"/>
    </row>
    <row r="48" spans="2:20" ht="15">
      <c r="B48" s="984"/>
      <c r="C48" s="984"/>
      <c r="D48" s="985"/>
      <c r="E48" s="985"/>
      <c r="F48" s="985"/>
      <c r="G48" s="985"/>
      <c r="H48" s="985"/>
      <c r="I48" s="985"/>
      <c r="J48" s="985"/>
      <c r="K48" s="985"/>
      <c r="L48" s="985"/>
      <c r="M48" s="984"/>
      <c r="N48" s="984"/>
      <c r="O48" s="984"/>
      <c r="P48" s="984"/>
      <c r="Q48" s="984"/>
      <c r="R48" s="984"/>
      <c r="S48" s="984"/>
      <c r="T48" s="984"/>
    </row>
    <row r="49" spans="4:12">
      <c r="D49" s="985"/>
      <c r="E49" s="985"/>
      <c r="F49" s="985"/>
      <c r="G49" s="985"/>
      <c r="H49" s="985"/>
      <c r="I49" s="985"/>
      <c r="J49" s="985"/>
      <c r="K49" s="985"/>
      <c r="L49" s="985"/>
    </row>
    <row r="50" spans="4:12">
      <c r="D50" s="985"/>
      <c r="E50" s="985"/>
      <c r="F50" s="985"/>
      <c r="G50" s="985"/>
      <c r="H50" s="985"/>
      <c r="I50" s="985"/>
      <c r="J50" s="985"/>
      <c r="K50" s="985"/>
      <c r="L50" s="985"/>
    </row>
    <row r="51" spans="4:12">
      <c r="D51" s="985"/>
      <c r="E51" s="985"/>
      <c r="F51" s="985"/>
      <c r="G51" s="985"/>
      <c r="H51" s="985"/>
      <c r="I51" s="985"/>
      <c r="J51" s="985"/>
      <c r="K51" s="985"/>
      <c r="L51" s="985"/>
    </row>
    <row r="52" spans="4:12">
      <c r="D52" s="985"/>
      <c r="E52" s="985"/>
      <c r="F52" s="985"/>
      <c r="G52" s="985"/>
      <c r="H52" s="985"/>
      <c r="I52" s="985"/>
      <c r="J52" s="985"/>
      <c r="K52" s="985"/>
      <c r="L52" s="985"/>
    </row>
    <row r="53" spans="4:12">
      <c r="D53" s="985"/>
      <c r="E53" s="985"/>
      <c r="F53" s="985"/>
      <c r="G53" s="985"/>
      <c r="H53" s="985"/>
      <c r="I53" s="985"/>
      <c r="J53" s="985"/>
      <c r="K53" s="985"/>
      <c r="L53" s="985"/>
    </row>
    <row r="54" spans="4:12">
      <c r="D54" s="985"/>
      <c r="E54" s="985"/>
      <c r="F54" s="985"/>
      <c r="G54" s="985"/>
      <c r="H54" s="985"/>
      <c r="I54" s="985"/>
      <c r="J54" s="985"/>
      <c r="K54" s="985"/>
      <c r="L54" s="985"/>
    </row>
    <row r="55" spans="4:12">
      <c r="D55" s="985"/>
      <c r="E55" s="985"/>
      <c r="F55" s="985"/>
      <c r="G55" s="985"/>
      <c r="H55" s="985"/>
      <c r="I55" s="985"/>
      <c r="J55" s="985"/>
      <c r="K55" s="985"/>
      <c r="L55" s="985"/>
    </row>
    <row r="56" spans="4:12">
      <c r="D56" s="985"/>
      <c r="E56" s="985"/>
      <c r="F56" s="985"/>
      <c r="G56" s="985"/>
      <c r="H56" s="985"/>
      <c r="I56" s="985"/>
      <c r="J56" s="985"/>
      <c r="K56" s="985"/>
      <c r="L56" s="985"/>
    </row>
    <row r="57" spans="4:12">
      <c r="D57" s="985"/>
      <c r="E57" s="985"/>
      <c r="F57" s="985"/>
      <c r="G57" s="985"/>
      <c r="H57" s="985"/>
      <c r="I57" s="985"/>
      <c r="J57" s="985"/>
      <c r="K57" s="985"/>
      <c r="L57" s="985"/>
    </row>
    <row r="58" spans="4:12">
      <c r="D58" s="985"/>
      <c r="E58" s="985"/>
      <c r="F58" s="985"/>
      <c r="G58" s="985"/>
      <c r="H58" s="985"/>
      <c r="I58" s="985"/>
      <c r="J58" s="985"/>
      <c r="K58" s="985"/>
      <c r="L58" s="985"/>
    </row>
    <row r="59" spans="4:12">
      <c r="D59" s="985"/>
      <c r="E59" s="985"/>
      <c r="F59" s="985"/>
      <c r="G59" s="985"/>
      <c r="H59" s="985"/>
      <c r="I59" s="985"/>
      <c r="J59" s="985"/>
      <c r="K59" s="985"/>
      <c r="L59" s="985"/>
    </row>
    <row r="60" spans="4:12">
      <c r="D60" s="985"/>
      <c r="E60" s="985"/>
      <c r="F60" s="985"/>
      <c r="G60" s="985"/>
      <c r="H60" s="985"/>
      <c r="I60" s="985"/>
      <c r="J60" s="985"/>
      <c r="K60" s="985"/>
      <c r="L60" s="985"/>
    </row>
    <row r="61" spans="4:12">
      <c r="D61" s="985"/>
      <c r="E61" s="985"/>
      <c r="F61" s="985"/>
      <c r="G61" s="985"/>
      <c r="H61" s="985"/>
      <c r="I61" s="985"/>
      <c r="J61" s="985"/>
      <c r="K61" s="985"/>
      <c r="L61" s="985"/>
    </row>
    <row r="62" spans="4:12">
      <c r="D62" s="985"/>
      <c r="E62" s="985"/>
      <c r="F62" s="985"/>
      <c r="G62" s="985"/>
      <c r="H62" s="985"/>
      <c r="I62" s="985"/>
      <c r="J62" s="985"/>
      <c r="K62" s="985"/>
      <c r="L62" s="985"/>
    </row>
    <row r="63" spans="4:12">
      <c r="D63" s="985"/>
      <c r="E63" s="985"/>
      <c r="F63" s="985"/>
      <c r="G63" s="985"/>
      <c r="H63" s="985"/>
      <c r="I63" s="985"/>
      <c r="J63" s="985"/>
      <c r="K63" s="985"/>
      <c r="L63" s="985"/>
    </row>
    <row r="64" spans="4:12">
      <c r="D64" s="985"/>
      <c r="E64" s="985"/>
      <c r="F64" s="985"/>
      <c r="G64" s="985"/>
      <c r="H64" s="985"/>
      <c r="I64" s="985"/>
      <c r="J64" s="985"/>
      <c r="K64" s="985"/>
      <c r="L64" s="985"/>
    </row>
    <row r="65" spans="4:12">
      <c r="D65" s="985"/>
      <c r="E65" s="985"/>
      <c r="F65" s="985"/>
      <c r="G65" s="985"/>
      <c r="H65" s="985"/>
      <c r="I65" s="985"/>
      <c r="J65" s="985"/>
      <c r="K65" s="985"/>
      <c r="L65" s="985"/>
    </row>
    <row r="66" spans="4:12">
      <c r="D66" s="985"/>
      <c r="E66" s="985"/>
      <c r="F66" s="985"/>
      <c r="G66" s="985"/>
      <c r="H66" s="985"/>
      <c r="I66" s="985"/>
      <c r="J66" s="985"/>
      <c r="K66" s="985"/>
      <c r="L66" s="985"/>
    </row>
    <row r="67" spans="4:12">
      <c r="D67" s="985"/>
      <c r="E67" s="985"/>
      <c r="F67" s="985"/>
      <c r="G67" s="985"/>
      <c r="H67" s="985"/>
      <c r="I67" s="985"/>
      <c r="J67" s="985"/>
      <c r="K67" s="985"/>
      <c r="L67" s="985"/>
    </row>
    <row r="68" spans="4:12">
      <c r="D68" s="985"/>
      <c r="E68" s="985"/>
      <c r="F68" s="985"/>
      <c r="G68" s="985"/>
      <c r="H68" s="985"/>
      <c r="I68" s="985"/>
      <c r="J68" s="985"/>
      <c r="K68" s="985"/>
      <c r="L68" s="985"/>
    </row>
    <row r="69" spans="4:12">
      <c r="D69" s="985"/>
      <c r="E69" s="985"/>
      <c r="F69" s="985"/>
      <c r="G69" s="985"/>
      <c r="H69" s="985"/>
      <c r="I69" s="985"/>
      <c r="J69" s="985"/>
      <c r="K69" s="985"/>
      <c r="L69" s="985"/>
    </row>
    <row r="70" spans="4:12">
      <c r="D70" s="985"/>
      <c r="E70" s="985"/>
      <c r="F70" s="985"/>
      <c r="G70" s="985"/>
      <c r="H70" s="985"/>
      <c r="I70" s="985"/>
      <c r="J70" s="985"/>
      <c r="K70" s="985"/>
      <c r="L70" s="985"/>
    </row>
    <row r="71" spans="4:12">
      <c r="D71" s="985"/>
      <c r="E71" s="985"/>
      <c r="F71" s="985"/>
      <c r="G71" s="985"/>
      <c r="H71" s="985"/>
      <c r="I71" s="985"/>
      <c r="J71" s="985"/>
      <c r="K71" s="985"/>
      <c r="L71" s="985"/>
    </row>
    <row r="72" spans="4:12">
      <c r="D72" s="985"/>
      <c r="E72" s="985"/>
      <c r="F72" s="985"/>
      <c r="G72" s="985"/>
      <c r="H72" s="985"/>
      <c r="I72" s="985"/>
      <c r="J72" s="985"/>
      <c r="K72" s="985"/>
      <c r="L72" s="985"/>
    </row>
    <row r="73" spans="4:12">
      <c r="D73" s="985"/>
      <c r="E73" s="985"/>
      <c r="F73" s="985"/>
      <c r="G73" s="985"/>
      <c r="H73" s="985"/>
      <c r="I73" s="985"/>
      <c r="J73" s="985"/>
      <c r="K73" s="985"/>
      <c r="L73" s="985"/>
    </row>
    <row r="74" spans="4:12">
      <c r="D74" s="985"/>
      <c r="E74" s="985"/>
      <c r="F74" s="985"/>
      <c r="G74" s="985"/>
      <c r="H74" s="985"/>
      <c r="I74" s="985"/>
      <c r="J74" s="985"/>
      <c r="K74" s="985"/>
      <c r="L74" s="985"/>
    </row>
    <row r="75" spans="4:12">
      <c r="D75" s="985"/>
      <c r="E75" s="985"/>
      <c r="F75" s="985"/>
      <c r="G75" s="985"/>
      <c r="H75" s="985"/>
      <c r="I75" s="985"/>
      <c r="J75" s="985"/>
      <c r="K75" s="985"/>
      <c r="L75" s="985"/>
    </row>
    <row r="76" spans="4:12">
      <c r="D76" s="985"/>
      <c r="E76" s="985"/>
      <c r="F76" s="985"/>
      <c r="G76" s="985"/>
      <c r="H76" s="985"/>
      <c r="I76" s="985"/>
      <c r="J76" s="985"/>
      <c r="K76" s="985"/>
      <c r="L76" s="985"/>
    </row>
    <row r="77" spans="4:12">
      <c r="D77" s="985"/>
      <c r="E77" s="985"/>
      <c r="F77" s="985"/>
      <c r="G77" s="985"/>
      <c r="H77" s="985"/>
      <c r="I77" s="985"/>
      <c r="J77" s="985"/>
      <c r="K77" s="985"/>
      <c r="L77" s="985"/>
    </row>
    <row r="78" spans="4:12">
      <c r="D78" s="985"/>
      <c r="E78" s="985"/>
      <c r="F78" s="985"/>
      <c r="G78" s="985"/>
      <c r="H78" s="985"/>
      <c r="I78" s="985"/>
      <c r="J78" s="985"/>
      <c r="K78" s="985"/>
      <c r="L78" s="985"/>
    </row>
    <row r="79" spans="4:12">
      <c r="D79" s="985"/>
      <c r="E79" s="985"/>
      <c r="F79" s="985"/>
      <c r="G79" s="985"/>
      <c r="H79" s="985"/>
      <c r="I79" s="985"/>
      <c r="J79" s="985"/>
      <c r="K79" s="985"/>
      <c r="L79" s="985"/>
    </row>
    <row r="80" spans="4:12">
      <c r="D80" s="985"/>
      <c r="E80" s="985"/>
      <c r="F80" s="985"/>
      <c r="G80" s="985"/>
      <c r="H80" s="985"/>
      <c r="I80" s="985"/>
      <c r="J80" s="985"/>
      <c r="K80" s="985"/>
      <c r="L80" s="985"/>
    </row>
    <row r="81" spans="4:12">
      <c r="D81" s="985"/>
      <c r="E81" s="985"/>
      <c r="F81" s="985"/>
      <c r="G81" s="985"/>
      <c r="H81" s="985"/>
      <c r="I81" s="985"/>
      <c r="J81" s="985"/>
      <c r="K81" s="985"/>
      <c r="L81" s="985"/>
    </row>
    <row r="82" spans="4:12">
      <c r="D82" s="985"/>
      <c r="E82" s="985"/>
      <c r="F82" s="985"/>
      <c r="G82" s="985"/>
      <c r="H82" s="985"/>
      <c r="I82" s="985"/>
      <c r="J82" s="985"/>
      <c r="K82" s="985"/>
      <c r="L82" s="985"/>
    </row>
    <row r="83" spans="4:12">
      <c r="D83" s="985"/>
      <c r="E83" s="985"/>
      <c r="F83" s="985"/>
      <c r="G83" s="985"/>
      <c r="H83" s="985"/>
      <c r="I83" s="985"/>
      <c r="J83" s="985"/>
      <c r="K83" s="985"/>
      <c r="L83" s="985"/>
    </row>
    <row r="84" spans="4:12">
      <c r="D84" s="985"/>
      <c r="E84" s="985"/>
      <c r="F84" s="985"/>
      <c r="G84" s="985"/>
      <c r="H84" s="985"/>
      <c r="I84" s="985"/>
      <c r="J84" s="985"/>
      <c r="K84" s="985"/>
      <c r="L84" s="985"/>
    </row>
    <row r="85" spans="4:12">
      <c r="D85" s="985"/>
      <c r="E85" s="985"/>
      <c r="F85" s="985"/>
      <c r="G85" s="985"/>
      <c r="H85" s="985"/>
      <c r="I85" s="985"/>
      <c r="J85" s="985"/>
      <c r="K85" s="985"/>
      <c r="L85" s="985"/>
    </row>
    <row r="86" spans="4:12">
      <c r="D86" s="985"/>
      <c r="E86" s="985"/>
      <c r="F86" s="985"/>
      <c r="G86" s="985"/>
      <c r="H86" s="985"/>
      <c r="I86" s="985"/>
      <c r="J86" s="985"/>
      <c r="K86" s="985"/>
      <c r="L86" s="985"/>
    </row>
    <row r="87" spans="4:12">
      <c r="D87" s="985"/>
      <c r="E87" s="985"/>
      <c r="F87" s="985"/>
      <c r="G87" s="985"/>
      <c r="H87" s="985"/>
      <c r="I87" s="985"/>
      <c r="J87" s="985"/>
      <c r="K87" s="985"/>
      <c r="L87" s="985"/>
    </row>
    <row r="88" spans="4:12">
      <c r="D88" s="985"/>
      <c r="E88" s="985"/>
      <c r="F88" s="985"/>
      <c r="G88" s="985"/>
      <c r="H88" s="985"/>
      <c r="I88" s="985"/>
      <c r="J88" s="985"/>
      <c r="K88" s="985"/>
      <c r="L88" s="985"/>
    </row>
    <row r="89" spans="4:12">
      <c r="D89" s="985"/>
      <c r="E89" s="985"/>
      <c r="F89" s="985"/>
      <c r="G89" s="985"/>
      <c r="H89" s="985"/>
      <c r="I89" s="985"/>
      <c r="J89" s="985"/>
      <c r="K89" s="985"/>
      <c r="L89" s="985"/>
    </row>
    <row r="90" spans="4:12">
      <c r="D90" s="985"/>
      <c r="E90" s="985"/>
      <c r="F90" s="985"/>
      <c r="G90" s="985"/>
      <c r="H90" s="985"/>
      <c r="I90" s="985"/>
      <c r="J90" s="985"/>
      <c r="K90" s="985"/>
      <c r="L90" s="985"/>
    </row>
    <row r="91" spans="4:12">
      <c r="D91" s="985"/>
      <c r="E91" s="985"/>
      <c r="F91" s="985"/>
      <c r="G91" s="985"/>
      <c r="H91" s="985"/>
      <c r="I91" s="985"/>
      <c r="J91" s="985"/>
      <c r="K91" s="985"/>
      <c r="L91" s="985"/>
    </row>
    <row r="92" spans="4:12">
      <c r="D92" s="985"/>
      <c r="E92" s="985"/>
      <c r="F92" s="985"/>
      <c r="G92" s="985"/>
      <c r="H92" s="985"/>
      <c r="I92" s="985"/>
      <c r="J92" s="985"/>
      <c r="K92" s="985"/>
      <c r="L92" s="985"/>
    </row>
    <row r="93" spans="4:12">
      <c r="D93" s="985"/>
      <c r="E93" s="985"/>
      <c r="F93" s="985"/>
      <c r="G93" s="985"/>
      <c r="H93" s="985"/>
      <c r="I93" s="985"/>
      <c r="J93" s="985"/>
      <c r="K93" s="985"/>
      <c r="L93" s="985"/>
    </row>
    <row r="94" spans="4:12">
      <c r="D94" s="985"/>
      <c r="E94" s="985"/>
      <c r="F94" s="985"/>
      <c r="G94" s="985"/>
      <c r="H94" s="985"/>
      <c r="I94" s="985"/>
      <c r="J94" s="985"/>
      <c r="K94" s="985"/>
      <c r="L94" s="985"/>
    </row>
    <row r="95" spans="4:12">
      <c r="D95" s="985"/>
      <c r="E95" s="985"/>
      <c r="F95" s="985"/>
      <c r="G95" s="985"/>
      <c r="H95" s="985"/>
      <c r="I95" s="985"/>
      <c r="J95" s="985"/>
      <c r="K95" s="985"/>
      <c r="L95" s="985"/>
    </row>
    <row r="96" spans="4:12">
      <c r="D96" s="985"/>
      <c r="E96" s="985"/>
      <c r="F96" s="985"/>
      <c r="G96" s="985"/>
      <c r="H96" s="985"/>
      <c r="I96" s="985"/>
      <c r="J96" s="985"/>
      <c r="K96" s="985"/>
      <c r="L96" s="985"/>
    </row>
    <row r="97" spans="4:12">
      <c r="D97" s="985"/>
      <c r="E97" s="985"/>
      <c r="F97" s="985"/>
      <c r="G97" s="985"/>
      <c r="H97" s="985"/>
      <c r="I97" s="985"/>
      <c r="J97" s="985"/>
      <c r="K97" s="985"/>
      <c r="L97" s="985"/>
    </row>
    <row r="98" spans="4:12">
      <c r="D98" s="985"/>
      <c r="E98" s="985"/>
      <c r="F98" s="985"/>
      <c r="G98" s="985"/>
      <c r="H98" s="985"/>
      <c r="I98" s="985"/>
      <c r="J98" s="985"/>
      <c r="K98" s="985"/>
      <c r="L98" s="985"/>
    </row>
    <row r="99" spans="4:12">
      <c r="D99" s="985"/>
      <c r="E99" s="985"/>
      <c r="F99" s="985"/>
      <c r="G99" s="985"/>
      <c r="H99" s="985"/>
      <c r="I99" s="985"/>
      <c r="J99" s="985"/>
      <c r="K99" s="985"/>
      <c r="L99" s="985"/>
    </row>
    <row r="100" spans="4:12">
      <c r="D100" s="985"/>
      <c r="E100" s="985"/>
      <c r="F100" s="985"/>
      <c r="G100" s="985"/>
      <c r="H100" s="985"/>
      <c r="I100" s="985"/>
      <c r="J100" s="985"/>
      <c r="K100" s="985"/>
      <c r="L100" s="985"/>
    </row>
    <row r="101" spans="4:12">
      <c r="D101" s="985"/>
      <c r="E101" s="985"/>
      <c r="F101" s="985"/>
      <c r="G101" s="985"/>
      <c r="H101" s="985"/>
      <c r="I101" s="985"/>
      <c r="J101" s="985"/>
      <c r="K101" s="985"/>
      <c r="L101" s="985"/>
    </row>
    <row r="102" spans="4:12">
      <c r="D102" s="985"/>
      <c r="E102" s="985"/>
      <c r="F102" s="985"/>
      <c r="G102" s="985"/>
      <c r="H102" s="985"/>
      <c r="I102" s="985"/>
      <c r="J102" s="985"/>
      <c r="K102" s="985"/>
      <c r="L102" s="985"/>
    </row>
    <row r="103" spans="4:12">
      <c r="D103" s="985"/>
      <c r="E103" s="985"/>
      <c r="F103" s="985"/>
      <c r="G103" s="985"/>
      <c r="H103" s="985"/>
      <c r="I103" s="985"/>
      <c r="J103" s="985"/>
      <c r="K103" s="985"/>
      <c r="L103" s="985"/>
    </row>
    <row r="104" spans="4:12">
      <c r="D104" s="985"/>
      <c r="E104" s="985"/>
      <c r="F104" s="985"/>
      <c r="G104" s="985"/>
      <c r="H104" s="985"/>
      <c r="I104" s="985"/>
      <c r="J104" s="985"/>
      <c r="K104" s="985"/>
      <c r="L104" s="985"/>
    </row>
    <row r="105" spans="4:12">
      <c r="D105" s="985"/>
      <c r="E105" s="985"/>
      <c r="F105" s="985"/>
      <c r="G105" s="985"/>
      <c r="H105" s="985"/>
      <c r="I105" s="985"/>
      <c r="J105" s="985"/>
      <c r="K105" s="985"/>
      <c r="L105" s="985"/>
    </row>
    <row r="106" spans="4:12">
      <c r="D106" s="985"/>
      <c r="E106" s="985"/>
      <c r="F106" s="985"/>
      <c r="G106" s="985"/>
      <c r="H106" s="985"/>
      <c r="I106" s="985"/>
      <c r="J106" s="985"/>
      <c r="K106" s="985"/>
      <c r="L106" s="985"/>
    </row>
    <row r="107" spans="4:12">
      <c r="D107" s="985"/>
      <c r="E107" s="985"/>
      <c r="F107" s="985"/>
      <c r="G107" s="985"/>
      <c r="H107" s="985"/>
      <c r="I107" s="985"/>
      <c r="J107" s="985"/>
      <c r="K107" s="985"/>
      <c r="L107" s="985"/>
    </row>
    <row r="108" spans="4:12">
      <c r="D108" s="985"/>
      <c r="E108" s="985"/>
      <c r="F108" s="985"/>
      <c r="G108" s="985"/>
      <c r="H108" s="985"/>
      <c r="I108" s="985"/>
      <c r="J108" s="985"/>
      <c r="K108" s="985"/>
      <c r="L108" s="985"/>
    </row>
    <row r="109" spans="4:12">
      <c r="D109" s="985"/>
      <c r="E109" s="985"/>
      <c r="F109" s="985"/>
      <c r="G109" s="985"/>
      <c r="H109" s="985"/>
      <c r="I109" s="985"/>
      <c r="J109" s="985"/>
      <c r="K109" s="985"/>
      <c r="L109" s="985"/>
    </row>
    <row r="110" spans="4:12">
      <c r="D110" s="985"/>
      <c r="E110" s="985"/>
      <c r="F110" s="985"/>
      <c r="G110" s="985"/>
      <c r="H110" s="985"/>
      <c r="I110" s="985"/>
      <c r="J110" s="985"/>
      <c r="K110" s="985"/>
      <c r="L110" s="985"/>
    </row>
    <row r="111" spans="4:12">
      <c r="D111" s="985"/>
      <c r="E111" s="985"/>
      <c r="F111" s="985"/>
      <c r="G111" s="985"/>
      <c r="H111" s="985"/>
      <c r="I111" s="985"/>
      <c r="J111" s="985"/>
      <c r="K111" s="985"/>
      <c r="L111" s="985"/>
    </row>
    <row r="112" spans="4:12">
      <c r="D112" s="985"/>
      <c r="E112" s="985"/>
      <c r="F112" s="985"/>
      <c r="G112" s="985"/>
      <c r="H112" s="985"/>
      <c r="I112" s="985"/>
      <c r="J112" s="985"/>
      <c r="K112" s="985"/>
      <c r="L112" s="985"/>
    </row>
    <row r="113" spans="4:12">
      <c r="D113" s="985"/>
      <c r="E113" s="985"/>
      <c r="F113" s="985"/>
      <c r="G113" s="985"/>
      <c r="H113" s="985"/>
      <c r="I113" s="985"/>
      <c r="J113" s="985"/>
      <c r="K113" s="985"/>
      <c r="L113" s="985"/>
    </row>
    <row r="114" spans="4:12">
      <c r="D114" s="985"/>
      <c r="E114" s="985"/>
      <c r="F114" s="985"/>
      <c r="G114" s="985"/>
      <c r="H114" s="985"/>
      <c r="I114" s="985"/>
      <c r="J114" s="985"/>
      <c r="K114" s="985"/>
      <c r="L114" s="985"/>
    </row>
    <row r="115" spans="4:12">
      <c r="D115" s="985"/>
      <c r="E115" s="985"/>
      <c r="F115" s="985"/>
      <c r="G115" s="985"/>
      <c r="H115" s="985"/>
      <c r="I115" s="985"/>
      <c r="J115" s="985"/>
      <c r="K115" s="985"/>
      <c r="L115" s="985"/>
    </row>
    <row r="116" spans="4:12">
      <c r="D116" s="985"/>
      <c r="E116" s="985"/>
      <c r="F116" s="985"/>
      <c r="G116" s="985"/>
      <c r="H116" s="985"/>
      <c r="I116" s="985"/>
      <c r="J116" s="985"/>
      <c r="K116" s="985"/>
      <c r="L116" s="985"/>
    </row>
    <row r="117" spans="4:12">
      <c r="D117" s="985"/>
      <c r="E117" s="985"/>
      <c r="F117" s="985"/>
      <c r="G117" s="985"/>
      <c r="H117" s="985"/>
      <c r="I117" s="985"/>
      <c r="J117" s="985"/>
      <c r="K117" s="985"/>
      <c r="L117" s="985"/>
    </row>
    <row r="118" spans="4:12">
      <c r="D118" s="985"/>
      <c r="E118" s="985"/>
      <c r="F118" s="985"/>
      <c r="G118" s="985"/>
      <c r="H118" s="985"/>
      <c r="I118" s="985"/>
      <c r="J118" s="985"/>
      <c r="K118" s="985"/>
      <c r="L118" s="985"/>
    </row>
    <row r="119" spans="4:12">
      <c r="D119" s="985"/>
      <c r="E119" s="985"/>
      <c r="F119" s="985"/>
      <c r="G119" s="985"/>
      <c r="H119" s="985"/>
      <c r="I119" s="985"/>
      <c r="J119" s="985"/>
      <c r="K119" s="985"/>
      <c r="L119" s="985"/>
    </row>
    <row r="120" spans="4:12">
      <c r="D120" s="985"/>
      <c r="E120" s="985"/>
      <c r="F120" s="985"/>
      <c r="G120" s="985"/>
      <c r="H120" s="985"/>
      <c r="I120" s="985"/>
      <c r="J120" s="985"/>
      <c r="K120" s="985"/>
      <c r="L120" s="985"/>
    </row>
    <row r="121" spans="4:12">
      <c r="D121" s="985"/>
      <c r="E121" s="985"/>
      <c r="F121" s="985"/>
      <c r="G121" s="985"/>
      <c r="H121" s="985"/>
      <c r="I121" s="985"/>
      <c r="J121" s="985"/>
      <c r="K121" s="985"/>
      <c r="L121" s="985"/>
    </row>
    <row r="122" spans="4:12">
      <c r="D122" s="985"/>
      <c r="E122" s="985"/>
      <c r="F122" s="985"/>
      <c r="G122" s="985"/>
      <c r="H122" s="985"/>
      <c r="I122" s="985"/>
      <c r="J122" s="985"/>
      <c r="K122" s="985"/>
      <c r="L122" s="985"/>
    </row>
    <row r="123" spans="4:12">
      <c r="D123" s="985"/>
      <c r="E123" s="985"/>
      <c r="F123" s="985"/>
      <c r="G123" s="985"/>
      <c r="H123" s="985"/>
      <c r="I123" s="985"/>
      <c r="J123" s="985"/>
      <c r="K123" s="985"/>
      <c r="L123" s="985"/>
    </row>
    <row r="124" spans="4:12">
      <c r="D124" s="985"/>
      <c r="E124" s="985"/>
      <c r="F124" s="985"/>
      <c r="G124" s="985"/>
      <c r="H124" s="985"/>
      <c r="I124" s="985"/>
      <c r="J124" s="985"/>
      <c r="K124" s="985"/>
      <c r="L124" s="985"/>
    </row>
    <row r="125" spans="4:12">
      <c r="D125" s="985"/>
      <c r="E125" s="985"/>
      <c r="F125" s="985"/>
      <c r="G125" s="985"/>
      <c r="H125" s="985"/>
      <c r="I125" s="985"/>
      <c r="J125" s="985"/>
      <c r="K125" s="985"/>
      <c r="L125" s="985"/>
    </row>
    <row r="126" spans="4:12">
      <c r="D126" s="985"/>
      <c r="E126" s="985"/>
      <c r="F126" s="985"/>
      <c r="G126" s="985"/>
      <c r="H126" s="985"/>
      <c r="I126" s="985"/>
      <c r="J126" s="985"/>
      <c r="K126" s="985"/>
      <c r="L126" s="985"/>
    </row>
    <row r="127" spans="4:12">
      <c r="D127" s="985"/>
      <c r="E127" s="985"/>
      <c r="F127" s="985"/>
      <c r="G127" s="985"/>
      <c r="H127" s="985"/>
      <c r="I127" s="985"/>
      <c r="J127" s="985"/>
      <c r="K127" s="985"/>
      <c r="L127" s="985"/>
    </row>
    <row r="128" spans="4:12">
      <c r="D128" s="985"/>
      <c r="E128" s="985"/>
      <c r="F128" s="985"/>
      <c r="G128" s="985"/>
      <c r="H128" s="985"/>
      <c r="I128" s="985"/>
      <c r="J128" s="985"/>
      <c r="K128" s="985"/>
      <c r="L128" s="985"/>
    </row>
    <row r="129" spans="4:12">
      <c r="D129" s="985"/>
      <c r="E129" s="985"/>
      <c r="F129" s="985"/>
      <c r="G129" s="985"/>
      <c r="H129" s="985"/>
      <c r="I129" s="985"/>
      <c r="J129" s="985"/>
      <c r="K129" s="985"/>
      <c r="L129" s="985"/>
    </row>
    <row r="130" spans="4:12">
      <c r="D130" s="985"/>
      <c r="E130" s="985"/>
      <c r="F130" s="985"/>
      <c r="G130" s="985"/>
      <c r="H130" s="985"/>
      <c r="I130" s="985"/>
      <c r="J130" s="985"/>
      <c r="K130" s="985"/>
      <c r="L130" s="985"/>
    </row>
    <row r="131" spans="4:12">
      <c r="D131" s="985"/>
      <c r="E131" s="985"/>
      <c r="F131" s="985"/>
      <c r="G131" s="985"/>
      <c r="H131" s="985"/>
      <c r="I131" s="985"/>
      <c r="J131" s="985"/>
      <c r="K131" s="985"/>
      <c r="L131" s="985"/>
    </row>
    <row r="132" spans="4:12">
      <c r="D132" s="985"/>
      <c r="E132" s="985"/>
      <c r="F132" s="985"/>
      <c r="G132" s="985"/>
      <c r="H132" s="985"/>
      <c r="I132" s="985"/>
      <c r="J132" s="985"/>
      <c r="K132" s="985"/>
      <c r="L132" s="985"/>
    </row>
    <row r="133" spans="4:12">
      <c r="D133" s="985"/>
      <c r="E133" s="985"/>
      <c r="F133" s="985"/>
      <c r="G133" s="985"/>
      <c r="H133" s="985"/>
      <c r="I133" s="985"/>
      <c r="J133" s="985"/>
      <c r="K133" s="985"/>
      <c r="L133" s="985"/>
    </row>
    <row r="134" spans="4:12">
      <c r="D134" s="985"/>
      <c r="E134" s="985"/>
      <c r="F134" s="985"/>
      <c r="G134" s="985"/>
      <c r="H134" s="985"/>
      <c r="I134" s="985"/>
      <c r="J134" s="985"/>
      <c r="K134" s="985"/>
      <c r="L134" s="985"/>
    </row>
    <row r="135" spans="4:12">
      <c r="D135" s="985"/>
      <c r="E135" s="985"/>
      <c r="F135" s="985"/>
      <c r="G135" s="985"/>
      <c r="H135" s="985"/>
      <c r="I135" s="985"/>
      <c r="J135" s="985"/>
      <c r="K135" s="985"/>
      <c r="L135" s="985"/>
    </row>
    <row r="136" spans="4:12">
      <c r="D136" s="985"/>
      <c r="E136" s="985"/>
      <c r="F136" s="985"/>
      <c r="G136" s="985"/>
      <c r="H136" s="985"/>
      <c r="I136" s="985"/>
      <c r="J136" s="985"/>
      <c r="K136" s="985"/>
      <c r="L136" s="985"/>
    </row>
    <row r="137" spans="4:12">
      <c r="D137" s="985"/>
      <c r="E137" s="985"/>
      <c r="F137" s="985"/>
      <c r="G137" s="985"/>
      <c r="H137" s="985"/>
      <c r="I137" s="985"/>
      <c r="J137" s="985"/>
      <c r="K137" s="985"/>
      <c r="L137" s="985"/>
    </row>
    <row r="138" spans="4:12">
      <c r="D138" s="985"/>
      <c r="E138" s="985"/>
      <c r="F138" s="985"/>
      <c r="G138" s="985"/>
      <c r="H138" s="985"/>
      <c r="I138" s="985"/>
      <c r="J138" s="985"/>
      <c r="K138" s="985"/>
      <c r="L138" s="985"/>
    </row>
    <row r="139" spans="4:12">
      <c r="D139" s="985"/>
      <c r="E139" s="985"/>
      <c r="F139" s="985"/>
      <c r="G139" s="985"/>
      <c r="H139" s="985"/>
      <c r="I139" s="985"/>
      <c r="J139" s="985"/>
      <c r="K139" s="985"/>
      <c r="L139" s="985"/>
    </row>
    <row r="140" spans="4:12">
      <c r="D140" s="985"/>
      <c r="E140" s="985"/>
      <c r="F140" s="985"/>
      <c r="G140" s="985"/>
      <c r="H140" s="985"/>
      <c r="I140" s="985"/>
      <c r="J140" s="985"/>
      <c r="K140" s="985"/>
      <c r="L140" s="985"/>
    </row>
    <row r="141" spans="4:12">
      <c r="D141" s="985"/>
      <c r="E141" s="985"/>
      <c r="F141" s="985"/>
      <c r="G141" s="985"/>
      <c r="H141" s="985"/>
      <c r="I141" s="985"/>
      <c r="J141" s="985"/>
      <c r="K141" s="985"/>
      <c r="L141" s="985"/>
    </row>
    <row r="142" spans="4:12">
      <c r="D142" s="985"/>
      <c r="E142" s="985"/>
      <c r="F142" s="985"/>
      <c r="G142" s="985"/>
      <c r="H142" s="985"/>
      <c r="I142" s="985"/>
      <c r="J142" s="985"/>
      <c r="K142" s="985"/>
      <c r="L142" s="985"/>
    </row>
    <row r="143" spans="4:12">
      <c r="D143" s="985"/>
      <c r="E143" s="985"/>
      <c r="F143" s="985"/>
      <c r="G143" s="985"/>
      <c r="H143" s="985"/>
      <c r="I143" s="985"/>
      <c r="J143" s="985"/>
      <c r="K143" s="985"/>
      <c r="L143" s="985"/>
    </row>
    <row r="144" spans="4:12">
      <c r="D144" s="985"/>
      <c r="E144" s="985"/>
      <c r="F144" s="985"/>
      <c r="G144" s="985"/>
      <c r="H144" s="985"/>
      <c r="I144" s="985"/>
      <c r="J144" s="985"/>
      <c r="K144" s="985"/>
      <c r="L144" s="985"/>
    </row>
    <row r="145" spans="4:12">
      <c r="D145" s="985"/>
      <c r="E145" s="985"/>
      <c r="F145" s="985"/>
      <c r="G145" s="985"/>
      <c r="H145" s="985"/>
      <c r="I145" s="985"/>
      <c r="J145" s="985"/>
      <c r="K145" s="985"/>
      <c r="L145" s="985"/>
    </row>
    <row r="146" spans="4:12">
      <c r="D146" s="985"/>
      <c r="E146" s="985"/>
      <c r="F146" s="985"/>
      <c r="G146" s="985"/>
      <c r="H146" s="985"/>
      <c r="I146" s="985"/>
      <c r="J146" s="985"/>
      <c r="K146" s="985"/>
      <c r="L146" s="985"/>
    </row>
    <row r="147" spans="4:12">
      <c r="D147" s="985"/>
      <c r="E147" s="985"/>
      <c r="F147" s="985"/>
      <c r="G147" s="985"/>
      <c r="H147" s="985"/>
      <c r="I147" s="985"/>
      <c r="J147" s="985"/>
      <c r="K147" s="985"/>
      <c r="L147" s="985"/>
    </row>
    <row r="148" spans="4:12">
      <c r="D148" s="985"/>
      <c r="E148" s="985"/>
      <c r="F148" s="985"/>
      <c r="G148" s="985"/>
      <c r="H148" s="985"/>
      <c r="I148" s="985"/>
      <c r="J148" s="985"/>
      <c r="K148" s="985"/>
      <c r="L148" s="985"/>
    </row>
    <row r="149" spans="4:12">
      <c r="D149" s="985"/>
      <c r="E149" s="985"/>
      <c r="F149" s="985"/>
      <c r="G149" s="985"/>
      <c r="H149" s="985"/>
      <c r="I149" s="985"/>
      <c r="J149" s="985"/>
      <c r="K149" s="985"/>
      <c r="L149" s="985"/>
    </row>
    <row r="150" spans="4:12">
      <c r="D150" s="985"/>
      <c r="E150" s="985"/>
      <c r="F150" s="985"/>
      <c r="G150" s="985"/>
      <c r="H150" s="985"/>
      <c r="I150" s="985"/>
      <c r="J150" s="985"/>
      <c r="K150" s="985"/>
      <c r="L150" s="985"/>
    </row>
    <row r="151" spans="4:12">
      <c r="D151" s="985"/>
      <c r="E151" s="985"/>
      <c r="F151" s="985"/>
      <c r="G151" s="985"/>
      <c r="H151" s="985"/>
      <c r="I151" s="985"/>
      <c r="J151" s="985"/>
      <c r="K151" s="985"/>
      <c r="L151" s="985"/>
    </row>
    <row r="152" spans="4:12">
      <c r="D152" s="985"/>
      <c r="E152" s="985"/>
      <c r="F152" s="985"/>
      <c r="G152" s="985"/>
      <c r="H152" s="985"/>
      <c r="I152" s="985"/>
      <c r="J152" s="985"/>
      <c r="K152" s="985"/>
      <c r="L152" s="985"/>
    </row>
    <row r="153" spans="4:12">
      <c r="D153" s="985"/>
      <c r="E153" s="985"/>
      <c r="F153" s="985"/>
      <c r="G153" s="985"/>
      <c r="H153" s="985"/>
      <c r="I153" s="985"/>
      <c r="J153" s="985"/>
      <c r="K153" s="985"/>
      <c r="L153" s="985"/>
    </row>
    <row r="154" spans="4:12">
      <c r="D154" s="985"/>
      <c r="E154" s="985"/>
      <c r="F154" s="985"/>
      <c r="G154" s="985"/>
      <c r="H154" s="985"/>
      <c r="I154" s="985"/>
      <c r="J154" s="985"/>
      <c r="K154" s="985"/>
      <c r="L154" s="985"/>
    </row>
    <row r="155" spans="4:12">
      <c r="D155" s="985"/>
      <c r="E155" s="985"/>
      <c r="F155" s="985"/>
      <c r="G155" s="985"/>
      <c r="H155" s="985"/>
      <c r="I155" s="985"/>
      <c r="J155" s="985"/>
      <c r="K155" s="985"/>
      <c r="L155" s="985"/>
    </row>
    <row r="156" spans="4:12">
      <c r="D156" s="985"/>
      <c r="E156" s="985"/>
      <c r="F156" s="985"/>
      <c r="G156" s="985"/>
      <c r="H156" s="985"/>
      <c r="I156" s="985"/>
      <c r="J156" s="985"/>
      <c r="K156" s="985"/>
      <c r="L156" s="985"/>
    </row>
    <row r="157" spans="4:12">
      <c r="D157" s="985"/>
      <c r="E157" s="985"/>
      <c r="F157" s="985"/>
      <c r="G157" s="985"/>
      <c r="H157" s="985"/>
      <c r="I157" s="985"/>
      <c r="J157" s="985"/>
      <c r="K157" s="985"/>
      <c r="L157" s="985"/>
    </row>
    <row r="158" spans="4:12">
      <c r="D158" s="985"/>
      <c r="E158" s="985"/>
      <c r="F158" s="985"/>
      <c r="G158" s="985"/>
      <c r="H158" s="985"/>
      <c r="I158" s="985"/>
      <c r="J158" s="985"/>
      <c r="K158" s="985"/>
      <c r="L158" s="985"/>
    </row>
    <row r="159" spans="4:12">
      <c r="D159" s="985"/>
      <c r="E159" s="985"/>
      <c r="F159" s="985"/>
      <c r="G159" s="985"/>
      <c r="H159" s="985"/>
      <c r="I159" s="985"/>
      <c r="J159" s="985"/>
      <c r="K159" s="985"/>
      <c r="L159" s="985"/>
    </row>
    <row r="160" spans="4:12">
      <c r="D160" s="985"/>
      <c r="E160" s="985"/>
      <c r="F160" s="985"/>
      <c r="G160" s="985"/>
      <c r="H160" s="985"/>
      <c r="I160" s="985"/>
      <c r="J160" s="985"/>
      <c r="K160" s="985"/>
      <c r="L160" s="985"/>
    </row>
    <row r="161" spans="4:12">
      <c r="D161" s="985"/>
      <c r="E161" s="985"/>
      <c r="F161" s="985"/>
      <c r="G161" s="985"/>
      <c r="H161" s="985"/>
      <c r="I161" s="985"/>
      <c r="J161" s="985"/>
      <c r="K161" s="985"/>
      <c r="L161" s="985"/>
    </row>
    <row r="162" spans="4:12">
      <c r="D162" s="985"/>
      <c r="E162" s="985"/>
      <c r="F162" s="985"/>
      <c r="G162" s="985"/>
      <c r="H162" s="985"/>
      <c r="I162" s="985"/>
      <c r="J162" s="985"/>
      <c r="K162" s="985"/>
      <c r="L162" s="985"/>
    </row>
    <row r="163" spans="4:12">
      <c r="D163" s="985"/>
      <c r="E163" s="985"/>
      <c r="F163" s="985"/>
      <c r="G163" s="985"/>
      <c r="H163" s="985"/>
      <c r="I163" s="985"/>
      <c r="J163" s="985"/>
      <c r="K163" s="985"/>
      <c r="L163" s="985"/>
    </row>
    <row r="164" spans="4:12">
      <c r="D164" s="985"/>
      <c r="E164" s="985"/>
      <c r="F164" s="985"/>
      <c r="G164" s="985"/>
      <c r="H164" s="985"/>
      <c r="I164" s="985"/>
      <c r="J164" s="985"/>
      <c r="K164" s="985"/>
      <c r="L164" s="985"/>
    </row>
    <row r="165" spans="4:12">
      <c r="D165" s="985"/>
      <c r="E165" s="985"/>
      <c r="F165" s="985"/>
      <c r="G165" s="985"/>
      <c r="H165" s="985"/>
      <c r="I165" s="985"/>
      <c r="J165" s="985"/>
      <c r="K165" s="985"/>
      <c r="L165" s="985"/>
    </row>
    <row r="166" spans="4:12">
      <c r="D166" s="985"/>
      <c r="E166" s="985"/>
      <c r="F166" s="985"/>
      <c r="G166" s="985"/>
      <c r="H166" s="985"/>
      <c r="I166" s="985"/>
      <c r="J166" s="985"/>
      <c r="K166" s="985"/>
      <c r="L166" s="985"/>
    </row>
    <row r="167" spans="4:12">
      <c r="D167" s="985"/>
      <c r="E167" s="985"/>
      <c r="F167" s="985"/>
      <c r="G167" s="985"/>
      <c r="H167" s="985"/>
      <c r="I167" s="985"/>
      <c r="J167" s="985"/>
      <c r="K167" s="985"/>
      <c r="L167" s="985"/>
    </row>
    <row r="168" spans="4:12">
      <c r="D168" s="985"/>
      <c r="E168" s="985"/>
      <c r="F168" s="985"/>
      <c r="G168" s="985"/>
      <c r="H168" s="985"/>
      <c r="I168" s="985"/>
      <c r="J168" s="985"/>
      <c r="K168" s="985"/>
      <c r="L168" s="985"/>
    </row>
    <row r="169" spans="4:12">
      <c r="D169" s="985"/>
      <c r="E169" s="985"/>
      <c r="F169" s="985"/>
      <c r="G169" s="985"/>
      <c r="H169" s="985"/>
      <c r="I169" s="985"/>
      <c r="J169" s="985"/>
      <c r="K169" s="985"/>
      <c r="L169" s="985"/>
    </row>
    <row r="170" spans="4:12">
      <c r="D170" s="985"/>
      <c r="E170" s="985"/>
      <c r="F170" s="985"/>
      <c r="G170" s="985"/>
      <c r="H170" s="985"/>
      <c r="I170" s="985"/>
      <c r="J170" s="985"/>
      <c r="K170" s="985"/>
      <c r="L170" s="985"/>
    </row>
    <row r="171" spans="4:12">
      <c r="D171" s="985"/>
      <c r="E171" s="985"/>
      <c r="F171" s="985"/>
      <c r="G171" s="985"/>
      <c r="H171" s="985"/>
      <c r="I171" s="985"/>
      <c r="J171" s="985"/>
      <c r="K171" s="985"/>
      <c r="L171" s="985"/>
    </row>
    <row r="172" spans="4:12">
      <c r="D172" s="985"/>
      <c r="E172" s="985"/>
      <c r="F172" s="985"/>
      <c r="G172" s="985"/>
      <c r="H172" s="985"/>
      <c r="I172" s="985"/>
      <c r="J172" s="985"/>
      <c r="K172" s="985"/>
      <c r="L172" s="985"/>
    </row>
    <row r="173" spans="4:12">
      <c r="D173" s="985"/>
      <c r="E173" s="985"/>
      <c r="F173" s="985"/>
      <c r="G173" s="985"/>
      <c r="H173" s="985"/>
      <c r="I173" s="985"/>
      <c r="J173" s="985"/>
      <c r="K173" s="985"/>
      <c r="L173" s="985"/>
    </row>
    <row r="174" spans="4:12">
      <c r="D174" s="985"/>
      <c r="E174" s="985"/>
      <c r="F174" s="985"/>
      <c r="G174" s="985"/>
      <c r="H174" s="985"/>
      <c r="I174" s="985"/>
      <c r="J174" s="985"/>
      <c r="K174" s="985"/>
      <c r="L174" s="985"/>
    </row>
    <row r="175" spans="4:12">
      <c r="D175" s="985"/>
      <c r="E175" s="985"/>
      <c r="F175" s="985"/>
      <c r="G175" s="985"/>
      <c r="H175" s="985"/>
      <c r="I175" s="985"/>
      <c r="J175" s="985"/>
      <c r="K175" s="985"/>
      <c r="L175" s="985"/>
    </row>
    <row r="176" spans="4:12">
      <c r="D176" s="985"/>
      <c r="E176" s="985"/>
      <c r="F176" s="985"/>
      <c r="G176" s="985"/>
      <c r="H176" s="985"/>
      <c r="I176" s="985"/>
      <c r="J176" s="985"/>
      <c r="K176" s="985"/>
      <c r="L176" s="985"/>
    </row>
    <row r="177" spans="4:12">
      <c r="D177" s="985"/>
      <c r="E177" s="985"/>
      <c r="F177" s="985"/>
      <c r="G177" s="985"/>
      <c r="H177" s="985"/>
      <c r="I177" s="985"/>
      <c r="J177" s="985"/>
      <c r="K177" s="985"/>
      <c r="L177" s="985"/>
    </row>
    <row r="178" spans="4:12">
      <c r="D178" s="985"/>
      <c r="E178" s="985"/>
      <c r="F178" s="985"/>
      <c r="G178" s="985"/>
      <c r="H178" s="985"/>
      <c r="I178" s="985"/>
      <c r="J178" s="985"/>
      <c r="K178" s="985"/>
      <c r="L178" s="985"/>
    </row>
    <row r="179" spans="4:12">
      <c r="D179" s="985"/>
      <c r="E179" s="985"/>
      <c r="F179" s="985"/>
      <c r="G179" s="985"/>
      <c r="H179" s="985"/>
      <c r="I179" s="985"/>
      <c r="J179" s="985"/>
      <c r="K179" s="985"/>
      <c r="L179" s="985"/>
    </row>
    <row r="180" spans="4:12">
      <c r="D180" s="985"/>
      <c r="E180" s="985"/>
      <c r="F180" s="985"/>
      <c r="G180" s="985"/>
      <c r="H180" s="985"/>
      <c r="I180" s="985"/>
      <c r="J180" s="985"/>
      <c r="K180" s="985"/>
      <c r="L180" s="985"/>
    </row>
    <row r="181" spans="4:12">
      <c r="D181" s="985"/>
      <c r="E181" s="985"/>
      <c r="F181" s="985"/>
      <c r="G181" s="985"/>
      <c r="H181" s="985"/>
      <c r="I181" s="985"/>
      <c r="J181" s="985"/>
      <c r="K181" s="985"/>
      <c r="L181" s="985"/>
    </row>
    <row r="182" spans="4:12">
      <c r="D182" s="985"/>
      <c r="E182" s="985"/>
      <c r="F182" s="985"/>
      <c r="G182" s="985"/>
      <c r="H182" s="985"/>
      <c r="I182" s="985"/>
      <c r="J182" s="985"/>
      <c r="K182" s="985"/>
      <c r="L182" s="985"/>
    </row>
    <row r="183" spans="4:12">
      <c r="D183" s="985"/>
      <c r="E183" s="985"/>
      <c r="F183" s="985"/>
      <c r="G183" s="985"/>
      <c r="H183" s="985"/>
      <c r="I183" s="985"/>
      <c r="J183" s="985"/>
      <c r="K183" s="985"/>
      <c r="L183" s="985"/>
    </row>
    <row r="184" spans="4:12">
      <c r="D184" s="985"/>
      <c r="E184" s="985"/>
      <c r="F184" s="985"/>
      <c r="G184" s="985"/>
      <c r="H184" s="985"/>
      <c r="I184" s="985"/>
      <c r="J184" s="985"/>
      <c r="K184" s="985"/>
      <c r="L184" s="985"/>
    </row>
    <row r="185" spans="4:12">
      <c r="D185" s="985"/>
      <c r="E185" s="985"/>
      <c r="F185" s="985"/>
      <c r="G185" s="985"/>
      <c r="H185" s="985"/>
      <c r="I185" s="985"/>
      <c r="J185" s="985"/>
      <c r="K185" s="985"/>
      <c r="L185" s="985"/>
    </row>
    <row r="186" spans="4:12">
      <c r="D186" s="985"/>
      <c r="E186" s="985"/>
      <c r="F186" s="985"/>
      <c r="G186" s="985"/>
      <c r="H186" s="985"/>
      <c r="I186" s="985"/>
      <c r="J186" s="985"/>
      <c r="K186" s="985"/>
      <c r="L186" s="985"/>
    </row>
    <row r="187" spans="4:12">
      <c r="D187" s="985"/>
      <c r="E187" s="985"/>
      <c r="F187" s="985"/>
      <c r="G187" s="985"/>
      <c r="H187" s="985"/>
      <c r="I187" s="985"/>
      <c r="J187" s="985"/>
      <c r="K187" s="985"/>
      <c r="L187" s="985"/>
    </row>
  </sheetData>
  <pageMargins left="0.70866141732283472" right="0.70866141732283472" top="0.74803149606299213" bottom="0.74803149606299213" header="0.31496062992125984" footer="0.31496062992125984"/>
  <pageSetup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6"/>
  <sheetViews>
    <sheetView tabSelected="1" view="pageBreakPreview" topLeftCell="A1424" zoomScale="85" zoomScaleNormal="85" zoomScaleSheetLayoutView="85" workbookViewId="0">
      <selection activeCell="C873" sqref="C873:E1438"/>
    </sheetView>
  </sheetViews>
  <sheetFormatPr baseColWidth="10" defaultRowHeight="12.75"/>
  <cols>
    <col min="1" max="1" width="7.140625" style="768" customWidth="1"/>
    <col min="2" max="2" width="64" style="369" customWidth="1"/>
    <col min="3" max="3" width="14.5703125" style="769" customWidth="1"/>
    <col min="4" max="4" width="7.85546875" style="770" customWidth="1"/>
    <col min="5" max="5" width="14" style="1271" customWidth="1"/>
    <col min="6" max="6" width="19.85546875" style="467" bestFit="1" customWidth="1"/>
    <col min="7" max="7" width="11.42578125" style="1408"/>
    <col min="8" max="8" width="24.140625" style="1408" customWidth="1"/>
  </cols>
  <sheetData>
    <row r="1" spans="1:6">
      <c r="A1" s="1178"/>
      <c r="B1" s="1179"/>
      <c r="C1" s="1180"/>
      <c r="D1" s="1181"/>
      <c r="E1" s="1268"/>
      <c r="F1" s="1182"/>
    </row>
    <row r="2" spans="1:6">
      <c r="A2" s="1423" t="s">
        <v>0</v>
      </c>
      <c r="B2" s="1424"/>
      <c r="C2" s="1424"/>
      <c r="D2" s="1424"/>
      <c r="E2" s="1424"/>
      <c r="F2" s="1425"/>
    </row>
    <row r="3" spans="1:6">
      <c r="A3" s="1426"/>
      <c r="B3" s="1424"/>
      <c r="C3" s="1424"/>
      <c r="D3" s="1424"/>
      <c r="E3" s="1424"/>
      <c r="F3" s="1425"/>
    </row>
    <row r="4" spans="1:6" ht="18">
      <c r="A4" s="1423" t="s">
        <v>1753</v>
      </c>
      <c r="B4" s="1427"/>
      <c r="C4" s="1427"/>
      <c r="D4" s="1427"/>
      <c r="E4" s="1427"/>
      <c r="F4" s="1428"/>
    </row>
    <row r="5" spans="1:6" ht="18">
      <c r="A5" s="1423" t="s">
        <v>1754</v>
      </c>
      <c r="B5" s="1429"/>
      <c r="C5" s="1429"/>
      <c r="D5" s="1429"/>
      <c r="E5" s="1429"/>
      <c r="F5" s="1430"/>
    </row>
    <row r="6" spans="1:6" ht="15">
      <c r="A6" s="1183"/>
      <c r="B6" s="1184"/>
      <c r="C6" s="1184"/>
      <c r="D6" s="1185"/>
      <c r="E6" s="1269"/>
      <c r="F6" s="1186"/>
    </row>
    <row r="7" spans="1:6" ht="15">
      <c r="A7" s="1183"/>
      <c r="B7" s="1184"/>
      <c r="C7" s="1184"/>
      <c r="D7" s="1185"/>
      <c r="E7" s="1269"/>
      <c r="F7" s="1186"/>
    </row>
    <row r="8" spans="1:6" ht="15">
      <c r="A8" s="1431" t="s">
        <v>1755</v>
      </c>
      <c r="B8" s="1432"/>
      <c r="C8" s="1432"/>
      <c r="D8" s="1432"/>
      <c r="E8" s="1432"/>
      <c r="F8" s="1433"/>
    </row>
    <row r="9" spans="1:6" ht="15">
      <c r="A9" s="1187" t="s">
        <v>1780</v>
      </c>
      <c r="B9" s="1188"/>
      <c r="C9" s="1188"/>
      <c r="D9" s="1188"/>
      <c r="E9" s="1270"/>
      <c r="F9" s="1188"/>
    </row>
    <row r="10" spans="1:6" ht="15">
      <c r="A10" s="1187" t="s">
        <v>1756</v>
      </c>
      <c r="B10" s="1188"/>
      <c r="C10" s="1188"/>
      <c r="D10" s="1188"/>
      <c r="E10" s="1270" t="s">
        <v>1757</v>
      </c>
      <c r="F10" s="1188"/>
    </row>
    <row r="11" spans="1:6" ht="15">
      <c r="A11" s="1187" t="s">
        <v>1758</v>
      </c>
      <c r="B11" s="1188"/>
      <c r="C11" s="1188"/>
      <c r="D11" s="1188"/>
      <c r="E11" s="1270"/>
      <c r="F11" s="1188"/>
    </row>
    <row r="12" spans="1:6">
      <c r="A12" s="1189"/>
    </row>
    <row r="13" spans="1:6">
      <c r="A13" s="1439" t="s">
        <v>1759</v>
      </c>
      <c r="B13" s="1440"/>
      <c r="C13" s="1440"/>
      <c r="D13" s="1440"/>
      <c r="E13" s="1440"/>
      <c r="F13" s="1441"/>
    </row>
    <row r="14" spans="1:6">
      <c r="A14" s="468" t="s">
        <v>354</v>
      </c>
      <c r="B14" s="469" t="s">
        <v>355</v>
      </c>
      <c r="C14" s="470" t="s">
        <v>297</v>
      </c>
      <c r="D14" s="469" t="s">
        <v>38</v>
      </c>
      <c r="E14" s="1272" t="s">
        <v>356</v>
      </c>
      <c r="F14" s="1346" t="s">
        <v>357</v>
      </c>
    </row>
    <row r="15" spans="1:6">
      <c r="A15" s="820"/>
      <c r="B15" s="821"/>
      <c r="C15" s="822"/>
      <c r="D15" s="821"/>
      <c r="E15" s="1273"/>
      <c r="F15" s="1347"/>
    </row>
    <row r="16" spans="1:6">
      <c r="A16" s="797" t="s">
        <v>13</v>
      </c>
      <c r="B16" s="514" t="s">
        <v>358</v>
      </c>
      <c r="C16" s="506"/>
      <c r="D16" s="611"/>
      <c r="E16" s="1274"/>
      <c r="F16" s="1348"/>
    </row>
    <row r="17" spans="1:6">
      <c r="A17" s="797"/>
      <c r="B17" s="514"/>
      <c r="C17" s="506"/>
      <c r="D17" s="611"/>
      <c r="E17" s="1274"/>
      <c r="F17" s="1348"/>
    </row>
    <row r="18" spans="1:6">
      <c r="A18" s="668">
        <v>1</v>
      </c>
      <c r="B18" s="514" t="s">
        <v>359</v>
      </c>
      <c r="C18" s="736">
        <v>15</v>
      </c>
      <c r="D18" s="794" t="s">
        <v>360</v>
      </c>
      <c r="E18" s="1275">
        <v>60036.44</v>
      </c>
      <c r="F18" s="1349">
        <f>+ROUND(E18*C18,2)</f>
        <v>900546.6</v>
      </c>
    </row>
    <row r="19" spans="1:6">
      <c r="A19" s="734"/>
      <c r="B19" s="518"/>
      <c r="C19" s="506"/>
      <c r="D19" s="611"/>
      <c r="E19" s="717"/>
      <c r="F19" s="1349"/>
    </row>
    <row r="20" spans="1:6">
      <c r="A20" s="823" t="s">
        <v>361</v>
      </c>
      <c r="B20" s="514" t="s">
        <v>296</v>
      </c>
      <c r="C20" s="506"/>
      <c r="D20" s="611"/>
      <c r="E20" s="717"/>
      <c r="F20" s="1349"/>
    </row>
    <row r="21" spans="1:6">
      <c r="A21" s="734" t="s">
        <v>362</v>
      </c>
      <c r="B21" s="518" t="s">
        <v>363</v>
      </c>
      <c r="C21" s="506">
        <v>5284.8</v>
      </c>
      <c r="D21" s="790" t="s">
        <v>364</v>
      </c>
      <c r="E21" s="1274">
        <v>104.66</v>
      </c>
      <c r="F21" s="1349">
        <f t="shared" ref="F21:F27" si="0">+ROUND(E21*C21,2)</f>
        <v>553107.17000000004</v>
      </c>
    </row>
    <row r="22" spans="1:6">
      <c r="A22" s="734" t="s">
        <v>365</v>
      </c>
      <c r="B22" s="710" t="s">
        <v>366</v>
      </c>
      <c r="C22" s="506">
        <v>6341.76</v>
      </c>
      <c r="D22" s="790" t="s">
        <v>367</v>
      </c>
      <c r="E22" s="717">
        <v>219.89</v>
      </c>
      <c r="F22" s="1349">
        <f t="shared" si="0"/>
        <v>1394489.61</v>
      </c>
    </row>
    <row r="23" spans="1:6">
      <c r="A23" s="734" t="s">
        <v>368</v>
      </c>
      <c r="B23" s="518" t="s">
        <v>369</v>
      </c>
      <c r="C23" s="824">
        <v>7459.2</v>
      </c>
      <c r="D23" s="825" t="s">
        <v>298</v>
      </c>
      <c r="E23" s="717">
        <v>1067.71</v>
      </c>
      <c r="F23" s="1349">
        <f t="shared" si="0"/>
        <v>7964262.4299999997</v>
      </c>
    </row>
    <row r="24" spans="1:6">
      <c r="A24" s="734" t="s">
        <v>370</v>
      </c>
      <c r="B24" s="518" t="s">
        <v>371</v>
      </c>
      <c r="C24" s="824">
        <v>4972.8</v>
      </c>
      <c r="D24" s="825" t="s">
        <v>298</v>
      </c>
      <c r="E24" s="1276">
        <v>1132.71</v>
      </c>
      <c r="F24" s="1349">
        <f t="shared" si="0"/>
        <v>5632740.29</v>
      </c>
    </row>
    <row r="25" spans="1:6">
      <c r="A25" s="734" t="s">
        <v>372</v>
      </c>
      <c r="B25" s="518" t="s">
        <v>373</v>
      </c>
      <c r="C25" s="610">
        <v>24864</v>
      </c>
      <c r="D25" s="657" t="s">
        <v>300</v>
      </c>
      <c r="E25" s="1277">
        <v>198.25</v>
      </c>
      <c r="F25" s="1349">
        <f t="shared" si="0"/>
        <v>4929288</v>
      </c>
    </row>
    <row r="26" spans="1:6">
      <c r="A26" s="734" t="s">
        <v>374</v>
      </c>
      <c r="B26" s="518" t="s">
        <v>375</v>
      </c>
      <c r="C26" s="610">
        <v>24864</v>
      </c>
      <c r="D26" s="657" t="s">
        <v>300</v>
      </c>
      <c r="E26" s="1277">
        <v>951.9</v>
      </c>
      <c r="F26" s="1349">
        <f t="shared" si="0"/>
        <v>23668041.600000001</v>
      </c>
    </row>
    <row r="27" spans="1:6">
      <c r="A27" s="734" t="s">
        <v>376</v>
      </c>
      <c r="B27" s="518" t="s">
        <v>377</v>
      </c>
      <c r="C27" s="519">
        <v>37296</v>
      </c>
      <c r="D27" s="825" t="s">
        <v>378</v>
      </c>
      <c r="E27" s="1276">
        <v>21.99</v>
      </c>
      <c r="F27" s="1349">
        <f t="shared" si="0"/>
        <v>820139.04</v>
      </c>
    </row>
    <row r="28" spans="1:6">
      <c r="A28" s="734"/>
      <c r="B28" s="518"/>
      <c r="C28" s="506"/>
      <c r="D28" s="611"/>
      <c r="E28" s="717"/>
      <c r="F28" s="1349"/>
    </row>
    <row r="29" spans="1:6">
      <c r="A29" s="823" t="s">
        <v>379</v>
      </c>
      <c r="B29" s="514" t="s">
        <v>380</v>
      </c>
      <c r="C29" s="506"/>
      <c r="D29" s="611"/>
      <c r="E29" s="717"/>
      <c r="F29" s="1349"/>
    </row>
    <row r="30" spans="1:6">
      <c r="A30" s="734" t="s">
        <v>381</v>
      </c>
      <c r="B30" s="526" t="s">
        <v>382</v>
      </c>
      <c r="C30" s="610">
        <v>9712.18</v>
      </c>
      <c r="D30" s="657" t="s">
        <v>300</v>
      </c>
      <c r="E30" s="1145">
        <v>1356.07</v>
      </c>
      <c r="F30" s="1349">
        <f>+ROUND(E30*C30,2)</f>
        <v>13170395.93</v>
      </c>
    </row>
    <row r="31" spans="1:6">
      <c r="A31" s="734" t="s">
        <v>383</v>
      </c>
      <c r="B31" s="526" t="s">
        <v>384</v>
      </c>
      <c r="C31" s="610">
        <v>7769.74</v>
      </c>
      <c r="D31" s="657" t="s">
        <v>15</v>
      </c>
      <c r="E31" s="1145">
        <v>1065.4000000000001</v>
      </c>
      <c r="F31" s="1349">
        <f>+ROUND(E31*C31,2)</f>
        <v>8277881</v>
      </c>
    </row>
    <row r="32" spans="1:6">
      <c r="A32" s="734" t="s">
        <v>385</v>
      </c>
      <c r="B32" s="526" t="s">
        <v>386</v>
      </c>
      <c r="C32" s="610">
        <v>7769.74</v>
      </c>
      <c r="D32" s="657" t="s">
        <v>15</v>
      </c>
      <c r="E32" s="1277">
        <v>3830.56</v>
      </c>
      <c r="F32" s="1349">
        <f>+ROUND(E32*C32,2)</f>
        <v>29762455.25</v>
      </c>
    </row>
    <row r="33" spans="1:6">
      <c r="A33" s="734"/>
      <c r="B33" s="518"/>
      <c r="C33" s="506"/>
      <c r="D33" s="611"/>
      <c r="E33" s="717"/>
      <c r="F33" s="1349"/>
    </row>
    <row r="34" spans="1:6">
      <c r="A34" s="823" t="s">
        <v>387</v>
      </c>
      <c r="B34" s="514" t="s">
        <v>388</v>
      </c>
      <c r="C34" s="828"/>
      <c r="D34" s="829"/>
      <c r="E34" s="1278"/>
      <c r="F34" s="1349"/>
    </row>
    <row r="35" spans="1:6">
      <c r="A35" s="734" t="s">
        <v>389</v>
      </c>
      <c r="B35" s="518" t="s">
        <v>369</v>
      </c>
      <c r="C35" s="824">
        <v>2160</v>
      </c>
      <c r="D35" s="825" t="s">
        <v>298</v>
      </c>
      <c r="E35" s="717">
        <v>1067.71</v>
      </c>
      <c r="F35" s="1349">
        <f t="shared" ref="F35:F41" si="1">+ROUND(E35*C35,2)</f>
        <v>2306253.6</v>
      </c>
    </row>
    <row r="36" spans="1:6">
      <c r="A36" s="734" t="s">
        <v>390</v>
      </c>
      <c r="B36" s="518" t="s">
        <v>371</v>
      </c>
      <c r="C36" s="824">
        <v>3240</v>
      </c>
      <c r="D36" s="825" t="s">
        <v>298</v>
      </c>
      <c r="E36" s="1276">
        <v>1132.71</v>
      </c>
      <c r="F36" s="1349">
        <f t="shared" si="1"/>
        <v>3669980.4</v>
      </c>
    </row>
    <row r="37" spans="1:6">
      <c r="A37" s="734" t="s">
        <v>391</v>
      </c>
      <c r="B37" s="518" t="s">
        <v>373</v>
      </c>
      <c r="C37" s="610">
        <v>10800</v>
      </c>
      <c r="D37" s="657" t="s">
        <v>300</v>
      </c>
      <c r="E37" s="1277">
        <v>198.25</v>
      </c>
      <c r="F37" s="1349">
        <f t="shared" si="1"/>
        <v>2141100</v>
      </c>
    </row>
    <row r="38" spans="1:6">
      <c r="A38" s="734" t="s">
        <v>392</v>
      </c>
      <c r="B38" s="518" t="s">
        <v>393</v>
      </c>
      <c r="C38" s="610">
        <v>10800</v>
      </c>
      <c r="D38" s="657" t="s">
        <v>300</v>
      </c>
      <c r="E38" s="1277">
        <v>712.78</v>
      </c>
      <c r="F38" s="1349">
        <f t="shared" si="1"/>
        <v>7698024</v>
      </c>
    </row>
    <row r="39" spans="1:6">
      <c r="A39" s="734" t="s">
        <v>394</v>
      </c>
      <c r="B39" s="518" t="s">
        <v>377</v>
      </c>
      <c r="C39" s="519">
        <v>10800</v>
      </c>
      <c r="D39" s="825" t="s">
        <v>378</v>
      </c>
      <c r="E39" s="1276">
        <v>21.99</v>
      </c>
      <c r="F39" s="1349">
        <f t="shared" si="1"/>
        <v>237492</v>
      </c>
    </row>
    <row r="40" spans="1:6">
      <c r="A40" s="734" t="s">
        <v>395</v>
      </c>
      <c r="B40" s="526" t="s">
        <v>396</v>
      </c>
      <c r="C40" s="610">
        <v>8640</v>
      </c>
      <c r="D40" s="657" t="s">
        <v>300</v>
      </c>
      <c r="E40" s="1277">
        <v>1325.17</v>
      </c>
      <c r="F40" s="1349">
        <f t="shared" si="1"/>
        <v>11449468.800000001</v>
      </c>
    </row>
    <row r="41" spans="1:6">
      <c r="A41" s="734" t="s">
        <v>397</v>
      </c>
      <c r="B41" s="526" t="s">
        <v>384</v>
      </c>
      <c r="C41" s="610">
        <v>7200</v>
      </c>
      <c r="D41" s="657" t="s">
        <v>15</v>
      </c>
      <c r="E41" s="1277">
        <v>1065.4000000000001</v>
      </c>
      <c r="F41" s="1349">
        <f t="shared" si="1"/>
        <v>7670880</v>
      </c>
    </row>
    <row r="42" spans="1:6">
      <c r="A42" s="734"/>
      <c r="B42" s="518"/>
      <c r="C42" s="506"/>
      <c r="D42" s="611"/>
      <c r="E42" s="717"/>
      <c r="F42" s="1349"/>
    </row>
    <row r="43" spans="1:6" ht="25.5">
      <c r="A43" s="831">
        <v>5</v>
      </c>
      <c r="B43" s="526" t="s">
        <v>398</v>
      </c>
      <c r="C43" s="824">
        <v>3800</v>
      </c>
      <c r="D43" s="825" t="s">
        <v>15</v>
      </c>
      <c r="E43" s="1279">
        <v>95</v>
      </c>
      <c r="F43" s="1349">
        <f>+ROUND(E43*C43,2)</f>
        <v>361000</v>
      </c>
    </row>
    <row r="44" spans="1:6">
      <c r="A44" s="831"/>
      <c r="B44" s="526" t="s">
        <v>40</v>
      </c>
      <c r="C44" s="610"/>
      <c r="D44" s="657"/>
      <c r="E44" s="1280"/>
      <c r="F44" s="1349"/>
    </row>
    <row r="45" spans="1:6">
      <c r="A45" s="831">
        <v>6</v>
      </c>
      <c r="B45" s="526" t="s">
        <v>399</v>
      </c>
      <c r="C45" s="824">
        <v>3800</v>
      </c>
      <c r="D45" s="825" t="s">
        <v>15</v>
      </c>
      <c r="E45" s="1281">
        <v>130</v>
      </c>
      <c r="F45" s="1349">
        <f>+ROUND(E45*C45,2)</f>
        <v>494000</v>
      </c>
    </row>
    <row r="46" spans="1:6">
      <c r="A46" s="831"/>
      <c r="B46" s="526" t="s">
        <v>40</v>
      </c>
      <c r="C46" s="610"/>
      <c r="D46" s="657"/>
      <c r="E46" s="1280"/>
      <c r="F46" s="1349"/>
    </row>
    <row r="47" spans="1:6">
      <c r="A47" s="831">
        <v>7</v>
      </c>
      <c r="B47" s="526" t="s">
        <v>400</v>
      </c>
      <c r="C47" s="610">
        <v>3800</v>
      </c>
      <c r="D47" s="657" t="s">
        <v>15</v>
      </c>
      <c r="E47" s="1281">
        <v>40.5</v>
      </c>
      <c r="F47" s="1349">
        <f>+ROUND(E47*C47,2)</f>
        <v>153900</v>
      </c>
    </row>
    <row r="48" spans="1:6">
      <c r="A48" s="838"/>
      <c r="B48" s="839" t="s">
        <v>44</v>
      </c>
      <c r="C48" s="840"/>
      <c r="D48" s="841"/>
      <c r="E48" s="1282"/>
      <c r="F48" s="1350">
        <f>SUM(F18:F47)</f>
        <v>133255445.72</v>
      </c>
    </row>
    <row r="49" spans="1:6">
      <c r="A49" s="734"/>
      <c r="B49" s="518"/>
      <c r="C49" s="506"/>
      <c r="D49" s="611"/>
      <c r="E49" s="717"/>
      <c r="F49" s="1348"/>
    </row>
    <row r="50" spans="1:6" ht="25.5">
      <c r="A50" s="810" t="s">
        <v>45</v>
      </c>
      <c r="B50" s="514" t="s">
        <v>401</v>
      </c>
      <c r="C50" s="736"/>
      <c r="D50" s="811"/>
      <c r="E50" s="679"/>
      <c r="F50" s="1351">
        <f>+ROUND(C50*E50,2)</f>
        <v>0</v>
      </c>
    </row>
    <row r="51" spans="1:6">
      <c r="A51" s="812">
        <v>1</v>
      </c>
      <c r="B51" s="813" t="s">
        <v>402</v>
      </c>
      <c r="C51" s="814"/>
      <c r="D51" s="815"/>
      <c r="E51" s="1283"/>
      <c r="F51" s="1352"/>
    </row>
    <row r="52" spans="1:6">
      <c r="A52" s="818">
        <v>1.1000000000000001</v>
      </c>
      <c r="B52" s="526" t="s">
        <v>403</v>
      </c>
      <c r="C52" s="610">
        <v>10</v>
      </c>
      <c r="D52" s="657" t="s">
        <v>10</v>
      </c>
      <c r="E52" s="1281">
        <v>35754</v>
      </c>
      <c r="F52" s="1349">
        <f t="shared" ref="F52:F64" si="2">+ROUND(E52*C52,2)</f>
        <v>357540</v>
      </c>
    </row>
    <row r="53" spans="1:6">
      <c r="A53" s="818">
        <v>1.2</v>
      </c>
      <c r="B53" s="526" t="s">
        <v>404</v>
      </c>
      <c r="C53" s="610">
        <v>174</v>
      </c>
      <c r="D53" s="657" t="s">
        <v>10</v>
      </c>
      <c r="E53" s="1281">
        <v>22538</v>
      </c>
      <c r="F53" s="1349">
        <f t="shared" si="2"/>
        <v>3921612</v>
      </c>
    </row>
    <row r="54" spans="1:6">
      <c r="A54" s="818">
        <v>1.3</v>
      </c>
      <c r="B54" s="526" t="s">
        <v>405</v>
      </c>
      <c r="C54" s="610">
        <v>3300</v>
      </c>
      <c r="D54" s="657" t="s">
        <v>406</v>
      </c>
      <c r="E54" s="1281">
        <v>45.94</v>
      </c>
      <c r="F54" s="1349">
        <f t="shared" si="2"/>
        <v>151602</v>
      </c>
    </row>
    <row r="55" spans="1:6">
      <c r="A55" s="818">
        <v>1.4</v>
      </c>
      <c r="B55" s="526" t="s">
        <v>407</v>
      </c>
      <c r="C55" s="610">
        <v>10</v>
      </c>
      <c r="D55" s="657" t="s">
        <v>10</v>
      </c>
      <c r="E55" s="1281">
        <v>8500</v>
      </c>
      <c r="F55" s="1349">
        <f t="shared" si="2"/>
        <v>85000</v>
      </c>
    </row>
    <row r="56" spans="1:6">
      <c r="A56" s="818">
        <v>1.5</v>
      </c>
      <c r="B56" s="526" t="s">
        <v>408</v>
      </c>
      <c r="C56" s="610">
        <v>100</v>
      </c>
      <c r="D56" s="657" t="s">
        <v>10</v>
      </c>
      <c r="E56" s="1281">
        <v>3250.25</v>
      </c>
      <c r="F56" s="1349">
        <f t="shared" si="2"/>
        <v>325025</v>
      </c>
    </row>
    <row r="57" spans="1:6">
      <c r="A57" s="818">
        <v>1.6</v>
      </c>
      <c r="B57" s="526" t="s">
        <v>409</v>
      </c>
      <c r="C57" s="610">
        <v>84</v>
      </c>
      <c r="D57" s="657" t="s">
        <v>10</v>
      </c>
      <c r="E57" s="1281">
        <v>4375.5</v>
      </c>
      <c r="F57" s="1353">
        <f t="shared" si="2"/>
        <v>367542</v>
      </c>
    </row>
    <row r="58" spans="1:6" ht="25.5">
      <c r="A58" s="818">
        <v>1.7</v>
      </c>
      <c r="B58" s="526" t="s">
        <v>410</v>
      </c>
      <c r="C58" s="610">
        <v>10</v>
      </c>
      <c r="D58" s="657" t="s">
        <v>10</v>
      </c>
      <c r="E58" s="1281">
        <v>73675</v>
      </c>
      <c r="F58" s="1353">
        <f t="shared" si="2"/>
        <v>736750</v>
      </c>
    </row>
    <row r="59" spans="1:6">
      <c r="A59" s="818">
        <v>1.8</v>
      </c>
      <c r="B59" s="526" t="s">
        <v>411</v>
      </c>
      <c r="C59" s="610">
        <v>239</v>
      </c>
      <c r="D59" s="657" t="s">
        <v>10</v>
      </c>
      <c r="E59" s="1281">
        <v>12590.2</v>
      </c>
      <c r="F59" s="1353">
        <f t="shared" si="2"/>
        <v>3009057.8</v>
      </c>
    </row>
    <row r="60" spans="1:6">
      <c r="A60" s="818">
        <v>1.9</v>
      </c>
      <c r="B60" s="526" t="s">
        <v>412</v>
      </c>
      <c r="C60" s="610">
        <v>31200</v>
      </c>
      <c r="D60" s="657" t="s">
        <v>406</v>
      </c>
      <c r="E60" s="1281">
        <v>75.2</v>
      </c>
      <c r="F60" s="1353">
        <f t="shared" si="2"/>
        <v>2346240</v>
      </c>
    </row>
    <row r="61" spans="1:6">
      <c r="A61" s="819">
        <v>1.1000000000000001</v>
      </c>
      <c r="B61" s="526" t="s">
        <v>413</v>
      </c>
      <c r="C61" s="610">
        <v>10</v>
      </c>
      <c r="D61" s="657" t="s">
        <v>10</v>
      </c>
      <c r="E61" s="1281">
        <v>3000</v>
      </c>
      <c r="F61" s="1353">
        <f t="shared" si="2"/>
        <v>30000</v>
      </c>
    </row>
    <row r="62" spans="1:6">
      <c r="A62" s="819">
        <v>1.1100000000000001</v>
      </c>
      <c r="B62" s="526" t="s">
        <v>414</v>
      </c>
      <c r="C62" s="610">
        <v>184</v>
      </c>
      <c r="D62" s="657" t="s">
        <v>10</v>
      </c>
      <c r="E62" s="1281">
        <v>7000</v>
      </c>
      <c r="F62" s="1353">
        <f t="shared" si="2"/>
        <v>1288000</v>
      </c>
    </row>
    <row r="63" spans="1:6">
      <c r="A63" s="819">
        <v>1.1200000000000001</v>
      </c>
      <c r="B63" s="526" t="s">
        <v>415</v>
      </c>
      <c r="C63" s="610">
        <v>174</v>
      </c>
      <c r="D63" s="657" t="s">
        <v>10</v>
      </c>
      <c r="E63" s="1281">
        <v>7000</v>
      </c>
      <c r="F63" s="1353">
        <f t="shared" si="2"/>
        <v>1218000</v>
      </c>
    </row>
    <row r="64" spans="1:6">
      <c r="A64" s="819">
        <v>1.1299999999999999</v>
      </c>
      <c r="B64" s="526" t="s">
        <v>416</v>
      </c>
      <c r="C64" s="610">
        <v>1</v>
      </c>
      <c r="D64" s="657" t="s">
        <v>10</v>
      </c>
      <c r="E64" s="1281">
        <v>1189014.2</v>
      </c>
      <c r="F64" s="1353">
        <f t="shared" si="2"/>
        <v>1189014.2</v>
      </c>
    </row>
    <row r="65" spans="1:6">
      <c r="A65" s="838"/>
      <c r="B65" s="839" t="s">
        <v>417</v>
      </c>
      <c r="C65" s="840"/>
      <c r="D65" s="841"/>
      <c r="E65" s="1282"/>
      <c r="F65" s="1350">
        <f>SUM(F52:F64)</f>
        <v>15025383</v>
      </c>
    </row>
    <row r="66" spans="1:6">
      <c r="A66" s="783"/>
      <c r="B66" s="518"/>
      <c r="C66" s="784"/>
      <c r="D66" s="785"/>
      <c r="E66" s="786"/>
      <c r="F66" s="1354"/>
    </row>
    <row r="67" spans="1:6" ht="76.5">
      <c r="A67" s="787" t="s">
        <v>53</v>
      </c>
      <c r="B67" s="788" t="s">
        <v>418</v>
      </c>
      <c r="C67" s="789"/>
      <c r="D67" s="790"/>
      <c r="E67" s="717"/>
      <c r="F67" s="1354"/>
    </row>
    <row r="68" spans="1:6">
      <c r="A68" s="787"/>
      <c r="B68" s="788"/>
      <c r="C68" s="789"/>
      <c r="D68" s="790"/>
      <c r="E68" s="717"/>
      <c r="F68" s="1354"/>
    </row>
    <row r="69" spans="1:6">
      <c r="A69" s="787" t="s">
        <v>93</v>
      </c>
      <c r="B69" s="788" t="s">
        <v>419</v>
      </c>
      <c r="C69" s="789"/>
      <c r="D69" s="790"/>
      <c r="E69" s="717"/>
      <c r="F69" s="1354"/>
    </row>
    <row r="70" spans="1:6">
      <c r="A70" s="524">
        <v>1</v>
      </c>
      <c r="B70" s="709" t="s">
        <v>420</v>
      </c>
      <c r="C70" s="791"/>
      <c r="D70" s="792"/>
      <c r="E70" s="1284"/>
      <c r="F70" s="1355"/>
    </row>
    <row r="71" spans="1:6">
      <c r="A71" s="734">
        <v>1.1000000000000001</v>
      </c>
      <c r="B71" s="518" t="s">
        <v>421</v>
      </c>
      <c r="C71" s="736">
        <v>250</v>
      </c>
      <c r="D71" s="794" t="s">
        <v>15</v>
      </c>
      <c r="E71" s="1285">
        <v>59.21</v>
      </c>
      <c r="F71" s="1349">
        <f t="shared" ref="F71:F101" si="3">+ROUND(E71*C71,2)</f>
        <v>14802.5</v>
      </c>
    </row>
    <row r="72" spans="1:6">
      <c r="A72" s="675"/>
      <c r="B72" s="514"/>
      <c r="C72" s="736"/>
      <c r="D72" s="794"/>
      <c r="E72" s="1285"/>
      <c r="F72" s="1349"/>
    </row>
    <row r="73" spans="1:6">
      <c r="A73" s="513">
        <v>2</v>
      </c>
      <c r="B73" s="514" t="s">
        <v>422</v>
      </c>
      <c r="C73" s="519"/>
      <c r="D73" s="611"/>
      <c r="E73" s="717"/>
      <c r="F73" s="1349"/>
    </row>
    <row r="74" spans="1:6" ht="14.25">
      <c r="A74" s="734">
        <v>2.1</v>
      </c>
      <c r="B74" s="518" t="s">
        <v>423</v>
      </c>
      <c r="C74" s="506">
        <v>1687.5</v>
      </c>
      <c r="D74" s="611" t="s">
        <v>424</v>
      </c>
      <c r="E74" s="717">
        <v>104.66</v>
      </c>
      <c r="F74" s="1349">
        <f t="shared" si="3"/>
        <v>176613.75</v>
      </c>
    </row>
    <row r="75" spans="1:6">
      <c r="A75" s="1141">
        <v>2.2000000000000002</v>
      </c>
      <c r="B75" s="1190" t="s">
        <v>425</v>
      </c>
      <c r="C75" s="860">
        <v>750</v>
      </c>
      <c r="D75" s="1143" t="s">
        <v>426</v>
      </c>
      <c r="E75" s="1286">
        <v>113.95</v>
      </c>
      <c r="F75" s="1356">
        <f t="shared" si="3"/>
        <v>85462.5</v>
      </c>
    </row>
    <row r="76" spans="1:6">
      <c r="A76" s="734">
        <v>2.2999999999999998</v>
      </c>
      <c r="B76" s="518" t="s">
        <v>427</v>
      </c>
      <c r="C76" s="506">
        <v>150</v>
      </c>
      <c r="D76" s="611" t="s">
        <v>426</v>
      </c>
      <c r="E76" s="717">
        <v>1094.5999999999999</v>
      </c>
      <c r="F76" s="1349">
        <f t="shared" si="3"/>
        <v>164190</v>
      </c>
    </row>
    <row r="77" spans="1:6">
      <c r="A77" s="734" t="s">
        <v>370</v>
      </c>
      <c r="B77" s="518" t="s">
        <v>428</v>
      </c>
      <c r="C77" s="506">
        <v>142.5</v>
      </c>
      <c r="D77" s="611" t="s">
        <v>426</v>
      </c>
      <c r="E77" s="717">
        <v>1022.86</v>
      </c>
      <c r="F77" s="1349">
        <f t="shared" si="3"/>
        <v>145757.54999999999</v>
      </c>
    </row>
    <row r="78" spans="1:6" ht="25.5">
      <c r="A78" s="734" t="s">
        <v>372</v>
      </c>
      <c r="B78" s="710" t="s">
        <v>429</v>
      </c>
      <c r="C78" s="506">
        <v>2025</v>
      </c>
      <c r="D78" s="611" t="s">
        <v>367</v>
      </c>
      <c r="E78" s="717">
        <v>350</v>
      </c>
      <c r="F78" s="1349">
        <f t="shared" si="3"/>
        <v>708750</v>
      </c>
    </row>
    <row r="79" spans="1:6">
      <c r="A79" s="517"/>
      <c r="B79" s="518"/>
      <c r="C79" s="519"/>
      <c r="D79" s="611"/>
      <c r="E79" s="717"/>
      <c r="F79" s="1349"/>
    </row>
    <row r="80" spans="1:6">
      <c r="A80" s="653">
        <v>3</v>
      </c>
      <c r="B80" s="514" t="s">
        <v>430</v>
      </c>
      <c r="C80" s="519"/>
      <c r="D80" s="611"/>
      <c r="E80" s="717"/>
      <c r="F80" s="1349"/>
    </row>
    <row r="81" spans="1:6">
      <c r="A81" s="734">
        <v>3.1</v>
      </c>
      <c r="B81" s="710" t="s">
        <v>431</v>
      </c>
      <c r="C81" s="506">
        <v>1750</v>
      </c>
      <c r="D81" s="611" t="s">
        <v>300</v>
      </c>
      <c r="E81" s="717">
        <v>806.16</v>
      </c>
      <c r="F81" s="1349">
        <f t="shared" si="3"/>
        <v>1410780</v>
      </c>
    </row>
    <row r="82" spans="1:6">
      <c r="A82" s="734"/>
      <c r="B82" s="504"/>
      <c r="C82" s="506"/>
      <c r="D82" s="611"/>
      <c r="E82" s="717"/>
      <c r="F82" s="1349"/>
    </row>
    <row r="83" spans="1:6">
      <c r="A83" s="797" t="s">
        <v>432</v>
      </c>
      <c r="B83" s="788" t="s">
        <v>433</v>
      </c>
      <c r="C83" s="506"/>
      <c r="D83" s="611"/>
      <c r="E83" s="717"/>
      <c r="F83" s="1349"/>
    </row>
    <row r="84" spans="1:6">
      <c r="A84" s="734"/>
      <c r="B84" s="788"/>
      <c r="C84" s="506"/>
      <c r="D84" s="611"/>
      <c r="E84" s="717"/>
      <c r="F84" s="1349"/>
    </row>
    <row r="85" spans="1:6">
      <c r="A85" s="524">
        <v>1</v>
      </c>
      <c r="B85" s="709" t="s">
        <v>420</v>
      </c>
      <c r="C85" s="791"/>
      <c r="D85" s="792"/>
      <c r="E85" s="1284"/>
      <c r="F85" s="1349"/>
    </row>
    <row r="86" spans="1:6">
      <c r="A86" s="798" t="s">
        <v>434</v>
      </c>
      <c r="B86" s="799" t="s">
        <v>435</v>
      </c>
      <c r="C86" s="784">
        <v>200</v>
      </c>
      <c r="D86" s="785" t="s">
        <v>15</v>
      </c>
      <c r="E86" s="1284">
        <v>59.21</v>
      </c>
      <c r="F86" s="1349">
        <f t="shared" si="3"/>
        <v>11842</v>
      </c>
    </row>
    <row r="87" spans="1:6">
      <c r="A87" s="798"/>
      <c r="B87" s="799"/>
      <c r="C87" s="784"/>
      <c r="D87" s="785"/>
      <c r="E87" s="1284"/>
      <c r="F87" s="1349"/>
    </row>
    <row r="88" spans="1:6">
      <c r="A88" s="800">
        <v>2</v>
      </c>
      <c r="B88" s="801" t="s">
        <v>296</v>
      </c>
      <c r="C88" s="784"/>
      <c r="D88" s="785"/>
      <c r="E88" s="786"/>
      <c r="F88" s="1349"/>
    </row>
    <row r="89" spans="1:6">
      <c r="A89" s="802" t="s">
        <v>362</v>
      </c>
      <c r="B89" s="519" t="s">
        <v>436</v>
      </c>
      <c r="C89" s="803">
        <v>595.20000000000005</v>
      </c>
      <c r="D89" s="804" t="s">
        <v>364</v>
      </c>
      <c r="E89" s="1287">
        <v>104.66</v>
      </c>
      <c r="F89" s="1349">
        <f t="shared" si="3"/>
        <v>62293.63</v>
      </c>
    </row>
    <row r="90" spans="1:6">
      <c r="A90" s="802" t="s">
        <v>365</v>
      </c>
      <c r="B90" s="519" t="s">
        <v>437</v>
      </c>
      <c r="C90" s="803">
        <v>148.80000000000001</v>
      </c>
      <c r="D90" s="804" t="s">
        <v>364</v>
      </c>
      <c r="E90" s="1287">
        <v>183.17</v>
      </c>
      <c r="F90" s="1349">
        <f t="shared" si="3"/>
        <v>27255.7</v>
      </c>
    </row>
    <row r="91" spans="1:6" ht="14.25">
      <c r="A91" s="802" t="s">
        <v>368</v>
      </c>
      <c r="B91" s="806" t="s">
        <v>438</v>
      </c>
      <c r="C91" s="803">
        <v>220</v>
      </c>
      <c r="D91" s="611" t="s">
        <v>439</v>
      </c>
      <c r="E91" s="1288">
        <v>231.89</v>
      </c>
      <c r="F91" s="1349">
        <f t="shared" si="3"/>
        <v>51015.8</v>
      </c>
    </row>
    <row r="92" spans="1:6">
      <c r="A92" s="802" t="s">
        <v>370</v>
      </c>
      <c r="B92" s="518" t="s">
        <v>440</v>
      </c>
      <c r="C92" s="784">
        <v>582.07000000000005</v>
      </c>
      <c r="D92" s="785" t="s">
        <v>426</v>
      </c>
      <c r="E92" s="1288">
        <v>430.39</v>
      </c>
      <c r="F92" s="1349">
        <f t="shared" si="3"/>
        <v>250517.11</v>
      </c>
    </row>
    <row r="93" spans="1:6">
      <c r="A93" s="802" t="s">
        <v>372</v>
      </c>
      <c r="B93" s="518" t="s">
        <v>441</v>
      </c>
      <c r="C93" s="784">
        <v>194.32</v>
      </c>
      <c r="D93" s="785" t="s">
        <v>367</v>
      </c>
      <c r="E93" s="1287">
        <v>219.89</v>
      </c>
      <c r="F93" s="1349">
        <f t="shared" si="3"/>
        <v>42729.02</v>
      </c>
    </row>
    <row r="94" spans="1:6">
      <c r="A94" s="879"/>
      <c r="B94" s="880"/>
      <c r="C94" s="784"/>
      <c r="D94" s="785"/>
      <c r="E94" s="786"/>
      <c r="F94" s="1349"/>
    </row>
    <row r="95" spans="1:6">
      <c r="A95" s="800">
        <v>3</v>
      </c>
      <c r="B95" s="801" t="s">
        <v>442</v>
      </c>
      <c r="C95" s="784"/>
      <c r="D95" s="785"/>
      <c r="E95" s="786"/>
      <c r="F95" s="1353"/>
    </row>
    <row r="96" spans="1:6">
      <c r="A96" s="802" t="s">
        <v>381</v>
      </c>
      <c r="B96" s="799" t="s">
        <v>443</v>
      </c>
      <c r="C96" s="784">
        <v>200</v>
      </c>
      <c r="D96" s="785" t="s">
        <v>10</v>
      </c>
      <c r="E96" s="808">
        <v>15000</v>
      </c>
      <c r="F96" s="1353">
        <f t="shared" si="3"/>
        <v>3000000</v>
      </c>
    </row>
    <row r="97" spans="1:6">
      <c r="A97" s="809"/>
      <c r="B97" s="799"/>
      <c r="C97" s="784"/>
      <c r="D97" s="785"/>
      <c r="E97" s="786"/>
      <c r="F97" s="1353"/>
    </row>
    <row r="98" spans="1:6">
      <c r="A98" s="800">
        <v>4</v>
      </c>
      <c r="B98" s="801" t="s">
        <v>444</v>
      </c>
      <c r="C98" s="784"/>
      <c r="D98" s="785"/>
      <c r="E98" s="786"/>
      <c r="F98" s="1353"/>
    </row>
    <row r="99" spans="1:6">
      <c r="A99" s="802" t="s">
        <v>390</v>
      </c>
      <c r="B99" s="799" t="s">
        <v>443</v>
      </c>
      <c r="C99" s="784">
        <v>200</v>
      </c>
      <c r="D99" s="785" t="s">
        <v>15</v>
      </c>
      <c r="E99" s="786">
        <v>2164.0300000000002</v>
      </c>
      <c r="F99" s="1353">
        <f t="shared" si="3"/>
        <v>432806</v>
      </c>
    </row>
    <row r="100" spans="1:6">
      <c r="A100" s="802"/>
      <c r="B100" s="799"/>
      <c r="C100" s="784"/>
      <c r="D100" s="785"/>
      <c r="E100" s="786"/>
      <c r="F100" s="1353"/>
    </row>
    <row r="101" spans="1:6">
      <c r="A101" s="800">
        <v>5</v>
      </c>
      <c r="B101" s="801" t="s">
        <v>445</v>
      </c>
      <c r="C101" s="784">
        <v>12</v>
      </c>
      <c r="D101" s="785" t="s">
        <v>10</v>
      </c>
      <c r="E101" s="786">
        <v>9605.07</v>
      </c>
      <c r="F101" s="1353">
        <f t="shared" si="3"/>
        <v>115260.84</v>
      </c>
    </row>
    <row r="102" spans="1:6">
      <c r="A102" s="838"/>
      <c r="B102" s="839" t="s">
        <v>58</v>
      </c>
      <c r="C102" s="840"/>
      <c r="D102" s="841"/>
      <c r="E102" s="1282"/>
      <c r="F102" s="1350">
        <f>SUM(F71:F101)</f>
        <v>6700076.4000000004</v>
      </c>
    </row>
    <row r="103" spans="1:6">
      <c r="A103" s="477"/>
      <c r="B103" s="500"/>
      <c r="C103" s="472"/>
      <c r="D103" s="473"/>
      <c r="E103" s="1289"/>
      <c r="F103" s="1357"/>
    </row>
    <row r="104" spans="1:6" ht="25.5">
      <c r="A104" s="836" t="s">
        <v>59</v>
      </c>
      <c r="B104" s="774" t="s">
        <v>446</v>
      </c>
      <c r="C104" s="784"/>
      <c r="D104" s="785"/>
      <c r="E104" s="786"/>
      <c r="F104" s="1354"/>
    </row>
    <row r="105" spans="1:6">
      <c r="A105" s="836"/>
      <c r="B105" s="788"/>
      <c r="C105" s="784"/>
      <c r="D105" s="785"/>
      <c r="E105" s="786"/>
      <c r="F105" s="1354"/>
    </row>
    <row r="106" spans="1:6" ht="25.5">
      <c r="A106" s="504" t="s">
        <v>447</v>
      </c>
      <c r="B106" s="774" t="s">
        <v>448</v>
      </c>
      <c r="C106" s="506"/>
      <c r="D106" s="507"/>
      <c r="E106" s="1281"/>
      <c r="F106" s="1358"/>
    </row>
    <row r="107" spans="1:6">
      <c r="A107" s="509"/>
      <c r="B107" s="510"/>
      <c r="C107" s="511"/>
      <c r="D107" s="512"/>
      <c r="E107" s="1290"/>
      <c r="F107" s="1359"/>
    </row>
    <row r="108" spans="1:6">
      <c r="A108" s="513">
        <v>1</v>
      </c>
      <c r="B108" s="514" t="s">
        <v>420</v>
      </c>
      <c r="C108" s="506"/>
      <c r="D108" s="507"/>
      <c r="E108" s="1291"/>
      <c r="F108" s="1353"/>
    </row>
    <row r="109" spans="1:6">
      <c r="A109" s="517">
        <v>1.1000000000000001</v>
      </c>
      <c r="B109" s="518" t="s">
        <v>307</v>
      </c>
      <c r="C109" s="506">
        <v>1</v>
      </c>
      <c r="D109" s="507" t="s">
        <v>10</v>
      </c>
      <c r="E109" s="1291">
        <v>10519.02</v>
      </c>
      <c r="F109" s="1353">
        <f>+ROUND(E109*C109,2)</f>
        <v>10519.02</v>
      </c>
    </row>
    <row r="110" spans="1:6">
      <c r="A110" s="519"/>
      <c r="B110" s="514"/>
      <c r="C110" s="520"/>
      <c r="D110" s="521"/>
      <c r="E110" s="1291"/>
      <c r="F110" s="1360"/>
    </row>
    <row r="111" spans="1:6">
      <c r="A111" s="524">
        <v>2</v>
      </c>
      <c r="B111" s="514" t="s">
        <v>451</v>
      </c>
      <c r="C111" s="506"/>
      <c r="D111" s="521"/>
      <c r="E111" s="1291"/>
      <c r="F111" s="1353"/>
    </row>
    <row r="112" spans="1:6">
      <c r="A112" s="525">
        <v>2.1</v>
      </c>
      <c r="B112" s="518" t="s">
        <v>452</v>
      </c>
      <c r="C112" s="506">
        <v>153.01</v>
      </c>
      <c r="D112" s="521" t="s">
        <v>298</v>
      </c>
      <c r="E112" s="1281">
        <v>2009</v>
      </c>
      <c r="F112" s="1353">
        <f>+ROUND(E112*C112,2)</f>
        <v>307397.09000000003</v>
      </c>
    </row>
    <row r="113" spans="1:6">
      <c r="A113" s="525">
        <v>2.2000000000000002</v>
      </c>
      <c r="B113" s="518" t="s">
        <v>453</v>
      </c>
      <c r="C113" s="506">
        <v>26.86</v>
      </c>
      <c r="D113" s="521" t="s">
        <v>298</v>
      </c>
      <c r="E113" s="1281">
        <v>9232.7000000000007</v>
      </c>
      <c r="F113" s="1353">
        <f>+ROUND(E113*C113,2)</f>
        <v>247990.32</v>
      </c>
    </row>
    <row r="114" spans="1:6">
      <c r="A114" s="525">
        <v>2.2999999999999998</v>
      </c>
      <c r="B114" s="518" t="s">
        <v>454</v>
      </c>
      <c r="C114" s="506">
        <v>2</v>
      </c>
      <c r="D114" s="521" t="s">
        <v>10</v>
      </c>
      <c r="E114" s="1291">
        <v>35926.93</v>
      </c>
      <c r="F114" s="1353">
        <f>+ROUND(E114*C114,2)</f>
        <v>71853.86</v>
      </c>
    </row>
    <row r="115" spans="1:6">
      <c r="A115" s="525">
        <v>2.4</v>
      </c>
      <c r="B115" s="518" t="s">
        <v>455</v>
      </c>
      <c r="C115" s="506">
        <v>7</v>
      </c>
      <c r="D115" s="521" t="s">
        <v>10</v>
      </c>
      <c r="E115" s="1291">
        <v>22862.6</v>
      </c>
      <c r="F115" s="1353">
        <f t="shared" ref="F115:F120" si="4">+ROUND(E115*C115,2)</f>
        <v>160038.20000000001</v>
      </c>
    </row>
    <row r="116" spans="1:6">
      <c r="A116" s="525">
        <v>2.5</v>
      </c>
      <c r="B116" s="518" t="s">
        <v>456</v>
      </c>
      <c r="C116" s="506">
        <v>4</v>
      </c>
      <c r="D116" s="521" t="s">
        <v>10</v>
      </c>
      <c r="E116" s="1291">
        <v>22300</v>
      </c>
      <c r="F116" s="1353">
        <f t="shared" si="4"/>
        <v>89200</v>
      </c>
    </row>
    <row r="117" spans="1:6">
      <c r="A117" s="525">
        <v>2.6</v>
      </c>
      <c r="B117" s="518" t="s">
        <v>457</v>
      </c>
      <c r="C117" s="506">
        <v>4</v>
      </c>
      <c r="D117" s="521" t="s">
        <v>10</v>
      </c>
      <c r="E117" s="1291">
        <v>35926.93</v>
      </c>
      <c r="F117" s="1353">
        <f t="shared" si="4"/>
        <v>143707.72</v>
      </c>
    </row>
    <row r="118" spans="1:6">
      <c r="A118" s="525">
        <v>2.7</v>
      </c>
      <c r="B118" s="518" t="s">
        <v>458</v>
      </c>
      <c r="C118" s="506">
        <v>5</v>
      </c>
      <c r="D118" s="521" t="s">
        <v>10</v>
      </c>
      <c r="E118" s="1291">
        <v>28000</v>
      </c>
      <c r="F118" s="1353">
        <f t="shared" si="4"/>
        <v>140000</v>
      </c>
    </row>
    <row r="119" spans="1:6">
      <c r="A119" s="525">
        <v>2.8</v>
      </c>
      <c r="B119" s="518" t="s">
        <v>459</v>
      </c>
      <c r="C119" s="506">
        <v>2</v>
      </c>
      <c r="D119" s="521" t="s">
        <v>10</v>
      </c>
      <c r="E119" s="1291">
        <v>28000</v>
      </c>
      <c r="F119" s="1353">
        <f t="shared" si="4"/>
        <v>56000</v>
      </c>
    </row>
    <row r="120" spans="1:6">
      <c r="A120" s="525">
        <v>2.9</v>
      </c>
      <c r="B120" s="518" t="s">
        <v>460</v>
      </c>
      <c r="C120" s="506">
        <v>2</v>
      </c>
      <c r="D120" s="521" t="s">
        <v>10</v>
      </c>
      <c r="E120" s="1291">
        <v>35926.93</v>
      </c>
      <c r="F120" s="1353">
        <f t="shared" si="4"/>
        <v>71853.86</v>
      </c>
    </row>
    <row r="121" spans="1:6">
      <c r="A121" s="528"/>
      <c r="B121" s="518"/>
      <c r="C121" s="506"/>
      <c r="D121" s="521"/>
      <c r="E121" s="1291"/>
      <c r="F121" s="1353"/>
    </row>
    <row r="122" spans="1:6">
      <c r="A122" s="524">
        <v>3</v>
      </c>
      <c r="B122" s="514" t="s">
        <v>461</v>
      </c>
      <c r="C122" s="533"/>
      <c r="D122" s="534"/>
      <c r="E122" s="1280"/>
      <c r="F122" s="1353"/>
    </row>
    <row r="123" spans="1:6">
      <c r="A123" s="536">
        <v>3.1</v>
      </c>
      <c r="B123" s="518" t="s">
        <v>462</v>
      </c>
      <c r="C123" s="537">
        <v>7874.05</v>
      </c>
      <c r="D123" s="538" t="s">
        <v>300</v>
      </c>
      <c r="E123" s="1281">
        <v>1127.82</v>
      </c>
      <c r="F123" s="1353">
        <f>+ROUND(E123*C123,2)</f>
        <v>8880511.0700000003</v>
      </c>
    </row>
    <row r="124" spans="1:6">
      <c r="A124" s="528"/>
      <c r="B124" s="518"/>
      <c r="C124" s="506"/>
      <c r="D124" s="521"/>
      <c r="E124" s="1291"/>
      <c r="F124" s="1353"/>
    </row>
    <row r="125" spans="1:6" ht="25.5">
      <c r="A125" s="524">
        <v>4</v>
      </c>
      <c r="B125" s="514" t="s">
        <v>463</v>
      </c>
      <c r="C125" s="506"/>
      <c r="D125" s="521"/>
      <c r="E125" s="1291"/>
      <c r="F125" s="1353"/>
    </row>
    <row r="126" spans="1:6">
      <c r="A126" s="525">
        <v>4.0999999999999996</v>
      </c>
      <c r="B126" s="518" t="s">
        <v>464</v>
      </c>
      <c r="C126" s="506">
        <v>93497.71</v>
      </c>
      <c r="D126" s="521" t="s">
        <v>300</v>
      </c>
      <c r="E126" s="1291">
        <v>150</v>
      </c>
      <c r="F126" s="1353">
        <f t="shared" ref="F126:F161" si="5">+ROUND(E126*C126,2)</f>
        <v>14024656.5</v>
      </c>
    </row>
    <row r="127" spans="1:6">
      <c r="A127" s="525">
        <v>4.2</v>
      </c>
      <c r="B127" s="518" t="s">
        <v>465</v>
      </c>
      <c r="C127" s="506">
        <v>1949.12</v>
      </c>
      <c r="D127" s="521" t="s">
        <v>300</v>
      </c>
      <c r="E127" s="1291">
        <v>210</v>
      </c>
      <c r="F127" s="1353">
        <f t="shared" si="5"/>
        <v>409315.2</v>
      </c>
    </row>
    <row r="128" spans="1:6">
      <c r="A128" s="525">
        <v>4.3</v>
      </c>
      <c r="B128" s="518" t="s">
        <v>466</v>
      </c>
      <c r="C128" s="506">
        <v>15</v>
      </c>
      <c r="D128" s="521" t="s">
        <v>10</v>
      </c>
      <c r="E128" s="1291">
        <v>997.5</v>
      </c>
      <c r="F128" s="1353">
        <f t="shared" si="5"/>
        <v>14962.5</v>
      </c>
    </row>
    <row r="129" spans="1:6">
      <c r="A129" s="525">
        <v>4.4000000000000004</v>
      </c>
      <c r="B129" s="518" t="s">
        <v>467</v>
      </c>
      <c r="C129" s="506">
        <v>50</v>
      </c>
      <c r="D129" s="521" t="s">
        <v>10</v>
      </c>
      <c r="E129" s="1291">
        <v>5600</v>
      </c>
      <c r="F129" s="1353">
        <f t="shared" si="5"/>
        <v>280000</v>
      </c>
    </row>
    <row r="130" spans="1:6">
      <c r="A130" s="525">
        <v>4.5</v>
      </c>
      <c r="B130" s="518" t="s">
        <v>468</v>
      </c>
      <c r="C130" s="506">
        <v>15</v>
      </c>
      <c r="D130" s="521" t="s">
        <v>10</v>
      </c>
      <c r="E130" s="1291">
        <v>945</v>
      </c>
      <c r="F130" s="1353">
        <f t="shared" si="5"/>
        <v>14175</v>
      </c>
    </row>
    <row r="131" spans="1:6">
      <c r="A131" s="525">
        <v>4.5999999999999996</v>
      </c>
      <c r="B131" s="518" t="s">
        <v>469</v>
      </c>
      <c r="C131" s="506">
        <v>50</v>
      </c>
      <c r="D131" s="521" t="s">
        <v>10</v>
      </c>
      <c r="E131" s="1291">
        <v>1000</v>
      </c>
      <c r="F131" s="1353">
        <f t="shared" si="5"/>
        <v>50000</v>
      </c>
    </row>
    <row r="132" spans="1:6">
      <c r="A132" s="525">
        <v>4.7</v>
      </c>
      <c r="B132" s="518" t="s">
        <v>470</v>
      </c>
      <c r="C132" s="506">
        <v>10</v>
      </c>
      <c r="D132" s="521" t="s">
        <v>10</v>
      </c>
      <c r="E132" s="1291">
        <v>472.5</v>
      </c>
      <c r="F132" s="1353">
        <f t="shared" si="5"/>
        <v>4725</v>
      </c>
    </row>
    <row r="133" spans="1:6">
      <c r="A133" s="525">
        <v>4.8</v>
      </c>
      <c r="B133" s="518" t="s">
        <v>471</v>
      </c>
      <c r="C133" s="506">
        <v>10</v>
      </c>
      <c r="D133" s="521" t="s">
        <v>10</v>
      </c>
      <c r="E133" s="1291">
        <v>997.5</v>
      </c>
      <c r="F133" s="1353">
        <f t="shared" si="5"/>
        <v>9975</v>
      </c>
    </row>
    <row r="134" spans="1:6">
      <c r="A134" s="525">
        <v>4.9000000000000004</v>
      </c>
      <c r="B134" s="518" t="s">
        <v>472</v>
      </c>
      <c r="C134" s="506">
        <v>20</v>
      </c>
      <c r="D134" s="521" t="s">
        <v>10</v>
      </c>
      <c r="E134" s="1291">
        <v>997.5</v>
      </c>
      <c r="F134" s="1353">
        <f t="shared" si="5"/>
        <v>19950</v>
      </c>
    </row>
    <row r="135" spans="1:6">
      <c r="A135" s="531">
        <v>6.1</v>
      </c>
      <c r="B135" s="518" t="s">
        <v>473</v>
      </c>
      <c r="C135" s="506">
        <v>10</v>
      </c>
      <c r="D135" s="521" t="s">
        <v>10</v>
      </c>
      <c r="E135" s="1291">
        <v>997.5</v>
      </c>
      <c r="F135" s="1353">
        <f t="shared" si="5"/>
        <v>9975</v>
      </c>
    </row>
    <row r="136" spans="1:6">
      <c r="A136" s="539">
        <v>6.11</v>
      </c>
      <c r="B136" s="518" t="s">
        <v>474</v>
      </c>
      <c r="C136" s="506">
        <v>50</v>
      </c>
      <c r="D136" s="521" t="s">
        <v>10</v>
      </c>
      <c r="E136" s="1291">
        <v>997.5</v>
      </c>
      <c r="F136" s="1353">
        <f t="shared" si="5"/>
        <v>49875</v>
      </c>
    </row>
    <row r="137" spans="1:6">
      <c r="A137" s="539">
        <v>6.12</v>
      </c>
      <c r="B137" s="518" t="s">
        <v>475</v>
      </c>
      <c r="C137" s="506">
        <v>25</v>
      </c>
      <c r="D137" s="521" t="s">
        <v>10</v>
      </c>
      <c r="E137" s="1291">
        <v>997.5</v>
      </c>
      <c r="F137" s="1353">
        <f t="shared" si="5"/>
        <v>24937.5</v>
      </c>
    </row>
    <row r="138" spans="1:6">
      <c r="A138" s="539">
        <v>6.13</v>
      </c>
      <c r="B138" s="518" t="s">
        <v>476</v>
      </c>
      <c r="C138" s="506">
        <v>30</v>
      </c>
      <c r="D138" s="521" t="s">
        <v>10</v>
      </c>
      <c r="E138" s="1291">
        <v>997.5</v>
      </c>
      <c r="F138" s="1353">
        <f t="shared" si="5"/>
        <v>29925</v>
      </c>
    </row>
    <row r="139" spans="1:6">
      <c r="A139" s="539">
        <v>6.14</v>
      </c>
      <c r="B139" s="518" t="s">
        <v>477</v>
      </c>
      <c r="C139" s="506">
        <v>50</v>
      </c>
      <c r="D139" s="521" t="s">
        <v>10</v>
      </c>
      <c r="E139" s="1291">
        <v>472.5</v>
      </c>
      <c r="F139" s="1353">
        <f t="shared" si="5"/>
        <v>23625</v>
      </c>
    </row>
    <row r="140" spans="1:6">
      <c r="A140" s="859">
        <v>6.15</v>
      </c>
      <c r="B140" s="1191" t="s">
        <v>478</v>
      </c>
      <c r="C140" s="860">
        <v>5</v>
      </c>
      <c r="D140" s="1192" t="s">
        <v>10</v>
      </c>
      <c r="E140" s="1292">
        <v>997.5</v>
      </c>
      <c r="F140" s="1361">
        <f t="shared" si="5"/>
        <v>4987.5</v>
      </c>
    </row>
    <row r="141" spans="1:6">
      <c r="A141" s="539">
        <v>6.16</v>
      </c>
      <c r="B141" s="518" t="s">
        <v>479</v>
      </c>
      <c r="C141" s="506">
        <v>25</v>
      </c>
      <c r="D141" s="521" t="s">
        <v>10</v>
      </c>
      <c r="E141" s="1291">
        <v>1050</v>
      </c>
      <c r="F141" s="1353">
        <f t="shared" si="5"/>
        <v>26250</v>
      </c>
    </row>
    <row r="142" spans="1:6">
      <c r="A142" s="539">
        <v>6.17</v>
      </c>
      <c r="B142" s="518" t="s">
        <v>480</v>
      </c>
      <c r="C142" s="506">
        <v>25</v>
      </c>
      <c r="D142" s="521" t="s">
        <v>10</v>
      </c>
      <c r="E142" s="1291">
        <v>472.5</v>
      </c>
      <c r="F142" s="1353">
        <f t="shared" si="5"/>
        <v>11812.5</v>
      </c>
    </row>
    <row r="143" spans="1:6">
      <c r="A143" s="539">
        <v>6.18</v>
      </c>
      <c r="B143" s="518" t="s">
        <v>481</v>
      </c>
      <c r="C143" s="506">
        <v>25</v>
      </c>
      <c r="D143" s="521" t="s">
        <v>10</v>
      </c>
      <c r="E143" s="1291">
        <v>997.5</v>
      </c>
      <c r="F143" s="1353">
        <f t="shared" si="5"/>
        <v>24937.5</v>
      </c>
    </row>
    <row r="144" spans="1:6">
      <c r="A144" s="539">
        <v>6.19</v>
      </c>
      <c r="B144" s="518" t="s">
        <v>482</v>
      </c>
      <c r="C144" s="506">
        <v>25</v>
      </c>
      <c r="D144" s="521" t="s">
        <v>10</v>
      </c>
      <c r="E144" s="1291">
        <v>998.5</v>
      </c>
      <c r="F144" s="1353">
        <f t="shared" si="5"/>
        <v>24962.5</v>
      </c>
    </row>
    <row r="145" spans="1:6">
      <c r="A145" s="531">
        <v>6.2</v>
      </c>
      <c r="B145" s="518" t="s">
        <v>483</v>
      </c>
      <c r="C145" s="506">
        <v>10</v>
      </c>
      <c r="D145" s="521" t="s">
        <v>10</v>
      </c>
      <c r="E145" s="1291">
        <v>131.25</v>
      </c>
      <c r="F145" s="1353">
        <f t="shared" si="5"/>
        <v>1312.5</v>
      </c>
    </row>
    <row r="146" spans="1:6">
      <c r="A146" s="539">
        <v>6.21</v>
      </c>
      <c r="B146" s="518" t="s">
        <v>484</v>
      </c>
      <c r="C146" s="506">
        <v>25</v>
      </c>
      <c r="D146" s="521" t="s">
        <v>10</v>
      </c>
      <c r="E146" s="1291">
        <v>1050</v>
      </c>
      <c r="F146" s="1353">
        <f t="shared" si="5"/>
        <v>26250</v>
      </c>
    </row>
    <row r="147" spans="1:6">
      <c r="A147" s="539">
        <v>6.22</v>
      </c>
      <c r="B147" s="518" t="s">
        <v>485</v>
      </c>
      <c r="C147" s="506">
        <v>50</v>
      </c>
      <c r="D147" s="521" t="s">
        <v>10</v>
      </c>
      <c r="E147" s="1291">
        <v>6000</v>
      </c>
      <c r="F147" s="1353">
        <f t="shared" si="5"/>
        <v>300000</v>
      </c>
    </row>
    <row r="148" spans="1:6">
      <c r="A148" s="539">
        <v>6.23</v>
      </c>
      <c r="B148" s="518" t="s">
        <v>486</v>
      </c>
      <c r="C148" s="506">
        <v>50</v>
      </c>
      <c r="D148" s="521" t="s">
        <v>10</v>
      </c>
      <c r="E148" s="1291">
        <v>6000</v>
      </c>
      <c r="F148" s="1353">
        <f t="shared" si="5"/>
        <v>300000</v>
      </c>
    </row>
    <row r="149" spans="1:6">
      <c r="A149" s="539">
        <v>6.24</v>
      </c>
      <c r="B149" s="518" t="s">
        <v>487</v>
      </c>
      <c r="C149" s="506">
        <v>50</v>
      </c>
      <c r="D149" s="521" t="s">
        <v>10</v>
      </c>
      <c r="E149" s="1291">
        <v>6000</v>
      </c>
      <c r="F149" s="1353">
        <f t="shared" si="5"/>
        <v>300000</v>
      </c>
    </row>
    <row r="150" spans="1:6">
      <c r="A150" s="539">
        <v>6.25</v>
      </c>
      <c r="B150" s="518" t="s">
        <v>488</v>
      </c>
      <c r="C150" s="506">
        <v>150</v>
      </c>
      <c r="D150" s="521" t="s">
        <v>10</v>
      </c>
      <c r="E150" s="1291">
        <v>68.25</v>
      </c>
      <c r="F150" s="1353">
        <f t="shared" si="5"/>
        <v>10237.5</v>
      </c>
    </row>
    <row r="151" spans="1:6">
      <c r="A151" s="539">
        <v>6.26</v>
      </c>
      <c r="B151" s="518" t="s">
        <v>489</v>
      </c>
      <c r="C151" s="506">
        <v>150</v>
      </c>
      <c r="D151" s="521" t="s">
        <v>10</v>
      </c>
      <c r="E151" s="1291">
        <v>69.25</v>
      </c>
      <c r="F151" s="1353">
        <f t="shared" si="5"/>
        <v>10387.5</v>
      </c>
    </row>
    <row r="152" spans="1:6">
      <c r="A152" s="539">
        <v>6.27</v>
      </c>
      <c r="B152" s="518" t="s">
        <v>490</v>
      </c>
      <c r="C152" s="506">
        <v>250</v>
      </c>
      <c r="D152" s="521" t="s">
        <v>10</v>
      </c>
      <c r="E152" s="1291">
        <v>73</v>
      </c>
      <c r="F152" s="1353">
        <f t="shared" si="5"/>
        <v>18250</v>
      </c>
    </row>
    <row r="153" spans="1:6">
      <c r="A153" s="539">
        <v>6.28</v>
      </c>
      <c r="B153" s="518" t="s">
        <v>491</v>
      </c>
      <c r="C153" s="506">
        <v>150</v>
      </c>
      <c r="D153" s="521" t="s">
        <v>10</v>
      </c>
      <c r="E153" s="1291">
        <v>1575</v>
      </c>
      <c r="F153" s="1353">
        <f t="shared" si="5"/>
        <v>236250</v>
      </c>
    </row>
    <row r="154" spans="1:6">
      <c r="A154" s="539">
        <v>6.29</v>
      </c>
      <c r="B154" s="518" t="s">
        <v>492</v>
      </c>
      <c r="C154" s="506">
        <v>250</v>
      </c>
      <c r="D154" s="521" t="s">
        <v>10</v>
      </c>
      <c r="E154" s="1291">
        <v>51</v>
      </c>
      <c r="F154" s="1353">
        <f t="shared" si="5"/>
        <v>12750</v>
      </c>
    </row>
    <row r="155" spans="1:6">
      <c r="A155" s="531">
        <v>6.3</v>
      </c>
      <c r="B155" s="518" t="s">
        <v>493</v>
      </c>
      <c r="C155" s="506">
        <v>1500</v>
      </c>
      <c r="D155" s="521" t="s">
        <v>10</v>
      </c>
      <c r="E155" s="1291">
        <v>42</v>
      </c>
      <c r="F155" s="1353">
        <f t="shared" si="5"/>
        <v>63000</v>
      </c>
    </row>
    <row r="156" spans="1:6">
      <c r="A156" s="539">
        <v>6.31</v>
      </c>
      <c r="B156" s="518" t="s">
        <v>494</v>
      </c>
      <c r="C156" s="506">
        <v>500</v>
      </c>
      <c r="D156" s="521" t="s">
        <v>10</v>
      </c>
      <c r="E156" s="1291">
        <v>200</v>
      </c>
      <c r="F156" s="1353">
        <f t="shared" si="5"/>
        <v>100000</v>
      </c>
    </row>
    <row r="157" spans="1:6">
      <c r="A157" s="539">
        <v>6.32</v>
      </c>
      <c r="B157" s="518" t="s">
        <v>495</v>
      </c>
      <c r="C157" s="506">
        <v>500</v>
      </c>
      <c r="D157" s="521" t="s">
        <v>10</v>
      </c>
      <c r="E157" s="1291">
        <v>325</v>
      </c>
      <c r="F157" s="1353">
        <f t="shared" si="5"/>
        <v>162500</v>
      </c>
    </row>
    <row r="158" spans="1:6">
      <c r="A158" s="539">
        <v>6.33</v>
      </c>
      <c r="B158" s="518" t="s">
        <v>496</v>
      </c>
      <c r="C158" s="506">
        <v>100</v>
      </c>
      <c r="D158" s="521" t="s">
        <v>10</v>
      </c>
      <c r="E158" s="1291">
        <v>46.3</v>
      </c>
      <c r="F158" s="1353">
        <f t="shared" si="5"/>
        <v>4630</v>
      </c>
    </row>
    <row r="159" spans="1:6">
      <c r="A159" s="539">
        <v>6.34</v>
      </c>
      <c r="B159" s="518" t="s">
        <v>497</v>
      </c>
      <c r="C159" s="506">
        <v>750</v>
      </c>
      <c r="D159" s="521" t="s">
        <v>298</v>
      </c>
      <c r="E159" s="1291">
        <v>1000</v>
      </c>
      <c r="F159" s="1353">
        <f t="shared" si="5"/>
        <v>750000</v>
      </c>
    </row>
    <row r="160" spans="1:6">
      <c r="A160" s="539">
        <v>6.35</v>
      </c>
      <c r="B160" s="518" t="s">
        <v>498</v>
      </c>
      <c r="C160" s="506">
        <v>2597.16</v>
      </c>
      <c r="D160" s="521" t="s">
        <v>10</v>
      </c>
      <c r="E160" s="1291">
        <v>150</v>
      </c>
      <c r="F160" s="1353">
        <f t="shared" si="5"/>
        <v>389574</v>
      </c>
    </row>
    <row r="161" spans="1:6">
      <c r="A161" s="539">
        <v>6.36</v>
      </c>
      <c r="B161" s="518" t="s">
        <v>499</v>
      </c>
      <c r="C161" s="506">
        <v>1</v>
      </c>
      <c r="D161" s="521" t="s">
        <v>500</v>
      </c>
      <c r="E161" s="1291">
        <v>12000</v>
      </c>
      <c r="F161" s="1353">
        <f t="shared" si="5"/>
        <v>12000</v>
      </c>
    </row>
    <row r="162" spans="1:6" ht="6.75" customHeight="1">
      <c r="A162" s="539"/>
      <c r="B162" s="518"/>
      <c r="C162" s="506"/>
      <c r="D162" s="521"/>
      <c r="E162" s="1291"/>
      <c r="F162" s="1353"/>
    </row>
    <row r="163" spans="1:6">
      <c r="A163" s="524">
        <v>5</v>
      </c>
      <c r="B163" s="518" t="s">
        <v>501</v>
      </c>
      <c r="C163" s="506">
        <v>23</v>
      </c>
      <c r="D163" s="521" t="s">
        <v>10</v>
      </c>
      <c r="E163" s="1293">
        <v>14300</v>
      </c>
      <c r="F163" s="1362">
        <f>+ROUND(E163*C163,2)</f>
        <v>328900</v>
      </c>
    </row>
    <row r="164" spans="1:6" ht="7.5" customHeight="1">
      <c r="A164" s="539"/>
      <c r="B164" s="518"/>
      <c r="C164" s="506"/>
      <c r="D164" s="521"/>
      <c r="E164" s="1293"/>
      <c r="F164" s="1362"/>
    </row>
    <row r="165" spans="1:6">
      <c r="A165" s="524">
        <v>6</v>
      </c>
      <c r="B165" s="518" t="s">
        <v>502</v>
      </c>
      <c r="C165" s="506">
        <v>7</v>
      </c>
      <c r="D165" s="521" t="s">
        <v>10</v>
      </c>
      <c r="E165" s="1293">
        <v>8000</v>
      </c>
      <c r="F165" s="1362">
        <f>+ROUND(E165*C165,2)</f>
        <v>56000</v>
      </c>
    </row>
    <row r="166" spans="1:6" ht="7.5" customHeight="1">
      <c r="A166" s="539"/>
      <c r="B166" s="518"/>
      <c r="C166" s="506"/>
      <c r="D166" s="521"/>
      <c r="E166" s="1293"/>
      <c r="F166" s="1362"/>
    </row>
    <row r="167" spans="1:6">
      <c r="A167" s="524">
        <v>7</v>
      </c>
      <c r="B167" s="518" t="s">
        <v>503</v>
      </c>
      <c r="C167" s="506">
        <v>1</v>
      </c>
      <c r="D167" s="521" t="s">
        <v>10</v>
      </c>
      <c r="E167" s="1291">
        <v>259302.5</v>
      </c>
      <c r="F167" s="1353">
        <f>+ROUND(E167*C167,2)</f>
        <v>259302.5</v>
      </c>
    </row>
    <row r="168" spans="1:6">
      <c r="A168" s="543"/>
      <c r="B168" s="544" t="s">
        <v>504</v>
      </c>
      <c r="C168" s="545"/>
      <c r="D168" s="546"/>
      <c r="E168" s="1294"/>
      <c r="F168" s="1363">
        <f>SUM(F109:F167)</f>
        <v>28579461.84</v>
      </c>
    </row>
    <row r="169" spans="1:6">
      <c r="A169" s="777"/>
      <c r="B169" s="518"/>
      <c r="C169" s="506"/>
      <c r="D169" s="521"/>
      <c r="E169" s="1295"/>
      <c r="F169" s="1353"/>
    </row>
    <row r="170" spans="1:6">
      <c r="A170" s="504" t="s">
        <v>505</v>
      </c>
      <c r="B170" s="774" t="s">
        <v>904</v>
      </c>
      <c r="C170" s="506"/>
      <c r="D170" s="507"/>
      <c r="E170" s="1281"/>
      <c r="F170" s="1358"/>
    </row>
    <row r="171" spans="1:6">
      <c r="A171" s="509"/>
      <c r="B171" s="510"/>
      <c r="C171" s="511"/>
      <c r="D171" s="512"/>
      <c r="E171" s="1290"/>
      <c r="F171" s="1359"/>
    </row>
    <row r="172" spans="1:6">
      <c r="A172" s="549" t="s">
        <v>93</v>
      </c>
      <c r="B172" s="550" t="s">
        <v>506</v>
      </c>
      <c r="C172" s="551"/>
      <c r="D172" s="551"/>
      <c r="E172" s="1290"/>
      <c r="F172" s="1359"/>
    </row>
    <row r="173" spans="1:6">
      <c r="A173" s="549"/>
      <c r="B173" s="550"/>
      <c r="C173" s="551"/>
      <c r="D173" s="551"/>
      <c r="E173" s="1290"/>
      <c r="F173" s="1359"/>
    </row>
    <row r="174" spans="1:6">
      <c r="A174" s="498">
        <v>1</v>
      </c>
      <c r="B174" s="552" t="s">
        <v>420</v>
      </c>
      <c r="C174" s="553"/>
      <c r="D174" s="554"/>
      <c r="E174" s="1290"/>
      <c r="F174" s="1359"/>
    </row>
    <row r="175" spans="1:6">
      <c r="A175" s="555">
        <v>1.1000000000000001</v>
      </c>
      <c r="B175" s="556" t="s">
        <v>507</v>
      </c>
      <c r="C175" s="557">
        <v>1</v>
      </c>
      <c r="D175" s="558" t="s">
        <v>500</v>
      </c>
      <c r="E175" s="1290">
        <v>31486.26</v>
      </c>
      <c r="F175" s="1364">
        <f>+ROUND(E175*C175,2)</f>
        <v>31486.26</v>
      </c>
    </row>
    <row r="176" spans="1:6">
      <c r="A176" s="559"/>
      <c r="B176" s="556"/>
      <c r="C176" s="557"/>
      <c r="D176" s="560"/>
      <c r="E176" s="1290"/>
      <c r="F176" s="1359"/>
    </row>
    <row r="177" spans="1:6">
      <c r="A177" s="498">
        <v>2</v>
      </c>
      <c r="B177" s="552" t="s">
        <v>296</v>
      </c>
      <c r="C177" s="557"/>
      <c r="D177" s="560"/>
      <c r="E177" s="1290"/>
      <c r="F177" s="1359"/>
    </row>
    <row r="178" spans="1:6">
      <c r="A178" s="555">
        <v>2.1</v>
      </c>
      <c r="B178" s="484" t="s">
        <v>449</v>
      </c>
      <c r="C178" s="557">
        <v>64.06</v>
      </c>
      <c r="D178" s="560" t="s">
        <v>364</v>
      </c>
      <c r="E178" s="1290">
        <v>107.89</v>
      </c>
      <c r="F178" s="1364">
        <f>+ROUND(E178*C178,2)</f>
        <v>6911.43</v>
      </c>
    </row>
    <row r="179" spans="1:6">
      <c r="A179" s="555">
        <v>2.2000000000000002</v>
      </c>
      <c r="B179" s="556" t="s">
        <v>508</v>
      </c>
      <c r="C179" s="557">
        <v>22.74</v>
      </c>
      <c r="D179" s="560" t="s">
        <v>298</v>
      </c>
      <c r="E179" s="1290">
        <v>732</v>
      </c>
      <c r="F179" s="1364">
        <f>+ROUND(E179*C179,2)</f>
        <v>16645.68</v>
      </c>
    </row>
    <row r="180" spans="1:6">
      <c r="A180" s="555">
        <v>2.2999999999999998</v>
      </c>
      <c r="B180" s="556" t="s">
        <v>450</v>
      </c>
      <c r="C180" s="557">
        <v>120.16</v>
      </c>
      <c r="D180" s="560" t="s">
        <v>426</v>
      </c>
      <c r="E180" s="1290">
        <v>78.03</v>
      </c>
      <c r="F180" s="1364">
        <f>+ROUND(E180*C180,2)</f>
        <v>9376.08</v>
      </c>
    </row>
    <row r="181" spans="1:6">
      <c r="A181" s="555">
        <v>2.4</v>
      </c>
      <c r="B181" s="561" t="s">
        <v>509</v>
      </c>
      <c r="C181" s="557">
        <v>53.44</v>
      </c>
      <c r="D181" s="560" t="s">
        <v>367</v>
      </c>
      <c r="E181" s="1290">
        <v>446.21</v>
      </c>
      <c r="F181" s="1364">
        <f>+ROUND(E181*C181,2)</f>
        <v>23845.46</v>
      </c>
    </row>
    <row r="182" spans="1:6">
      <c r="A182" s="559"/>
      <c r="B182" s="556"/>
      <c r="C182" s="557">
        <v>0</v>
      </c>
      <c r="D182" s="560"/>
      <c r="E182" s="1290"/>
      <c r="F182" s="1359"/>
    </row>
    <row r="183" spans="1:6">
      <c r="A183" s="498">
        <v>3</v>
      </c>
      <c r="B183" s="562" t="s">
        <v>510</v>
      </c>
      <c r="C183" s="557">
        <v>0</v>
      </c>
      <c r="D183" s="560"/>
      <c r="E183" s="1290"/>
      <c r="F183" s="1359"/>
    </row>
    <row r="184" spans="1:6">
      <c r="A184" s="555">
        <v>3.1</v>
      </c>
      <c r="B184" s="563" t="s">
        <v>511</v>
      </c>
      <c r="C184" s="557">
        <v>22.96</v>
      </c>
      <c r="D184" s="560" t="s">
        <v>298</v>
      </c>
      <c r="E184" s="1290">
        <v>8867.18</v>
      </c>
      <c r="F184" s="1364">
        <f>+ROUND(E184*C184,2)</f>
        <v>203590.45</v>
      </c>
    </row>
    <row r="185" spans="1:6">
      <c r="A185" s="555">
        <v>3.2</v>
      </c>
      <c r="B185" s="563" t="s">
        <v>512</v>
      </c>
      <c r="C185" s="557">
        <v>4.08</v>
      </c>
      <c r="D185" s="560" t="s">
        <v>298</v>
      </c>
      <c r="E185" s="1290">
        <v>13727.04</v>
      </c>
      <c r="F185" s="1364">
        <f>+ROUND(E185*C185,2)</f>
        <v>56006.32</v>
      </c>
    </row>
    <row r="186" spans="1:6">
      <c r="A186" s="555">
        <v>3.3</v>
      </c>
      <c r="B186" s="563" t="s">
        <v>513</v>
      </c>
      <c r="C186" s="557">
        <v>3.12</v>
      </c>
      <c r="D186" s="560" t="s">
        <v>298</v>
      </c>
      <c r="E186" s="1290">
        <v>29000.14</v>
      </c>
      <c r="F186" s="1364">
        <f>+ROUND(E186*C186,2)</f>
        <v>90480.44</v>
      </c>
    </row>
    <row r="187" spans="1:6" ht="9.75" customHeight="1">
      <c r="A187" s="559"/>
      <c r="B187" s="556"/>
      <c r="C187" s="557">
        <v>0</v>
      </c>
      <c r="D187" s="560"/>
      <c r="E187" s="1290"/>
      <c r="F187" s="1359"/>
    </row>
    <row r="188" spans="1:6">
      <c r="A188" s="498">
        <v>4</v>
      </c>
      <c r="B188" s="552" t="s">
        <v>514</v>
      </c>
      <c r="C188" s="557">
        <v>0</v>
      </c>
      <c r="D188" s="560"/>
      <c r="E188" s="1290"/>
      <c r="F188" s="1359"/>
    </row>
    <row r="189" spans="1:6">
      <c r="A189" s="555">
        <v>4.0999999999999996</v>
      </c>
      <c r="B189" s="556" t="s">
        <v>515</v>
      </c>
      <c r="C189" s="557">
        <v>132.6</v>
      </c>
      <c r="D189" s="560" t="s">
        <v>300</v>
      </c>
      <c r="E189" s="1290">
        <v>1356.24</v>
      </c>
      <c r="F189" s="1364">
        <f>+ROUND(E189*C189,2)</f>
        <v>179837.42</v>
      </c>
    </row>
    <row r="190" spans="1:6">
      <c r="A190" s="559"/>
      <c r="B190" s="556"/>
      <c r="C190" s="557">
        <v>0</v>
      </c>
      <c r="D190" s="560"/>
      <c r="E190" s="1290"/>
      <c r="F190" s="1359"/>
    </row>
    <row r="191" spans="1:6">
      <c r="A191" s="498">
        <v>5</v>
      </c>
      <c r="B191" s="552" t="s">
        <v>516</v>
      </c>
      <c r="C191" s="557">
        <v>0</v>
      </c>
      <c r="D191" s="560"/>
      <c r="E191" s="1290"/>
      <c r="F191" s="1359"/>
    </row>
    <row r="192" spans="1:6">
      <c r="A192" s="555">
        <v>5.0999999999999996</v>
      </c>
      <c r="B192" s="556" t="s">
        <v>517</v>
      </c>
      <c r="C192" s="557">
        <v>19.2</v>
      </c>
      <c r="D192" s="560" t="s">
        <v>300</v>
      </c>
      <c r="E192" s="1290">
        <v>453.5</v>
      </c>
      <c r="F192" s="1364">
        <f>+ROUND(E192*C192,2)</f>
        <v>8707.2000000000007</v>
      </c>
    </row>
    <row r="193" spans="1:6">
      <c r="A193" s="555">
        <v>5.2</v>
      </c>
      <c r="B193" s="556" t="s">
        <v>518</v>
      </c>
      <c r="C193" s="557">
        <v>32.68</v>
      </c>
      <c r="D193" s="560" t="s">
        <v>300</v>
      </c>
      <c r="E193" s="1290">
        <v>453.5</v>
      </c>
      <c r="F193" s="1364">
        <f>+ROUND(E193*C193,2)</f>
        <v>14820.38</v>
      </c>
    </row>
    <row r="194" spans="1:6">
      <c r="A194" s="555">
        <v>5.3</v>
      </c>
      <c r="B194" s="556" t="s">
        <v>519</v>
      </c>
      <c r="C194" s="557">
        <v>32.68</v>
      </c>
      <c r="D194" s="560" t="s">
        <v>300</v>
      </c>
      <c r="E194" s="1290">
        <v>101.1</v>
      </c>
      <c r="F194" s="1364">
        <f>+ROUND(E194*C194,2)</f>
        <v>3303.95</v>
      </c>
    </row>
    <row r="195" spans="1:6">
      <c r="A195" s="555">
        <v>5.4</v>
      </c>
      <c r="B195" s="556" t="s">
        <v>520</v>
      </c>
      <c r="C195" s="557">
        <v>94.88</v>
      </c>
      <c r="D195" s="560" t="s">
        <v>15</v>
      </c>
      <c r="E195" s="1290">
        <v>158.5</v>
      </c>
      <c r="F195" s="1364">
        <f>+ROUND(E195*C195,2)</f>
        <v>15038.48</v>
      </c>
    </row>
    <row r="196" spans="1:6">
      <c r="A196" s="559"/>
      <c r="B196" s="556"/>
      <c r="C196" s="557">
        <v>0</v>
      </c>
      <c r="D196" s="560"/>
      <c r="E196" s="1290"/>
      <c r="F196" s="1359"/>
    </row>
    <row r="197" spans="1:6">
      <c r="A197" s="498">
        <v>6</v>
      </c>
      <c r="B197" s="552" t="s">
        <v>521</v>
      </c>
      <c r="C197" s="557">
        <v>0</v>
      </c>
      <c r="D197" s="560"/>
      <c r="E197" s="1290"/>
      <c r="F197" s="1359"/>
    </row>
    <row r="198" spans="1:6">
      <c r="A198" s="555">
        <v>6.1</v>
      </c>
      <c r="B198" s="556" t="s">
        <v>522</v>
      </c>
      <c r="C198" s="557">
        <v>1216</v>
      </c>
      <c r="D198" s="560" t="s">
        <v>300</v>
      </c>
      <c r="E198" s="1290">
        <v>1286.3699999999999</v>
      </c>
      <c r="F198" s="1364">
        <f>+ROUND(E198*C198,2)</f>
        <v>1564225.92</v>
      </c>
    </row>
    <row r="199" spans="1:6">
      <c r="A199" s="559"/>
      <c r="B199" s="556"/>
      <c r="C199" s="557">
        <v>0</v>
      </c>
      <c r="D199" s="560"/>
      <c r="E199" s="1290"/>
      <c r="F199" s="1359"/>
    </row>
    <row r="200" spans="1:6">
      <c r="A200" s="498">
        <v>7</v>
      </c>
      <c r="B200" s="564" t="s">
        <v>523</v>
      </c>
      <c r="C200" s="557">
        <v>0</v>
      </c>
      <c r="D200" s="560"/>
      <c r="E200" s="1290"/>
      <c r="F200" s="1359"/>
    </row>
    <row r="201" spans="1:6">
      <c r="A201" s="555">
        <v>7.1</v>
      </c>
      <c r="B201" s="561" t="s">
        <v>524</v>
      </c>
      <c r="C201" s="557">
        <v>4</v>
      </c>
      <c r="D201" s="560" t="s">
        <v>10</v>
      </c>
      <c r="E201" s="1290">
        <v>37658.39</v>
      </c>
      <c r="F201" s="1364">
        <f>+ROUND(E201*C201,2)</f>
        <v>150633.56</v>
      </c>
    </row>
    <row r="202" spans="1:6">
      <c r="A202" s="555">
        <v>7.2</v>
      </c>
      <c r="B202" s="561" t="s">
        <v>525</v>
      </c>
      <c r="C202" s="557">
        <v>4</v>
      </c>
      <c r="D202" s="560" t="s">
        <v>10</v>
      </c>
      <c r="E202" s="1290">
        <v>14570.7</v>
      </c>
      <c r="F202" s="1364">
        <f>+ROUND(E202*C202,2)</f>
        <v>58282.8</v>
      </c>
    </row>
    <row r="203" spans="1:6">
      <c r="A203" s="555">
        <v>7.3</v>
      </c>
      <c r="B203" s="561" t="s">
        <v>526</v>
      </c>
      <c r="C203" s="557">
        <v>2</v>
      </c>
      <c r="D203" s="560" t="s">
        <v>10</v>
      </c>
      <c r="E203" s="1290">
        <v>9078</v>
      </c>
      <c r="F203" s="1364">
        <f>+ROUND(E203*C203,2)</f>
        <v>18156</v>
      </c>
    </row>
    <row r="204" spans="1:6">
      <c r="A204" s="559"/>
      <c r="B204" s="561"/>
      <c r="C204" s="557">
        <v>0</v>
      </c>
      <c r="D204" s="560"/>
      <c r="E204" s="1290"/>
      <c r="F204" s="1359"/>
    </row>
    <row r="205" spans="1:6">
      <c r="A205" s="498">
        <v>8</v>
      </c>
      <c r="B205" s="552" t="s">
        <v>527</v>
      </c>
      <c r="C205" s="557">
        <v>0</v>
      </c>
      <c r="D205" s="560"/>
      <c r="E205" s="1290"/>
      <c r="F205" s="1359"/>
    </row>
    <row r="206" spans="1:6">
      <c r="A206" s="555">
        <v>8.1</v>
      </c>
      <c r="B206" s="561" t="s">
        <v>528</v>
      </c>
      <c r="C206" s="557">
        <v>32.68</v>
      </c>
      <c r="D206" s="560" t="s">
        <v>300</v>
      </c>
      <c r="E206" s="1290">
        <v>173.4</v>
      </c>
      <c r="F206" s="1364">
        <f>+ROUND(E206*C206,2)</f>
        <v>5666.71</v>
      </c>
    </row>
    <row r="207" spans="1:6" ht="25.5">
      <c r="A207" s="555">
        <v>8.1999999999999993</v>
      </c>
      <c r="B207" s="561" t="s">
        <v>529</v>
      </c>
      <c r="C207" s="557">
        <v>408</v>
      </c>
      <c r="D207" s="560" t="s">
        <v>300</v>
      </c>
      <c r="E207" s="1290">
        <v>382.45</v>
      </c>
      <c r="F207" s="1364">
        <f>+ROUND(E207*C207,2)</f>
        <v>156039.6</v>
      </c>
    </row>
    <row r="208" spans="1:6" ht="25.5">
      <c r="A208" s="1193">
        <v>8.3000000000000007</v>
      </c>
      <c r="B208" s="1194" t="s">
        <v>530</v>
      </c>
      <c r="C208" s="1195">
        <v>136.41999999999999</v>
      </c>
      <c r="D208" s="1196" t="s">
        <v>300</v>
      </c>
      <c r="E208" s="1296">
        <v>382.45</v>
      </c>
      <c r="F208" s="1365">
        <f>+ROUND(E208*C208,2)</f>
        <v>52173.83</v>
      </c>
    </row>
    <row r="209" spans="1:6" ht="25.5">
      <c r="A209" s="555">
        <v>8.4</v>
      </c>
      <c r="B209" s="561" t="s">
        <v>531</v>
      </c>
      <c r="C209" s="557">
        <v>151.12</v>
      </c>
      <c r="D209" s="560" t="s">
        <v>300</v>
      </c>
      <c r="E209" s="1290">
        <v>382.45</v>
      </c>
      <c r="F209" s="1364">
        <f>+ROUND(E209*C209,2)</f>
        <v>57795.839999999997</v>
      </c>
    </row>
    <row r="210" spans="1:6">
      <c r="A210" s="555">
        <v>8.3000000000000007</v>
      </c>
      <c r="B210" s="561" t="s">
        <v>532</v>
      </c>
      <c r="C210" s="557">
        <v>1</v>
      </c>
      <c r="D210" s="560" t="s">
        <v>500</v>
      </c>
      <c r="E210" s="1290">
        <v>3927.36</v>
      </c>
      <c r="F210" s="1364">
        <f>+ROUND(E210*C210,2)</f>
        <v>3927.36</v>
      </c>
    </row>
    <row r="211" spans="1:6">
      <c r="A211" s="565"/>
      <c r="B211" s="566" t="s">
        <v>533</v>
      </c>
      <c r="C211" s="567"/>
      <c r="D211" s="568"/>
      <c r="E211" s="1297"/>
      <c r="F211" s="1366">
        <f>SUM(F173:F210)</f>
        <v>2726951.17</v>
      </c>
    </row>
    <row r="212" spans="1:6">
      <c r="A212" s="571"/>
      <c r="B212" s="563"/>
      <c r="C212" s="572"/>
      <c r="D212" s="573"/>
      <c r="E212" s="1290"/>
      <c r="F212" s="1359"/>
    </row>
    <row r="213" spans="1:6">
      <c r="A213" s="549" t="s">
        <v>432</v>
      </c>
      <c r="B213" s="550" t="s">
        <v>534</v>
      </c>
      <c r="C213" s="574"/>
      <c r="D213" s="574"/>
      <c r="E213" s="1290"/>
      <c r="F213" s="1359"/>
    </row>
    <row r="214" spans="1:6">
      <c r="A214" s="575"/>
      <c r="B214" s="562"/>
      <c r="C214" s="576"/>
      <c r="D214" s="558"/>
      <c r="E214" s="1290"/>
      <c r="F214" s="1359"/>
    </row>
    <row r="215" spans="1:6">
      <c r="A215" s="498">
        <v>1</v>
      </c>
      <c r="B215" s="552" t="s">
        <v>420</v>
      </c>
      <c r="C215" s="577"/>
      <c r="D215" s="558"/>
      <c r="E215" s="1290"/>
      <c r="F215" s="1359"/>
    </row>
    <row r="216" spans="1:6">
      <c r="A216" s="555">
        <v>1.1000000000000001</v>
      </c>
      <c r="B216" s="556" t="s">
        <v>507</v>
      </c>
      <c r="C216" s="558">
        <v>0.4</v>
      </c>
      <c r="D216" s="558" t="s">
        <v>500</v>
      </c>
      <c r="E216" s="1290">
        <v>31486.26</v>
      </c>
      <c r="F216" s="1364">
        <f>+ROUND(E216*C216,2)</f>
        <v>12594.5</v>
      </c>
    </row>
    <row r="217" spans="1:6">
      <c r="A217" s="575"/>
      <c r="B217" s="562"/>
      <c r="C217" s="578"/>
      <c r="D217" s="579"/>
      <c r="E217" s="1290"/>
      <c r="F217" s="1359"/>
    </row>
    <row r="218" spans="1:6">
      <c r="A218" s="498">
        <v>2</v>
      </c>
      <c r="B218" s="562" t="s">
        <v>296</v>
      </c>
      <c r="C218" s="558"/>
      <c r="D218" s="558"/>
      <c r="E218" s="1290"/>
      <c r="F218" s="1359"/>
    </row>
    <row r="219" spans="1:6">
      <c r="A219" s="555">
        <v>2.1</v>
      </c>
      <c r="B219" s="563" t="s">
        <v>449</v>
      </c>
      <c r="C219" s="558">
        <v>24.2</v>
      </c>
      <c r="D219" s="558" t="s">
        <v>364</v>
      </c>
      <c r="E219" s="1290">
        <v>107.89</v>
      </c>
      <c r="F219" s="1364">
        <f>+ROUND(E219*C219,2)</f>
        <v>2610.94</v>
      </c>
    </row>
    <row r="220" spans="1:6">
      <c r="A220" s="555">
        <v>2.2000000000000002</v>
      </c>
      <c r="B220" s="563" t="s">
        <v>450</v>
      </c>
      <c r="C220" s="558">
        <v>9.42</v>
      </c>
      <c r="D220" s="558" t="s">
        <v>426</v>
      </c>
      <c r="E220" s="1290">
        <v>78.03</v>
      </c>
      <c r="F220" s="1364">
        <f>+ROUND(E220*C220,2)</f>
        <v>735.04</v>
      </c>
    </row>
    <row r="221" spans="1:6">
      <c r="A221" s="555">
        <v>2.2999999999999998</v>
      </c>
      <c r="B221" s="580" t="s">
        <v>509</v>
      </c>
      <c r="C221" s="558">
        <v>19.22</v>
      </c>
      <c r="D221" s="558" t="s">
        <v>367</v>
      </c>
      <c r="E221" s="1290">
        <v>446.21</v>
      </c>
      <c r="F221" s="1364">
        <f>+ROUND(E221*C221,2)</f>
        <v>8576.16</v>
      </c>
    </row>
    <row r="222" spans="1:6">
      <c r="A222" s="571"/>
      <c r="B222" s="563"/>
      <c r="C222" s="558"/>
      <c r="D222" s="558"/>
      <c r="E222" s="1290"/>
      <c r="F222" s="1359"/>
    </row>
    <row r="223" spans="1:6">
      <c r="A223" s="498">
        <v>3</v>
      </c>
      <c r="B223" s="562" t="s">
        <v>510</v>
      </c>
      <c r="C223" s="558"/>
      <c r="D223" s="577"/>
      <c r="E223" s="1290"/>
      <c r="F223" s="1359"/>
    </row>
    <row r="224" spans="1:6">
      <c r="A224" s="555">
        <v>3.1</v>
      </c>
      <c r="B224" s="563" t="s">
        <v>535</v>
      </c>
      <c r="C224" s="558">
        <v>10.119999999999999</v>
      </c>
      <c r="D224" s="558" t="s">
        <v>298</v>
      </c>
      <c r="E224" s="1290">
        <v>8867.18</v>
      </c>
      <c r="F224" s="1364">
        <f>+ROUND(E224*C224,2)</f>
        <v>89735.86</v>
      </c>
    </row>
    <row r="225" spans="1:6">
      <c r="A225" s="555">
        <v>3.2</v>
      </c>
      <c r="B225" s="563" t="s">
        <v>536</v>
      </c>
      <c r="C225" s="558">
        <v>1.7</v>
      </c>
      <c r="D225" s="558" t="s">
        <v>298</v>
      </c>
      <c r="E225" s="1290">
        <v>24818</v>
      </c>
      <c r="F225" s="1364">
        <f>+ROUND(E225*C225,2)</f>
        <v>42190.6</v>
      </c>
    </row>
    <row r="226" spans="1:6">
      <c r="A226" s="555">
        <v>3.3</v>
      </c>
      <c r="B226" s="563" t="s">
        <v>537</v>
      </c>
      <c r="C226" s="558">
        <v>25.98</v>
      </c>
      <c r="D226" s="558" t="s">
        <v>298</v>
      </c>
      <c r="E226" s="1290">
        <v>10715.45</v>
      </c>
      <c r="F226" s="1364">
        <f>+ROUND(E226*C226,2)</f>
        <v>278387.39</v>
      </c>
    </row>
    <row r="227" spans="1:6">
      <c r="A227" s="571"/>
      <c r="B227" s="563"/>
      <c r="C227" s="558"/>
      <c r="D227" s="558"/>
      <c r="E227" s="1290"/>
      <c r="F227" s="1359"/>
    </row>
    <row r="228" spans="1:6">
      <c r="A228" s="498">
        <v>4</v>
      </c>
      <c r="B228" s="562" t="s">
        <v>538</v>
      </c>
      <c r="C228" s="558"/>
      <c r="D228" s="558"/>
      <c r="E228" s="1290"/>
      <c r="F228" s="1359"/>
    </row>
    <row r="229" spans="1:6">
      <c r="A229" s="555">
        <v>4.0999999999999996</v>
      </c>
      <c r="B229" s="563" t="s">
        <v>539</v>
      </c>
      <c r="C229" s="558">
        <v>50.54</v>
      </c>
      <c r="D229" s="558" t="s">
        <v>300</v>
      </c>
      <c r="E229" s="1290">
        <v>1529.21</v>
      </c>
      <c r="F229" s="1364">
        <f>+ROUND(E229*C229,2)</f>
        <v>77286.27</v>
      </c>
    </row>
    <row r="230" spans="1:6">
      <c r="A230" s="555">
        <v>4.2</v>
      </c>
      <c r="B230" s="563" t="s">
        <v>540</v>
      </c>
      <c r="C230" s="558">
        <v>113.78</v>
      </c>
      <c r="D230" s="558" t="s">
        <v>300</v>
      </c>
      <c r="E230" s="1290">
        <v>1403.21</v>
      </c>
      <c r="F230" s="1364">
        <f>+ROUND(E230*C230,2)</f>
        <v>159657.23000000001</v>
      </c>
    </row>
    <row r="231" spans="1:6">
      <c r="A231" s="571"/>
      <c r="B231" s="563"/>
      <c r="C231" s="558"/>
      <c r="D231" s="558"/>
      <c r="E231" s="1290"/>
      <c r="F231" s="1359"/>
    </row>
    <row r="232" spans="1:6">
      <c r="A232" s="498">
        <v>5</v>
      </c>
      <c r="B232" s="562" t="s">
        <v>516</v>
      </c>
      <c r="C232" s="558"/>
      <c r="D232" s="558"/>
      <c r="E232" s="1290"/>
      <c r="F232" s="1359"/>
    </row>
    <row r="233" spans="1:6">
      <c r="A233" s="555">
        <v>5.0999999999999996</v>
      </c>
      <c r="B233" s="563" t="s">
        <v>541</v>
      </c>
      <c r="C233" s="558">
        <v>176</v>
      </c>
      <c r="D233" s="558" t="s">
        <v>300</v>
      </c>
      <c r="E233" s="1290">
        <v>453.5</v>
      </c>
      <c r="F233" s="1364">
        <f>+ROUND(E233*C233,2)</f>
        <v>79816</v>
      </c>
    </row>
    <row r="234" spans="1:6">
      <c r="A234" s="555">
        <v>5.2</v>
      </c>
      <c r="B234" s="563" t="s">
        <v>542</v>
      </c>
      <c r="C234" s="558">
        <v>16.7</v>
      </c>
      <c r="D234" s="558" t="s">
        <v>300</v>
      </c>
      <c r="E234" s="1290">
        <v>453.5</v>
      </c>
      <c r="F234" s="1364">
        <f>+ROUND(E234*C234,2)</f>
        <v>7573.45</v>
      </c>
    </row>
    <row r="235" spans="1:6">
      <c r="A235" s="555">
        <v>5.3</v>
      </c>
      <c r="B235" s="563" t="s">
        <v>543</v>
      </c>
      <c r="C235" s="558">
        <v>252</v>
      </c>
      <c r="D235" s="558" t="s">
        <v>300</v>
      </c>
      <c r="E235" s="1290">
        <v>503.5</v>
      </c>
      <c r="F235" s="1364">
        <f>+ROUND(E235*C235,2)</f>
        <v>126882</v>
      </c>
    </row>
    <row r="236" spans="1:6">
      <c r="A236" s="555">
        <v>5.4</v>
      </c>
      <c r="B236" s="563" t="s">
        <v>519</v>
      </c>
      <c r="C236" s="558">
        <v>252</v>
      </c>
      <c r="D236" s="558" t="s">
        <v>300</v>
      </c>
      <c r="E236" s="1290">
        <v>101.1</v>
      </c>
      <c r="F236" s="1364">
        <f>+ROUND(E236*C236,2)</f>
        <v>25477.200000000001</v>
      </c>
    </row>
    <row r="237" spans="1:6">
      <c r="A237" s="555">
        <v>5.5</v>
      </c>
      <c r="B237" s="563" t="s">
        <v>544</v>
      </c>
      <c r="C237" s="558">
        <v>979.36</v>
      </c>
      <c r="D237" s="558" t="s">
        <v>15</v>
      </c>
      <c r="E237" s="1290">
        <v>158.5</v>
      </c>
      <c r="F237" s="1364">
        <f>+ROUND(E237*C237,2)</f>
        <v>155228.56</v>
      </c>
    </row>
    <row r="238" spans="1:6">
      <c r="A238" s="571"/>
      <c r="B238" s="563"/>
      <c r="C238" s="558"/>
      <c r="D238" s="558"/>
      <c r="E238" s="1290"/>
      <c r="F238" s="1359"/>
    </row>
    <row r="239" spans="1:6">
      <c r="A239" s="498">
        <v>6</v>
      </c>
      <c r="B239" s="562" t="s">
        <v>527</v>
      </c>
      <c r="C239" s="558"/>
      <c r="D239" s="558"/>
      <c r="E239" s="1290"/>
      <c r="F239" s="1359"/>
    </row>
    <row r="240" spans="1:6">
      <c r="A240" s="555">
        <v>6.1</v>
      </c>
      <c r="B240" s="563" t="s">
        <v>545</v>
      </c>
      <c r="C240" s="558">
        <v>313.8</v>
      </c>
      <c r="D240" s="558" t="s">
        <v>300</v>
      </c>
      <c r="E240" s="1290">
        <v>173.4</v>
      </c>
      <c r="F240" s="1364">
        <f>+ROUND(E240*C240,2)</f>
        <v>54412.92</v>
      </c>
    </row>
    <row r="241" spans="1:6">
      <c r="A241" s="555">
        <v>6.2</v>
      </c>
      <c r="B241" s="563" t="s">
        <v>546</v>
      </c>
      <c r="C241" s="558">
        <v>313.8</v>
      </c>
      <c r="D241" s="558" t="s">
        <v>300</v>
      </c>
      <c r="E241" s="1290">
        <v>173.4</v>
      </c>
      <c r="F241" s="1364">
        <f>+ROUND(E241*C241,2)</f>
        <v>54412.92</v>
      </c>
    </row>
    <row r="242" spans="1:6">
      <c r="A242" s="571"/>
      <c r="B242" s="563"/>
      <c r="C242" s="558"/>
      <c r="D242" s="558"/>
      <c r="E242" s="1290"/>
      <c r="F242" s="1359"/>
    </row>
    <row r="243" spans="1:6">
      <c r="A243" s="498">
        <v>7</v>
      </c>
      <c r="B243" s="562" t="s">
        <v>547</v>
      </c>
      <c r="C243" s="577"/>
      <c r="D243" s="558"/>
      <c r="E243" s="1290"/>
      <c r="F243" s="1359"/>
    </row>
    <row r="244" spans="1:6">
      <c r="A244" s="555">
        <v>7.1</v>
      </c>
      <c r="B244" s="561" t="s">
        <v>548</v>
      </c>
      <c r="C244" s="581">
        <v>20.399999999999999</v>
      </c>
      <c r="D244" s="560" t="s">
        <v>15</v>
      </c>
      <c r="E244" s="1290">
        <v>3830.56</v>
      </c>
      <c r="F244" s="1364">
        <f>+ROUND(E244*C244,2)</f>
        <v>78143.42</v>
      </c>
    </row>
    <row r="245" spans="1:6">
      <c r="A245" s="555">
        <v>7.2</v>
      </c>
      <c r="B245" s="563" t="s">
        <v>549</v>
      </c>
      <c r="C245" s="577">
        <v>6</v>
      </c>
      <c r="D245" s="558" t="s">
        <v>15</v>
      </c>
      <c r="E245" s="1290">
        <v>992.72</v>
      </c>
      <c r="F245" s="1364">
        <f>+ROUND(E245*C245,2)</f>
        <v>5956.32</v>
      </c>
    </row>
    <row r="246" spans="1:6">
      <c r="A246" s="565"/>
      <c r="B246" s="566" t="s">
        <v>550</v>
      </c>
      <c r="C246" s="567"/>
      <c r="D246" s="568"/>
      <c r="E246" s="1297"/>
      <c r="F246" s="1366">
        <f>SUM(F215:F245)</f>
        <v>1259676.78</v>
      </c>
    </row>
    <row r="247" spans="1:6">
      <c r="A247" s="509"/>
      <c r="B247" s="510"/>
      <c r="C247" s="511"/>
      <c r="D247" s="512"/>
      <c r="E247" s="1290"/>
      <c r="F247" s="1359"/>
    </row>
    <row r="248" spans="1:6">
      <c r="A248" s="543"/>
      <c r="B248" s="544" t="s">
        <v>551</v>
      </c>
      <c r="C248" s="545"/>
      <c r="D248" s="546"/>
      <c r="E248" s="1294"/>
      <c r="F248" s="1363">
        <f>F246+F211</f>
        <v>3986627.95</v>
      </c>
    </row>
    <row r="249" spans="1:6">
      <c r="A249" s="583"/>
      <c r="B249" s="500"/>
      <c r="C249" s="584"/>
      <c r="D249" s="585"/>
      <c r="E249" s="1298"/>
      <c r="F249" s="1367"/>
    </row>
    <row r="250" spans="1:6">
      <c r="A250" s="504" t="s">
        <v>552</v>
      </c>
      <c r="B250" s="774" t="s">
        <v>905</v>
      </c>
      <c r="C250" s="506"/>
      <c r="D250" s="507"/>
      <c r="E250" s="1281"/>
      <c r="F250" s="1358"/>
    </row>
    <row r="251" spans="1:6">
      <c r="A251" s="509"/>
      <c r="B251" s="510"/>
      <c r="C251" s="511"/>
      <c r="D251" s="512"/>
      <c r="E251" s="1290"/>
      <c r="F251" s="1359"/>
    </row>
    <row r="252" spans="1:6">
      <c r="A252" s="549" t="s">
        <v>93</v>
      </c>
      <c r="B252" s="550" t="s">
        <v>553</v>
      </c>
      <c r="C252" s="511"/>
      <c r="D252" s="512"/>
      <c r="E252" s="1290"/>
      <c r="F252" s="1359"/>
    </row>
    <row r="253" spans="1:6">
      <c r="A253" s="549"/>
      <c r="B253" s="550"/>
      <c r="C253" s="511"/>
      <c r="D253" s="512"/>
      <c r="E253" s="1290"/>
      <c r="F253" s="1359"/>
    </row>
    <row r="254" spans="1:6">
      <c r="A254" s="498">
        <v>1</v>
      </c>
      <c r="B254" s="552" t="s">
        <v>420</v>
      </c>
      <c r="C254" s="553"/>
      <c r="D254" s="554"/>
      <c r="E254" s="1290"/>
      <c r="F254" s="1359"/>
    </row>
    <row r="255" spans="1:6">
      <c r="A255" s="555">
        <v>1.1000000000000001</v>
      </c>
      <c r="B255" s="556" t="s">
        <v>507</v>
      </c>
      <c r="C255" s="557">
        <v>1</v>
      </c>
      <c r="D255" s="558" t="s">
        <v>500</v>
      </c>
      <c r="E255" s="1290">
        <v>31486.26</v>
      </c>
      <c r="F255" s="1364">
        <f>+ROUND(E255*C255,2)</f>
        <v>31486.26</v>
      </c>
    </row>
    <row r="256" spans="1:6">
      <c r="A256" s="559"/>
      <c r="B256" s="556"/>
      <c r="C256" s="557"/>
      <c r="D256" s="560"/>
      <c r="E256" s="1290"/>
      <c r="F256" s="1359"/>
    </row>
    <row r="257" spans="1:6">
      <c r="A257" s="498">
        <v>2</v>
      </c>
      <c r="B257" s="552" t="s">
        <v>296</v>
      </c>
      <c r="C257" s="557"/>
      <c r="D257" s="560"/>
      <c r="E257" s="1290"/>
      <c r="F257" s="1359"/>
    </row>
    <row r="258" spans="1:6">
      <c r="A258" s="555">
        <v>2.1</v>
      </c>
      <c r="B258" s="484" t="s">
        <v>449</v>
      </c>
      <c r="C258" s="557">
        <v>64.06</v>
      </c>
      <c r="D258" s="560" t="s">
        <v>364</v>
      </c>
      <c r="E258" s="1290">
        <v>107.89</v>
      </c>
      <c r="F258" s="1364">
        <f>+ROUND(E258*C258,2)</f>
        <v>6911.43</v>
      </c>
    </row>
    <row r="259" spans="1:6">
      <c r="A259" s="555">
        <v>2.2000000000000002</v>
      </c>
      <c r="B259" s="556" t="s">
        <v>508</v>
      </c>
      <c r="C259" s="557">
        <v>22.74</v>
      </c>
      <c r="D259" s="560" t="s">
        <v>298</v>
      </c>
      <c r="E259" s="1290">
        <v>732</v>
      </c>
      <c r="F259" s="1364">
        <f>+ROUND(E259*C259,2)</f>
        <v>16645.68</v>
      </c>
    </row>
    <row r="260" spans="1:6">
      <c r="A260" s="555">
        <v>2.2999999999999998</v>
      </c>
      <c r="B260" s="556" t="s">
        <v>450</v>
      </c>
      <c r="C260" s="557">
        <v>120.16</v>
      </c>
      <c r="D260" s="560" t="s">
        <v>426</v>
      </c>
      <c r="E260" s="1290">
        <v>78.03</v>
      </c>
      <c r="F260" s="1364">
        <f>+ROUND(E260*C260,2)</f>
        <v>9376.08</v>
      </c>
    </row>
    <row r="261" spans="1:6">
      <c r="A261" s="555">
        <v>2.4</v>
      </c>
      <c r="B261" s="561" t="s">
        <v>509</v>
      </c>
      <c r="C261" s="557">
        <v>53.44</v>
      </c>
      <c r="D261" s="560" t="s">
        <v>367</v>
      </c>
      <c r="E261" s="1290">
        <v>446.21</v>
      </c>
      <c r="F261" s="1364">
        <f>+ROUND(E261*C261,2)</f>
        <v>23845.46</v>
      </c>
    </row>
    <row r="262" spans="1:6">
      <c r="A262" s="559"/>
      <c r="B262" s="556"/>
      <c r="C262" s="557">
        <v>0</v>
      </c>
      <c r="D262" s="560"/>
      <c r="E262" s="1290"/>
      <c r="F262" s="1359"/>
    </row>
    <row r="263" spans="1:6">
      <c r="A263" s="498">
        <v>3</v>
      </c>
      <c r="B263" s="562" t="s">
        <v>554</v>
      </c>
      <c r="C263" s="557">
        <v>0</v>
      </c>
      <c r="D263" s="560"/>
      <c r="E263" s="1290"/>
      <c r="F263" s="1359"/>
    </row>
    <row r="264" spans="1:6">
      <c r="A264" s="555">
        <v>3.1</v>
      </c>
      <c r="B264" s="563" t="s">
        <v>511</v>
      </c>
      <c r="C264" s="557">
        <v>22.96</v>
      </c>
      <c r="D264" s="560" t="s">
        <v>298</v>
      </c>
      <c r="E264" s="1290">
        <v>8867.18</v>
      </c>
      <c r="F264" s="1364">
        <f>+ROUND(E264*C264,2)</f>
        <v>203590.45</v>
      </c>
    </row>
    <row r="265" spans="1:6">
      <c r="A265" s="559"/>
      <c r="B265" s="556"/>
      <c r="C265" s="557">
        <v>0</v>
      </c>
      <c r="D265" s="560"/>
      <c r="E265" s="1290"/>
      <c r="F265" s="1359"/>
    </row>
    <row r="266" spans="1:6">
      <c r="A266" s="498">
        <v>4</v>
      </c>
      <c r="B266" s="552" t="s">
        <v>514</v>
      </c>
      <c r="C266" s="557">
        <v>0</v>
      </c>
      <c r="D266" s="560"/>
      <c r="E266" s="1290"/>
      <c r="F266" s="1359"/>
    </row>
    <row r="267" spans="1:6">
      <c r="A267" s="555">
        <v>4.0999999999999996</v>
      </c>
      <c r="B267" s="556" t="s">
        <v>515</v>
      </c>
      <c r="C267" s="557">
        <v>132.6</v>
      </c>
      <c r="D267" s="560" t="s">
        <v>300</v>
      </c>
      <c r="E267" s="1290">
        <v>1131.22</v>
      </c>
      <c r="F267" s="1364">
        <f>+ROUND(E267*C267,2)</f>
        <v>149999.76999999999</v>
      </c>
    </row>
    <row r="268" spans="1:6">
      <c r="A268" s="559"/>
      <c r="B268" s="556"/>
      <c r="C268" s="557">
        <v>0</v>
      </c>
      <c r="D268" s="560"/>
      <c r="E268" s="1290"/>
      <c r="F268" s="1359"/>
    </row>
    <row r="269" spans="1:6">
      <c r="A269" s="498">
        <v>5</v>
      </c>
      <c r="B269" s="552" t="s">
        <v>516</v>
      </c>
      <c r="C269" s="557">
        <v>0</v>
      </c>
      <c r="D269" s="560"/>
      <c r="E269" s="1290"/>
      <c r="F269" s="1359"/>
    </row>
    <row r="270" spans="1:6">
      <c r="A270" s="555">
        <v>5.0999999999999996</v>
      </c>
      <c r="B270" s="556" t="s">
        <v>517</v>
      </c>
      <c r="C270" s="557">
        <v>19.2</v>
      </c>
      <c r="D270" s="560" t="s">
        <v>300</v>
      </c>
      <c r="E270" s="1290">
        <v>453.5</v>
      </c>
      <c r="F270" s="1364">
        <f>+ROUND(E270*C270,2)</f>
        <v>8707.2000000000007</v>
      </c>
    </row>
    <row r="271" spans="1:6">
      <c r="A271" s="555">
        <v>5.2</v>
      </c>
      <c r="B271" s="556" t="s">
        <v>518</v>
      </c>
      <c r="C271" s="557">
        <v>32.68</v>
      </c>
      <c r="D271" s="560" t="s">
        <v>300</v>
      </c>
      <c r="E271" s="1290">
        <v>453.5</v>
      </c>
      <c r="F271" s="1364">
        <f>+ROUND(E271*C271,2)</f>
        <v>14820.38</v>
      </c>
    </row>
    <row r="272" spans="1:6">
      <c r="A272" s="555">
        <v>5.3</v>
      </c>
      <c r="B272" s="556" t="s">
        <v>519</v>
      </c>
      <c r="C272" s="557">
        <v>32.68</v>
      </c>
      <c r="D272" s="560" t="s">
        <v>300</v>
      </c>
      <c r="E272" s="1290">
        <v>101.1</v>
      </c>
      <c r="F272" s="1364">
        <f>+ROUND(E272*C272,2)</f>
        <v>3303.95</v>
      </c>
    </row>
    <row r="273" spans="1:6">
      <c r="A273" s="555">
        <v>5.4</v>
      </c>
      <c r="B273" s="556" t="s">
        <v>520</v>
      </c>
      <c r="C273" s="557">
        <v>94.88</v>
      </c>
      <c r="D273" s="560" t="s">
        <v>15</v>
      </c>
      <c r="E273" s="1290">
        <v>158.5</v>
      </c>
      <c r="F273" s="1364">
        <f>+ROUND(E273*C273,2)</f>
        <v>15038.48</v>
      </c>
    </row>
    <row r="274" spans="1:6">
      <c r="A274" s="559"/>
      <c r="B274" s="556"/>
      <c r="C274" s="557">
        <v>0</v>
      </c>
      <c r="D274" s="560"/>
      <c r="E274" s="1290"/>
      <c r="F274" s="1359"/>
    </row>
    <row r="275" spans="1:6">
      <c r="A275" s="498">
        <v>6</v>
      </c>
      <c r="B275" s="552" t="s">
        <v>521</v>
      </c>
      <c r="C275" s="557">
        <v>0</v>
      </c>
      <c r="D275" s="560"/>
      <c r="E275" s="1290"/>
      <c r="F275" s="1359"/>
    </row>
    <row r="276" spans="1:6">
      <c r="A276" s="1197">
        <v>6.1</v>
      </c>
      <c r="B276" s="1198" t="s">
        <v>522</v>
      </c>
      <c r="C276" s="1195">
        <v>1216</v>
      </c>
      <c r="D276" s="1196" t="s">
        <v>300</v>
      </c>
      <c r="E276" s="1296">
        <v>1286.3699999999999</v>
      </c>
      <c r="F276" s="1365">
        <f>+ROUND(E276*C276,2)</f>
        <v>1564225.92</v>
      </c>
    </row>
    <row r="277" spans="1:6">
      <c r="A277" s="559"/>
      <c r="B277" s="556"/>
      <c r="C277" s="557">
        <v>0</v>
      </c>
      <c r="D277" s="560"/>
      <c r="E277" s="1290"/>
      <c r="F277" s="1359"/>
    </row>
    <row r="278" spans="1:6">
      <c r="A278" s="498">
        <v>7</v>
      </c>
      <c r="B278" s="564" t="s">
        <v>523</v>
      </c>
      <c r="C278" s="557">
        <v>0</v>
      </c>
      <c r="D278" s="560"/>
      <c r="E278" s="1290"/>
      <c r="F278" s="1359"/>
    </row>
    <row r="279" spans="1:6">
      <c r="A279" s="555">
        <v>7.1</v>
      </c>
      <c r="B279" s="561" t="s">
        <v>525</v>
      </c>
      <c r="C279" s="557">
        <v>4</v>
      </c>
      <c r="D279" s="560" t="s">
        <v>10</v>
      </c>
      <c r="E279" s="1290">
        <v>14570.7</v>
      </c>
      <c r="F279" s="1364">
        <f>+ROUND(E279*C279,2)</f>
        <v>58282.8</v>
      </c>
    </row>
    <row r="280" spans="1:6">
      <c r="A280" s="555">
        <v>7.2</v>
      </c>
      <c r="B280" s="561" t="s">
        <v>526</v>
      </c>
      <c r="C280" s="557">
        <v>2</v>
      </c>
      <c r="D280" s="560" t="s">
        <v>10</v>
      </c>
      <c r="E280" s="1290">
        <v>9078</v>
      </c>
      <c r="F280" s="1364">
        <f>+ROUND(E280*C280,2)</f>
        <v>18156</v>
      </c>
    </row>
    <row r="281" spans="1:6">
      <c r="A281" s="559"/>
      <c r="B281" s="561"/>
      <c r="C281" s="557">
        <v>0</v>
      </c>
      <c r="D281" s="560"/>
      <c r="E281" s="1290"/>
      <c r="F281" s="1359"/>
    </row>
    <row r="282" spans="1:6">
      <c r="A282" s="498">
        <v>8</v>
      </c>
      <c r="B282" s="552" t="s">
        <v>527</v>
      </c>
      <c r="C282" s="557">
        <v>0</v>
      </c>
      <c r="D282" s="560"/>
      <c r="E282" s="1290"/>
      <c r="F282" s="1359"/>
    </row>
    <row r="283" spans="1:6" ht="25.5">
      <c r="A283" s="555">
        <v>8.1</v>
      </c>
      <c r="B283" s="561" t="s">
        <v>529</v>
      </c>
      <c r="C283" s="557">
        <v>408</v>
      </c>
      <c r="D283" s="560" t="s">
        <v>300</v>
      </c>
      <c r="E283" s="1290">
        <v>382.45</v>
      </c>
      <c r="F283" s="1364">
        <f>+ROUND(E283*C283,2)</f>
        <v>156039.6</v>
      </c>
    </row>
    <row r="284" spans="1:6" ht="25.5">
      <c r="A284" s="555">
        <v>8.1999999999999993</v>
      </c>
      <c r="B284" s="561" t="s">
        <v>530</v>
      </c>
      <c r="C284" s="557">
        <v>892</v>
      </c>
      <c r="D284" s="560" t="s">
        <v>300</v>
      </c>
      <c r="E284" s="1290">
        <v>382.45</v>
      </c>
      <c r="F284" s="1364">
        <f>+ROUND(E284*C284,2)</f>
        <v>341145.4</v>
      </c>
    </row>
    <row r="285" spans="1:6">
      <c r="A285" s="555">
        <v>8.3000000000000007</v>
      </c>
      <c r="B285" s="561" t="s">
        <v>532</v>
      </c>
      <c r="C285" s="557">
        <v>1</v>
      </c>
      <c r="D285" s="560" t="s">
        <v>500</v>
      </c>
      <c r="E285" s="1290">
        <v>3927.36</v>
      </c>
      <c r="F285" s="1364">
        <f>+ROUND(E285*C285,2)</f>
        <v>3927.36</v>
      </c>
    </row>
    <row r="286" spans="1:6">
      <c r="A286" s="565"/>
      <c r="B286" s="566" t="s">
        <v>533</v>
      </c>
      <c r="C286" s="567"/>
      <c r="D286" s="568"/>
      <c r="E286" s="1297"/>
      <c r="F286" s="1366">
        <f>SUM(F254:F285)</f>
        <v>2625502.2200000002</v>
      </c>
    </row>
    <row r="287" spans="1:6">
      <c r="A287" s="571"/>
      <c r="B287" s="563"/>
      <c r="C287" s="572"/>
      <c r="D287" s="573"/>
      <c r="E287" s="1290"/>
      <c r="F287" s="1359"/>
    </row>
    <row r="288" spans="1:6">
      <c r="A288" s="549" t="s">
        <v>432</v>
      </c>
      <c r="B288" s="550" t="s">
        <v>555</v>
      </c>
      <c r="C288" s="574"/>
      <c r="D288" s="574"/>
      <c r="E288" s="1290"/>
      <c r="F288" s="1359"/>
    </row>
    <row r="289" spans="1:6">
      <c r="A289" s="575"/>
      <c r="B289" s="562"/>
      <c r="C289" s="576"/>
      <c r="D289" s="558"/>
      <c r="E289" s="1290"/>
      <c r="F289" s="1359"/>
    </row>
    <row r="290" spans="1:6">
      <c r="A290" s="498">
        <v>1</v>
      </c>
      <c r="B290" s="552" t="s">
        <v>420</v>
      </c>
      <c r="C290" s="577"/>
      <c r="D290" s="558"/>
      <c r="E290" s="1290"/>
      <c r="F290" s="1359"/>
    </row>
    <row r="291" spans="1:6">
      <c r="A291" s="555">
        <v>1.1000000000000001</v>
      </c>
      <c r="B291" s="556" t="s">
        <v>507</v>
      </c>
      <c r="C291" s="558">
        <v>1</v>
      </c>
      <c r="D291" s="558" t="s">
        <v>500</v>
      </c>
      <c r="E291" s="1290">
        <v>31486.26</v>
      </c>
      <c r="F291" s="1364">
        <f>+ROUND(E291*C291,2)</f>
        <v>31486.26</v>
      </c>
    </row>
    <row r="292" spans="1:6">
      <c r="A292" s="575"/>
      <c r="B292" s="562"/>
      <c r="C292" s="578"/>
      <c r="D292" s="579"/>
      <c r="E292" s="1290"/>
      <c r="F292" s="1359"/>
    </row>
    <row r="293" spans="1:6">
      <c r="A293" s="498">
        <v>2</v>
      </c>
      <c r="B293" s="562" t="s">
        <v>296</v>
      </c>
      <c r="C293" s="558"/>
      <c r="D293" s="558"/>
      <c r="E293" s="1290"/>
      <c r="F293" s="1359"/>
    </row>
    <row r="294" spans="1:6">
      <c r="A294" s="555">
        <v>2.1</v>
      </c>
      <c r="B294" s="563" t="s">
        <v>449</v>
      </c>
      <c r="C294" s="558">
        <v>24.2</v>
      </c>
      <c r="D294" s="558" t="s">
        <v>364</v>
      </c>
      <c r="E294" s="1290">
        <v>107.89</v>
      </c>
      <c r="F294" s="1364">
        <f>+ROUND(E294*C294,2)</f>
        <v>2610.94</v>
      </c>
    </row>
    <row r="295" spans="1:6">
      <c r="A295" s="555">
        <v>2.2000000000000002</v>
      </c>
      <c r="B295" s="563" t="s">
        <v>450</v>
      </c>
      <c r="C295" s="558">
        <v>9.42</v>
      </c>
      <c r="D295" s="558" t="s">
        <v>426</v>
      </c>
      <c r="E295" s="1290">
        <v>78.03</v>
      </c>
      <c r="F295" s="1364">
        <f>+ROUND(E295*C295,2)</f>
        <v>735.04</v>
      </c>
    </row>
    <row r="296" spans="1:6">
      <c r="A296" s="555">
        <v>2.2999999999999998</v>
      </c>
      <c r="B296" s="580" t="s">
        <v>509</v>
      </c>
      <c r="C296" s="558">
        <v>19.22</v>
      </c>
      <c r="D296" s="558" t="s">
        <v>367</v>
      </c>
      <c r="E296" s="1290">
        <v>446.21</v>
      </c>
      <c r="F296" s="1364">
        <f>+ROUND(E296*C296,2)</f>
        <v>8576.16</v>
      </c>
    </row>
    <row r="297" spans="1:6">
      <c r="A297" s="571"/>
      <c r="B297" s="563"/>
      <c r="C297" s="558"/>
      <c r="D297" s="558"/>
      <c r="E297" s="1290"/>
      <c r="F297" s="1359"/>
    </row>
    <row r="298" spans="1:6">
      <c r="A298" s="498">
        <v>3</v>
      </c>
      <c r="B298" s="562" t="s">
        <v>554</v>
      </c>
      <c r="C298" s="558"/>
      <c r="D298" s="577"/>
      <c r="E298" s="1290"/>
      <c r="F298" s="1359"/>
    </row>
    <row r="299" spans="1:6">
      <c r="A299" s="555">
        <v>3.1</v>
      </c>
      <c r="B299" s="563" t="s">
        <v>535</v>
      </c>
      <c r="C299" s="558">
        <v>10.119999999999999</v>
      </c>
      <c r="D299" s="558" t="s">
        <v>298</v>
      </c>
      <c r="E299" s="1290">
        <v>8867.18</v>
      </c>
      <c r="F299" s="1364">
        <f>+ROUND(E299*C299,2)</f>
        <v>89735.86</v>
      </c>
    </row>
    <row r="300" spans="1:6">
      <c r="A300" s="555">
        <v>3.2</v>
      </c>
      <c r="B300" s="563" t="s">
        <v>536</v>
      </c>
      <c r="C300" s="558">
        <v>1.7</v>
      </c>
      <c r="D300" s="558" t="s">
        <v>298</v>
      </c>
      <c r="E300" s="1290">
        <v>24818</v>
      </c>
      <c r="F300" s="1364">
        <f>+ROUND(E300*C300,2)</f>
        <v>42190.6</v>
      </c>
    </row>
    <row r="301" spans="1:6">
      <c r="A301" s="555">
        <v>3.3</v>
      </c>
      <c r="B301" s="563" t="s">
        <v>537</v>
      </c>
      <c r="C301" s="558">
        <v>25.98</v>
      </c>
      <c r="D301" s="558" t="s">
        <v>298</v>
      </c>
      <c r="E301" s="1290">
        <v>10715.45</v>
      </c>
      <c r="F301" s="1364">
        <f>+ROUND(E301*C301,2)</f>
        <v>278387.39</v>
      </c>
    </row>
    <row r="302" spans="1:6">
      <c r="A302" s="571"/>
      <c r="B302" s="563"/>
      <c r="C302" s="558"/>
      <c r="D302" s="558"/>
      <c r="E302" s="1290"/>
      <c r="F302" s="1359"/>
    </row>
    <row r="303" spans="1:6">
      <c r="A303" s="498">
        <v>4</v>
      </c>
      <c r="B303" s="562" t="s">
        <v>538</v>
      </c>
      <c r="C303" s="558"/>
      <c r="D303" s="558"/>
      <c r="E303" s="1290"/>
      <c r="F303" s="1359"/>
    </row>
    <row r="304" spans="1:6">
      <c r="A304" s="555">
        <v>4.0999999999999996</v>
      </c>
      <c r="B304" s="563" t="s">
        <v>539</v>
      </c>
      <c r="C304" s="558">
        <v>50.54</v>
      </c>
      <c r="D304" s="558" t="s">
        <v>300</v>
      </c>
      <c r="E304" s="1290">
        <v>1529.21</v>
      </c>
      <c r="F304" s="1364">
        <f>+ROUND(E304*C304,2)</f>
        <v>77286.27</v>
      </c>
    </row>
    <row r="305" spans="1:6">
      <c r="A305" s="555">
        <v>4.2</v>
      </c>
      <c r="B305" s="563" t="s">
        <v>540</v>
      </c>
      <c r="C305" s="558">
        <v>113.78</v>
      </c>
      <c r="D305" s="558" t="s">
        <v>300</v>
      </c>
      <c r="E305" s="1290">
        <v>1403.21</v>
      </c>
      <c r="F305" s="1364">
        <f>+ROUND(E305*C305,2)</f>
        <v>159657.23000000001</v>
      </c>
    </row>
    <row r="306" spans="1:6">
      <c r="A306" s="571"/>
      <c r="B306" s="563"/>
      <c r="C306" s="558"/>
      <c r="D306" s="558"/>
      <c r="E306" s="1290"/>
      <c r="F306" s="1359"/>
    </row>
    <row r="307" spans="1:6">
      <c r="A307" s="498">
        <v>5</v>
      </c>
      <c r="B307" s="562" t="s">
        <v>516</v>
      </c>
      <c r="C307" s="558"/>
      <c r="D307" s="558"/>
      <c r="E307" s="1290"/>
      <c r="F307" s="1359"/>
    </row>
    <row r="308" spans="1:6">
      <c r="A308" s="555">
        <v>5.0999999999999996</v>
      </c>
      <c r="B308" s="563" t="s">
        <v>541</v>
      </c>
      <c r="C308" s="558">
        <v>176</v>
      </c>
      <c r="D308" s="558" t="s">
        <v>300</v>
      </c>
      <c r="E308" s="1290">
        <v>453.5</v>
      </c>
      <c r="F308" s="1364">
        <f>+ROUND(E308*C308,2)</f>
        <v>79816</v>
      </c>
    </row>
    <row r="309" spans="1:6">
      <c r="A309" s="555">
        <v>5.2</v>
      </c>
      <c r="B309" s="563" t="s">
        <v>542</v>
      </c>
      <c r="C309" s="558">
        <v>16.7</v>
      </c>
      <c r="D309" s="558" t="s">
        <v>300</v>
      </c>
      <c r="E309" s="1290">
        <v>453.5</v>
      </c>
      <c r="F309" s="1364">
        <f>+ROUND(E309*C309,2)</f>
        <v>7573.45</v>
      </c>
    </row>
    <row r="310" spans="1:6">
      <c r="A310" s="555">
        <v>5.3</v>
      </c>
      <c r="B310" s="563" t="s">
        <v>543</v>
      </c>
      <c r="C310" s="558">
        <v>252</v>
      </c>
      <c r="D310" s="558" t="s">
        <v>300</v>
      </c>
      <c r="E310" s="1290">
        <v>503.5</v>
      </c>
      <c r="F310" s="1364">
        <f>+ROUND(E310*C310,2)</f>
        <v>126882</v>
      </c>
    </row>
    <row r="311" spans="1:6">
      <c r="A311" s="555">
        <v>5.4</v>
      </c>
      <c r="B311" s="563" t="s">
        <v>519</v>
      </c>
      <c r="C311" s="558">
        <v>252</v>
      </c>
      <c r="D311" s="558" t="s">
        <v>300</v>
      </c>
      <c r="E311" s="1290">
        <v>101.1</v>
      </c>
      <c r="F311" s="1364">
        <f>+ROUND(E311*C311,2)</f>
        <v>25477.200000000001</v>
      </c>
    </row>
    <row r="312" spans="1:6">
      <c r="A312" s="555">
        <v>5.5</v>
      </c>
      <c r="B312" s="563" t="s">
        <v>544</v>
      </c>
      <c r="C312" s="558">
        <v>979.36</v>
      </c>
      <c r="D312" s="558" t="s">
        <v>15</v>
      </c>
      <c r="E312" s="1290">
        <v>158.5</v>
      </c>
      <c r="F312" s="1364">
        <f>+ROUND(E312*C312,2)</f>
        <v>155228.56</v>
      </c>
    </row>
    <row r="313" spans="1:6">
      <c r="A313" s="571"/>
      <c r="B313" s="563"/>
      <c r="C313" s="558"/>
      <c r="D313" s="558"/>
      <c r="E313" s="1290"/>
      <c r="F313" s="1359"/>
    </row>
    <row r="314" spans="1:6">
      <c r="A314" s="498">
        <v>6</v>
      </c>
      <c r="B314" s="562" t="s">
        <v>527</v>
      </c>
      <c r="C314" s="558"/>
      <c r="D314" s="558"/>
      <c r="E314" s="1290"/>
      <c r="F314" s="1359"/>
    </row>
    <row r="315" spans="1:6">
      <c r="A315" s="555">
        <v>6.1</v>
      </c>
      <c r="B315" s="563" t="s">
        <v>545</v>
      </c>
      <c r="C315" s="558">
        <v>313.8</v>
      </c>
      <c r="D315" s="558" t="s">
        <v>300</v>
      </c>
      <c r="E315" s="1290">
        <v>173.4</v>
      </c>
      <c r="F315" s="1364">
        <f>+ROUND(E315*C315,2)</f>
        <v>54412.92</v>
      </c>
    </row>
    <row r="316" spans="1:6">
      <c r="A316" s="555">
        <v>6.2</v>
      </c>
      <c r="B316" s="563" t="s">
        <v>546</v>
      </c>
      <c r="C316" s="558">
        <v>313.8</v>
      </c>
      <c r="D316" s="558" t="s">
        <v>300</v>
      </c>
      <c r="E316" s="1290">
        <v>173.4</v>
      </c>
      <c r="F316" s="1364">
        <f>+ROUND(E316*C316,2)</f>
        <v>54412.92</v>
      </c>
    </row>
    <row r="317" spans="1:6">
      <c r="A317" s="571"/>
      <c r="B317" s="563"/>
      <c r="C317" s="558"/>
      <c r="D317" s="558"/>
      <c r="E317" s="1290"/>
      <c r="F317" s="1359"/>
    </row>
    <row r="318" spans="1:6">
      <c r="A318" s="498">
        <v>7</v>
      </c>
      <c r="B318" s="562" t="s">
        <v>547</v>
      </c>
      <c r="C318" s="577"/>
      <c r="D318" s="558"/>
      <c r="E318" s="1290"/>
      <c r="F318" s="1359"/>
    </row>
    <row r="319" spans="1:6">
      <c r="A319" s="555">
        <v>7.1</v>
      </c>
      <c r="B319" s="561" t="s">
        <v>548</v>
      </c>
      <c r="C319" s="581">
        <v>20.399999999999999</v>
      </c>
      <c r="D319" s="560" t="s">
        <v>15</v>
      </c>
      <c r="E319" s="1290">
        <v>3830.56</v>
      </c>
      <c r="F319" s="1364">
        <f>+ROUND(E319*C319,2)</f>
        <v>78143.42</v>
      </c>
    </row>
    <row r="320" spans="1:6">
      <c r="A320" s="555">
        <v>7.2</v>
      </c>
      <c r="B320" s="563" t="s">
        <v>549</v>
      </c>
      <c r="C320" s="577">
        <v>6</v>
      </c>
      <c r="D320" s="558" t="s">
        <v>15</v>
      </c>
      <c r="E320" s="1290">
        <v>992.72</v>
      </c>
      <c r="F320" s="1364">
        <f>+ROUND(E320*C320,2)</f>
        <v>5956.32</v>
      </c>
    </row>
    <row r="321" spans="1:6">
      <c r="A321" s="565"/>
      <c r="B321" s="566" t="s">
        <v>550</v>
      </c>
      <c r="C321" s="567"/>
      <c r="D321" s="568"/>
      <c r="E321" s="1297"/>
      <c r="F321" s="1366">
        <f>SUM(F290:F320)</f>
        <v>1278568.54</v>
      </c>
    </row>
    <row r="322" spans="1:6">
      <c r="A322" s="509"/>
      <c r="B322" s="510"/>
      <c r="C322" s="511"/>
      <c r="D322" s="512"/>
      <c r="E322" s="1290"/>
      <c r="F322" s="1359"/>
    </row>
    <row r="323" spans="1:6">
      <c r="A323" s="543"/>
      <c r="B323" s="544" t="s">
        <v>556</v>
      </c>
      <c r="C323" s="545"/>
      <c r="D323" s="546"/>
      <c r="E323" s="1294"/>
      <c r="F323" s="1363">
        <f>F321+F286</f>
        <v>3904070.76</v>
      </c>
    </row>
    <row r="324" spans="1:6">
      <c r="A324" s="528"/>
      <c r="B324" s="518"/>
      <c r="C324" s="506"/>
      <c r="D324" s="521"/>
      <c r="E324" s="1291"/>
      <c r="F324" s="1353"/>
    </row>
    <row r="325" spans="1:6">
      <c r="A325" s="504" t="s">
        <v>557</v>
      </c>
      <c r="B325" s="774" t="s">
        <v>903</v>
      </c>
      <c r="C325" s="506"/>
      <c r="D325" s="507"/>
      <c r="E325" s="1281"/>
      <c r="F325" s="1358"/>
    </row>
    <row r="326" spans="1:6">
      <c r="A326" s="504"/>
      <c r="B326" s="774"/>
      <c r="C326" s="506"/>
      <c r="D326" s="507"/>
      <c r="E326" s="1281"/>
      <c r="F326" s="1358"/>
    </row>
    <row r="327" spans="1:6">
      <c r="A327" s="524">
        <v>1</v>
      </c>
      <c r="B327" s="774" t="s">
        <v>420</v>
      </c>
      <c r="C327" s="506"/>
      <c r="D327" s="507"/>
      <c r="E327" s="1281"/>
      <c r="F327" s="1368"/>
    </row>
    <row r="328" spans="1:6">
      <c r="A328" s="525">
        <v>1.1000000000000001</v>
      </c>
      <c r="B328" s="526" t="s">
        <v>507</v>
      </c>
      <c r="C328" s="506">
        <v>1</v>
      </c>
      <c r="D328" s="507" t="s">
        <v>500</v>
      </c>
      <c r="E328" s="1299">
        <v>31486.26</v>
      </c>
      <c r="F328" s="1369">
        <f>ROUND(C328*E328,2)</f>
        <v>31486.26</v>
      </c>
    </row>
    <row r="329" spans="1:6">
      <c r="A329" s="777"/>
      <c r="B329" s="774"/>
      <c r="C329" s="506"/>
      <c r="D329" s="507"/>
      <c r="E329" s="1281"/>
      <c r="F329" s="1369"/>
    </row>
    <row r="330" spans="1:6">
      <c r="A330" s="524">
        <v>2</v>
      </c>
      <c r="B330" s="774" t="s">
        <v>296</v>
      </c>
      <c r="C330" s="506"/>
      <c r="D330" s="507"/>
      <c r="E330" s="1281"/>
      <c r="F330" s="1369"/>
    </row>
    <row r="331" spans="1:6">
      <c r="A331" s="525">
        <v>2.1</v>
      </c>
      <c r="B331" s="526" t="s">
        <v>558</v>
      </c>
      <c r="C331" s="506">
        <v>41.26</v>
      </c>
      <c r="D331" s="507" t="s">
        <v>364</v>
      </c>
      <c r="E331" s="1281">
        <v>107.89</v>
      </c>
      <c r="F331" s="1369">
        <f>ROUND(C331*E331,2)</f>
        <v>4451.54</v>
      </c>
    </row>
    <row r="332" spans="1:6">
      <c r="A332" s="525">
        <v>2.2000000000000002</v>
      </c>
      <c r="B332" s="661" t="s">
        <v>812</v>
      </c>
      <c r="C332" s="506">
        <v>20.63</v>
      </c>
      <c r="D332" s="507" t="s">
        <v>426</v>
      </c>
      <c r="E332" s="1281">
        <v>78.03</v>
      </c>
      <c r="F332" s="1369">
        <f>ROUND(C332*E332,2)</f>
        <v>1609.76</v>
      </c>
    </row>
    <row r="333" spans="1:6">
      <c r="A333" s="525">
        <v>2.2999999999999998</v>
      </c>
      <c r="B333" s="526" t="s">
        <v>509</v>
      </c>
      <c r="C333" s="506">
        <v>20.63</v>
      </c>
      <c r="D333" s="507" t="s">
        <v>367</v>
      </c>
      <c r="E333" s="1281">
        <v>446.21</v>
      </c>
      <c r="F333" s="1369">
        <f>ROUND(C333*E333,2)</f>
        <v>9205.31</v>
      </c>
    </row>
    <row r="334" spans="1:6">
      <c r="A334" s="539"/>
      <c r="B334" s="526"/>
      <c r="C334" s="506"/>
      <c r="D334" s="507"/>
      <c r="E334" s="1281"/>
      <c r="F334" s="1369"/>
    </row>
    <row r="335" spans="1:6">
      <c r="A335" s="524">
        <v>3</v>
      </c>
      <c r="B335" s="774" t="s">
        <v>510</v>
      </c>
      <c r="C335" s="506"/>
      <c r="D335" s="507"/>
      <c r="E335" s="1281"/>
      <c r="F335" s="1369"/>
    </row>
    <row r="336" spans="1:6">
      <c r="A336" s="525">
        <v>3.1</v>
      </c>
      <c r="B336" s="526" t="s">
        <v>559</v>
      </c>
      <c r="C336" s="506">
        <v>7.2</v>
      </c>
      <c r="D336" s="507" t="s">
        <v>298</v>
      </c>
      <c r="E336" s="1281">
        <v>13018.29</v>
      </c>
      <c r="F336" s="1369">
        <f>ROUND(C336*E336,2)</f>
        <v>93731.69</v>
      </c>
    </row>
    <row r="337" spans="1:6">
      <c r="A337" s="525">
        <v>3.2</v>
      </c>
      <c r="B337" s="526" t="s">
        <v>560</v>
      </c>
      <c r="C337" s="506">
        <v>11.61</v>
      </c>
      <c r="D337" s="507" t="s">
        <v>298</v>
      </c>
      <c r="E337" s="1281">
        <v>26669.14</v>
      </c>
      <c r="F337" s="1369">
        <f>ROUND(C337*E337,2)</f>
        <v>309628.71999999997</v>
      </c>
    </row>
    <row r="338" spans="1:6">
      <c r="A338" s="525">
        <v>3.3</v>
      </c>
      <c r="B338" s="526" t="s">
        <v>561</v>
      </c>
      <c r="C338" s="506">
        <v>37.76</v>
      </c>
      <c r="D338" s="507" t="s">
        <v>298</v>
      </c>
      <c r="E338" s="1281">
        <v>23936</v>
      </c>
      <c r="F338" s="1369">
        <f>ROUND(C338*E338,2)</f>
        <v>903823.35999999999</v>
      </c>
    </row>
    <row r="339" spans="1:6">
      <c r="A339" s="525">
        <v>3.4</v>
      </c>
      <c r="B339" s="526" t="s">
        <v>562</v>
      </c>
      <c r="C339" s="506">
        <v>35.229999999999997</v>
      </c>
      <c r="D339" s="507" t="s">
        <v>298</v>
      </c>
      <c r="E339" s="1281">
        <v>10573.86</v>
      </c>
      <c r="F339" s="1369">
        <f>ROUND(C339*E339,2)</f>
        <v>372517.09</v>
      </c>
    </row>
    <row r="340" spans="1:6">
      <c r="A340" s="539"/>
      <c r="B340" s="526"/>
      <c r="C340" s="506"/>
      <c r="D340" s="507"/>
      <c r="E340" s="1281"/>
      <c r="F340" s="1369"/>
    </row>
    <row r="341" spans="1:6">
      <c r="A341" s="524">
        <v>4</v>
      </c>
      <c r="B341" s="774" t="s">
        <v>516</v>
      </c>
      <c r="C341" s="506"/>
      <c r="D341" s="507"/>
      <c r="E341" s="1281"/>
      <c r="F341" s="1369"/>
    </row>
    <row r="342" spans="1:6">
      <c r="A342" s="525">
        <v>4.0999999999999996</v>
      </c>
      <c r="B342" s="526" t="s">
        <v>563</v>
      </c>
      <c r="C342" s="506">
        <v>274.56</v>
      </c>
      <c r="D342" s="507" t="s">
        <v>300</v>
      </c>
      <c r="E342" s="1281">
        <v>453.5</v>
      </c>
      <c r="F342" s="1369">
        <f>ROUND(C342*E342,2)</f>
        <v>124512.96000000001</v>
      </c>
    </row>
    <row r="343" spans="1:6">
      <c r="A343" s="1199">
        <v>4.2</v>
      </c>
      <c r="B343" s="848" t="s">
        <v>519</v>
      </c>
      <c r="C343" s="860">
        <v>274.56</v>
      </c>
      <c r="D343" s="861" t="s">
        <v>300</v>
      </c>
      <c r="E343" s="1300">
        <v>101.1</v>
      </c>
      <c r="F343" s="1370"/>
    </row>
    <row r="344" spans="1:6">
      <c r="A344" s="525">
        <v>4.3</v>
      </c>
      <c r="B344" s="526" t="s">
        <v>564</v>
      </c>
      <c r="C344" s="506">
        <v>274.56</v>
      </c>
      <c r="D344" s="507" t="s">
        <v>300</v>
      </c>
      <c r="E344" s="1281">
        <v>173.4</v>
      </c>
      <c r="F344" s="1369">
        <f t="shared" ref="F344:F350" si="6">ROUND(C344*E344,2)</f>
        <v>47608.7</v>
      </c>
    </row>
    <row r="345" spans="1:6" ht="51">
      <c r="A345" s="525">
        <v>4.4000000000000004</v>
      </c>
      <c r="B345" s="526" t="s">
        <v>565</v>
      </c>
      <c r="C345" s="506">
        <v>24</v>
      </c>
      <c r="D345" s="507" t="s">
        <v>10</v>
      </c>
      <c r="E345" s="1281">
        <v>10000</v>
      </c>
      <c r="F345" s="1369">
        <f t="shared" si="6"/>
        <v>240000</v>
      </c>
    </row>
    <row r="346" spans="1:6" ht="38.25">
      <c r="A346" s="525">
        <v>4.5</v>
      </c>
      <c r="B346" s="526" t="s">
        <v>566</v>
      </c>
      <c r="C346" s="506">
        <v>24</v>
      </c>
      <c r="D346" s="507" t="s">
        <v>10</v>
      </c>
      <c r="E346" s="1281">
        <v>13500</v>
      </c>
      <c r="F346" s="1369">
        <f t="shared" si="6"/>
        <v>324000</v>
      </c>
    </row>
    <row r="347" spans="1:6">
      <c r="A347" s="525">
        <v>4.5999999999999996</v>
      </c>
      <c r="B347" s="526" t="s">
        <v>544</v>
      </c>
      <c r="C347" s="506">
        <v>427.68</v>
      </c>
      <c r="D347" s="507" t="s">
        <v>15</v>
      </c>
      <c r="E347" s="1281">
        <v>158.5</v>
      </c>
      <c r="F347" s="1369">
        <f t="shared" si="6"/>
        <v>67787.28</v>
      </c>
    </row>
    <row r="348" spans="1:6">
      <c r="A348" s="525">
        <v>4.7</v>
      </c>
      <c r="B348" s="526" t="s">
        <v>567</v>
      </c>
      <c r="C348" s="506">
        <v>106.92</v>
      </c>
      <c r="D348" s="507" t="s">
        <v>15</v>
      </c>
      <c r="E348" s="1281">
        <v>158.5</v>
      </c>
      <c r="F348" s="1369">
        <f t="shared" si="6"/>
        <v>16946.82</v>
      </c>
    </row>
    <row r="349" spans="1:6">
      <c r="A349" s="525">
        <v>4.8</v>
      </c>
      <c r="B349" s="519" t="s">
        <v>568</v>
      </c>
      <c r="C349" s="506">
        <v>24</v>
      </c>
      <c r="D349" s="507" t="s">
        <v>10</v>
      </c>
      <c r="E349" s="1299">
        <v>2496.64</v>
      </c>
      <c r="F349" s="1369">
        <f t="shared" si="6"/>
        <v>59919.360000000001</v>
      </c>
    </row>
    <row r="350" spans="1:6">
      <c r="A350" s="525">
        <v>4.9000000000000004</v>
      </c>
      <c r="B350" s="519" t="s">
        <v>569</v>
      </c>
      <c r="C350" s="506">
        <v>112.27</v>
      </c>
      <c r="D350" s="507" t="s">
        <v>300</v>
      </c>
      <c r="E350" s="1281">
        <v>419.36</v>
      </c>
      <c r="F350" s="1369">
        <f t="shared" si="6"/>
        <v>47081.55</v>
      </c>
    </row>
    <row r="351" spans="1:6">
      <c r="A351" s="539"/>
      <c r="B351" s="526"/>
      <c r="C351" s="506"/>
      <c r="D351" s="507"/>
      <c r="E351" s="1281"/>
      <c r="F351" s="1369"/>
    </row>
    <row r="352" spans="1:6">
      <c r="A352" s="524">
        <v>5</v>
      </c>
      <c r="B352" s="774" t="s">
        <v>570</v>
      </c>
      <c r="C352" s="506"/>
      <c r="D352" s="507"/>
      <c r="E352" s="1281"/>
      <c r="F352" s="1369"/>
    </row>
    <row r="353" spans="1:6">
      <c r="A353" s="525">
        <v>5.0999999999999996</v>
      </c>
      <c r="B353" s="526" t="s">
        <v>571</v>
      </c>
      <c r="C353" s="506">
        <v>48</v>
      </c>
      <c r="D353" s="507" t="s">
        <v>10</v>
      </c>
      <c r="E353" s="1299">
        <v>14900</v>
      </c>
      <c r="F353" s="1369">
        <f>ROUND(C353*E353,2)</f>
        <v>715200</v>
      </c>
    </row>
    <row r="354" spans="1:6">
      <c r="A354" s="525">
        <v>5.2</v>
      </c>
      <c r="B354" s="526" t="s">
        <v>572</v>
      </c>
      <c r="C354" s="506">
        <v>8</v>
      </c>
      <c r="D354" s="507" t="s">
        <v>10</v>
      </c>
      <c r="E354" s="1299">
        <v>11700</v>
      </c>
      <c r="F354" s="1369">
        <f>ROUND(C354*E354,2)</f>
        <v>93600</v>
      </c>
    </row>
    <row r="355" spans="1:6">
      <c r="A355" s="525">
        <v>5.3</v>
      </c>
      <c r="B355" s="526" t="s">
        <v>573</v>
      </c>
      <c r="C355" s="506">
        <v>4</v>
      </c>
      <c r="D355" s="507" t="s">
        <v>10</v>
      </c>
      <c r="E355" s="1299">
        <v>4250</v>
      </c>
      <c r="F355" s="1369">
        <f>ROUND(C355*E355,2)</f>
        <v>17000</v>
      </c>
    </row>
    <row r="356" spans="1:6">
      <c r="A356" s="525">
        <v>5.4</v>
      </c>
      <c r="B356" s="526" t="s">
        <v>574</v>
      </c>
      <c r="C356" s="506">
        <v>245.76</v>
      </c>
      <c r="D356" s="507" t="s">
        <v>300</v>
      </c>
      <c r="E356" s="1299">
        <v>996.56</v>
      </c>
      <c r="F356" s="1369">
        <f>ROUND(C356*E356,2)</f>
        <v>244914.59</v>
      </c>
    </row>
    <row r="357" spans="1:6">
      <c r="A357" s="525">
        <v>5.5</v>
      </c>
      <c r="B357" s="526" t="s">
        <v>575</v>
      </c>
      <c r="C357" s="506">
        <v>245.76</v>
      </c>
      <c r="D357" s="507" t="s">
        <v>300</v>
      </c>
      <c r="E357" s="1299">
        <v>1550</v>
      </c>
      <c r="F357" s="1369">
        <f>ROUND(C357*E357,2)</f>
        <v>380928</v>
      </c>
    </row>
    <row r="358" spans="1:6">
      <c r="A358" s="525">
        <v>5.6</v>
      </c>
      <c r="B358" s="526" t="s">
        <v>576</v>
      </c>
      <c r="C358" s="506"/>
      <c r="D358" s="507"/>
      <c r="E358" s="1281"/>
      <c r="F358" s="1369"/>
    </row>
    <row r="359" spans="1:6">
      <c r="A359" s="539"/>
      <c r="B359" s="526"/>
      <c r="C359" s="506"/>
      <c r="D359" s="507"/>
      <c r="E359" s="1281"/>
      <c r="F359" s="1369"/>
    </row>
    <row r="360" spans="1:6">
      <c r="A360" s="524">
        <v>6</v>
      </c>
      <c r="B360" s="774" t="s">
        <v>577</v>
      </c>
      <c r="C360" s="506"/>
      <c r="D360" s="507"/>
      <c r="E360" s="1281"/>
      <c r="F360" s="1369"/>
    </row>
    <row r="361" spans="1:6">
      <c r="A361" s="778">
        <v>6.1</v>
      </c>
      <c r="B361" s="526" t="s">
        <v>578</v>
      </c>
      <c r="C361" s="506">
        <v>106.92</v>
      </c>
      <c r="D361" s="507" t="s">
        <v>15</v>
      </c>
      <c r="E361" s="1281">
        <v>1429.27</v>
      </c>
      <c r="F361" s="1369">
        <f>ROUND(C361*E361,2)</f>
        <v>152817.54999999999</v>
      </c>
    </row>
    <row r="362" spans="1:6">
      <c r="A362" s="778">
        <v>6.2</v>
      </c>
      <c r="B362" s="526" t="s">
        <v>579</v>
      </c>
      <c r="C362" s="506">
        <v>1</v>
      </c>
      <c r="D362" s="507" t="s">
        <v>500</v>
      </c>
      <c r="E362" s="1281">
        <v>82163.100000000006</v>
      </c>
      <c r="F362" s="1369">
        <f>ROUND(C362*E362,2)</f>
        <v>82163.100000000006</v>
      </c>
    </row>
    <row r="363" spans="1:6">
      <c r="A363" s="543"/>
      <c r="B363" s="544" t="s">
        <v>580</v>
      </c>
      <c r="C363" s="545"/>
      <c r="D363" s="546"/>
      <c r="E363" s="1294"/>
      <c r="F363" s="1363">
        <f>SUM(F327:F362)</f>
        <v>4340933.6399999997</v>
      </c>
    </row>
    <row r="364" spans="1:6">
      <c r="A364" s="583"/>
      <c r="B364" s="500"/>
      <c r="C364" s="584"/>
      <c r="D364" s="585"/>
      <c r="E364" s="1298"/>
      <c r="F364" s="1367"/>
    </row>
    <row r="365" spans="1:6" ht="1.5" customHeight="1">
      <c r="A365" s="509"/>
      <c r="B365" s="510"/>
      <c r="C365" s="511"/>
      <c r="D365" s="512"/>
      <c r="E365" s="1290"/>
      <c r="F365" s="1359"/>
    </row>
    <row r="366" spans="1:6">
      <c r="A366" s="837" t="s">
        <v>581</v>
      </c>
      <c r="B366" s="550" t="s">
        <v>582</v>
      </c>
      <c r="C366" s="597"/>
      <c r="D366" s="521"/>
      <c r="E366" s="1281"/>
      <c r="F366" s="1358"/>
    </row>
    <row r="367" spans="1:6">
      <c r="A367" s="509"/>
      <c r="B367" s="510"/>
      <c r="C367" s="511"/>
      <c r="D367" s="512"/>
      <c r="E367" s="1290"/>
      <c r="F367" s="1359"/>
    </row>
    <row r="368" spans="1:6">
      <c r="A368" s="588">
        <v>1</v>
      </c>
      <c r="B368" s="589" t="s">
        <v>420</v>
      </c>
      <c r="C368" s="511"/>
      <c r="D368" s="512"/>
      <c r="E368" s="1290"/>
      <c r="F368" s="1359"/>
    </row>
    <row r="369" spans="1:6">
      <c r="A369" s="590">
        <v>1.1000000000000001</v>
      </c>
      <c r="B369" s="591" t="s">
        <v>583</v>
      </c>
      <c r="C369" s="592">
        <v>66</v>
      </c>
      <c r="D369" s="512" t="s">
        <v>364</v>
      </c>
      <c r="E369" s="1290">
        <v>67.5</v>
      </c>
      <c r="F369" s="1364">
        <f>+ROUND(E369*C369,2)</f>
        <v>4455</v>
      </c>
    </row>
    <row r="370" spans="1:6">
      <c r="A370" s="590">
        <v>1.2</v>
      </c>
      <c r="B370" s="591" t="s">
        <v>509</v>
      </c>
      <c r="C370" s="592">
        <v>85.8</v>
      </c>
      <c r="D370" s="512" t="s">
        <v>426</v>
      </c>
      <c r="E370" s="1290">
        <v>446.21</v>
      </c>
      <c r="F370" s="1364">
        <f>+ROUND(E370*C370,2)</f>
        <v>38284.82</v>
      </c>
    </row>
    <row r="371" spans="1:6">
      <c r="A371" s="590">
        <v>1.3</v>
      </c>
      <c r="B371" s="591" t="s">
        <v>584</v>
      </c>
      <c r="C371" s="592">
        <v>113</v>
      </c>
      <c r="D371" s="512" t="s">
        <v>300</v>
      </c>
      <c r="E371" s="1290">
        <v>2965.64</v>
      </c>
      <c r="F371" s="1364">
        <f>+ROUND(E371*C371,2)</f>
        <v>335117.32</v>
      </c>
    </row>
    <row r="372" spans="1:6">
      <c r="A372" s="590">
        <v>1.4</v>
      </c>
      <c r="B372" s="591" t="s">
        <v>585</v>
      </c>
      <c r="C372" s="592">
        <v>35.69</v>
      </c>
      <c r="D372" s="512" t="s">
        <v>300</v>
      </c>
      <c r="E372" s="1290">
        <v>2200</v>
      </c>
      <c r="F372" s="1364">
        <f>+ROUND(E372*C372,2)</f>
        <v>78518</v>
      </c>
    </row>
    <row r="373" spans="1:6">
      <c r="A373" s="590">
        <v>1.5</v>
      </c>
      <c r="B373" s="591" t="s">
        <v>586</v>
      </c>
      <c r="C373" s="592">
        <v>165</v>
      </c>
      <c r="D373" s="512" t="s">
        <v>300</v>
      </c>
      <c r="E373" s="1290">
        <v>120</v>
      </c>
      <c r="F373" s="1364">
        <f>+ROUND(E373*C373,2)</f>
        <v>19800</v>
      </c>
    </row>
    <row r="374" spans="1:6" ht="7.5" customHeight="1">
      <c r="A374" s="591"/>
      <c r="B374" s="591"/>
      <c r="C374" s="511"/>
      <c r="D374" s="512"/>
      <c r="E374" s="1290"/>
      <c r="F374" s="1359"/>
    </row>
    <row r="375" spans="1:6">
      <c r="A375" s="588">
        <v>2</v>
      </c>
      <c r="B375" s="589" t="s">
        <v>23</v>
      </c>
      <c r="C375" s="511"/>
      <c r="D375" s="512"/>
      <c r="E375" s="1290"/>
      <c r="F375" s="1359"/>
    </row>
    <row r="376" spans="1:6">
      <c r="A376" s="590">
        <v>2.1</v>
      </c>
      <c r="B376" s="591" t="s">
        <v>587</v>
      </c>
      <c r="C376" s="592">
        <v>29.23</v>
      </c>
      <c r="D376" s="512" t="s">
        <v>367</v>
      </c>
      <c r="E376" s="1290">
        <v>318.72000000000003</v>
      </c>
      <c r="F376" s="1364">
        <f>+ROUND(E376*C376,2)</f>
        <v>9316.19</v>
      </c>
    </row>
    <row r="377" spans="1:6">
      <c r="A377" s="590">
        <v>2.2000000000000002</v>
      </c>
      <c r="B377" s="591" t="s">
        <v>450</v>
      </c>
      <c r="C377" s="592">
        <v>32.479999999999997</v>
      </c>
      <c r="D377" s="512" t="s">
        <v>426</v>
      </c>
      <c r="E377" s="1290">
        <v>452.22</v>
      </c>
      <c r="F377" s="1364">
        <f>+ROUND(E377*C377,2)</f>
        <v>14688.11</v>
      </c>
    </row>
    <row r="378" spans="1:6">
      <c r="A378" s="590">
        <v>2.2999999999999998</v>
      </c>
      <c r="B378" s="591" t="s">
        <v>588</v>
      </c>
      <c r="C378" s="592">
        <v>15.06</v>
      </c>
      <c r="D378" s="512" t="s">
        <v>298</v>
      </c>
      <c r="E378" s="1290">
        <v>452.22</v>
      </c>
      <c r="F378" s="1364">
        <f>+ROUND(E378*C378,2)</f>
        <v>6810.43</v>
      </c>
    </row>
    <row r="379" spans="1:6">
      <c r="A379" s="590">
        <v>2.4</v>
      </c>
      <c r="B379" s="591" t="s">
        <v>509</v>
      </c>
      <c r="C379" s="592">
        <v>15.04</v>
      </c>
      <c r="D379" s="512" t="s">
        <v>367</v>
      </c>
      <c r="E379" s="1290">
        <v>446.21</v>
      </c>
      <c r="F379" s="1364">
        <f>+ROUND(E379*C379,2)</f>
        <v>6711</v>
      </c>
    </row>
    <row r="380" spans="1:6">
      <c r="A380" s="591"/>
      <c r="B380" s="591"/>
      <c r="C380" s="511"/>
      <c r="D380" s="512"/>
      <c r="E380" s="1290"/>
      <c r="F380" s="1359"/>
    </row>
    <row r="381" spans="1:6">
      <c r="A381" s="588">
        <v>3</v>
      </c>
      <c r="B381" s="589" t="s">
        <v>510</v>
      </c>
      <c r="C381" s="511"/>
      <c r="D381" s="512"/>
      <c r="E381" s="1290"/>
      <c r="F381" s="1359"/>
    </row>
    <row r="382" spans="1:6">
      <c r="A382" s="590">
        <v>3.1</v>
      </c>
      <c r="B382" s="591" t="s">
        <v>589</v>
      </c>
      <c r="C382" s="592">
        <v>10.35</v>
      </c>
      <c r="D382" s="512" t="s">
        <v>298</v>
      </c>
      <c r="E382" s="1290">
        <v>9875.18</v>
      </c>
      <c r="F382" s="1364">
        <f t="shared" ref="F382:F394" si="7">+ROUND(E382*C382,2)</f>
        <v>102208.11</v>
      </c>
    </row>
    <row r="383" spans="1:6">
      <c r="A383" s="590">
        <v>3.2</v>
      </c>
      <c r="B383" s="591" t="s">
        <v>590</v>
      </c>
      <c r="C383" s="592">
        <v>0.42</v>
      </c>
      <c r="D383" s="512" t="s">
        <v>298</v>
      </c>
      <c r="E383" s="1290">
        <v>10230.68</v>
      </c>
      <c r="F383" s="1364">
        <f t="shared" si="7"/>
        <v>4296.8900000000003</v>
      </c>
    </row>
    <row r="384" spans="1:6">
      <c r="A384" s="590">
        <v>3.3</v>
      </c>
      <c r="B384" s="591" t="s">
        <v>591</v>
      </c>
      <c r="C384" s="592">
        <v>0.8</v>
      </c>
      <c r="D384" s="512" t="s">
        <v>298</v>
      </c>
      <c r="E384" s="1290">
        <v>12817.28</v>
      </c>
      <c r="F384" s="1364">
        <f t="shared" si="7"/>
        <v>10253.82</v>
      </c>
    </row>
    <row r="385" spans="1:6">
      <c r="A385" s="590">
        <v>3.4</v>
      </c>
      <c r="B385" s="591" t="s">
        <v>592</v>
      </c>
      <c r="C385" s="592">
        <v>1.05</v>
      </c>
      <c r="D385" s="512" t="s">
        <v>298</v>
      </c>
      <c r="E385" s="1290">
        <v>33032.14</v>
      </c>
      <c r="F385" s="1364">
        <f t="shared" si="7"/>
        <v>34683.75</v>
      </c>
    </row>
    <row r="386" spans="1:6">
      <c r="A386" s="590">
        <v>3.5</v>
      </c>
      <c r="B386" s="591" t="s">
        <v>593</v>
      </c>
      <c r="C386" s="592">
        <v>0.64</v>
      </c>
      <c r="D386" s="512" t="s">
        <v>298</v>
      </c>
      <c r="E386" s="1290">
        <v>35363.14</v>
      </c>
      <c r="F386" s="1364">
        <f t="shared" si="7"/>
        <v>22632.41</v>
      </c>
    </row>
    <row r="387" spans="1:6">
      <c r="A387" s="590">
        <v>3.6</v>
      </c>
      <c r="B387" s="591" t="s">
        <v>594</v>
      </c>
      <c r="C387" s="592">
        <v>1.29</v>
      </c>
      <c r="D387" s="512" t="s">
        <v>298</v>
      </c>
      <c r="E387" s="1290">
        <v>31401.5</v>
      </c>
      <c r="F387" s="1364">
        <f t="shared" si="7"/>
        <v>40507.94</v>
      </c>
    </row>
    <row r="388" spans="1:6">
      <c r="A388" s="590">
        <v>3.7</v>
      </c>
      <c r="B388" s="591" t="s">
        <v>595</v>
      </c>
      <c r="C388" s="592">
        <v>1.29</v>
      </c>
      <c r="D388" s="512" t="s">
        <v>298</v>
      </c>
      <c r="E388" s="1290">
        <v>31401.5</v>
      </c>
      <c r="F388" s="1364">
        <f t="shared" si="7"/>
        <v>40507.94</v>
      </c>
    </row>
    <row r="389" spans="1:6">
      <c r="A389" s="590">
        <v>3.8</v>
      </c>
      <c r="B389" s="591" t="s">
        <v>596</v>
      </c>
      <c r="C389" s="592">
        <v>0.34</v>
      </c>
      <c r="D389" s="512" t="s">
        <v>298</v>
      </c>
      <c r="E389" s="1290">
        <v>29196.5</v>
      </c>
      <c r="F389" s="1364">
        <f t="shared" si="7"/>
        <v>9926.81</v>
      </c>
    </row>
    <row r="390" spans="1:6">
      <c r="A390" s="590">
        <v>3.9</v>
      </c>
      <c r="B390" s="591" t="s">
        <v>597</v>
      </c>
      <c r="C390" s="592">
        <v>6.5</v>
      </c>
      <c r="D390" s="512" t="s">
        <v>298</v>
      </c>
      <c r="E390" s="1290">
        <v>15794.64</v>
      </c>
      <c r="F390" s="1364">
        <f t="shared" si="7"/>
        <v>102665.16</v>
      </c>
    </row>
    <row r="391" spans="1:6">
      <c r="A391" s="593">
        <v>3.1</v>
      </c>
      <c r="B391" s="591" t="s">
        <v>598</v>
      </c>
      <c r="C391" s="592">
        <v>2.41</v>
      </c>
      <c r="D391" s="512" t="s">
        <v>298</v>
      </c>
      <c r="E391" s="1290">
        <v>25448</v>
      </c>
      <c r="F391" s="1364">
        <f t="shared" si="7"/>
        <v>61329.68</v>
      </c>
    </row>
    <row r="392" spans="1:6">
      <c r="A392" s="593">
        <v>3.11</v>
      </c>
      <c r="B392" s="591" t="s">
        <v>599</v>
      </c>
      <c r="C392" s="592">
        <v>13</v>
      </c>
      <c r="D392" s="512" t="s">
        <v>298</v>
      </c>
      <c r="E392" s="1290">
        <v>14601.88</v>
      </c>
      <c r="F392" s="1364">
        <f t="shared" si="7"/>
        <v>189824.44</v>
      </c>
    </row>
    <row r="393" spans="1:6">
      <c r="A393" s="593">
        <v>3.12</v>
      </c>
      <c r="B393" s="591" t="s">
        <v>600</v>
      </c>
      <c r="C393" s="592">
        <v>0.32</v>
      </c>
      <c r="D393" s="512" t="s">
        <v>298</v>
      </c>
      <c r="E393" s="1290">
        <v>30834.5</v>
      </c>
      <c r="F393" s="1364">
        <f t="shared" si="7"/>
        <v>9867.0400000000009</v>
      </c>
    </row>
    <row r="394" spans="1:6">
      <c r="A394" s="593">
        <v>3.13</v>
      </c>
      <c r="B394" s="591" t="s">
        <v>601</v>
      </c>
      <c r="C394" s="592">
        <v>1.05</v>
      </c>
      <c r="D394" s="512" t="s">
        <v>298</v>
      </c>
      <c r="E394" s="1290">
        <v>15011.38</v>
      </c>
      <c r="F394" s="1364">
        <f t="shared" si="7"/>
        <v>15761.95</v>
      </c>
    </row>
    <row r="395" spans="1:6" ht="6.75" customHeight="1">
      <c r="A395" s="1200"/>
      <c r="B395" s="591"/>
      <c r="C395" s="511"/>
      <c r="D395" s="512"/>
      <c r="E395" s="1290"/>
      <c r="F395" s="1359"/>
    </row>
    <row r="396" spans="1:6">
      <c r="A396" s="588">
        <v>4</v>
      </c>
      <c r="B396" s="589" t="s">
        <v>299</v>
      </c>
      <c r="C396" s="511"/>
      <c r="D396" s="512"/>
      <c r="E396" s="1290"/>
      <c r="F396" s="1359"/>
    </row>
    <row r="397" spans="1:6">
      <c r="A397" s="590">
        <v>4.0999999999999996</v>
      </c>
      <c r="B397" s="594" t="s">
        <v>602</v>
      </c>
      <c r="C397" s="592">
        <v>36.79</v>
      </c>
      <c r="D397" s="512" t="s">
        <v>300</v>
      </c>
      <c r="E397" s="1290">
        <v>1529.21</v>
      </c>
      <c r="F397" s="1364">
        <f>+ROUND(E397*C397,2)</f>
        <v>56259.64</v>
      </c>
    </row>
    <row r="398" spans="1:6">
      <c r="A398" s="590">
        <v>4.2</v>
      </c>
      <c r="B398" s="594" t="s">
        <v>603</v>
      </c>
      <c r="C398" s="592">
        <v>232.46</v>
      </c>
      <c r="D398" s="512" t="s">
        <v>300</v>
      </c>
      <c r="E398" s="1290">
        <v>1403.21</v>
      </c>
      <c r="F398" s="1364">
        <f>+ROUND(E398*C398,2)</f>
        <v>326190.2</v>
      </c>
    </row>
    <row r="399" spans="1:6">
      <c r="A399" s="590">
        <v>4.3</v>
      </c>
      <c r="B399" s="594" t="s">
        <v>604</v>
      </c>
      <c r="C399" s="592">
        <v>28.08</v>
      </c>
      <c r="D399" s="512" t="s">
        <v>300</v>
      </c>
      <c r="E399" s="1290">
        <v>1243.22</v>
      </c>
      <c r="F399" s="1364">
        <f>+ROUND(E399*C399,2)</f>
        <v>34909.620000000003</v>
      </c>
    </row>
    <row r="400" spans="1:6">
      <c r="A400" s="590">
        <v>4.4000000000000004</v>
      </c>
      <c r="B400" s="595" t="s">
        <v>605</v>
      </c>
      <c r="C400" s="592">
        <v>45</v>
      </c>
      <c r="D400" s="512" t="s">
        <v>300</v>
      </c>
      <c r="E400" s="1290">
        <v>1243.22</v>
      </c>
      <c r="F400" s="1364">
        <f>+ROUND(E400*C400,2)</f>
        <v>55944.9</v>
      </c>
    </row>
    <row r="401" spans="1:6" ht="9" customHeight="1">
      <c r="A401" s="591"/>
      <c r="B401" s="591"/>
      <c r="C401" s="511"/>
      <c r="D401" s="512"/>
      <c r="E401" s="1290"/>
      <c r="F401" s="1359"/>
    </row>
    <row r="402" spans="1:6">
      <c r="A402" s="588">
        <v>5</v>
      </c>
      <c r="B402" s="589" t="s">
        <v>516</v>
      </c>
      <c r="C402" s="511"/>
      <c r="D402" s="512"/>
      <c r="E402" s="1290"/>
      <c r="F402" s="1359"/>
    </row>
    <row r="403" spans="1:6">
      <c r="A403" s="590">
        <v>5.0999999999999996</v>
      </c>
      <c r="B403" s="591" t="s">
        <v>606</v>
      </c>
      <c r="C403" s="592">
        <v>480.31</v>
      </c>
      <c r="D403" s="512" t="s">
        <v>300</v>
      </c>
      <c r="E403" s="1290">
        <v>453.5</v>
      </c>
      <c r="F403" s="1364">
        <f t="shared" ref="F403:F410" si="8">+ROUND(E403*C403,2)</f>
        <v>217820.59</v>
      </c>
    </row>
    <row r="404" spans="1:6">
      <c r="A404" s="590">
        <v>5.2</v>
      </c>
      <c r="B404" s="591" t="s">
        <v>607</v>
      </c>
      <c r="C404" s="592">
        <v>172.38</v>
      </c>
      <c r="D404" s="512" t="s">
        <v>300</v>
      </c>
      <c r="E404" s="1290">
        <v>453.5</v>
      </c>
      <c r="F404" s="1364">
        <f t="shared" si="8"/>
        <v>78174.33</v>
      </c>
    </row>
    <row r="405" spans="1:6">
      <c r="A405" s="590">
        <v>5.3</v>
      </c>
      <c r="B405" s="591" t="s">
        <v>608</v>
      </c>
      <c r="C405" s="592">
        <v>108.31</v>
      </c>
      <c r="D405" s="512" t="s">
        <v>300</v>
      </c>
      <c r="E405" s="1290">
        <v>503.5</v>
      </c>
      <c r="F405" s="1364">
        <f t="shared" si="8"/>
        <v>54534.09</v>
      </c>
    </row>
    <row r="406" spans="1:6">
      <c r="A406" s="590">
        <v>5.4</v>
      </c>
      <c r="B406" s="591" t="s">
        <v>609</v>
      </c>
      <c r="C406" s="592">
        <v>112.55</v>
      </c>
      <c r="D406" s="512" t="s">
        <v>300</v>
      </c>
      <c r="E406" s="1290">
        <v>101.1</v>
      </c>
      <c r="F406" s="1364">
        <f t="shared" si="8"/>
        <v>11378.81</v>
      </c>
    </row>
    <row r="407" spans="1:6">
      <c r="A407" s="590">
        <v>5.5</v>
      </c>
      <c r="B407" s="591" t="s">
        <v>610</v>
      </c>
      <c r="C407" s="592">
        <v>60</v>
      </c>
      <c r="D407" s="512" t="s">
        <v>300</v>
      </c>
      <c r="E407" s="1290">
        <v>279.60000000000002</v>
      </c>
      <c r="F407" s="1364">
        <f t="shared" si="8"/>
        <v>16776</v>
      </c>
    </row>
    <row r="408" spans="1:6">
      <c r="A408" s="590">
        <v>5.6</v>
      </c>
      <c r="B408" s="591" t="s">
        <v>611</v>
      </c>
      <c r="C408" s="592">
        <v>32</v>
      </c>
      <c r="D408" s="512" t="s">
        <v>15</v>
      </c>
      <c r="E408" s="1290">
        <v>239.6</v>
      </c>
      <c r="F408" s="1364">
        <f t="shared" si="8"/>
        <v>7667.2</v>
      </c>
    </row>
    <row r="409" spans="1:6">
      <c r="A409" s="590">
        <v>5.7</v>
      </c>
      <c r="B409" s="591" t="s">
        <v>612</v>
      </c>
      <c r="C409" s="592">
        <v>145.53</v>
      </c>
      <c r="D409" s="512" t="s">
        <v>15</v>
      </c>
      <c r="E409" s="1290">
        <v>138.5</v>
      </c>
      <c r="F409" s="1364">
        <f t="shared" si="8"/>
        <v>20155.91</v>
      </c>
    </row>
    <row r="410" spans="1:6">
      <c r="A410" s="1201">
        <v>5.8</v>
      </c>
      <c r="B410" s="1202" t="s">
        <v>613</v>
      </c>
      <c r="C410" s="1203">
        <v>236.51</v>
      </c>
      <c r="D410" s="1204" t="s">
        <v>15</v>
      </c>
      <c r="E410" s="1296">
        <v>158.5</v>
      </c>
      <c r="F410" s="1365">
        <f t="shared" si="8"/>
        <v>37486.839999999997</v>
      </c>
    </row>
    <row r="411" spans="1:6">
      <c r="A411" s="591"/>
      <c r="B411" s="591"/>
      <c r="C411" s="511"/>
      <c r="D411" s="512"/>
      <c r="E411" s="1290"/>
      <c r="F411" s="1359"/>
    </row>
    <row r="412" spans="1:6">
      <c r="A412" s="588">
        <v>6</v>
      </c>
      <c r="B412" s="589" t="s">
        <v>614</v>
      </c>
      <c r="C412" s="511"/>
      <c r="D412" s="512"/>
      <c r="E412" s="1290"/>
      <c r="F412" s="1359"/>
    </row>
    <row r="413" spans="1:6">
      <c r="A413" s="590">
        <v>6.1</v>
      </c>
      <c r="B413" s="591" t="s">
        <v>615</v>
      </c>
      <c r="C413" s="592">
        <v>122.13</v>
      </c>
      <c r="D413" s="512" t="s">
        <v>304</v>
      </c>
      <c r="E413" s="1290">
        <v>285.60000000000002</v>
      </c>
      <c r="F413" s="1364">
        <f>+ROUND(E413*C413,2)</f>
        <v>34880.33</v>
      </c>
    </row>
    <row r="414" spans="1:6">
      <c r="A414" s="590">
        <v>6.2</v>
      </c>
      <c r="B414" s="591" t="s">
        <v>616</v>
      </c>
      <c r="C414" s="592">
        <v>15.49</v>
      </c>
      <c r="D414" s="512" t="s">
        <v>304</v>
      </c>
      <c r="E414" s="1290">
        <v>285.60000000000002</v>
      </c>
      <c r="F414" s="1364">
        <f>+ROUND(E414*C414,2)</f>
        <v>4423.9399999999996</v>
      </c>
    </row>
    <row r="415" spans="1:6">
      <c r="A415" s="591"/>
      <c r="B415" s="591"/>
      <c r="C415" s="511"/>
      <c r="D415" s="512"/>
      <c r="E415" s="1290"/>
      <c r="F415" s="1359"/>
    </row>
    <row r="416" spans="1:6">
      <c r="A416" s="588">
        <v>7</v>
      </c>
      <c r="B416" s="589" t="s">
        <v>617</v>
      </c>
      <c r="C416" s="511"/>
      <c r="D416" s="512"/>
      <c r="E416" s="1290"/>
      <c r="F416" s="1359"/>
    </row>
    <row r="417" spans="1:6">
      <c r="A417" s="590">
        <v>7.1</v>
      </c>
      <c r="B417" s="591" t="s">
        <v>618</v>
      </c>
      <c r="C417" s="592">
        <v>1</v>
      </c>
      <c r="D417" s="512" t="s">
        <v>10</v>
      </c>
      <c r="E417" s="1290">
        <v>16007.88</v>
      </c>
      <c r="F417" s="1364">
        <f t="shared" ref="F417:F423" si="9">+ROUND(E417*C417,2)</f>
        <v>16007.88</v>
      </c>
    </row>
    <row r="418" spans="1:6">
      <c r="A418" s="590">
        <v>7.2</v>
      </c>
      <c r="B418" s="591" t="s">
        <v>619</v>
      </c>
      <c r="C418" s="592">
        <v>5</v>
      </c>
      <c r="D418" s="512" t="s">
        <v>10</v>
      </c>
      <c r="E418" s="1290">
        <v>8670</v>
      </c>
      <c r="F418" s="1364">
        <f t="shared" si="9"/>
        <v>43350</v>
      </c>
    </row>
    <row r="419" spans="1:6">
      <c r="A419" s="590">
        <v>7.3</v>
      </c>
      <c r="B419" s="591" t="s">
        <v>620</v>
      </c>
      <c r="C419" s="592">
        <v>5</v>
      </c>
      <c r="D419" s="512" t="s">
        <v>10</v>
      </c>
      <c r="E419" s="1290">
        <v>8670</v>
      </c>
      <c r="F419" s="1364">
        <f t="shared" si="9"/>
        <v>43350</v>
      </c>
    </row>
    <row r="420" spans="1:6">
      <c r="A420" s="590">
        <v>7.4</v>
      </c>
      <c r="B420" s="591" t="s">
        <v>621</v>
      </c>
      <c r="C420" s="592">
        <v>3</v>
      </c>
      <c r="D420" s="512" t="s">
        <v>10</v>
      </c>
      <c r="E420" s="1290">
        <v>8670</v>
      </c>
      <c r="F420" s="1364">
        <f t="shared" si="9"/>
        <v>26010</v>
      </c>
    </row>
    <row r="421" spans="1:6">
      <c r="A421" s="590">
        <v>7.5</v>
      </c>
      <c r="B421" s="591" t="s">
        <v>622</v>
      </c>
      <c r="C421" s="592">
        <v>1</v>
      </c>
      <c r="D421" s="512" t="s">
        <v>10</v>
      </c>
      <c r="E421" s="1290">
        <v>8670</v>
      </c>
      <c r="F421" s="1364">
        <f t="shared" si="9"/>
        <v>8670</v>
      </c>
    </row>
    <row r="422" spans="1:6">
      <c r="A422" s="590">
        <v>7.6</v>
      </c>
      <c r="B422" s="591" t="s">
        <v>623</v>
      </c>
      <c r="C422" s="592">
        <v>1</v>
      </c>
      <c r="D422" s="512" t="s">
        <v>10</v>
      </c>
      <c r="E422" s="1290">
        <v>8670</v>
      </c>
      <c r="F422" s="1364">
        <f t="shared" si="9"/>
        <v>8670</v>
      </c>
    </row>
    <row r="423" spans="1:6">
      <c r="A423" s="590">
        <v>7.7</v>
      </c>
      <c r="B423" s="591" t="s">
        <v>624</v>
      </c>
      <c r="C423" s="592">
        <v>2</v>
      </c>
      <c r="D423" s="512" t="s">
        <v>10</v>
      </c>
      <c r="E423" s="1290">
        <v>8160</v>
      </c>
      <c r="F423" s="1364">
        <f t="shared" si="9"/>
        <v>16320</v>
      </c>
    </row>
    <row r="424" spans="1:6">
      <c r="A424" s="591"/>
      <c r="B424" s="591"/>
      <c r="C424" s="511"/>
      <c r="D424" s="512"/>
      <c r="E424" s="1290"/>
      <c r="F424" s="1359"/>
    </row>
    <row r="425" spans="1:6">
      <c r="A425" s="588">
        <v>8</v>
      </c>
      <c r="B425" s="589" t="s">
        <v>521</v>
      </c>
      <c r="C425" s="511"/>
      <c r="D425" s="512"/>
      <c r="E425" s="1290"/>
      <c r="F425" s="1359"/>
    </row>
    <row r="426" spans="1:6">
      <c r="A426" s="590">
        <v>8.1</v>
      </c>
      <c r="B426" s="591" t="s">
        <v>625</v>
      </c>
      <c r="C426" s="592">
        <v>85.86</v>
      </c>
      <c r="D426" s="512" t="s">
        <v>300</v>
      </c>
      <c r="E426" s="1290">
        <v>1887</v>
      </c>
      <c r="F426" s="1364">
        <f t="shared" ref="F426:F432" si="10">+ROUND(E426*C426,2)</f>
        <v>162017.82</v>
      </c>
    </row>
    <row r="427" spans="1:6">
      <c r="A427" s="590">
        <v>8.1999999999999993</v>
      </c>
      <c r="B427" s="591" t="s">
        <v>626</v>
      </c>
      <c r="C427" s="592">
        <v>9.58</v>
      </c>
      <c r="D427" s="512" t="s">
        <v>300</v>
      </c>
      <c r="E427" s="1290">
        <v>1887</v>
      </c>
      <c r="F427" s="1364">
        <f t="shared" si="10"/>
        <v>18077.46</v>
      </c>
    </row>
    <row r="428" spans="1:6">
      <c r="A428" s="590">
        <v>8.3000000000000007</v>
      </c>
      <c r="B428" s="591" t="s">
        <v>627</v>
      </c>
      <c r="C428" s="592">
        <v>141.96</v>
      </c>
      <c r="D428" s="512" t="s">
        <v>15</v>
      </c>
      <c r="E428" s="1290">
        <v>765</v>
      </c>
      <c r="F428" s="1364">
        <f t="shared" si="10"/>
        <v>108599.4</v>
      </c>
    </row>
    <row r="429" spans="1:6">
      <c r="A429" s="590">
        <v>8.4</v>
      </c>
      <c r="B429" s="591" t="s">
        <v>628</v>
      </c>
      <c r="C429" s="592">
        <v>5</v>
      </c>
      <c r="D429" s="512" t="s">
        <v>15</v>
      </c>
      <c r="E429" s="1290">
        <v>765</v>
      </c>
      <c r="F429" s="1364">
        <f t="shared" si="10"/>
        <v>3825</v>
      </c>
    </row>
    <row r="430" spans="1:6">
      <c r="A430" s="590">
        <v>8.5</v>
      </c>
      <c r="B430" s="591" t="s">
        <v>629</v>
      </c>
      <c r="C430" s="592">
        <v>45.26</v>
      </c>
      <c r="D430" s="512" t="s">
        <v>300</v>
      </c>
      <c r="E430" s="1290">
        <v>1429.27</v>
      </c>
      <c r="F430" s="1364">
        <f t="shared" si="10"/>
        <v>64688.76</v>
      </c>
    </row>
    <row r="431" spans="1:6">
      <c r="A431" s="590">
        <v>8.6</v>
      </c>
      <c r="B431" s="591" t="s">
        <v>630</v>
      </c>
      <c r="C431" s="592">
        <v>85.87</v>
      </c>
      <c r="D431" s="512" t="s">
        <v>300</v>
      </c>
      <c r="E431" s="1290">
        <v>2115.4499999999998</v>
      </c>
      <c r="F431" s="1364">
        <f t="shared" si="10"/>
        <v>181653.69</v>
      </c>
    </row>
    <row r="432" spans="1:6">
      <c r="A432" s="590">
        <v>8.6999999999999993</v>
      </c>
      <c r="B432" s="591" t="s">
        <v>631</v>
      </c>
      <c r="C432" s="592">
        <v>75.260000000000005</v>
      </c>
      <c r="D432" s="512" t="s">
        <v>300</v>
      </c>
      <c r="E432" s="1290">
        <v>1327.87</v>
      </c>
      <c r="F432" s="1364">
        <f t="shared" si="10"/>
        <v>99935.5</v>
      </c>
    </row>
    <row r="433" spans="1:6">
      <c r="A433" s="591"/>
      <c r="B433" s="591"/>
      <c r="C433" s="511"/>
      <c r="D433" s="512"/>
      <c r="E433" s="1290"/>
      <c r="F433" s="1359"/>
    </row>
    <row r="434" spans="1:6">
      <c r="A434" s="588">
        <v>9</v>
      </c>
      <c r="B434" s="589" t="s">
        <v>632</v>
      </c>
      <c r="C434" s="511"/>
      <c r="D434" s="512"/>
      <c r="E434" s="1290"/>
      <c r="F434" s="1359"/>
    </row>
    <row r="435" spans="1:6">
      <c r="A435" s="590">
        <v>9.1</v>
      </c>
      <c r="B435" s="591" t="s">
        <v>633</v>
      </c>
      <c r="C435" s="511">
        <v>84.78</v>
      </c>
      <c r="D435" s="512" t="s">
        <v>300</v>
      </c>
      <c r="E435" s="1290">
        <v>1581</v>
      </c>
      <c r="F435" s="1364">
        <f>+ROUND(E435*C435,2)</f>
        <v>134037.18</v>
      </c>
    </row>
    <row r="436" spans="1:6">
      <c r="A436" s="590">
        <v>9.1999999999999993</v>
      </c>
      <c r="B436" s="591" t="s">
        <v>634</v>
      </c>
      <c r="C436" s="511">
        <v>2.11</v>
      </c>
      <c r="D436" s="512" t="s">
        <v>300</v>
      </c>
      <c r="E436" s="1290">
        <v>1428</v>
      </c>
      <c r="F436" s="1364">
        <f>+ROUND(E436*C436,2)</f>
        <v>3013.08</v>
      </c>
    </row>
    <row r="437" spans="1:6">
      <c r="A437" s="591"/>
      <c r="B437" s="591"/>
      <c r="C437" s="511"/>
      <c r="D437" s="512"/>
      <c r="E437" s="1290"/>
      <c r="F437" s="1359"/>
    </row>
    <row r="438" spans="1:6">
      <c r="A438" s="588">
        <v>10</v>
      </c>
      <c r="B438" s="589" t="s">
        <v>305</v>
      </c>
      <c r="C438" s="511"/>
      <c r="D438" s="512"/>
      <c r="E438" s="1290"/>
      <c r="F438" s="1359"/>
    </row>
    <row r="439" spans="1:6">
      <c r="A439" s="590">
        <v>10.1</v>
      </c>
      <c r="B439" s="591" t="s">
        <v>635</v>
      </c>
      <c r="C439" s="511">
        <v>4</v>
      </c>
      <c r="D439" s="512" t="s">
        <v>10</v>
      </c>
      <c r="E439" s="1290">
        <v>12801</v>
      </c>
      <c r="F439" s="1364">
        <f t="shared" ref="F439:F462" si="11">+ROUND(E439*C439,2)</f>
        <v>51204</v>
      </c>
    </row>
    <row r="440" spans="1:6">
      <c r="A440" s="590">
        <v>10.199999999999999</v>
      </c>
      <c r="B440" s="591" t="s">
        <v>636</v>
      </c>
      <c r="C440" s="511">
        <v>3</v>
      </c>
      <c r="D440" s="512" t="s">
        <v>10</v>
      </c>
      <c r="E440" s="1290">
        <v>11034.8</v>
      </c>
      <c r="F440" s="1364">
        <f t="shared" si="11"/>
        <v>33104.400000000001</v>
      </c>
    </row>
    <row r="441" spans="1:6">
      <c r="A441" s="590">
        <v>10.3</v>
      </c>
      <c r="B441" s="591" t="s">
        <v>637</v>
      </c>
      <c r="C441" s="511">
        <v>1</v>
      </c>
      <c r="D441" s="512" t="s">
        <v>10</v>
      </c>
      <c r="E441" s="1290">
        <v>12750.37</v>
      </c>
      <c r="F441" s="1364">
        <f t="shared" si="11"/>
        <v>12750.37</v>
      </c>
    </row>
    <row r="442" spans="1:6">
      <c r="A442" s="590">
        <v>10.4</v>
      </c>
      <c r="B442" s="591" t="s">
        <v>638</v>
      </c>
      <c r="C442" s="511">
        <v>5</v>
      </c>
      <c r="D442" s="512" t="s">
        <v>10</v>
      </c>
      <c r="E442" s="1290">
        <v>5110.4799999999996</v>
      </c>
      <c r="F442" s="1364">
        <f t="shared" si="11"/>
        <v>25552.400000000001</v>
      </c>
    </row>
    <row r="443" spans="1:6">
      <c r="A443" s="590">
        <v>10.5</v>
      </c>
      <c r="B443" s="591" t="s">
        <v>639</v>
      </c>
      <c r="C443" s="511">
        <v>3</v>
      </c>
      <c r="D443" s="512" t="s">
        <v>10</v>
      </c>
      <c r="E443" s="1290">
        <v>5467.2</v>
      </c>
      <c r="F443" s="1364">
        <f t="shared" si="11"/>
        <v>16401.599999999999</v>
      </c>
    </row>
    <row r="444" spans="1:6">
      <c r="A444" s="590">
        <v>10.6</v>
      </c>
      <c r="B444" s="591" t="s">
        <v>640</v>
      </c>
      <c r="C444" s="511">
        <v>8</v>
      </c>
      <c r="D444" s="512" t="s">
        <v>10</v>
      </c>
      <c r="E444" s="1290">
        <v>1382.47</v>
      </c>
      <c r="F444" s="1364">
        <f t="shared" si="11"/>
        <v>11059.76</v>
      </c>
    </row>
    <row r="445" spans="1:6">
      <c r="A445" s="590">
        <v>10.7</v>
      </c>
      <c r="B445" s="591" t="s">
        <v>641</v>
      </c>
      <c r="C445" s="511">
        <v>3</v>
      </c>
      <c r="D445" s="512" t="s">
        <v>10</v>
      </c>
      <c r="E445" s="1290">
        <v>2580.6</v>
      </c>
      <c r="F445" s="1364">
        <f t="shared" si="11"/>
        <v>7741.8</v>
      </c>
    </row>
    <row r="446" spans="1:6">
      <c r="A446" s="590">
        <v>10.8</v>
      </c>
      <c r="B446" s="591" t="s">
        <v>642</v>
      </c>
      <c r="C446" s="511">
        <v>30</v>
      </c>
      <c r="D446" s="512" t="s">
        <v>10</v>
      </c>
      <c r="E446" s="1290">
        <v>1382.47</v>
      </c>
      <c r="F446" s="1364">
        <f t="shared" si="11"/>
        <v>41474.1</v>
      </c>
    </row>
    <row r="447" spans="1:6">
      <c r="A447" s="590">
        <v>10.9</v>
      </c>
      <c r="B447" s="591" t="s">
        <v>643</v>
      </c>
      <c r="C447" s="511">
        <v>4</v>
      </c>
      <c r="D447" s="512" t="s">
        <v>10</v>
      </c>
      <c r="E447" s="1290">
        <v>2073.6999999999998</v>
      </c>
      <c r="F447" s="1364">
        <f t="shared" si="11"/>
        <v>8294.7999999999993</v>
      </c>
    </row>
    <row r="448" spans="1:6">
      <c r="A448" s="596">
        <v>10.1</v>
      </c>
      <c r="B448" s="591" t="s">
        <v>644</v>
      </c>
      <c r="C448" s="511">
        <v>1</v>
      </c>
      <c r="D448" s="512" t="s">
        <v>10</v>
      </c>
      <c r="E448" s="1290">
        <v>9874.77</v>
      </c>
      <c r="F448" s="1364">
        <f t="shared" si="11"/>
        <v>9874.77</v>
      </c>
    </row>
    <row r="449" spans="1:6">
      <c r="A449" s="596">
        <v>10.11</v>
      </c>
      <c r="B449" s="591" t="s">
        <v>645</v>
      </c>
      <c r="C449" s="511">
        <v>6</v>
      </c>
      <c r="D449" s="512" t="s">
        <v>10</v>
      </c>
      <c r="E449" s="1290">
        <v>5158.1000000000004</v>
      </c>
      <c r="F449" s="1364">
        <f t="shared" si="11"/>
        <v>30948.6</v>
      </c>
    </row>
    <row r="450" spans="1:6">
      <c r="A450" s="596">
        <v>10.119999999999999</v>
      </c>
      <c r="B450" s="591" t="s">
        <v>646</v>
      </c>
      <c r="C450" s="511">
        <v>1</v>
      </c>
      <c r="D450" s="512" t="s">
        <v>10</v>
      </c>
      <c r="E450" s="1290">
        <v>137305.74</v>
      </c>
      <c r="F450" s="1364">
        <f t="shared" si="11"/>
        <v>137305.74</v>
      </c>
    </row>
    <row r="451" spans="1:6">
      <c r="A451" s="596">
        <v>10.130000000000001</v>
      </c>
      <c r="B451" s="591" t="s">
        <v>647</v>
      </c>
      <c r="C451" s="511">
        <v>1</v>
      </c>
      <c r="D451" s="512" t="s">
        <v>10</v>
      </c>
      <c r="E451" s="1290">
        <v>66139.97</v>
      </c>
      <c r="F451" s="1364">
        <f t="shared" si="11"/>
        <v>66139.97</v>
      </c>
    </row>
    <row r="452" spans="1:6">
      <c r="A452" s="596">
        <v>10.14</v>
      </c>
      <c r="B452" s="591" t="s">
        <v>648</v>
      </c>
      <c r="C452" s="511">
        <v>2</v>
      </c>
      <c r="D452" s="512" t="s">
        <v>10</v>
      </c>
      <c r="E452" s="1290">
        <v>2407.1999999999998</v>
      </c>
      <c r="F452" s="1364">
        <f t="shared" si="11"/>
        <v>4814.3999999999996</v>
      </c>
    </row>
    <row r="453" spans="1:6">
      <c r="A453" s="596">
        <v>10.15</v>
      </c>
      <c r="B453" s="591" t="s">
        <v>649</v>
      </c>
      <c r="C453" s="511">
        <v>1</v>
      </c>
      <c r="D453" s="512" t="s">
        <v>10</v>
      </c>
      <c r="E453" s="1290">
        <v>13260</v>
      </c>
      <c r="F453" s="1364">
        <f t="shared" si="11"/>
        <v>13260</v>
      </c>
    </row>
    <row r="454" spans="1:6">
      <c r="A454" s="596">
        <v>10.16</v>
      </c>
      <c r="B454" s="591" t="s">
        <v>650</v>
      </c>
      <c r="C454" s="511">
        <v>1</v>
      </c>
      <c r="D454" s="512" t="s">
        <v>10</v>
      </c>
      <c r="E454" s="1290">
        <v>346800</v>
      </c>
      <c r="F454" s="1364">
        <f t="shared" si="11"/>
        <v>346800</v>
      </c>
    </row>
    <row r="455" spans="1:6">
      <c r="A455" s="596">
        <v>10.17</v>
      </c>
      <c r="B455" s="591" t="s">
        <v>651</v>
      </c>
      <c r="C455" s="511">
        <v>1</v>
      </c>
      <c r="D455" s="512" t="s">
        <v>10</v>
      </c>
      <c r="E455" s="1290">
        <v>77010</v>
      </c>
      <c r="F455" s="1364">
        <f t="shared" si="11"/>
        <v>77010</v>
      </c>
    </row>
    <row r="456" spans="1:6">
      <c r="A456" s="596">
        <v>10.18</v>
      </c>
      <c r="B456" s="591" t="s">
        <v>652</v>
      </c>
      <c r="C456" s="511">
        <v>1</v>
      </c>
      <c r="D456" s="512" t="s">
        <v>10</v>
      </c>
      <c r="E456" s="1290">
        <v>9180</v>
      </c>
      <c r="F456" s="1364">
        <f t="shared" si="11"/>
        <v>9180</v>
      </c>
    </row>
    <row r="457" spans="1:6">
      <c r="A457" s="596">
        <v>10.19</v>
      </c>
      <c r="B457" s="591" t="s">
        <v>653</v>
      </c>
      <c r="C457" s="511">
        <v>1</v>
      </c>
      <c r="D457" s="512" t="s">
        <v>10</v>
      </c>
      <c r="E457" s="1290">
        <v>12240</v>
      </c>
      <c r="F457" s="1364">
        <f t="shared" si="11"/>
        <v>12240</v>
      </c>
    </row>
    <row r="458" spans="1:6">
      <c r="A458" s="596">
        <v>10.199999999999999</v>
      </c>
      <c r="B458" s="591" t="s">
        <v>654</v>
      </c>
      <c r="C458" s="511">
        <v>9.59</v>
      </c>
      <c r="D458" s="512" t="s">
        <v>10</v>
      </c>
      <c r="E458" s="1290">
        <v>1530</v>
      </c>
      <c r="F458" s="1364">
        <f t="shared" si="11"/>
        <v>14672.7</v>
      </c>
    </row>
    <row r="459" spans="1:6">
      <c r="A459" s="596">
        <v>10.210000000000001</v>
      </c>
      <c r="B459" s="591" t="s">
        <v>655</v>
      </c>
      <c r="C459" s="511">
        <v>1</v>
      </c>
      <c r="D459" s="512" t="s">
        <v>500</v>
      </c>
      <c r="E459" s="1290">
        <v>35700</v>
      </c>
      <c r="F459" s="1364">
        <f t="shared" si="11"/>
        <v>35700</v>
      </c>
    </row>
    <row r="460" spans="1:6">
      <c r="A460" s="596">
        <v>10.220000000000001</v>
      </c>
      <c r="B460" s="591" t="s">
        <v>656</v>
      </c>
      <c r="C460" s="511">
        <v>1</v>
      </c>
      <c r="D460" s="512" t="s">
        <v>500</v>
      </c>
      <c r="E460" s="1290">
        <v>12240</v>
      </c>
      <c r="F460" s="1364">
        <f t="shared" si="11"/>
        <v>12240</v>
      </c>
    </row>
    <row r="461" spans="1:6">
      <c r="A461" s="596">
        <v>10.23</v>
      </c>
      <c r="B461" s="591" t="s">
        <v>657</v>
      </c>
      <c r="C461" s="511">
        <v>1</v>
      </c>
      <c r="D461" s="512" t="s">
        <v>500</v>
      </c>
      <c r="E461" s="1290">
        <v>15300</v>
      </c>
      <c r="F461" s="1364">
        <f t="shared" si="11"/>
        <v>15300</v>
      </c>
    </row>
    <row r="462" spans="1:6">
      <c r="A462" s="596">
        <v>10.24</v>
      </c>
      <c r="B462" s="591" t="s">
        <v>658</v>
      </c>
      <c r="C462" s="511">
        <v>1</v>
      </c>
      <c r="D462" s="512" t="s">
        <v>500</v>
      </c>
      <c r="E462" s="1290">
        <v>50000</v>
      </c>
      <c r="F462" s="1364">
        <f t="shared" si="11"/>
        <v>50000</v>
      </c>
    </row>
    <row r="463" spans="1:6">
      <c r="A463" s="591"/>
      <c r="B463" s="591"/>
      <c r="C463" s="511"/>
      <c r="D463" s="512"/>
      <c r="E463" s="1290"/>
      <c r="F463" s="1359"/>
    </row>
    <row r="464" spans="1:6">
      <c r="A464" s="588">
        <v>11</v>
      </c>
      <c r="B464" s="589" t="s">
        <v>303</v>
      </c>
      <c r="C464" s="597"/>
      <c r="D464" s="521"/>
      <c r="E464" s="1281"/>
      <c r="F464" s="1358"/>
    </row>
    <row r="465" spans="1:6">
      <c r="A465" s="590">
        <v>11.1</v>
      </c>
      <c r="B465" s="591" t="s">
        <v>659</v>
      </c>
      <c r="C465" s="597">
        <v>23</v>
      </c>
      <c r="D465" s="521" t="s">
        <v>10</v>
      </c>
      <c r="E465" s="1281">
        <v>1945.14</v>
      </c>
      <c r="F465" s="1353">
        <f t="shared" ref="F465:F478" si="12">+ROUND(E465*C465,2)</f>
        <v>44738.22</v>
      </c>
    </row>
    <row r="466" spans="1:6">
      <c r="A466" s="590">
        <v>11.2</v>
      </c>
      <c r="B466" s="591" t="s">
        <v>660</v>
      </c>
      <c r="C466" s="597">
        <v>10</v>
      </c>
      <c r="D466" s="521" t="s">
        <v>10</v>
      </c>
      <c r="E466" s="1281">
        <v>1974.72</v>
      </c>
      <c r="F466" s="1353">
        <f t="shared" si="12"/>
        <v>19747.2</v>
      </c>
    </row>
    <row r="467" spans="1:6">
      <c r="A467" s="590">
        <v>11.3</v>
      </c>
      <c r="B467" s="591" t="s">
        <v>661</v>
      </c>
      <c r="C467" s="597">
        <v>2</v>
      </c>
      <c r="D467" s="521" t="s">
        <v>10</v>
      </c>
      <c r="E467" s="1281">
        <v>2035.92</v>
      </c>
      <c r="F467" s="1353">
        <f t="shared" si="12"/>
        <v>4071.84</v>
      </c>
    </row>
    <row r="468" spans="1:6">
      <c r="A468" s="590">
        <v>11.4</v>
      </c>
      <c r="B468" s="591" t="s">
        <v>662</v>
      </c>
      <c r="C468" s="597">
        <v>8</v>
      </c>
      <c r="D468" s="521" t="s">
        <v>10</v>
      </c>
      <c r="E468" s="1281">
        <v>2175.66</v>
      </c>
      <c r="F468" s="1353">
        <f t="shared" si="12"/>
        <v>17405.28</v>
      </c>
    </row>
    <row r="469" spans="1:6">
      <c r="A469" s="590">
        <v>11.5</v>
      </c>
      <c r="B469" s="591" t="s">
        <v>663</v>
      </c>
      <c r="C469" s="597">
        <v>2</v>
      </c>
      <c r="D469" s="521" t="s">
        <v>10</v>
      </c>
      <c r="E469" s="1281">
        <v>3159.96</v>
      </c>
      <c r="F469" s="1353">
        <f t="shared" si="12"/>
        <v>6319.92</v>
      </c>
    </row>
    <row r="470" spans="1:6">
      <c r="A470" s="590">
        <v>11.6</v>
      </c>
      <c r="B470" s="591" t="s">
        <v>664</v>
      </c>
      <c r="C470" s="597">
        <v>1</v>
      </c>
      <c r="D470" s="521" t="s">
        <v>10</v>
      </c>
      <c r="E470" s="1281">
        <v>5457</v>
      </c>
      <c r="F470" s="1353">
        <f t="shared" si="12"/>
        <v>5457</v>
      </c>
    </row>
    <row r="471" spans="1:6">
      <c r="A471" s="590">
        <v>11.7</v>
      </c>
      <c r="B471" s="591" t="s">
        <v>665</v>
      </c>
      <c r="C471" s="597">
        <v>3</v>
      </c>
      <c r="D471" s="521" t="s">
        <v>10</v>
      </c>
      <c r="E471" s="1281">
        <v>1071</v>
      </c>
      <c r="F471" s="1353">
        <f t="shared" si="12"/>
        <v>3213</v>
      </c>
    </row>
    <row r="472" spans="1:6">
      <c r="A472" s="590">
        <v>11.8</v>
      </c>
      <c r="B472" s="591" t="s">
        <v>666</v>
      </c>
      <c r="C472" s="597">
        <v>1</v>
      </c>
      <c r="D472" s="521" t="s">
        <v>10</v>
      </c>
      <c r="E472" s="1281">
        <v>33057.18</v>
      </c>
      <c r="F472" s="1353">
        <f t="shared" si="12"/>
        <v>33057.18</v>
      </c>
    </row>
    <row r="473" spans="1:6">
      <c r="A473" s="590">
        <v>11.9</v>
      </c>
      <c r="B473" s="591" t="s">
        <v>667</v>
      </c>
      <c r="C473" s="597">
        <v>2</v>
      </c>
      <c r="D473" s="521" t="s">
        <v>10</v>
      </c>
      <c r="E473" s="1281">
        <v>33057.18</v>
      </c>
      <c r="F473" s="1353">
        <f t="shared" si="12"/>
        <v>66114.36</v>
      </c>
    </row>
    <row r="474" spans="1:6">
      <c r="A474" s="596">
        <v>11.1</v>
      </c>
      <c r="B474" s="591" t="s">
        <v>668</v>
      </c>
      <c r="C474" s="597">
        <v>2</v>
      </c>
      <c r="D474" s="521" t="s">
        <v>10</v>
      </c>
      <c r="E474" s="1281">
        <v>765</v>
      </c>
      <c r="F474" s="1353">
        <f t="shared" si="12"/>
        <v>1530</v>
      </c>
    </row>
    <row r="475" spans="1:6">
      <c r="A475" s="596">
        <v>11.11</v>
      </c>
      <c r="B475" s="591" t="s">
        <v>669</v>
      </c>
      <c r="C475" s="597">
        <v>4</v>
      </c>
      <c r="D475" s="521" t="s">
        <v>10</v>
      </c>
      <c r="E475" s="1281">
        <v>1836</v>
      </c>
      <c r="F475" s="1353">
        <f t="shared" si="12"/>
        <v>7344</v>
      </c>
    </row>
    <row r="476" spans="1:6">
      <c r="A476" s="596">
        <v>11.12</v>
      </c>
      <c r="B476" s="591" t="s">
        <v>670</v>
      </c>
      <c r="C476" s="597">
        <v>4</v>
      </c>
      <c r="D476" s="521" t="s">
        <v>10</v>
      </c>
      <c r="E476" s="1281">
        <v>8509.15</v>
      </c>
      <c r="F476" s="1353">
        <f t="shared" si="12"/>
        <v>34036.6</v>
      </c>
    </row>
    <row r="477" spans="1:6">
      <c r="A477" s="596">
        <v>11.13</v>
      </c>
      <c r="B477" s="591" t="s">
        <v>671</v>
      </c>
      <c r="C477" s="597">
        <v>1</v>
      </c>
      <c r="D477" s="521" t="s">
        <v>500</v>
      </c>
      <c r="E477" s="1281">
        <v>4590</v>
      </c>
      <c r="F477" s="1353">
        <f t="shared" si="12"/>
        <v>4590</v>
      </c>
    </row>
    <row r="478" spans="1:6">
      <c r="A478" s="1205">
        <v>11.14</v>
      </c>
      <c r="B478" s="1202" t="s">
        <v>672</v>
      </c>
      <c r="C478" s="1206">
        <v>1</v>
      </c>
      <c r="D478" s="1192" t="s">
        <v>500</v>
      </c>
      <c r="E478" s="1300">
        <v>35700</v>
      </c>
      <c r="F478" s="1361">
        <f t="shared" si="12"/>
        <v>35700</v>
      </c>
    </row>
    <row r="479" spans="1:6">
      <c r="A479" s="591"/>
      <c r="B479" s="591"/>
      <c r="C479" s="511"/>
      <c r="D479" s="512"/>
      <c r="E479" s="1290"/>
      <c r="F479" s="1359"/>
    </row>
    <row r="480" spans="1:6">
      <c r="A480" s="588">
        <v>12</v>
      </c>
      <c r="B480" s="589" t="s">
        <v>673</v>
      </c>
      <c r="C480" s="511"/>
      <c r="D480" s="512"/>
      <c r="E480" s="1290"/>
      <c r="F480" s="1359"/>
    </row>
    <row r="481" spans="1:6">
      <c r="A481" s="590">
        <v>12.1</v>
      </c>
      <c r="B481" s="591" t="s">
        <v>674</v>
      </c>
      <c r="C481" s="511">
        <v>110.83</v>
      </c>
      <c r="D481" s="512" t="s">
        <v>300</v>
      </c>
      <c r="E481" s="1290">
        <v>439.5</v>
      </c>
      <c r="F481" s="1364">
        <f>+ROUND(E481*C481,2)</f>
        <v>48709.79</v>
      </c>
    </row>
    <row r="482" spans="1:6">
      <c r="A482" s="590">
        <v>12.2</v>
      </c>
      <c r="B482" s="591" t="s">
        <v>675</v>
      </c>
      <c r="C482" s="511">
        <v>46.1</v>
      </c>
      <c r="D482" s="512" t="s">
        <v>15</v>
      </c>
      <c r="E482" s="1290">
        <v>120.14</v>
      </c>
      <c r="F482" s="1364">
        <f>+ROUND(E482*C482,2)</f>
        <v>5538.45</v>
      </c>
    </row>
    <row r="483" spans="1:6">
      <c r="A483" s="590">
        <v>12.3</v>
      </c>
      <c r="B483" s="591" t="s">
        <v>676</v>
      </c>
      <c r="C483" s="511">
        <v>179.86</v>
      </c>
      <c r="D483" s="512" t="s">
        <v>300</v>
      </c>
      <c r="E483" s="1290">
        <v>677.36</v>
      </c>
      <c r="F483" s="1364">
        <f>+ROUND(E483*C483,2)</f>
        <v>121829.97</v>
      </c>
    </row>
    <row r="484" spans="1:6">
      <c r="A484" s="590">
        <v>12.4</v>
      </c>
      <c r="B484" s="591" t="s">
        <v>677</v>
      </c>
      <c r="C484" s="511">
        <v>46.1</v>
      </c>
      <c r="D484" s="512" t="s">
        <v>15</v>
      </c>
      <c r="E484" s="1290">
        <v>158.5</v>
      </c>
      <c r="F484" s="1364">
        <f>+ROUND(E484*C484,2)</f>
        <v>7306.85</v>
      </c>
    </row>
    <row r="485" spans="1:6">
      <c r="A485" s="591"/>
      <c r="B485" s="591"/>
      <c r="C485" s="511"/>
      <c r="D485" s="512"/>
      <c r="E485" s="1290"/>
      <c r="F485" s="1359"/>
    </row>
    <row r="486" spans="1:6">
      <c r="A486" s="588">
        <v>13</v>
      </c>
      <c r="B486" s="589" t="s">
        <v>678</v>
      </c>
      <c r="C486" s="511"/>
      <c r="D486" s="512"/>
      <c r="E486" s="1290"/>
      <c r="F486" s="1359"/>
    </row>
    <row r="487" spans="1:6">
      <c r="A487" s="590">
        <v>13.1</v>
      </c>
      <c r="B487" s="591" t="s">
        <v>679</v>
      </c>
      <c r="C487" s="511">
        <v>7.28</v>
      </c>
      <c r="D487" s="512" t="s">
        <v>406</v>
      </c>
      <c r="E487" s="1290">
        <v>2856</v>
      </c>
      <c r="F487" s="1364">
        <f>+ROUND(E487*C487,2)</f>
        <v>20791.68</v>
      </c>
    </row>
    <row r="488" spans="1:6">
      <c r="A488" s="590">
        <v>13.2</v>
      </c>
      <c r="B488" s="591" t="s">
        <v>680</v>
      </c>
      <c r="C488" s="511">
        <v>7.28</v>
      </c>
      <c r="D488" s="512" t="s">
        <v>406</v>
      </c>
      <c r="E488" s="1290">
        <v>2856</v>
      </c>
      <c r="F488" s="1364">
        <f>+ROUND(E488*C488,2)</f>
        <v>20791.68</v>
      </c>
    </row>
    <row r="489" spans="1:6">
      <c r="A489" s="590">
        <v>13.3</v>
      </c>
      <c r="B489" s="591" t="s">
        <v>681</v>
      </c>
      <c r="C489" s="511">
        <v>1</v>
      </c>
      <c r="D489" s="512" t="s">
        <v>500</v>
      </c>
      <c r="E489" s="1290">
        <v>4500</v>
      </c>
      <c r="F489" s="1364">
        <f>+ROUND(E489*C489,2)</f>
        <v>4500</v>
      </c>
    </row>
    <row r="490" spans="1:6">
      <c r="A490" s="590">
        <v>13.4</v>
      </c>
      <c r="B490" s="591" t="s">
        <v>682</v>
      </c>
      <c r="C490" s="511">
        <v>14.2</v>
      </c>
      <c r="D490" s="512" t="s">
        <v>406</v>
      </c>
      <c r="E490" s="1290">
        <v>1300</v>
      </c>
      <c r="F490" s="1364">
        <f>+ROUND(E490*C490,2)</f>
        <v>18460</v>
      </c>
    </row>
    <row r="491" spans="1:6">
      <c r="A491" s="591"/>
      <c r="B491" s="591"/>
      <c r="C491" s="511"/>
      <c r="D491" s="512"/>
      <c r="E491" s="1290"/>
      <c r="F491" s="1359"/>
    </row>
    <row r="492" spans="1:6">
      <c r="A492" s="588">
        <v>14</v>
      </c>
      <c r="B492" s="589" t="s">
        <v>683</v>
      </c>
      <c r="C492" s="511"/>
      <c r="D492" s="512"/>
      <c r="E492" s="1290"/>
      <c r="F492" s="1359"/>
    </row>
    <row r="493" spans="1:6">
      <c r="A493" s="590">
        <v>14.1</v>
      </c>
      <c r="B493" s="591" t="s">
        <v>684</v>
      </c>
      <c r="C493" s="511">
        <v>422.88</v>
      </c>
      <c r="D493" s="512" t="s">
        <v>300</v>
      </c>
      <c r="E493" s="1290">
        <v>173.4</v>
      </c>
      <c r="F493" s="1364">
        <f>+ROUND(E493*C493,2)</f>
        <v>73327.39</v>
      </c>
    </row>
    <row r="494" spans="1:6">
      <c r="A494" s="590">
        <v>14.2</v>
      </c>
      <c r="B494" s="591" t="s">
        <v>685</v>
      </c>
      <c r="C494" s="511">
        <v>171</v>
      </c>
      <c r="D494" s="512" t="s">
        <v>300</v>
      </c>
      <c r="E494" s="1290">
        <v>173.4</v>
      </c>
      <c r="F494" s="1364">
        <f>+ROUND(E494*C494,2)</f>
        <v>29651.4</v>
      </c>
    </row>
    <row r="495" spans="1:6">
      <c r="A495" s="590">
        <v>14.3</v>
      </c>
      <c r="B495" s="591" t="s">
        <v>686</v>
      </c>
      <c r="C495" s="511">
        <v>108.31</v>
      </c>
      <c r="D495" s="512" t="s">
        <v>300</v>
      </c>
      <c r="E495" s="1290">
        <v>173.4</v>
      </c>
      <c r="F495" s="1364">
        <f>+ROUND(E495*C495,2)</f>
        <v>18780.95</v>
      </c>
    </row>
    <row r="496" spans="1:6">
      <c r="A496" s="590">
        <v>14.4</v>
      </c>
      <c r="B496" s="591" t="s">
        <v>687</v>
      </c>
      <c r="C496" s="511">
        <v>1</v>
      </c>
      <c r="D496" s="512" t="s">
        <v>500</v>
      </c>
      <c r="E496" s="1290">
        <v>13000</v>
      </c>
      <c r="F496" s="1364">
        <f>+ROUND(E496*C496,2)</f>
        <v>13000</v>
      </c>
    </row>
    <row r="497" spans="1:6">
      <c r="A497" s="591"/>
      <c r="B497" s="591"/>
      <c r="C497" s="511"/>
      <c r="D497" s="512"/>
      <c r="E497" s="1290"/>
      <c r="F497" s="1359"/>
    </row>
    <row r="498" spans="1:6">
      <c r="A498" s="588">
        <v>15</v>
      </c>
      <c r="B498" s="589" t="s">
        <v>547</v>
      </c>
      <c r="C498" s="511"/>
      <c r="D498" s="512"/>
      <c r="E498" s="1290"/>
      <c r="F498" s="1359"/>
    </row>
    <row r="499" spans="1:6">
      <c r="A499" s="590">
        <v>15.1</v>
      </c>
      <c r="B499" s="591" t="s">
        <v>688</v>
      </c>
      <c r="C499" s="511">
        <v>1</v>
      </c>
      <c r="D499" s="512" t="s">
        <v>500</v>
      </c>
      <c r="E499" s="1290">
        <v>5100</v>
      </c>
      <c r="F499" s="1364">
        <f t="shared" ref="F499:F505" si="13">+ROUND(E499*C499,2)</f>
        <v>5100</v>
      </c>
    </row>
    <row r="500" spans="1:6">
      <c r="A500" s="590">
        <v>15.2</v>
      </c>
      <c r="B500" s="591" t="s">
        <v>689</v>
      </c>
      <c r="C500" s="511">
        <v>2</v>
      </c>
      <c r="D500" s="512" t="s">
        <v>10</v>
      </c>
      <c r="E500" s="1290">
        <v>3500</v>
      </c>
      <c r="F500" s="1364">
        <f t="shared" si="13"/>
        <v>7000</v>
      </c>
    </row>
    <row r="501" spans="1:6">
      <c r="A501" s="590">
        <v>15.3</v>
      </c>
      <c r="B501" s="591" t="s">
        <v>690</v>
      </c>
      <c r="C501" s="511">
        <v>1</v>
      </c>
      <c r="D501" s="512" t="s">
        <v>500</v>
      </c>
      <c r="E501" s="1290">
        <v>2790</v>
      </c>
      <c r="F501" s="1364">
        <f t="shared" si="13"/>
        <v>2790</v>
      </c>
    </row>
    <row r="502" spans="1:6">
      <c r="A502" s="590">
        <v>15.4</v>
      </c>
      <c r="B502" s="591" t="s">
        <v>691</v>
      </c>
      <c r="C502" s="511">
        <v>1</v>
      </c>
      <c r="D502" s="512" t="s">
        <v>500</v>
      </c>
      <c r="E502" s="1290">
        <v>7000</v>
      </c>
      <c r="F502" s="1364">
        <f t="shared" si="13"/>
        <v>7000</v>
      </c>
    </row>
    <row r="503" spans="1:6">
      <c r="A503" s="590">
        <v>15.5</v>
      </c>
      <c r="B503" s="591" t="s">
        <v>692</v>
      </c>
      <c r="C503" s="511">
        <v>1</v>
      </c>
      <c r="D503" s="512" t="s">
        <v>500</v>
      </c>
      <c r="E503" s="1290">
        <v>9000</v>
      </c>
      <c r="F503" s="1364">
        <f t="shared" si="13"/>
        <v>9000</v>
      </c>
    </row>
    <row r="504" spans="1:6">
      <c r="A504" s="590">
        <v>15.6</v>
      </c>
      <c r="B504" s="591" t="s">
        <v>693</v>
      </c>
      <c r="C504" s="511">
        <v>130.41</v>
      </c>
      <c r="D504" s="512" t="s">
        <v>304</v>
      </c>
      <c r="E504" s="1290">
        <v>1600</v>
      </c>
      <c r="F504" s="1364">
        <f t="shared" si="13"/>
        <v>208656</v>
      </c>
    </row>
    <row r="505" spans="1:6">
      <c r="A505" s="590">
        <v>15.7</v>
      </c>
      <c r="B505" s="591" t="s">
        <v>694</v>
      </c>
      <c r="C505" s="511">
        <v>1</v>
      </c>
      <c r="D505" s="512" t="s">
        <v>500</v>
      </c>
      <c r="E505" s="1290">
        <v>3000</v>
      </c>
      <c r="F505" s="1364">
        <f t="shared" si="13"/>
        <v>3000</v>
      </c>
    </row>
    <row r="506" spans="1:6">
      <c r="A506" s="543"/>
      <c r="B506" s="544" t="s">
        <v>695</v>
      </c>
      <c r="C506" s="545"/>
      <c r="D506" s="546"/>
      <c r="E506" s="1294"/>
      <c r="F506" s="1363">
        <f>SUM(F367:F505)</f>
        <v>5004623.1500000004</v>
      </c>
    </row>
    <row r="507" spans="1:6">
      <c r="A507" s="509"/>
      <c r="B507" s="510"/>
      <c r="C507" s="511"/>
      <c r="D507" s="512"/>
      <c r="E507" s="1290"/>
      <c r="F507" s="1359"/>
    </row>
    <row r="508" spans="1:6">
      <c r="A508" s="504" t="s">
        <v>696</v>
      </c>
      <c r="B508" s="614" t="s">
        <v>906</v>
      </c>
      <c r="C508" s="597"/>
      <c r="D508" s="521"/>
      <c r="E508" s="1281"/>
      <c r="F508" s="1358"/>
    </row>
    <row r="509" spans="1:6">
      <c r="A509" s="509"/>
      <c r="B509" s="510"/>
      <c r="C509" s="511"/>
      <c r="D509" s="512"/>
      <c r="E509" s="1290"/>
      <c r="F509" s="1359"/>
    </row>
    <row r="510" spans="1:6">
      <c r="A510" s="1207">
        <v>1</v>
      </c>
      <c r="B510" s="600" t="s">
        <v>420</v>
      </c>
      <c r="C510" s="601"/>
      <c r="D510" s="602"/>
      <c r="E510" s="1301"/>
      <c r="F510" s="1371"/>
    </row>
    <row r="511" spans="1:6">
      <c r="A511" s="604">
        <v>1.1000000000000001</v>
      </c>
      <c r="B511" s="605" t="s">
        <v>697</v>
      </c>
      <c r="C511" s="601">
        <v>37.200000000000003</v>
      </c>
      <c r="D511" s="602" t="s">
        <v>15</v>
      </c>
      <c r="E511" s="1301">
        <v>157.51</v>
      </c>
      <c r="F511" s="1371">
        <f>ROUND(C511*E511,2)</f>
        <v>5859.37</v>
      </c>
    </row>
    <row r="512" spans="1:6">
      <c r="A512" s="606"/>
      <c r="B512" s="605"/>
      <c r="C512" s="601"/>
      <c r="D512" s="602"/>
      <c r="E512" s="1302"/>
      <c r="F512" s="1371"/>
    </row>
    <row r="513" spans="1:6" ht="25.5">
      <c r="A513" s="1207">
        <v>2</v>
      </c>
      <c r="B513" s="1208" t="s">
        <v>698</v>
      </c>
      <c r="C513" s="1209">
        <v>1</v>
      </c>
      <c r="D513" s="1210" t="s">
        <v>500</v>
      </c>
      <c r="E513" s="1303">
        <v>12000</v>
      </c>
      <c r="F513" s="1372">
        <f>ROUND(C513*E513,2)</f>
        <v>12000</v>
      </c>
    </row>
    <row r="514" spans="1:6">
      <c r="A514" s="608"/>
      <c r="B514" s="609"/>
      <c r="C514" s="610"/>
      <c r="D514" s="611"/>
      <c r="E514" s="1304"/>
      <c r="F514" s="1358"/>
    </row>
    <row r="515" spans="1:6">
      <c r="A515" s="524">
        <v>3</v>
      </c>
      <c r="B515" s="614" t="s">
        <v>510</v>
      </c>
      <c r="C515" s="610"/>
      <c r="D515" s="611"/>
      <c r="E515" s="1304"/>
      <c r="F515" s="1358"/>
    </row>
    <row r="516" spans="1:6">
      <c r="A516" s="525">
        <v>3.1</v>
      </c>
      <c r="B516" s="615" t="s">
        <v>699</v>
      </c>
      <c r="C516" s="481">
        <v>2.9</v>
      </c>
      <c r="D516" s="616" t="s">
        <v>298</v>
      </c>
      <c r="E516" s="1305">
        <v>9497.18</v>
      </c>
      <c r="F516" s="1359">
        <f>ROUND(C516*E516,2)</f>
        <v>27541.82</v>
      </c>
    </row>
    <row r="517" spans="1:6">
      <c r="A517" s="525">
        <v>3.2</v>
      </c>
      <c r="B517" s="618" t="s">
        <v>700</v>
      </c>
      <c r="C517" s="481">
        <v>0.64</v>
      </c>
      <c r="D517" s="616" t="s">
        <v>298</v>
      </c>
      <c r="E517" s="1305">
        <v>27762.38</v>
      </c>
      <c r="F517" s="1359">
        <f>ROUND(C517*E517,2)</f>
        <v>17767.919999999998</v>
      </c>
    </row>
    <row r="518" spans="1:6">
      <c r="A518" s="525">
        <v>3.3</v>
      </c>
      <c r="B518" s="618" t="s">
        <v>701</v>
      </c>
      <c r="C518" s="481">
        <v>0.36</v>
      </c>
      <c r="D518" s="616" t="s">
        <v>298</v>
      </c>
      <c r="E518" s="1305">
        <v>26691.38</v>
      </c>
      <c r="F518" s="1359">
        <f>ROUND(C518*E518,2)</f>
        <v>9608.9</v>
      </c>
    </row>
    <row r="519" spans="1:6">
      <c r="A519" s="525">
        <v>3.4</v>
      </c>
      <c r="B519" s="615" t="s">
        <v>702</v>
      </c>
      <c r="C519" s="481">
        <v>0.22</v>
      </c>
      <c r="D519" s="616" t="s">
        <v>298</v>
      </c>
      <c r="E519" s="1305">
        <v>25498.06</v>
      </c>
      <c r="F519" s="1373">
        <f>ROUND((C519*E519),2)</f>
        <v>5609.57</v>
      </c>
    </row>
    <row r="520" spans="1:6">
      <c r="A520" s="525">
        <v>3.5</v>
      </c>
      <c r="B520" s="615" t="s">
        <v>703</v>
      </c>
      <c r="C520" s="481">
        <v>0.74</v>
      </c>
      <c r="D520" s="616" t="s">
        <v>298</v>
      </c>
      <c r="E520" s="1305">
        <v>23312.52</v>
      </c>
      <c r="F520" s="1373">
        <f>ROUND((C520*E520),2)</f>
        <v>17251.259999999998</v>
      </c>
    </row>
    <row r="521" spans="1:6">
      <c r="A521" s="525">
        <v>3.6</v>
      </c>
      <c r="B521" s="618" t="s">
        <v>704</v>
      </c>
      <c r="C521" s="481">
        <v>0.24</v>
      </c>
      <c r="D521" s="616" t="s">
        <v>298</v>
      </c>
      <c r="E521" s="1305">
        <v>43646.14</v>
      </c>
      <c r="F521" s="1359">
        <f>ROUND(C521*E521,2)</f>
        <v>10475.07</v>
      </c>
    </row>
    <row r="522" spans="1:6">
      <c r="A522" s="525">
        <v>3.7</v>
      </c>
      <c r="B522" s="615" t="s">
        <v>705</v>
      </c>
      <c r="C522" s="481">
        <v>1.62</v>
      </c>
      <c r="D522" s="616" t="s">
        <v>298</v>
      </c>
      <c r="E522" s="1305">
        <v>18057.599999999999</v>
      </c>
      <c r="F522" s="1359">
        <f>ROUND(C522*E522,2)</f>
        <v>29253.31</v>
      </c>
    </row>
    <row r="523" spans="1:6">
      <c r="A523" s="608"/>
      <c r="B523" s="510"/>
      <c r="C523" s="481"/>
      <c r="D523" s="473"/>
      <c r="E523" s="1305"/>
      <c r="F523" s="1359"/>
    </row>
    <row r="524" spans="1:6">
      <c r="A524" s="524">
        <v>4</v>
      </c>
      <c r="B524" s="598" t="s">
        <v>299</v>
      </c>
      <c r="C524" s="481"/>
      <c r="D524" s="473"/>
      <c r="E524" s="1306"/>
      <c r="F524" s="1359"/>
    </row>
    <row r="525" spans="1:6">
      <c r="A525" s="525">
        <v>4.0999999999999996</v>
      </c>
      <c r="B525" s="510" t="s">
        <v>706</v>
      </c>
      <c r="C525" s="481">
        <v>9.64</v>
      </c>
      <c r="D525" s="620" t="s">
        <v>300</v>
      </c>
      <c r="E525" s="1305">
        <v>1403.21</v>
      </c>
      <c r="F525" s="1359">
        <f>ROUND(C525*E525,2)</f>
        <v>13526.94</v>
      </c>
    </row>
    <row r="526" spans="1:6">
      <c r="A526" s="525">
        <v>4.2</v>
      </c>
      <c r="B526" s="510" t="s">
        <v>707</v>
      </c>
      <c r="C526" s="481">
        <v>45.38</v>
      </c>
      <c r="D526" s="620" t="s">
        <v>300</v>
      </c>
      <c r="E526" s="1305">
        <v>1529.21</v>
      </c>
      <c r="F526" s="1359">
        <f>ROUND(C526*E526,2)</f>
        <v>69395.55</v>
      </c>
    </row>
    <row r="527" spans="1:6">
      <c r="A527" s="525"/>
      <c r="B527" s="609"/>
      <c r="C527" s="610"/>
      <c r="D527" s="611"/>
      <c r="E527" s="1307"/>
      <c r="F527" s="1358"/>
    </row>
    <row r="528" spans="1:6">
      <c r="A528" s="524">
        <v>5</v>
      </c>
      <c r="B528" s="614" t="s">
        <v>516</v>
      </c>
      <c r="C528" s="610"/>
      <c r="D528" s="611"/>
      <c r="E528" s="1304"/>
      <c r="F528" s="1358"/>
    </row>
    <row r="529" spans="1:6">
      <c r="A529" s="525">
        <v>5.0999999999999996</v>
      </c>
      <c r="B529" s="615" t="s">
        <v>519</v>
      </c>
      <c r="C529" s="481">
        <v>19.54</v>
      </c>
      <c r="D529" s="620" t="s">
        <v>300</v>
      </c>
      <c r="E529" s="1305">
        <v>101.1</v>
      </c>
      <c r="F529" s="1359">
        <f t="shared" ref="F529:F539" si="14">ROUND(C529*E529,2)</f>
        <v>1975.49</v>
      </c>
    </row>
    <row r="530" spans="1:6">
      <c r="A530" s="525">
        <v>5.2</v>
      </c>
      <c r="B530" s="615" t="s">
        <v>708</v>
      </c>
      <c r="C530" s="481">
        <v>52.08</v>
      </c>
      <c r="D530" s="620" t="s">
        <v>300</v>
      </c>
      <c r="E530" s="1305">
        <v>453.5</v>
      </c>
      <c r="F530" s="1359">
        <f t="shared" si="14"/>
        <v>23618.28</v>
      </c>
    </row>
    <row r="531" spans="1:6">
      <c r="A531" s="525">
        <v>5.3</v>
      </c>
      <c r="B531" s="615" t="s">
        <v>709</v>
      </c>
      <c r="C531" s="481">
        <v>41.88</v>
      </c>
      <c r="D531" s="620" t="s">
        <v>300</v>
      </c>
      <c r="E531" s="1305">
        <v>453.5</v>
      </c>
      <c r="F531" s="1359">
        <f t="shared" si="14"/>
        <v>18992.580000000002</v>
      </c>
    </row>
    <row r="532" spans="1:6">
      <c r="A532" s="525">
        <v>5.4</v>
      </c>
      <c r="B532" s="615" t="s">
        <v>710</v>
      </c>
      <c r="C532" s="481">
        <v>19.239999999999998</v>
      </c>
      <c r="D532" s="620" t="s">
        <v>300</v>
      </c>
      <c r="E532" s="1305">
        <v>439.5</v>
      </c>
      <c r="F532" s="1359">
        <f t="shared" si="14"/>
        <v>8455.98</v>
      </c>
    </row>
    <row r="533" spans="1:6">
      <c r="A533" s="525">
        <v>5.6</v>
      </c>
      <c r="B533" s="615" t="s">
        <v>544</v>
      </c>
      <c r="C533" s="481">
        <v>71.2</v>
      </c>
      <c r="D533" s="473" t="s">
        <v>15</v>
      </c>
      <c r="E533" s="1305">
        <v>158.5</v>
      </c>
      <c r="F533" s="1359">
        <f t="shared" si="14"/>
        <v>11285.2</v>
      </c>
    </row>
    <row r="534" spans="1:6">
      <c r="A534" s="525">
        <v>5.7</v>
      </c>
      <c r="B534" s="615" t="s">
        <v>315</v>
      </c>
      <c r="C534" s="481">
        <v>4.04</v>
      </c>
      <c r="D534" s="473" t="s">
        <v>15</v>
      </c>
      <c r="E534" s="1307">
        <v>310.81</v>
      </c>
      <c r="F534" s="1359">
        <f t="shared" si="14"/>
        <v>1255.67</v>
      </c>
    </row>
    <row r="535" spans="1:6">
      <c r="A535" s="525">
        <v>5.8</v>
      </c>
      <c r="B535" s="615" t="s">
        <v>675</v>
      </c>
      <c r="C535" s="481">
        <v>20.2</v>
      </c>
      <c r="D535" s="473" t="s">
        <v>15</v>
      </c>
      <c r="E535" s="1307">
        <v>120.14</v>
      </c>
      <c r="F535" s="1359">
        <f t="shared" si="14"/>
        <v>2426.83</v>
      </c>
    </row>
    <row r="536" spans="1:6">
      <c r="A536" s="555">
        <v>5.8</v>
      </c>
      <c r="B536" s="615" t="s">
        <v>711</v>
      </c>
      <c r="C536" s="481">
        <v>12.04</v>
      </c>
      <c r="D536" s="473" t="s">
        <v>15</v>
      </c>
      <c r="E536" s="1305">
        <v>158.5</v>
      </c>
      <c r="F536" s="1359">
        <f t="shared" si="14"/>
        <v>1908.34</v>
      </c>
    </row>
    <row r="537" spans="1:6">
      <c r="A537" s="555">
        <v>5.8</v>
      </c>
      <c r="B537" s="615" t="s">
        <v>712</v>
      </c>
      <c r="C537" s="481">
        <v>21.16</v>
      </c>
      <c r="D537" s="620" t="s">
        <v>300</v>
      </c>
      <c r="E537" s="1308">
        <v>419.36</v>
      </c>
      <c r="F537" s="1359">
        <f t="shared" si="14"/>
        <v>8873.66</v>
      </c>
    </row>
    <row r="538" spans="1:6">
      <c r="A538" s="555">
        <v>5.8</v>
      </c>
      <c r="B538" s="615" t="s">
        <v>713</v>
      </c>
      <c r="C538" s="481">
        <v>5.68</v>
      </c>
      <c r="D538" s="620" t="s">
        <v>300</v>
      </c>
      <c r="E538" s="1305">
        <v>1887</v>
      </c>
      <c r="F538" s="1359">
        <f t="shared" si="14"/>
        <v>10718.16</v>
      </c>
    </row>
    <row r="539" spans="1:6">
      <c r="A539" s="525">
        <v>5.5</v>
      </c>
      <c r="B539" s="615" t="s">
        <v>714</v>
      </c>
      <c r="C539" s="481">
        <v>95.2</v>
      </c>
      <c r="D539" s="620" t="s">
        <v>300</v>
      </c>
      <c r="E539" s="1305">
        <v>255.4</v>
      </c>
      <c r="F539" s="1359">
        <f t="shared" si="14"/>
        <v>24314.080000000002</v>
      </c>
    </row>
    <row r="540" spans="1:6" ht="5.25" customHeight="1">
      <c r="A540" s="525"/>
      <c r="B540" s="615"/>
      <c r="C540" s="481"/>
      <c r="D540" s="620"/>
      <c r="E540" s="1306"/>
      <c r="F540" s="1359"/>
    </row>
    <row r="541" spans="1:6">
      <c r="A541" s="524">
        <v>6</v>
      </c>
      <c r="B541" s="618" t="s">
        <v>715</v>
      </c>
      <c r="C541" s="481">
        <v>10.6</v>
      </c>
      <c r="D541" s="620" t="s">
        <v>300</v>
      </c>
      <c r="E541" s="1308">
        <v>727.94</v>
      </c>
      <c r="F541" s="1359">
        <f>ROUND(C541*E541,2)</f>
        <v>7716.16</v>
      </c>
    </row>
    <row r="542" spans="1:6" ht="9.75" customHeight="1">
      <c r="A542" s="524"/>
      <c r="B542" s="615"/>
      <c r="C542" s="481"/>
      <c r="D542" s="620"/>
      <c r="E542" s="1305"/>
      <c r="F542" s="1359"/>
    </row>
    <row r="543" spans="1:6">
      <c r="A543" s="524">
        <v>7</v>
      </c>
      <c r="B543" s="615" t="s">
        <v>716</v>
      </c>
      <c r="C543" s="481">
        <v>12.12</v>
      </c>
      <c r="D543" s="620" t="s">
        <v>300</v>
      </c>
      <c r="E543" s="1305">
        <v>1227.3900000000001</v>
      </c>
      <c r="F543" s="1359">
        <f>ROUND(C543*E543,2)</f>
        <v>14875.97</v>
      </c>
    </row>
    <row r="544" spans="1:6">
      <c r="A544" s="524"/>
      <c r="B544" s="609"/>
      <c r="C544" s="610"/>
      <c r="D544" s="611"/>
      <c r="E544" s="1307"/>
      <c r="F544" s="1358"/>
    </row>
    <row r="545" spans="1:6">
      <c r="A545" s="498">
        <v>8</v>
      </c>
      <c r="B545" s="623" t="s">
        <v>717</v>
      </c>
      <c r="C545" s="481"/>
      <c r="D545" s="473"/>
      <c r="E545" s="1305"/>
      <c r="F545" s="1359"/>
    </row>
    <row r="546" spans="1:6">
      <c r="A546" s="555">
        <v>8.1</v>
      </c>
      <c r="B546" s="615" t="s">
        <v>718</v>
      </c>
      <c r="C546" s="481">
        <v>30.4</v>
      </c>
      <c r="D546" s="473" t="s">
        <v>15</v>
      </c>
      <c r="E546" s="1308">
        <v>150</v>
      </c>
      <c r="F546" s="1359">
        <f>ROUND(C546*E546,2)</f>
        <v>4560</v>
      </c>
    </row>
    <row r="547" spans="1:6">
      <c r="A547" s="555">
        <v>8.1999999999999993</v>
      </c>
      <c r="B547" s="618" t="s">
        <v>719</v>
      </c>
      <c r="C547" s="481">
        <v>2</v>
      </c>
      <c r="D547" s="473" t="s">
        <v>10</v>
      </c>
      <c r="E547" s="1309">
        <v>8500</v>
      </c>
      <c r="F547" s="1359">
        <f>ROUND(C547*E547,2)</f>
        <v>17000</v>
      </c>
    </row>
    <row r="548" spans="1:6">
      <c r="A548" s="1193">
        <v>8.3000000000000007</v>
      </c>
      <c r="B548" s="1211" t="s">
        <v>720</v>
      </c>
      <c r="C548" s="1212">
        <v>2</v>
      </c>
      <c r="D548" s="1213" t="s">
        <v>10</v>
      </c>
      <c r="E548" s="1310">
        <v>12000</v>
      </c>
      <c r="F548" s="1374">
        <f>ROUND(C548*E548,2)</f>
        <v>24000</v>
      </c>
    </row>
    <row r="549" spans="1:6">
      <c r="A549" s="498"/>
      <c r="B549" s="618"/>
      <c r="C549" s="481"/>
      <c r="D549" s="473"/>
      <c r="E549" s="1306"/>
      <c r="F549" s="1359"/>
    </row>
    <row r="550" spans="1:6">
      <c r="A550" s="498">
        <v>9</v>
      </c>
      <c r="B550" s="627" t="s">
        <v>721</v>
      </c>
      <c r="C550" s="481"/>
      <c r="D550" s="473"/>
      <c r="E550" s="1311"/>
      <c r="F550" s="1359"/>
    </row>
    <row r="551" spans="1:6">
      <c r="A551" s="555">
        <v>9.1</v>
      </c>
      <c r="B551" s="618" t="s">
        <v>722</v>
      </c>
      <c r="C551" s="481">
        <v>46.5</v>
      </c>
      <c r="D551" s="473" t="s">
        <v>304</v>
      </c>
      <c r="E551" s="1309">
        <v>280</v>
      </c>
      <c r="F551" s="1359">
        <f>ROUND(C551*E551,2)</f>
        <v>13020</v>
      </c>
    </row>
    <row r="552" spans="1:6">
      <c r="A552" s="555">
        <v>9.1999999999999993</v>
      </c>
      <c r="B552" s="624" t="s">
        <v>723</v>
      </c>
      <c r="C552" s="625">
        <v>2</v>
      </c>
      <c r="D552" s="626" t="s">
        <v>10</v>
      </c>
      <c r="E552" s="1308">
        <v>1300</v>
      </c>
      <c r="F552" s="1359">
        <f>ROUND(C552*E552,2)</f>
        <v>2600</v>
      </c>
    </row>
    <row r="553" spans="1:6">
      <c r="A553" s="524"/>
      <c r="B553" s="518"/>
      <c r="C553" s="610"/>
      <c r="D553" s="611"/>
      <c r="E553" s="1305"/>
      <c r="F553" s="1359"/>
    </row>
    <row r="554" spans="1:6">
      <c r="A554" s="524">
        <v>10</v>
      </c>
      <c r="B554" s="629" t="s">
        <v>724</v>
      </c>
      <c r="C554" s="518"/>
      <c r="D554" s="519"/>
      <c r="E554" s="1304"/>
      <c r="F554" s="1358"/>
    </row>
    <row r="555" spans="1:6">
      <c r="A555" s="630">
        <v>10.1</v>
      </c>
      <c r="B555" s="624" t="s">
        <v>725</v>
      </c>
      <c r="C555" s="631">
        <v>2</v>
      </c>
      <c r="D555" s="626" t="s">
        <v>10</v>
      </c>
      <c r="E555" s="1307">
        <v>11034.8</v>
      </c>
      <c r="F555" s="1364">
        <f t="shared" ref="F555:F567" si="15">ROUND(C555*E555,2)</f>
        <v>22069.599999999999</v>
      </c>
    </row>
    <row r="556" spans="1:6">
      <c r="A556" s="630">
        <v>10.199999999999999</v>
      </c>
      <c r="B556" s="624" t="s">
        <v>726</v>
      </c>
      <c r="C556" s="631">
        <v>2</v>
      </c>
      <c r="D556" s="626" t="s">
        <v>10</v>
      </c>
      <c r="E556" s="1307">
        <v>12801</v>
      </c>
      <c r="F556" s="1364">
        <f t="shared" si="15"/>
        <v>25602</v>
      </c>
    </row>
    <row r="557" spans="1:6">
      <c r="A557" s="630">
        <v>10.3</v>
      </c>
      <c r="B557" s="624" t="s">
        <v>324</v>
      </c>
      <c r="C557" s="631">
        <v>2</v>
      </c>
      <c r="D557" s="626" t="s">
        <v>10</v>
      </c>
      <c r="E557" s="1307">
        <v>2073.6999999999998</v>
      </c>
      <c r="F557" s="1364">
        <f t="shared" si="15"/>
        <v>4147.3999999999996</v>
      </c>
    </row>
    <row r="558" spans="1:6">
      <c r="A558" s="630">
        <v>10.4</v>
      </c>
      <c r="B558" s="624" t="s">
        <v>638</v>
      </c>
      <c r="C558" s="631">
        <v>2</v>
      </c>
      <c r="D558" s="626" t="s">
        <v>10</v>
      </c>
      <c r="E558" s="1307">
        <v>5110.4799999999996</v>
      </c>
      <c r="F558" s="1364">
        <f t="shared" si="15"/>
        <v>10220.959999999999</v>
      </c>
    </row>
    <row r="559" spans="1:6">
      <c r="A559" s="630">
        <v>10.5</v>
      </c>
      <c r="B559" s="624" t="s">
        <v>727</v>
      </c>
      <c r="C559" s="631">
        <v>2</v>
      </c>
      <c r="D559" s="626" t="s">
        <v>10</v>
      </c>
      <c r="E559" s="1307">
        <v>1794.49</v>
      </c>
      <c r="F559" s="1364">
        <f t="shared" si="15"/>
        <v>3588.98</v>
      </c>
    </row>
    <row r="560" spans="1:6">
      <c r="A560" s="630">
        <v>10.6</v>
      </c>
      <c r="B560" s="624" t="s">
        <v>728</v>
      </c>
      <c r="C560" s="631">
        <v>2</v>
      </c>
      <c r="D560" s="626" t="s">
        <v>10</v>
      </c>
      <c r="E560" s="1312">
        <v>2580.6</v>
      </c>
      <c r="F560" s="1364">
        <f t="shared" si="15"/>
        <v>5161.2</v>
      </c>
    </row>
    <row r="561" spans="1:6">
      <c r="A561" s="630">
        <v>10.7</v>
      </c>
      <c r="B561" s="624" t="s">
        <v>729</v>
      </c>
      <c r="C561" s="631">
        <v>2</v>
      </c>
      <c r="D561" s="626" t="s">
        <v>10</v>
      </c>
      <c r="E561" s="1307">
        <v>6426.2</v>
      </c>
      <c r="F561" s="1364">
        <f t="shared" si="15"/>
        <v>12852.4</v>
      </c>
    </row>
    <row r="562" spans="1:6">
      <c r="A562" s="630">
        <v>10.8</v>
      </c>
      <c r="B562" s="624" t="s">
        <v>730</v>
      </c>
      <c r="C562" s="631">
        <v>2</v>
      </c>
      <c r="D562" s="626" t="s">
        <v>10</v>
      </c>
      <c r="E562" s="1312">
        <v>66139.97</v>
      </c>
      <c r="F562" s="1364">
        <f t="shared" si="15"/>
        <v>132279.94</v>
      </c>
    </row>
    <row r="563" spans="1:6">
      <c r="A563" s="630">
        <v>10.9</v>
      </c>
      <c r="B563" s="624" t="s">
        <v>731</v>
      </c>
      <c r="C563" s="631">
        <v>2</v>
      </c>
      <c r="D563" s="626" t="s">
        <v>10</v>
      </c>
      <c r="E563" s="1312">
        <v>7956</v>
      </c>
      <c r="F563" s="1364">
        <f t="shared" si="15"/>
        <v>15912</v>
      </c>
    </row>
    <row r="564" spans="1:6">
      <c r="A564" s="632">
        <v>10.1</v>
      </c>
      <c r="B564" s="633" t="s">
        <v>732</v>
      </c>
      <c r="C564" s="631">
        <v>2</v>
      </c>
      <c r="D564" s="512" t="s">
        <v>10</v>
      </c>
      <c r="E564" s="1312">
        <v>77010</v>
      </c>
      <c r="F564" s="1364">
        <f>ROUND(C564*E564,2)</f>
        <v>154020</v>
      </c>
    </row>
    <row r="565" spans="1:6">
      <c r="A565" s="509">
        <v>10.11</v>
      </c>
      <c r="B565" s="624" t="s">
        <v>733</v>
      </c>
      <c r="C565" s="631">
        <v>2</v>
      </c>
      <c r="D565" s="626" t="s">
        <v>10</v>
      </c>
      <c r="E565" s="1312">
        <v>816</v>
      </c>
      <c r="F565" s="1364">
        <f t="shared" si="15"/>
        <v>1632</v>
      </c>
    </row>
    <row r="566" spans="1:6" ht="25.5">
      <c r="A566" s="632">
        <v>10.119999999999999</v>
      </c>
      <c r="B566" s="618" t="s">
        <v>734</v>
      </c>
      <c r="C566" s="476">
        <v>1</v>
      </c>
      <c r="D566" s="512" t="s">
        <v>500</v>
      </c>
      <c r="E566" s="1312">
        <v>6120</v>
      </c>
      <c r="F566" s="1364">
        <f t="shared" si="15"/>
        <v>6120</v>
      </c>
    </row>
    <row r="567" spans="1:6">
      <c r="A567" s="509">
        <v>10.130000000000001</v>
      </c>
      <c r="B567" s="624" t="s">
        <v>735</v>
      </c>
      <c r="C567" s="631">
        <v>1</v>
      </c>
      <c r="D567" s="512" t="s">
        <v>500</v>
      </c>
      <c r="E567" s="1312">
        <v>13260</v>
      </c>
      <c r="F567" s="1364">
        <f t="shared" si="15"/>
        <v>13260</v>
      </c>
    </row>
    <row r="568" spans="1:6">
      <c r="A568" s="632"/>
      <c r="B568" s="633"/>
      <c r="C568" s="631"/>
      <c r="D568" s="626"/>
      <c r="E568" s="1313"/>
      <c r="F568" s="1364"/>
    </row>
    <row r="569" spans="1:6">
      <c r="A569" s="524">
        <v>11</v>
      </c>
      <c r="B569" s="614" t="s">
        <v>303</v>
      </c>
      <c r="C569" s="635"/>
      <c r="D569" s="611"/>
      <c r="E569" s="1304"/>
      <c r="F569" s="1358"/>
    </row>
    <row r="570" spans="1:6">
      <c r="A570" s="525">
        <v>11.1</v>
      </c>
      <c r="B570" s="518" t="s">
        <v>736</v>
      </c>
      <c r="C570" s="635">
        <v>2</v>
      </c>
      <c r="D570" s="611" t="s">
        <v>10</v>
      </c>
      <c r="E570" s="1312">
        <v>5457</v>
      </c>
      <c r="F570" s="1358">
        <f>ROUND(C570*E570,2)</f>
        <v>10914</v>
      </c>
    </row>
    <row r="571" spans="1:6">
      <c r="A571" s="525">
        <v>11.2</v>
      </c>
      <c r="B571" s="518" t="s">
        <v>737</v>
      </c>
      <c r="C571" s="635">
        <v>12</v>
      </c>
      <c r="D571" s="611" t="s">
        <v>10</v>
      </c>
      <c r="E571" s="1312">
        <v>1945.14</v>
      </c>
      <c r="F571" s="1358">
        <f>ROUND(C571*E571,2)</f>
        <v>23341.68</v>
      </c>
    </row>
    <row r="572" spans="1:6">
      <c r="A572" s="525">
        <v>11.3</v>
      </c>
      <c r="B572" s="519" t="s">
        <v>738</v>
      </c>
      <c r="C572" s="635">
        <v>6</v>
      </c>
      <c r="D572" s="611" t="s">
        <v>10</v>
      </c>
      <c r="E572" s="1307">
        <v>2175.66</v>
      </c>
      <c r="F572" s="1358">
        <f>ROUND(C572*E572,2)</f>
        <v>13053.96</v>
      </c>
    </row>
    <row r="573" spans="1:6">
      <c r="A573" s="525">
        <v>11.4</v>
      </c>
      <c r="B573" s="519" t="s">
        <v>329</v>
      </c>
      <c r="C573" s="635">
        <v>6</v>
      </c>
      <c r="D573" s="611" t="s">
        <v>10</v>
      </c>
      <c r="E573" s="1307">
        <v>1974.72</v>
      </c>
      <c r="F573" s="1358">
        <f>ROUND(C573*E573,2)</f>
        <v>11848.32</v>
      </c>
    </row>
    <row r="574" spans="1:6">
      <c r="A574" s="525"/>
      <c r="B574" s="609"/>
      <c r="C574" s="635"/>
      <c r="D574" s="611"/>
      <c r="E574" s="1307"/>
      <c r="F574" s="1358"/>
    </row>
    <row r="575" spans="1:6">
      <c r="A575" s="636">
        <v>12</v>
      </c>
      <c r="B575" s="484" t="s">
        <v>739</v>
      </c>
      <c r="C575" s="475">
        <v>0.5</v>
      </c>
      <c r="D575" s="512" t="s">
        <v>500</v>
      </c>
      <c r="E575" s="926">
        <v>25500</v>
      </c>
      <c r="F575" s="1375">
        <f>ROUND((C575*E575),2)</f>
        <v>12750</v>
      </c>
    </row>
    <row r="576" spans="1:6">
      <c r="A576" s="543"/>
      <c r="B576" s="544" t="s">
        <v>740</v>
      </c>
      <c r="C576" s="545"/>
      <c r="D576" s="546"/>
      <c r="E576" s="1294"/>
      <c r="F576" s="1363">
        <f>SUM(F511:F575)</f>
        <v>894660.55</v>
      </c>
    </row>
    <row r="577" spans="1:6">
      <c r="A577" s="509"/>
      <c r="B577" s="510"/>
      <c r="C577" s="511"/>
      <c r="D577" s="512"/>
      <c r="E577" s="1290"/>
      <c r="F577" s="1359"/>
    </row>
    <row r="578" spans="1:6">
      <c r="A578" s="504" t="s">
        <v>741</v>
      </c>
      <c r="B578" s="614" t="s">
        <v>742</v>
      </c>
      <c r="C578" s="597"/>
      <c r="D578" s="521"/>
      <c r="E578" s="1281"/>
      <c r="F578" s="1358"/>
    </row>
    <row r="579" spans="1:6">
      <c r="A579" s="509"/>
      <c r="B579" s="510"/>
      <c r="C579" s="511"/>
      <c r="D579" s="512"/>
      <c r="E579" s="1290"/>
      <c r="F579" s="1359"/>
    </row>
    <row r="580" spans="1:6">
      <c r="A580" s="499">
        <v>1</v>
      </c>
      <c r="B580" s="637" t="s">
        <v>420</v>
      </c>
      <c r="C580" s="638"/>
      <c r="D580" s="534"/>
      <c r="E580" s="1305"/>
      <c r="F580" s="1376"/>
    </row>
    <row r="581" spans="1:6">
      <c r="A581" s="535">
        <v>1.1000000000000001</v>
      </c>
      <c r="B581" s="478" t="s">
        <v>697</v>
      </c>
      <c r="C581" s="638">
        <v>220.23</v>
      </c>
      <c r="D581" s="534" t="s">
        <v>300</v>
      </c>
      <c r="E581" s="1314">
        <v>157.51</v>
      </c>
      <c r="F581" s="1376">
        <f>ROUND(C581*E581,2)</f>
        <v>34688.43</v>
      </c>
    </row>
    <row r="582" spans="1:6">
      <c r="A582" s="535"/>
      <c r="B582" s="478"/>
      <c r="C582" s="638"/>
      <c r="D582" s="534"/>
      <c r="E582" s="1305"/>
      <c r="F582" s="1376"/>
    </row>
    <row r="583" spans="1:6">
      <c r="A583" s="499">
        <v>2</v>
      </c>
      <c r="B583" s="505" t="s">
        <v>296</v>
      </c>
      <c r="C583" s="474"/>
      <c r="D583" s="482"/>
      <c r="E583" s="1305"/>
      <c r="F583" s="1376"/>
    </row>
    <row r="584" spans="1:6">
      <c r="A584" s="532">
        <v>2.1</v>
      </c>
      <c r="B584" s="484" t="s">
        <v>743</v>
      </c>
      <c r="C584" s="638">
        <v>39.19</v>
      </c>
      <c r="D584" s="482" t="s">
        <v>364</v>
      </c>
      <c r="E584" s="1305">
        <v>107.89</v>
      </c>
      <c r="F584" s="1376">
        <f>ROUND(C584*E584,2)</f>
        <v>4228.21</v>
      </c>
    </row>
    <row r="585" spans="1:6">
      <c r="A585" s="532">
        <v>2.2000000000000002</v>
      </c>
      <c r="B585" s="661" t="s">
        <v>812</v>
      </c>
      <c r="C585" s="638">
        <v>23.95</v>
      </c>
      <c r="D585" s="482" t="s">
        <v>426</v>
      </c>
      <c r="E585" s="1305">
        <v>78.03</v>
      </c>
      <c r="F585" s="1376">
        <f t="shared" ref="F585:F648" si="16">ROUND(C585*E585,2)</f>
        <v>1868.82</v>
      </c>
    </row>
    <row r="586" spans="1:6">
      <c r="A586" s="532">
        <v>2.2999999999999998</v>
      </c>
      <c r="B586" s="484" t="s">
        <v>308</v>
      </c>
      <c r="C586" s="638">
        <v>18.29</v>
      </c>
      <c r="D586" s="482" t="s">
        <v>367</v>
      </c>
      <c r="E586" s="1305">
        <v>446.21</v>
      </c>
      <c r="F586" s="1376">
        <f t="shared" si="16"/>
        <v>8161.18</v>
      </c>
    </row>
    <row r="587" spans="1:6">
      <c r="A587" s="535"/>
      <c r="B587" s="640"/>
      <c r="C587" s="638"/>
      <c r="D587" s="482"/>
      <c r="E587" s="1305"/>
      <c r="F587" s="1376"/>
    </row>
    <row r="588" spans="1:6">
      <c r="A588" s="499">
        <v>3</v>
      </c>
      <c r="B588" s="505" t="s">
        <v>745</v>
      </c>
      <c r="C588" s="641"/>
      <c r="D588" s="534"/>
      <c r="E588" s="1306"/>
      <c r="F588" s="1376"/>
    </row>
    <row r="589" spans="1:6">
      <c r="A589" s="642">
        <v>3.1</v>
      </c>
      <c r="B589" s="484" t="s">
        <v>746</v>
      </c>
      <c r="C589" s="638">
        <v>4.54</v>
      </c>
      <c r="D589" s="534" t="s">
        <v>298</v>
      </c>
      <c r="E589" s="1305">
        <v>14034.46</v>
      </c>
      <c r="F589" s="1376">
        <f t="shared" si="16"/>
        <v>63716.45</v>
      </c>
    </row>
    <row r="590" spans="1:6">
      <c r="A590" s="642">
        <v>3.2</v>
      </c>
      <c r="B590" s="484" t="s">
        <v>747</v>
      </c>
      <c r="C590" s="638">
        <v>10.7</v>
      </c>
      <c r="D590" s="534" t="s">
        <v>298</v>
      </c>
      <c r="E590" s="1305">
        <v>9062.9</v>
      </c>
      <c r="F590" s="1376">
        <f t="shared" si="16"/>
        <v>96973.03</v>
      </c>
    </row>
    <row r="591" spans="1:6">
      <c r="A591" s="642">
        <v>3.3</v>
      </c>
      <c r="B591" s="643" t="s">
        <v>748</v>
      </c>
      <c r="C591" s="638">
        <v>1.18</v>
      </c>
      <c r="D591" s="534" t="s">
        <v>298</v>
      </c>
      <c r="E591" s="1305">
        <v>44092.160000000003</v>
      </c>
      <c r="F591" s="1376">
        <f t="shared" si="16"/>
        <v>52028.75</v>
      </c>
    </row>
    <row r="592" spans="1:6">
      <c r="A592" s="642">
        <v>3.4</v>
      </c>
      <c r="B592" s="643" t="s">
        <v>749</v>
      </c>
      <c r="C592" s="638">
        <v>1.68</v>
      </c>
      <c r="D592" s="534" t="s">
        <v>298</v>
      </c>
      <c r="E592" s="1305">
        <v>29388.46</v>
      </c>
      <c r="F592" s="1376">
        <f t="shared" si="16"/>
        <v>49372.61</v>
      </c>
    </row>
    <row r="593" spans="1:6">
      <c r="A593" s="642">
        <v>3.5</v>
      </c>
      <c r="B593" s="643" t="s">
        <v>750</v>
      </c>
      <c r="C593" s="638">
        <v>2.04</v>
      </c>
      <c r="D593" s="534" t="s">
        <v>298</v>
      </c>
      <c r="E593" s="1305">
        <v>27688.560000000001</v>
      </c>
      <c r="F593" s="1376">
        <f t="shared" si="16"/>
        <v>56484.66</v>
      </c>
    </row>
    <row r="594" spans="1:6">
      <c r="A594" s="642">
        <v>3.6</v>
      </c>
      <c r="B594" s="643" t="s">
        <v>751</v>
      </c>
      <c r="C594" s="638">
        <v>0.77</v>
      </c>
      <c r="D594" s="534" t="s">
        <v>298</v>
      </c>
      <c r="E594" s="1305">
        <v>33592.78</v>
      </c>
      <c r="F594" s="1376">
        <f t="shared" si="16"/>
        <v>25866.44</v>
      </c>
    </row>
    <row r="595" spans="1:6">
      <c r="A595" s="535"/>
      <c r="B595" s="643"/>
      <c r="C595" s="638"/>
      <c r="D595" s="534"/>
      <c r="E595" s="1305"/>
      <c r="F595" s="1376"/>
    </row>
    <row r="596" spans="1:6">
      <c r="A596" s="499">
        <v>4</v>
      </c>
      <c r="B596" s="637" t="s">
        <v>299</v>
      </c>
      <c r="C596" s="638"/>
      <c r="D596" s="534"/>
      <c r="E596" s="1305"/>
      <c r="F596" s="1376"/>
    </row>
    <row r="597" spans="1:6">
      <c r="A597" s="532">
        <v>4.0999999999999996</v>
      </c>
      <c r="B597" s="643" t="s">
        <v>752</v>
      </c>
      <c r="C597" s="638">
        <v>40.770000000000003</v>
      </c>
      <c r="D597" s="534" t="s">
        <v>300</v>
      </c>
      <c r="E597" s="1305">
        <v>1403.21</v>
      </c>
      <c r="F597" s="1376">
        <f t="shared" si="16"/>
        <v>57208.87</v>
      </c>
    </row>
    <row r="598" spans="1:6">
      <c r="A598" s="532">
        <v>4.2</v>
      </c>
      <c r="B598" s="643" t="s">
        <v>753</v>
      </c>
      <c r="C598" s="638">
        <v>221.12</v>
      </c>
      <c r="D598" s="534" t="s">
        <v>300</v>
      </c>
      <c r="E598" s="1305">
        <v>1505.99</v>
      </c>
      <c r="F598" s="1376">
        <f t="shared" si="16"/>
        <v>333004.51</v>
      </c>
    </row>
    <row r="599" spans="1:6">
      <c r="A599" s="535"/>
      <c r="B599" s="643"/>
      <c r="C599" s="638"/>
      <c r="D599" s="534"/>
      <c r="E599" s="1305"/>
      <c r="F599" s="1376"/>
    </row>
    <row r="600" spans="1:6">
      <c r="A600" s="499">
        <v>5</v>
      </c>
      <c r="B600" s="637" t="s">
        <v>516</v>
      </c>
      <c r="C600" s="638"/>
      <c r="D600" s="534"/>
      <c r="E600" s="1305"/>
      <c r="F600" s="1376"/>
    </row>
    <row r="601" spans="1:6">
      <c r="A601" s="532">
        <v>5.0999999999999996</v>
      </c>
      <c r="B601" s="643" t="s">
        <v>754</v>
      </c>
      <c r="C601" s="638">
        <v>37.369999999999997</v>
      </c>
      <c r="D601" s="534" t="s">
        <v>300</v>
      </c>
      <c r="E601" s="1305">
        <v>101.1</v>
      </c>
      <c r="F601" s="1376">
        <f t="shared" si="16"/>
        <v>3778.11</v>
      </c>
    </row>
    <row r="602" spans="1:6">
      <c r="A602" s="532">
        <v>5.2</v>
      </c>
      <c r="B602" s="643" t="s">
        <v>755</v>
      </c>
      <c r="C602" s="483">
        <v>115.5</v>
      </c>
      <c r="D602" s="534" t="s">
        <v>300</v>
      </c>
      <c r="E602" s="1305">
        <v>453.5</v>
      </c>
      <c r="F602" s="1376">
        <f t="shared" si="16"/>
        <v>52379.25</v>
      </c>
    </row>
    <row r="603" spans="1:6">
      <c r="A603" s="532">
        <v>5.3</v>
      </c>
      <c r="B603" s="643" t="s">
        <v>756</v>
      </c>
      <c r="C603" s="638">
        <v>94.7</v>
      </c>
      <c r="D603" s="534" t="s">
        <v>300</v>
      </c>
      <c r="E603" s="1305">
        <v>453.5</v>
      </c>
      <c r="F603" s="1376">
        <f t="shared" si="16"/>
        <v>42946.45</v>
      </c>
    </row>
    <row r="604" spans="1:6">
      <c r="A604" s="532">
        <v>5.4</v>
      </c>
      <c r="B604" s="643" t="s">
        <v>757</v>
      </c>
      <c r="C604" s="638">
        <v>153.84</v>
      </c>
      <c r="D604" s="534" t="s">
        <v>300</v>
      </c>
      <c r="E604" s="1305">
        <v>503.5</v>
      </c>
      <c r="F604" s="1376">
        <f t="shared" si="16"/>
        <v>77458.44</v>
      </c>
    </row>
    <row r="605" spans="1:6">
      <c r="A605" s="535"/>
      <c r="B605" s="643"/>
      <c r="C605" s="641"/>
      <c r="D605" s="534"/>
      <c r="E605" s="1306"/>
      <c r="F605" s="1376"/>
    </row>
    <row r="606" spans="1:6">
      <c r="A606" s="644">
        <v>6</v>
      </c>
      <c r="B606" s="645" t="s">
        <v>758</v>
      </c>
      <c r="C606" s="534"/>
      <c r="D606" s="646"/>
      <c r="E606" s="1315"/>
      <c r="F606" s="1376"/>
    </row>
    <row r="607" spans="1:6">
      <c r="A607" s="648">
        <v>6.1</v>
      </c>
      <c r="B607" s="649" t="s">
        <v>759</v>
      </c>
      <c r="C607" s="533">
        <v>2589.79</v>
      </c>
      <c r="D607" s="646" t="s">
        <v>760</v>
      </c>
      <c r="E607" s="1305">
        <v>91.8</v>
      </c>
      <c r="F607" s="1376">
        <f t="shared" si="16"/>
        <v>237742.72</v>
      </c>
    </row>
    <row r="608" spans="1:6">
      <c r="A608" s="648">
        <v>6.2</v>
      </c>
      <c r="B608" s="649" t="s">
        <v>761</v>
      </c>
      <c r="C608" s="533">
        <v>3627.81</v>
      </c>
      <c r="D608" s="646" t="s">
        <v>760</v>
      </c>
      <c r="E608" s="1305">
        <v>36.72</v>
      </c>
      <c r="F608" s="1376">
        <f t="shared" si="16"/>
        <v>133213.18</v>
      </c>
    </row>
    <row r="609" spans="1:6" ht="25.5">
      <c r="A609" s="648">
        <v>6.3</v>
      </c>
      <c r="B609" s="649" t="s">
        <v>762</v>
      </c>
      <c r="C609" s="638">
        <v>212.2</v>
      </c>
      <c r="D609" s="534" t="s">
        <v>300</v>
      </c>
      <c r="E609" s="1305">
        <v>1016.49</v>
      </c>
      <c r="F609" s="1376">
        <f t="shared" si="16"/>
        <v>215699.18</v>
      </c>
    </row>
    <row r="610" spans="1:6">
      <c r="A610" s="648">
        <v>6.4</v>
      </c>
      <c r="B610" s="649" t="s">
        <v>763</v>
      </c>
      <c r="C610" s="638">
        <v>29.52</v>
      </c>
      <c r="D610" s="646" t="s">
        <v>760</v>
      </c>
      <c r="E610" s="1305">
        <v>41.82</v>
      </c>
      <c r="F610" s="1376">
        <f t="shared" si="16"/>
        <v>1234.53</v>
      </c>
    </row>
    <row r="611" spans="1:6">
      <c r="A611" s="648">
        <v>6.5</v>
      </c>
      <c r="B611" s="649" t="s">
        <v>764</v>
      </c>
      <c r="C611" s="638">
        <v>74.989999999999995</v>
      </c>
      <c r="D611" s="646" t="s">
        <v>760</v>
      </c>
      <c r="E611" s="1305">
        <v>36.72</v>
      </c>
      <c r="F611" s="1376">
        <f t="shared" si="16"/>
        <v>2753.63</v>
      </c>
    </row>
    <row r="612" spans="1:6">
      <c r="A612" s="648">
        <v>6.6</v>
      </c>
      <c r="B612" s="649" t="s">
        <v>765</v>
      </c>
      <c r="C612" s="638">
        <v>36.340000000000003</v>
      </c>
      <c r="D612" s="646" t="s">
        <v>760</v>
      </c>
      <c r="E612" s="1305">
        <v>39.78</v>
      </c>
      <c r="F612" s="1376">
        <f t="shared" si="16"/>
        <v>1445.61</v>
      </c>
    </row>
    <row r="613" spans="1:6">
      <c r="A613" s="648">
        <v>6.7</v>
      </c>
      <c r="B613" s="649" t="s">
        <v>766</v>
      </c>
      <c r="C613" s="638">
        <v>88.57</v>
      </c>
      <c r="D613" s="646" t="s">
        <v>760</v>
      </c>
      <c r="E613" s="1305">
        <v>42.84</v>
      </c>
      <c r="F613" s="1376">
        <f t="shared" si="16"/>
        <v>3794.34</v>
      </c>
    </row>
    <row r="614" spans="1:6">
      <c r="A614" s="1214">
        <v>6.8</v>
      </c>
      <c r="B614" s="1215" t="s">
        <v>767</v>
      </c>
      <c r="C614" s="1216">
        <v>192</v>
      </c>
      <c r="D614" s="1217" t="s">
        <v>10</v>
      </c>
      <c r="E614" s="1316">
        <v>25.81</v>
      </c>
      <c r="F614" s="1377">
        <f t="shared" si="16"/>
        <v>4955.5200000000004</v>
      </c>
    </row>
    <row r="615" spans="1:6" ht="25.5">
      <c r="A615" s="648">
        <v>6.9</v>
      </c>
      <c r="B615" s="478" t="s">
        <v>768</v>
      </c>
      <c r="C615" s="638">
        <v>72</v>
      </c>
      <c r="D615" s="534" t="s">
        <v>10</v>
      </c>
      <c r="E615" s="1305">
        <v>29.58</v>
      </c>
      <c r="F615" s="1376">
        <f t="shared" si="16"/>
        <v>2129.7600000000002</v>
      </c>
    </row>
    <row r="616" spans="1:6">
      <c r="A616" s="638">
        <v>6.1</v>
      </c>
      <c r="B616" s="478" t="s">
        <v>769</v>
      </c>
      <c r="C616" s="638">
        <v>180</v>
      </c>
      <c r="D616" s="534" t="s">
        <v>10</v>
      </c>
      <c r="E616" s="1305">
        <v>4.79</v>
      </c>
      <c r="F616" s="1376">
        <f>ROUND(C616*E616,2)</f>
        <v>862.2</v>
      </c>
    </row>
    <row r="617" spans="1:6">
      <c r="A617" s="535"/>
      <c r="B617" s="643"/>
      <c r="C617" s="638"/>
      <c r="D617" s="534"/>
      <c r="E617" s="1305"/>
      <c r="F617" s="1376"/>
    </row>
    <row r="618" spans="1:6">
      <c r="A618" s="499">
        <v>7</v>
      </c>
      <c r="B618" s="505" t="s">
        <v>305</v>
      </c>
      <c r="C618" s="474"/>
      <c r="D618" s="482"/>
      <c r="E618" s="1305"/>
      <c r="F618" s="1376">
        <f t="shared" si="16"/>
        <v>0</v>
      </c>
    </row>
    <row r="619" spans="1:6">
      <c r="A619" s="532">
        <v>7.1</v>
      </c>
      <c r="B619" s="484" t="s">
        <v>726</v>
      </c>
      <c r="C619" s="474">
        <v>4</v>
      </c>
      <c r="D619" s="482" t="s">
        <v>10</v>
      </c>
      <c r="E619" s="1305">
        <v>12801</v>
      </c>
      <c r="F619" s="1376">
        <f t="shared" si="16"/>
        <v>51204</v>
      </c>
    </row>
    <row r="620" spans="1:6">
      <c r="A620" s="532">
        <v>7.2</v>
      </c>
      <c r="B620" s="510" t="s">
        <v>770</v>
      </c>
      <c r="C620" s="638">
        <v>2</v>
      </c>
      <c r="D620" s="482" t="s">
        <v>10</v>
      </c>
      <c r="E620" s="1305">
        <v>11034.8</v>
      </c>
      <c r="F620" s="1376">
        <f t="shared" si="16"/>
        <v>22069.599999999999</v>
      </c>
    </row>
    <row r="621" spans="1:6">
      <c r="A621" s="532">
        <v>7.3</v>
      </c>
      <c r="B621" s="484" t="s">
        <v>771</v>
      </c>
      <c r="C621" s="638">
        <v>2</v>
      </c>
      <c r="D621" s="482" t="s">
        <v>10</v>
      </c>
      <c r="E621" s="1305">
        <v>1382.47</v>
      </c>
      <c r="F621" s="1376">
        <f t="shared" si="16"/>
        <v>2764.94</v>
      </c>
    </row>
    <row r="622" spans="1:6">
      <c r="A622" s="532">
        <v>7.4</v>
      </c>
      <c r="B622" s="484" t="s">
        <v>772</v>
      </c>
      <c r="C622" s="638">
        <v>1</v>
      </c>
      <c r="D622" s="482" t="s">
        <v>10</v>
      </c>
      <c r="E622" s="1305">
        <v>12750.37</v>
      </c>
      <c r="F622" s="1376">
        <f t="shared" si="16"/>
        <v>12750.37</v>
      </c>
    </row>
    <row r="623" spans="1:6">
      <c r="A623" s="532">
        <v>7.5</v>
      </c>
      <c r="B623" s="484" t="s">
        <v>773</v>
      </c>
      <c r="C623" s="638">
        <v>1</v>
      </c>
      <c r="D623" s="482" t="s">
        <v>10</v>
      </c>
      <c r="E623" s="1305">
        <v>9874.77</v>
      </c>
      <c r="F623" s="1376">
        <f t="shared" si="16"/>
        <v>9874.77</v>
      </c>
    </row>
    <row r="624" spans="1:6">
      <c r="A624" s="532">
        <v>7.6</v>
      </c>
      <c r="B624" s="484" t="s">
        <v>774</v>
      </c>
      <c r="C624" s="638">
        <v>1</v>
      </c>
      <c r="D624" s="482" t="s">
        <v>10</v>
      </c>
      <c r="E624" s="1305">
        <v>66139.97</v>
      </c>
      <c r="F624" s="1376">
        <f t="shared" si="16"/>
        <v>66139.97</v>
      </c>
    </row>
    <row r="625" spans="1:6">
      <c r="A625" s="532">
        <v>7.7</v>
      </c>
      <c r="B625" s="484" t="s">
        <v>775</v>
      </c>
      <c r="C625" s="638">
        <v>4</v>
      </c>
      <c r="D625" s="482" t="s">
        <v>10</v>
      </c>
      <c r="E625" s="1305">
        <v>5158.1000000000004</v>
      </c>
      <c r="F625" s="1376">
        <f t="shared" si="16"/>
        <v>20632.400000000001</v>
      </c>
    </row>
    <row r="626" spans="1:6">
      <c r="A626" s="532">
        <v>7.8</v>
      </c>
      <c r="B626" s="484" t="s">
        <v>776</v>
      </c>
      <c r="C626" s="638">
        <v>10.78</v>
      </c>
      <c r="D626" s="482" t="s">
        <v>15</v>
      </c>
      <c r="E626" s="1305">
        <v>54.93</v>
      </c>
      <c r="F626" s="1376">
        <f t="shared" si="16"/>
        <v>592.15</v>
      </c>
    </row>
    <row r="627" spans="1:6">
      <c r="A627" s="532">
        <v>7.9</v>
      </c>
      <c r="B627" s="484" t="s">
        <v>777</v>
      </c>
      <c r="C627" s="638">
        <v>3.95</v>
      </c>
      <c r="D627" s="482" t="s">
        <v>15</v>
      </c>
      <c r="E627" s="1305">
        <v>51</v>
      </c>
      <c r="F627" s="1376">
        <f t="shared" si="16"/>
        <v>201.45</v>
      </c>
    </row>
    <row r="628" spans="1:6">
      <c r="A628" s="652">
        <v>7.1</v>
      </c>
      <c r="B628" s="484" t="s">
        <v>778</v>
      </c>
      <c r="C628" s="638">
        <v>15.3</v>
      </c>
      <c r="D628" s="482" t="s">
        <v>15</v>
      </c>
      <c r="E628" s="1305">
        <v>46.13</v>
      </c>
      <c r="F628" s="1376">
        <f t="shared" si="16"/>
        <v>705.79</v>
      </c>
    </row>
    <row r="629" spans="1:6">
      <c r="A629" s="535">
        <v>7.11</v>
      </c>
      <c r="B629" s="484" t="s">
        <v>779</v>
      </c>
      <c r="C629" s="638">
        <v>11.34</v>
      </c>
      <c r="D629" s="482" t="s">
        <v>15</v>
      </c>
      <c r="E629" s="1305">
        <v>46.77</v>
      </c>
      <c r="F629" s="1376">
        <f t="shared" si="16"/>
        <v>530.37</v>
      </c>
    </row>
    <row r="630" spans="1:6">
      <c r="A630" s="652">
        <v>7.12</v>
      </c>
      <c r="B630" s="484" t="s">
        <v>780</v>
      </c>
      <c r="C630" s="638">
        <v>3</v>
      </c>
      <c r="D630" s="482" t="s">
        <v>15</v>
      </c>
      <c r="E630" s="1305">
        <v>43.1</v>
      </c>
      <c r="F630" s="1376">
        <f t="shared" si="16"/>
        <v>129.30000000000001</v>
      </c>
    </row>
    <row r="631" spans="1:6">
      <c r="A631" s="535">
        <v>7.13</v>
      </c>
      <c r="B631" s="484" t="s">
        <v>781</v>
      </c>
      <c r="C631" s="638">
        <v>15.3</v>
      </c>
      <c r="D631" s="482" t="s">
        <v>15</v>
      </c>
      <c r="E631" s="1305">
        <v>36.799999999999997</v>
      </c>
      <c r="F631" s="1376">
        <f t="shared" si="16"/>
        <v>563.04</v>
      </c>
    </row>
    <row r="632" spans="1:6">
      <c r="A632" s="652">
        <v>7.14</v>
      </c>
      <c r="B632" s="484" t="s">
        <v>782</v>
      </c>
      <c r="C632" s="638">
        <v>9.42</v>
      </c>
      <c r="D632" s="482" t="s">
        <v>15</v>
      </c>
      <c r="E632" s="1305">
        <v>31.18</v>
      </c>
      <c r="F632" s="1376">
        <f t="shared" si="16"/>
        <v>293.72000000000003</v>
      </c>
    </row>
    <row r="633" spans="1:6">
      <c r="A633" s="535">
        <v>7.15</v>
      </c>
      <c r="B633" s="484" t="s">
        <v>783</v>
      </c>
      <c r="C633" s="638">
        <v>1</v>
      </c>
      <c r="D633" s="482" t="s">
        <v>10</v>
      </c>
      <c r="E633" s="1305">
        <v>1249.5</v>
      </c>
      <c r="F633" s="1376">
        <f t="shared" si="16"/>
        <v>1249.5</v>
      </c>
    </row>
    <row r="634" spans="1:6">
      <c r="A634" s="652">
        <v>7.16</v>
      </c>
      <c r="B634" s="484" t="s">
        <v>784</v>
      </c>
      <c r="C634" s="638">
        <v>1</v>
      </c>
      <c r="D634" s="482" t="s">
        <v>10</v>
      </c>
      <c r="E634" s="1305">
        <v>979.2</v>
      </c>
      <c r="F634" s="1376">
        <f t="shared" si="16"/>
        <v>979.2</v>
      </c>
    </row>
    <row r="635" spans="1:6">
      <c r="A635" s="535">
        <v>7.17</v>
      </c>
      <c r="B635" s="484" t="s">
        <v>785</v>
      </c>
      <c r="C635" s="638">
        <v>1</v>
      </c>
      <c r="D635" s="482" t="s">
        <v>10</v>
      </c>
      <c r="E635" s="1305">
        <v>877.2</v>
      </c>
      <c r="F635" s="1376">
        <f t="shared" si="16"/>
        <v>877.2</v>
      </c>
    </row>
    <row r="636" spans="1:6">
      <c r="A636" s="535"/>
      <c r="B636" s="484"/>
      <c r="C636" s="474"/>
      <c r="D636" s="482"/>
      <c r="E636" s="1305"/>
      <c r="F636" s="1376"/>
    </row>
    <row r="637" spans="1:6">
      <c r="A637" s="653">
        <v>8</v>
      </c>
      <c r="B637" s="654" t="s">
        <v>303</v>
      </c>
      <c r="C637" s="655"/>
      <c r="D637" s="538"/>
      <c r="E637" s="1307"/>
      <c r="F637" s="1378"/>
    </row>
    <row r="638" spans="1:6">
      <c r="A638" s="536">
        <v>8.1</v>
      </c>
      <c r="B638" s="518" t="s">
        <v>737</v>
      </c>
      <c r="C638" s="655">
        <v>15</v>
      </c>
      <c r="D638" s="538" t="s">
        <v>10</v>
      </c>
      <c r="E638" s="1307">
        <v>1945.14</v>
      </c>
      <c r="F638" s="1378">
        <f t="shared" si="16"/>
        <v>29177.1</v>
      </c>
    </row>
    <row r="639" spans="1:6">
      <c r="A639" s="536">
        <v>8.1999999999999993</v>
      </c>
      <c r="B639" s="518" t="s">
        <v>329</v>
      </c>
      <c r="C639" s="655">
        <v>4</v>
      </c>
      <c r="D639" s="538" t="s">
        <v>10</v>
      </c>
      <c r="E639" s="1307">
        <v>1974.72</v>
      </c>
      <c r="F639" s="1378">
        <f t="shared" si="16"/>
        <v>7898.88</v>
      </c>
    </row>
    <row r="640" spans="1:6">
      <c r="A640" s="536">
        <v>8.3000000000000007</v>
      </c>
      <c r="B640" s="526" t="s">
        <v>786</v>
      </c>
      <c r="C640" s="655">
        <v>1</v>
      </c>
      <c r="D640" s="657" t="s">
        <v>10</v>
      </c>
      <c r="E640" s="1307">
        <v>1882.9</v>
      </c>
      <c r="F640" s="1378">
        <f t="shared" si="16"/>
        <v>1882.9</v>
      </c>
    </row>
    <row r="641" spans="1:6">
      <c r="A641" s="536">
        <v>8.4</v>
      </c>
      <c r="B641" s="609" t="s">
        <v>787</v>
      </c>
      <c r="C641" s="655">
        <v>5</v>
      </c>
      <c r="D641" s="657" t="s">
        <v>10</v>
      </c>
      <c r="E641" s="1307">
        <v>2175.66</v>
      </c>
      <c r="F641" s="1378">
        <f t="shared" si="16"/>
        <v>10878.3</v>
      </c>
    </row>
    <row r="642" spans="1:6">
      <c r="A642" s="536">
        <v>8.5</v>
      </c>
      <c r="B642" s="526" t="s">
        <v>788</v>
      </c>
      <c r="C642" s="655">
        <v>2</v>
      </c>
      <c r="D642" s="657" t="s">
        <v>10</v>
      </c>
      <c r="E642" s="1307">
        <v>2175.66</v>
      </c>
      <c r="F642" s="1378">
        <f t="shared" si="16"/>
        <v>4351.32</v>
      </c>
    </row>
    <row r="643" spans="1:6">
      <c r="A643" s="536">
        <v>8.6</v>
      </c>
      <c r="B643" s="526" t="s">
        <v>789</v>
      </c>
      <c r="C643" s="655">
        <v>1</v>
      </c>
      <c r="D643" s="538" t="s">
        <v>10</v>
      </c>
      <c r="E643" s="1307">
        <v>9537</v>
      </c>
      <c r="F643" s="1378">
        <f t="shared" si="16"/>
        <v>9537</v>
      </c>
    </row>
    <row r="644" spans="1:6">
      <c r="A644" s="535"/>
      <c r="B644" s="643"/>
      <c r="C644" s="638"/>
      <c r="D644" s="534"/>
      <c r="E644" s="1305"/>
      <c r="F644" s="1376"/>
    </row>
    <row r="645" spans="1:6">
      <c r="A645" s="499">
        <v>9</v>
      </c>
      <c r="B645" s="637" t="s">
        <v>790</v>
      </c>
      <c r="C645" s="638"/>
      <c r="D645" s="534"/>
      <c r="E645" s="1305"/>
      <c r="F645" s="1376"/>
    </row>
    <row r="646" spans="1:6">
      <c r="A646" s="532">
        <v>9.1</v>
      </c>
      <c r="B646" s="658" t="s">
        <v>791</v>
      </c>
      <c r="C646" s="638">
        <v>162.24</v>
      </c>
      <c r="D646" s="534" t="s">
        <v>300</v>
      </c>
      <c r="E646" s="1305">
        <v>1479.31</v>
      </c>
      <c r="F646" s="1376">
        <f t="shared" si="16"/>
        <v>240003.25</v>
      </c>
    </row>
    <row r="647" spans="1:6">
      <c r="A647" s="532">
        <v>9.1999999999999993</v>
      </c>
      <c r="B647" s="478" t="s">
        <v>792</v>
      </c>
      <c r="C647" s="638">
        <v>93.43</v>
      </c>
      <c r="D647" s="534" t="s">
        <v>793</v>
      </c>
      <c r="E647" s="1305">
        <v>246.72</v>
      </c>
      <c r="F647" s="1376">
        <f t="shared" si="16"/>
        <v>23051.05</v>
      </c>
    </row>
    <row r="648" spans="1:6">
      <c r="A648" s="532">
        <v>9.3000000000000007</v>
      </c>
      <c r="B648" s="478" t="s">
        <v>794</v>
      </c>
      <c r="C648" s="638">
        <v>6.14</v>
      </c>
      <c r="D648" s="534" t="s">
        <v>300</v>
      </c>
      <c r="E648" s="1305">
        <v>1887</v>
      </c>
      <c r="F648" s="1376">
        <f t="shared" si="16"/>
        <v>11586.18</v>
      </c>
    </row>
    <row r="649" spans="1:6">
      <c r="A649" s="532">
        <v>9.4</v>
      </c>
      <c r="B649" s="478" t="s">
        <v>795</v>
      </c>
      <c r="C649" s="638">
        <v>64.08</v>
      </c>
      <c r="D649" s="534" t="s">
        <v>300</v>
      </c>
      <c r="E649" s="1305">
        <v>1887</v>
      </c>
      <c r="F649" s="1376">
        <f t="shared" ref="F649:F654" si="17">ROUND(C649*E649,2)</f>
        <v>120918.96</v>
      </c>
    </row>
    <row r="650" spans="1:6">
      <c r="A650" s="535"/>
      <c r="B650" s="643"/>
      <c r="C650" s="638"/>
      <c r="D650" s="534"/>
      <c r="E650" s="1305"/>
      <c r="F650" s="1376"/>
    </row>
    <row r="651" spans="1:6">
      <c r="A651" s="499">
        <v>10</v>
      </c>
      <c r="B651" s="637" t="s">
        <v>527</v>
      </c>
      <c r="C651" s="638"/>
      <c r="D651" s="534"/>
      <c r="E651" s="1305"/>
      <c r="F651" s="1376"/>
    </row>
    <row r="652" spans="1:6">
      <c r="A652" s="532">
        <v>10.1</v>
      </c>
      <c r="B652" s="643" t="s">
        <v>796</v>
      </c>
      <c r="C652" s="638">
        <v>416.31</v>
      </c>
      <c r="D652" s="534" t="s">
        <v>300</v>
      </c>
      <c r="E652" s="1305">
        <v>160.19999999999999</v>
      </c>
      <c r="F652" s="1376">
        <f t="shared" si="17"/>
        <v>66692.86</v>
      </c>
    </row>
    <row r="653" spans="1:6">
      <c r="A653" s="532">
        <v>10.199999999999999</v>
      </c>
      <c r="B653" s="643" t="s">
        <v>797</v>
      </c>
      <c r="C653" s="659">
        <v>237.7</v>
      </c>
      <c r="D653" s="534" t="s">
        <v>300</v>
      </c>
      <c r="E653" s="1305">
        <v>173.4</v>
      </c>
      <c r="F653" s="1376">
        <f t="shared" si="17"/>
        <v>41217.18</v>
      </c>
    </row>
    <row r="654" spans="1:6">
      <c r="A654" s="532">
        <v>10.3</v>
      </c>
      <c r="B654" s="643" t="s">
        <v>798</v>
      </c>
      <c r="C654" s="638">
        <v>161.16999999999999</v>
      </c>
      <c r="D654" s="534" t="s">
        <v>300</v>
      </c>
      <c r="E654" s="1305">
        <v>173.4</v>
      </c>
      <c r="F654" s="1376">
        <f t="shared" si="17"/>
        <v>27946.880000000001</v>
      </c>
    </row>
    <row r="655" spans="1:6">
      <c r="A655" s="535"/>
      <c r="B655" s="643"/>
      <c r="C655" s="638"/>
      <c r="D655" s="534"/>
      <c r="E655" s="1305"/>
      <c r="F655" s="1376"/>
    </row>
    <row r="656" spans="1:6">
      <c r="A656" s="499">
        <v>11</v>
      </c>
      <c r="B656" s="637" t="s">
        <v>799</v>
      </c>
      <c r="C656" s="638"/>
      <c r="D656" s="534"/>
      <c r="E656" s="1305"/>
      <c r="F656" s="1376"/>
    </row>
    <row r="657" spans="1:6">
      <c r="A657" s="532">
        <v>11.1</v>
      </c>
      <c r="B657" s="643" t="s">
        <v>800</v>
      </c>
      <c r="C657" s="638">
        <v>1</v>
      </c>
      <c r="D657" s="534" t="s">
        <v>10</v>
      </c>
      <c r="E657" s="1305">
        <v>8670</v>
      </c>
      <c r="F657" s="1376">
        <f>ROUND(C657*E657,2)</f>
        <v>8670</v>
      </c>
    </row>
    <row r="658" spans="1:6">
      <c r="A658" s="532">
        <v>11.2</v>
      </c>
      <c r="B658" s="643" t="s">
        <v>801</v>
      </c>
      <c r="C658" s="638">
        <v>3</v>
      </c>
      <c r="D658" s="534" t="s">
        <v>10</v>
      </c>
      <c r="E658" s="1305">
        <v>8670</v>
      </c>
      <c r="F658" s="1376">
        <f>ROUND(C658*E658,2)</f>
        <v>26010</v>
      </c>
    </row>
    <row r="659" spans="1:6">
      <c r="A659" s="532">
        <v>11.3</v>
      </c>
      <c r="B659" s="643" t="s">
        <v>802</v>
      </c>
      <c r="C659" s="638">
        <v>2</v>
      </c>
      <c r="D659" s="534" t="s">
        <v>10</v>
      </c>
      <c r="E659" s="1305">
        <v>8670</v>
      </c>
      <c r="F659" s="1376">
        <f>ROUND(C659*E659,2)</f>
        <v>17340</v>
      </c>
    </row>
    <row r="660" spans="1:6">
      <c r="A660" s="532">
        <v>11.3</v>
      </c>
      <c r="B660" s="643" t="s">
        <v>803</v>
      </c>
      <c r="C660" s="638">
        <v>137.91999999999999</v>
      </c>
      <c r="D660" s="534" t="s">
        <v>304</v>
      </c>
      <c r="E660" s="717">
        <v>173.4</v>
      </c>
      <c r="F660" s="1376">
        <f>ROUND(C660*E660,2)</f>
        <v>23915.33</v>
      </c>
    </row>
    <row r="661" spans="1:6">
      <c r="A661" s="535"/>
      <c r="B661" s="643"/>
      <c r="C661" s="638"/>
      <c r="D661" s="534"/>
      <c r="E661" s="1305"/>
      <c r="F661" s="1376"/>
    </row>
    <row r="662" spans="1:6">
      <c r="A662" s="499">
        <v>12</v>
      </c>
      <c r="B662" s="637" t="s">
        <v>804</v>
      </c>
      <c r="C662" s="638"/>
      <c r="D662" s="534"/>
      <c r="E662" s="1305"/>
      <c r="F662" s="1376"/>
    </row>
    <row r="663" spans="1:6" ht="25.5">
      <c r="A663" s="532">
        <v>12.1</v>
      </c>
      <c r="B663" s="643" t="s">
        <v>805</v>
      </c>
      <c r="C663" s="638">
        <v>4</v>
      </c>
      <c r="D663" s="534" t="s">
        <v>10</v>
      </c>
      <c r="E663" s="1305">
        <v>35700</v>
      </c>
      <c r="F663" s="1376">
        <f>ROUND(C663*E663,2)</f>
        <v>142800</v>
      </c>
    </row>
    <row r="664" spans="1:6" ht="25.5">
      <c r="A664" s="532">
        <v>12.2</v>
      </c>
      <c r="B664" s="643" t="s">
        <v>806</v>
      </c>
      <c r="C664" s="638">
        <v>12.02</v>
      </c>
      <c r="D664" s="534" t="s">
        <v>300</v>
      </c>
      <c r="E664" s="1305">
        <v>12852</v>
      </c>
      <c r="F664" s="1376">
        <f>ROUND(C664*E664,2)</f>
        <v>154481.04</v>
      </c>
    </row>
    <row r="665" spans="1:6">
      <c r="A665" s="532">
        <v>12.3</v>
      </c>
      <c r="B665" s="478" t="s">
        <v>807</v>
      </c>
      <c r="C665" s="638">
        <v>43.33</v>
      </c>
      <c r="D665" s="534" t="s">
        <v>300</v>
      </c>
      <c r="E665" s="1305">
        <v>1429.27</v>
      </c>
      <c r="F665" s="1376">
        <f>ROUND(C665*E665,2)</f>
        <v>61930.27</v>
      </c>
    </row>
    <row r="666" spans="1:6">
      <c r="A666" s="532">
        <v>12.4</v>
      </c>
      <c r="B666" s="484" t="s">
        <v>808</v>
      </c>
      <c r="C666" s="638">
        <v>8</v>
      </c>
      <c r="D666" s="534" t="s">
        <v>793</v>
      </c>
      <c r="E666" s="1305">
        <v>992.72</v>
      </c>
      <c r="F666" s="1376">
        <f>ROUND(C666*E666,2)</f>
        <v>7941.76</v>
      </c>
    </row>
    <row r="667" spans="1:6">
      <c r="A667" s="532">
        <v>12.5</v>
      </c>
      <c r="B667" s="484" t="s">
        <v>809</v>
      </c>
      <c r="C667" s="638">
        <v>2.4500000000000002</v>
      </c>
      <c r="D667" s="534" t="s">
        <v>300</v>
      </c>
      <c r="E667" s="1317">
        <v>8627.5</v>
      </c>
      <c r="F667" s="1376">
        <f>ROUND(C667*E667,2)</f>
        <v>21137.38</v>
      </c>
    </row>
    <row r="668" spans="1:6">
      <c r="A668" s="543"/>
      <c r="B668" s="544" t="s">
        <v>810</v>
      </c>
      <c r="C668" s="545"/>
      <c r="D668" s="546"/>
      <c r="E668" s="1294">
        <v>398476.4</v>
      </c>
      <c r="F668" s="1363">
        <f>SUM(F580:F667)</f>
        <v>2814920.29</v>
      </c>
    </row>
    <row r="669" spans="1:6" ht="6" customHeight="1">
      <c r="A669" s="583"/>
      <c r="B669" s="500"/>
      <c r="C669" s="584"/>
      <c r="D669" s="585"/>
      <c r="E669" s="1298"/>
      <c r="F669" s="1367"/>
    </row>
    <row r="670" spans="1:6">
      <c r="A670" s="504" t="s">
        <v>811</v>
      </c>
      <c r="B670" s="614" t="s">
        <v>907</v>
      </c>
      <c r="C670" s="597"/>
      <c r="D670" s="521"/>
      <c r="E670" s="1281"/>
      <c r="F670" s="1358"/>
    </row>
    <row r="671" spans="1:6" ht="9" customHeight="1">
      <c r="A671" s="509"/>
      <c r="B671" s="510"/>
      <c r="C671" s="511"/>
      <c r="D671" s="512"/>
      <c r="E671" s="1290"/>
      <c r="F671" s="1359"/>
    </row>
    <row r="672" spans="1:6">
      <c r="A672" s="660">
        <v>1</v>
      </c>
      <c r="B672" s="661" t="s">
        <v>307</v>
      </c>
      <c r="C672" s="662">
        <v>1</v>
      </c>
      <c r="D672" s="663" t="s">
        <v>10</v>
      </c>
      <c r="E672" s="664">
        <v>10519.02</v>
      </c>
      <c r="F672" s="1379">
        <f t="shared" ref="F672:F730" si="18">ROUND(C672*E672,2)</f>
        <v>10519.02</v>
      </c>
    </row>
    <row r="673" spans="1:6">
      <c r="A673" s="666"/>
      <c r="B673" s="661"/>
      <c r="C673" s="662"/>
      <c r="D673" s="667"/>
      <c r="E673" s="664"/>
      <c r="F673" s="1379"/>
    </row>
    <row r="674" spans="1:6">
      <c r="A674" s="668">
        <v>2</v>
      </c>
      <c r="B674" s="669" t="s">
        <v>296</v>
      </c>
      <c r="C674" s="662"/>
      <c r="D674" s="667"/>
      <c r="E674" s="664"/>
      <c r="F674" s="1379"/>
    </row>
    <row r="675" spans="1:6">
      <c r="A675" s="670">
        <v>2.1</v>
      </c>
      <c r="B675" s="661" t="s">
        <v>743</v>
      </c>
      <c r="C675" s="662">
        <v>58.72</v>
      </c>
      <c r="D675" s="611" t="s">
        <v>298</v>
      </c>
      <c r="E675" s="664">
        <v>107.89</v>
      </c>
      <c r="F675" s="1379">
        <f t="shared" si="18"/>
        <v>6335.3</v>
      </c>
    </row>
    <row r="676" spans="1:6">
      <c r="A676" s="670">
        <v>2.2000000000000002</v>
      </c>
      <c r="B676" s="661" t="s">
        <v>812</v>
      </c>
      <c r="C676" s="662">
        <v>38.64</v>
      </c>
      <c r="D676" s="611" t="s">
        <v>298</v>
      </c>
      <c r="E676" s="664">
        <v>78.03</v>
      </c>
      <c r="F676" s="1379">
        <f t="shared" si="18"/>
        <v>3015.08</v>
      </c>
    </row>
    <row r="677" spans="1:6">
      <c r="A677" s="670">
        <v>2.2999999999999998</v>
      </c>
      <c r="B677" s="661" t="s">
        <v>308</v>
      </c>
      <c r="C677" s="662">
        <v>23.2</v>
      </c>
      <c r="D677" s="611" t="s">
        <v>298</v>
      </c>
      <c r="E677" s="664">
        <v>446.21</v>
      </c>
      <c r="F677" s="1379">
        <f t="shared" si="18"/>
        <v>10352.07</v>
      </c>
    </row>
    <row r="678" spans="1:6">
      <c r="A678" s="671"/>
      <c r="B678" s="661"/>
      <c r="C678" s="662"/>
      <c r="D678" s="667"/>
      <c r="E678" s="664"/>
      <c r="F678" s="1379"/>
    </row>
    <row r="679" spans="1:6">
      <c r="A679" s="668">
        <v>3</v>
      </c>
      <c r="B679" s="669" t="s">
        <v>813</v>
      </c>
      <c r="C679" s="662"/>
      <c r="D679" s="667"/>
      <c r="E679" s="664"/>
      <c r="F679" s="1379"/>
    </row>
    <row r="680" spans="1:6">
      <c r="A680" s="670">
        <v>3.1</v>
      </c>
      <c r="B680" s="661" t="s">
        <v>338</v>
      </c>
      <c r="C680" s="662">
        <v>18.920000000000002</v>
      </c>
      <c r="D680" s="611" t="s">
        <v>298</v>
      </c>
      <c r="E680" s="1317">
        <v>9291.24</v>
      </c>
      <c r="F680" s="1379">
        <f t="shared" si="18"/>
        <v>175790.26</v>
      </c>
    </row>
    <row r="681" spans="1:6">
      <c r="A681" s="670">
        <v>3.3</v>
      </c>
      <c r="B681" s="661" t="s">
        <v>814</v>
      </c>
      <c r="C681" s="662">
        <v>4.2</v>
      </c>
      <c r="D681" s="611" t="s">
        <v>298</v>
      </c>
      <c r="E681" s="1317">
        <v>27819.040000000001</v>
      </c>
      <c r="F681" s="1379">
        <f t="shared" si="18"/>
        <v>116839.97</v>
      </c>
    </row>
    <row r="682" spans="1:6">
      <c r="A682" s="1218">
        <v>3.4</v>
      </c>
      <c r="B682" s="1219" t="s">
        <v>815</v>
      </c>
      <c r="C682" s="844">
        <v>5.2</v>
      </c>
      <c r="D682" s="1143" t="s">
        <v>298</v>
      </c>
      <c r="E682" s="1318">
        <v>24520.49</v>
      </c>
      <c r="F682" s="1380">
        <f t="shared" si="18"/>
        <v>127506.55</v>
      </c>
    </row>
    <row r="683" spans="1:6">
      <c r="A683" s="670">
        <v>3.5</v>
      </c>
      <c r="B683" s="661" t="s">
        <v>816</v>
      </c>
      <c r="C683" s="662">
        <v>6.08</v>
      </c>
      <c r="D683" s="611" t="s">
        <v>298</v>
      </c>
      <c r="E683" s="1317">
        <v>35569.22</v>
      </c>
      <c r="F683" s="1379">
        <f t="shared" si="18"/>
        <v>216260.86</v>
      </c>
    </row>
    <row r="684" spans="1:6">
      <c r="A684" s="670">
        <v>3.6</v>
      </c>
      <c r="B684" s="661" t="s">
        <v>817</v>
      </c>
      <c r="C684" s="662">
        <v>4.04</v>
      </c>
      <c r="D684" s="611" t="s">
        <v>298</v>
      </c>
      <c r="E684" s="1317">
        <v>36022.26</v>
      </c>
      <c r="F684" s="1379">
        <f t="shared" si="18"/>
        <v>145529.93</v>
      </c>
    </row>
    <row r="685" spans="1:6">
      <c r="A685" s="670">
        <v>3.7</v>
      </c>
      <c r="B685" s="661" t="s">
        <v>818</v>
      </c>
      <c r="C685" s="662">
        <v>25.72</v>
      </c>
      <c r="D685" s="611" t="s">
        <v>298</v>
      </c>
      <c r="E685" s="1317">
        <v>14633.38</v>
      </c>
      <c r="F685" s="1379">
        <f t="shared" si="18"/>
        <v>376370.53</v>
      </c>
    </row>
    <row r="686" spans="1:6" ht="25.5">
      <c r="A686" s="670">
        <v>3.8</v>
      </c>
      <c r="B686" s="673" t="s">
        <v>819</v>
      </c>
      <c r="C686" s="662">
        <v>23.84</v>
      </c>
      <c r="D686" s="611" t="s">
        <v>298</v>
      </c>
      <c r="E686" s="1317">
        <v>1327.87</v>
      </c>
      <c r="F686" s="1379">
        <f t="shared" si="18"/>
        <v>31656.42</v>
      </c>
    </row>
    <row r="687" spans="1:6">
      <c r="A687" s="674"/>
      <c r="B687" s="661"/>
      <c r="C687" s="662"/>
      <c r="D687" s="667"/>
      <c r="E687" s="664"/>
      <c r="F687" s="1379"/>
    </row>
    <row r="688" spans="1:6">
      <c r="A688" s="668">
        <v>4</v>
      </c>
      <c r="B688" s="669" t="s">
        <v>299</v>
      </c>
      <c r="C688" s="662"/>
      <c r="D688" s="667"/>
      <c r="E688" s="664"/>
      <c r="F688" s="1379"/>
    </row>
    <row r="689" spans="1:6">
      <c r="A689" s="670">
        <v>4.2</v>
      </c>
      <c r="B689" s="661" t="s">
        <v>339</v>
      </c>
      <c r="C689" s="662">
        <v>56</v>
      </c>
      <c r="D689" s="521" t="s">
        <v>300</v>
      </c>
      <c r="E689" s="1317">
        <v>1529.21</v>
      </c>
      <c r="F689" s="1379">
        <f t="shared" si="18"/>
        <v>85635.76</v>
      </c>
    </row>
    <row r="690" spans="1:6">
      <c r="A690" s="670">
        <v>4.3</v>
      </c>
      <c r="B690" s="661" t="s">
        <v>309</v>
      </c>
      <c r="C690" s="662">
        <v>462</v>
      </c>
      <c r="D690" s="521" t="s">
        <v>300</v>
      </c>
      <c r="E690" s="1317">
        <v>1403.21</v>
      </c>
      <c r="F690" s="1379">
        <f t="shared" si="18"/>
        <v>648283.02</v>
      </c>
    </row>
    <row r="691" spans="1:6">
      <c r="A691" s="670">
        <v>4.4000000000000004</v>
      </c>
      <c r="B691" s="661" t="s">
        <v>310</v>
      </c>
      <c r="C691" s="662">
        <v>12.8</v>
      </c>
      <c r="D691" s="521" t="s">
        <v>300</v>
      </c>
      <c r="E691" s="1317">
        <v>715.1</v>
      </c>
      <c r="F691" s="1379">
        <f t="shared" si="18"/>
        <v>9153.2800000000007</v>
      </c>
    </row>
    <row r="692" spans="1:6">
      <c r="A692" s="671"/>
      <c r="B692" s="661"/>
      <c r="C692" s="662"/>
      <c r="D692" s="667"/>
      <c r="E692" s="664"/>
      <c r="F692" s="1379"/>
    </row>
    <row r="693" spans="1:6">
      <c r="A693" s="675">
        <v>5</v>
      </c>
      <c r="B693" s="669" t="s">
        <v>301</v>
      </c>
      <c r="C693" s="662"/>
      <c r="D693" s="667"/>
      <c r="E693" s="664"/>
      <c r="F693" s="1379"/>
    </row>
    <row r="694" spans="1:6">
      <c r="A694" s="676">
        <v>5.0999999999999996</v>
      </c>
      <c r="B694" s="661" t="s">
        <v>311</v>
      </c>
      <c r="C694" s="662">
        <v>214.2</v>
      </c>
      <c r="D694" s="521" t="s">
        <v>300</v>
      </c>
      <c r="E694" s="1317">
        <v>503.5</v>
      </c>
      <c r="F694" s="1379">
        <f t="shared" si="18"/>
        <v>107849.7</v>
      </c>
    </row>
    <row r="695" spans="1:6">
      <c r="A695" s="676">
        <v>5.2</v>
      </c>
      <c r="B695" s="661" t="s">
        <v>312</v>
      </c>
      <c r="C695" s="662">
        <v>416.8</v>
      </c>
      <c r="D695" s="521" t="s">
        <v>300</v>
      </c>
      <c r="E695" s="1317">
        <v>453.5</v>
      </c>
      <c r="F695" s="1379">
        <f t="shared" si="18"/>
        <v>189018.8</v>
      </c>
    </row>
    <row r="696" spans="1:6">
      <c r="A696" s="676">
        <v>5.3</v>
      </c>
      <c r="B696" s="661" t="s">
        <v>313</v>
      </c>
      <c r="C696" s="662">
        <v>413</v>
      </c>
      <c r="D696" s="521" t="s">
        <v>300</v>
      </c>
      <c r="E696" s="1317">
        <v>453.5</v>
      </c>
      <c r="F696" s="1379">
        <f t="shared" si="18"/>
        <v>187295.5</v>
      </c>
    </row>
    <row r="697" spans="1:6">
      <c r="A697" s="676">
        <v>5.4</v>
      </c>
      <c r="B697" s="661" t="s">
        <v>314</v>
      </c>
      <c r="C697" s="662">
        <v>631.20000000000005</v>
      </c>
      <c r="D697" s="521" t="s">
        <v>15</v>
      </c>
      <c r="E697" s="1317">
        <v>138.5</v>
      </c>
      <c r="F697" s="1379">
        <f t="shared" si="18"/>
        <v>87421.2</v>
      </c>
    </row>
    <row r="698" spans="1:6">
      <c r="A698" s="676">
        <v>5.5</v>
      </c>
      <c r="B698" s="661" t="s">
        <v>315</v>
      </c>
      <c r="C698" s="662">
        <v>108.68</v>
      </c>
      <c r="D698" s="663" t="s">
        <v>15</v>
      </c>
      <c r="E698" s="1317">
        <v>310.81</v>
      </c>
      <c r="F698" s="1379">
        <f t="shared" si="18"/>
        <v>33778.83</v>
      </c>
    </row>
    <row r="699" spans="1:6">
      <c r="A699" s="676">
        <v>5.6</v>
      </c>
      <c r="B699" s="661" t="s">
        <v>316</v>
      </c>
      <c r="C699" s="662">
        <v>250</v>
      </c>
      <c r="D699" s="521" t="s">
        <v>300</v>
      </c>
      <c r="E699" s="1317">
        <v>475.5</v>
      </c>
      <c r="F699" s="1379">
        <f t="shared" si="18"/>
        <v>118875</v>
      </c>
    </row>
    <row r="700" spans="1:6">
      <c r="A700" s="676">
        <v>5.7</v>
      </c>
      <c r="B700" s="677" t="s">
        <v>317</v>
      </c>
      <c r="C700" s="662">
        <v>1044</v>
      </c>
      <c r="D700" s="521" t="s">
        <v>300</v>
      </c>
      <c r="E700" s="1317">
        <v>255.4</v>
      </c>
      <c r="F700" s="1379">
        <f t="shared" si="18"/>
        <v>266637.59999999998</v>
      </c>
    </row>
    <row r="701" spans="1:6">
      <c r="A701" s="676">
        <v>5.8</v>
      </c>
      <c r="B701" s="677" t="s">
        <v>318</v>
      </c>
      <c r="C701" s="662">
        <v>1044</v>
      </c>
      <c r="D701" s="521" t="s">
        <v>300</v>
      </c>
      <c r="E701" s="1317">
        <v>255.4</v>
      </c>
      <c r="F701" s="1379">
        <f t="shared" si="18"/>
        <v>266637.59999999998</v>
      </c>
    </row>
    <row r="702" spans="1:6" ht="25.5">
      <c r="A702" s="676">
        <v>5.9</v>
      </c>
      <c r="B702" s="673" t="s">
        <v>343</v>
      </c>
      <c r="C702" s="678">
        <v>90</v>
      </c>
      <c r="D702" s="521" t="s">
        <v>300</v>
      </c>
      <c r="E702" s="679">
        <v>1876.8</v>
      </c>
      <c r="F702" s="1379">
        <f t="shared" si="18"/>
        <v>168912</v>
      </c>
    </row>
    <row r="703" spans="1:6">
      <c r="A703" s="1220">
        <v>5.0999999999999996</v>
      </c>
      <c r="B703" s="673" t="s">
        <v>319</v>
      </c>
      <c r="C703" s="678">
        <v>214.2</v>
      </c>
      <c r="D703" s="521" t="s">
        <v>300</v>
      </c>
      <c r="E703" s="679">
        <v>1377</v>
      </c>
      <c r="F703" s="1379">
        <f t="shared" si="18"/>
        <v>294953.40000000002</v>
      </c>
    </row>
    <row r="704" spans="1:6">
      <c r="A704" s="1220">
        <v>5.1100000000000003</v>
      </c>
      <c r="B704" s="673" t="s">
        <v>345</v>
      </c>
      <c r="C704" s="678">
        <v>214.2</v>
      </c>
      <c r="D704" s="521" t="s">
        <v>300</v>
      </c>
      <c r="E704" s="679">
        <v>1530</v>
      </c>
      <c r="F704" s="1379">
        <f t="shared" si="18"/>
        <v>327726</v>
      </c>
    </row>
    <row r="705" spans="1:6">
      <c r="A705" s="1220">
        <v>5.12</v>
      </c>
      <c r="B705" s="661" t="s">
        <v>320</v>
      </c>
      <c r="C705" s="662">
        <v>112</v>
      </c>
      <c r="D705" s="521" t="s">
        <v>300</v>
      </c>
      <c r="E705" s="1317">
        <v>1429.27</v>
      </c>
      <c r="F705" s="1379">
        <f t="shared" si="18"/>
        <v>160078.24</v>
      </c>
    </row>
    <row r="706" spans="1:6">
      <c r="A706" s="1220">
        <v>5.13</v>
      </c>
      <c r="B706" s="681" t="s">
        <v>820</v>
      </c>
      <c r="C706" s="662">
        <v>18</v>
      </c>
      <c r="D706" s="521" t="s">
        <v>15</v>
      </c>
      <c r="E706" s="1319">
        <v>992.72</v>
      </c>
      <c r="F706" s="1379">
        <f>ROUND(C706*E706,2)</f>
        <v>17868.96</v>
      </c>
    </row>
    <row r="707" spans="1:6">
      <c r="A707" s="671"/>
      <c r="B707" s="661"/>
      <c r="C707" s="662"/>
      <c r="D707" s="667"/>
      <c r="E707" s="664"/>
      <c r="F707" s="1379"/>
    </row>
    <row r="708" spans="1:6">
      <c r="A708" s="668">
        <v>6</v>
      </c>
      <c r="B708" s="682" t="s">
        <v>302</v>
      </c>
      <c r="C708" s="662"/>
      <c r="D708" s="667"/>
      <c r="E708" s="664"/>
      <c r="F708" s="1379"/>
    </row>
    <row r="709" spans="1:6">
      <c r="A709" s="683">
        <v>6.1</v>
      </c>
      <c r="B709" s="661" t="s">
        <v>321</v>
      </c>
      <c r="C709" s="662">
        <v>24</v>
      </c>
      <c r="D709" s="663" t="s">
        <v>10</v>
      </c>
      <c r="E709" s="1317">
        <v>12801</v>
      </c>
      <c r="F709" s="1379">
        <f t="shared" si="18"/>
        <v>307224</v>
      </c>
    </row>
    <row r="710" spans="1:6">
      <c r="A710" s="683">
        <v>6.2</v>
      </c>
      <c r="B710" s="673" t="s">
        <v>322</v>
      </c>
      <c r="C710" s="662">
        <v>24</v>
      </c>
      <c r="D710" s="663" t="s">
        <v>10</v>
      </c>
      <c r="E710" s="1317">
        <v>11034.8</v>
      </c>
      <c r="F710" s="1379">
        <f t="shared" si="18"/>
        <v>264835.20000000001</v>
      </c>
    </row>
    <row r="711" spans="1:6">
      <c r="A711" s="683">
        <v>6.3</v>
      </c>
      <c r="B711" s="673" t="s">
        <v>340</v>
      </c>
      <c r="C711" s="662">
        <v>8</v>
      </c>
      <c r="D711" s="663" t="s">
        <v>10</v>
      </c>
      <c r="E711" s="1317">
        <v>12740.11</v>
      </c>
      <c r="F711" s="1379">
        <f t="shared" si="18"/>
        <v>101920.88</v>
      </c>
    </row>
    <row r="712" spans="1:6">
      <c r="A712" s="683">
        <v>6.4</v>
      </c>
      <c r="B712" s="673" t="s">
        <v>344</v>
      </c>
      <c r="C712" s="662">
        <v>30</v>
      </c>
      <c r="D712" s="663" t="s">
        <v>300</v>
      </c>
      <c r="E712" s="1317">
        <v>8800.0499999999993</v>
      </c>
      <c r="F712" s="1379">
        <f t="shared" si="18"/>
        <v>264001.5</v>
      </c>
    </row>
    <row r="713" spans="1:6">
      <c r="A713" s="683">
        <v>6.5</v>
      </c>
      <c r="B713" s="661" t="s">
        <v>323</v>
      </c>
      <c r="C713" s="662">
        <v>16</v>
      </c>
      <c r="D713" s="663" t="s">
        <v>10</v>
      </c>
      <c r="E713" s="1317">
        <v>1382.47</v>
      </c>
      <c r="F713" s="1379">
        <f t="shared" si="18"/>
        <v>22119.52</v>
      </c>
    </row>
    <row r="714" spans="1:6">
      <c r="A714" s="683">
        <v>6.6</v>
      </c>
      <c r="B714" s="661" t="s">
        <v>324</v>
      </c>
      <c r="C714" s="662">
        <v>16</v>
      </c>
      <c r="D714" s="663" t="s">
        <v>10</v>
      </c>
      <c r="E714" s="1317">
        <v>2073.6999999999998</v>
      </c>
      <c r="F714" s="1379">
        <f t="shared" si="18"/>
        <v>33179.199999999997</v>
      </c>
    </row>
    <row r="715" spans="1:6">
      <c r="A715" s="683">
        <v>6.7</v>
      </c>
      <c r="B715" s="661" t="s">
        <v>325</v>
      </c>
      <c r="C715" s="662">
        <v>8</v>
      </c>
      <c r="D715" s="663" t="s">
        <v>10</v>
      </c>
      <c r="E715" s="1317">
        <v>6426.2</v>
      </c>
      <c r="F715" s="1379">
        <f t="shared" si="18"/>
        <v>51409.599999999999</v>
      </c>
    </row>
    <row r="716" spans="1:6">
      <c r="A716" s="683">
        <v>6.8</v>
      </c>
      <c r="B716" s="661" t="s">
        <v>326</v>
      </c>
      <c r="C716" s="662">
        <v>4</v>
      </c>
      <c r="D716" s="663" t="s">
        <v>10</v>
      </c>
      <c r="E716" s="1320">
        <v>66139.97</v>
      </c>
      <c r="F716" s="1379">
        <f t="shared" si="18"/>
        <v>264559.88</v>
      </c>
    </row>
    <row r="717" spans="1:6">
      <c r="A717" s="683">
        <v>6.9</v>
      </c>
      <c r="B717" s="661" t="s">
        <v>821</v>
      </c>
      <c r="C717" s="662">
        <v>140</v>
      </c>
      <c r="D717" s="663" t="s">
        <v>15</v>
      </c>
      <c r="E717" s="1320">
        <v>246.72</v>
      </c>
      <c r="F717" s="1379">
        <f t="shared" si="18"/>
        <v>34540.800000000003</v>
      </c>
    </row>
    <row r="718" spans="1:6" ht="25.5">
      <c r="A718" s="1221">
        <v>6.1</v>
      </c>
      <c r="B718" s="673" t="s">
        <v>327</v>
      </c>
      <c r="C718" s="662">
        <v>1</v>
      </c>
      <c r="D718" s="663" t="s">
        <v>306</v>
      </c>
      <c r="E718" s="664">
        <v>27540</v>
      </c>
      <c r="F718" s="1379">
        <f t="shared" si="18"/>
        <v>27540</v>
      </c>
    </row>
    <row r="719" spans="1:6">
      <c r="A719" s="1221">
        <v>6.11</v>
      </c>
      <c r="B719" s="673" t="s">
        <v>349</v>
      </c>
      <c r="C719" s="662">
        <v>24</v>
      </c>
      <c r="D719" s="663" t="s">
        <v>10</v>
      </c>
      <c r="E719" s="664">
        <v>1326</v>
      </c>
      <c r="F719" s="1379">
        <f t="shared" si="18"/>
        <v>31824</v>
      </c>
    </row>
    <row r="720" spans="1:6">
      <c r="A720" s="1221">
        <v>6.12</v>
      </c>
      <c r="B720" s="673" t="s">
        <v>350</v>
      </c>
      <c r="C720" s="662">
        <v>24</v>
      </c>
      <c r="D720" s="663" t="s">
        <v>10</v>
      </c>
      <c r="E720" s="664">
        <v>999.6</v>
      </c>
      <c r="F720" s="1379">
        <f t="shared" si="18"/>
        <v>23990.400000000001</v>
      </c>
    </row>
    <row r="721" spans="1:6">
      <c r="A721" s="1221">
        <v>6.13</v>
      </c>
      <c r="B721" s="610" t="s">
        <v>346</v>
      </c>
      <c r="C721" s="662">
        <v>8</v>
      </c>
      <c r="D721" s="663" t="s">
        <v>10</v>
      </c>
      <c r="E721" s="664">
        <v>4998</v>
      </c>
      <c r="F721" s="1379">
        <f t="shared" si="18"/>
        <v>39984</v>
      </c>
    </row>
    <row r="722" spans="1:6">
      <c r="A722" s="1221">
        <v>6.14</v>
      </c>
      <c r="B722" s="681" t="s">
        <v>347</v>
      </c>
      <c r="C722" s="662">
        <v>8</v>
      </c>
      <c r="D722" s="663" t="s">
        <v>10</v>
      </c>
      <c r="E722" s="664">
        <v>6120</v>
      </c>
      <c r="F722" s="1379">
        <f t="shared" si="18"/>
        <v>48960</v>
      </c>
    </row>
    <row r="723" spans="1:6">
      <c r="A723" s="1221">
        <v>6.15</v>
      </c>
      <c r="B723" s="610" t="s">
        <v>348</v>
      </c>
      <c r="C723" s="662">
        <v>24</v>
      </c>
      <c r="D723" s="663" t="s">
        <v>10</v>
      </c>
      <c r="E723" s="664">
        <v>2652</v>
      </c>
      <c r="F723" s="1379">
        <f t="shared" si="18"/>
        <v>63648</v>
      </c>
    </row>
    <row r="724" spans="1:6">
      <c r="A724" s="1221">
        <v>6.16</v>
      </c>
      <c r="B724" s="673" t="s">
        <v>341</v>
      </c>
      <c r="C724" s="678">
        <v>4</v>
      </c>
      <c r="D724" s="663" t="s">
        <v>10</v>
      </c>
      <c r="E724" s="1321">
        <v>22086.06</v>
      </c>
      <c r="F724" s="1379">
        <f t="shared" si="18"/>
        <v>88344.24</v>
      </c>
    </row>
    <row r="725" spans="1:6">
      <c r="A725" s="1221">
        <v>6.17</v>
      </c>
      <c r="B725" s="673" t="s">
        <v>342</v>
      </c>
      <c r="C725" s="662">
        <v>1</v>
      </c>
      <c r="D725" s="663" t="s">
        <v>306</v>
      </c>
      <c r="E725" s="664">
        <v>40800</v>
      </c>
      <c r="F725" s="1379">
        <f t="shared" si="18"/>
        <v>40800</v>
      </c>
    </row>
    <row r="726" spans="1:6">
      <c r="A726" s="671"/>
      <c r="B726" s="661"/>
      <c r="C726" s="662"/>
      <c r="D726" s="667"/>
      <c r="E726" s="664"/>
      <c r="F726" s="1379"/>
    </row>
    <row r="727" spans="1:6">
      <c r="A727" s="668">
        <v>7</v>
      </c>
      <c r="B727" s="669" t="s">
        <v>717</v>
      </c>
      <c r="C727" s="662"/>
      <c r="D727" s="667"/>
      <c r="E727" s="664"/>
      <c r="F727" s="1379"/>
    </row>
    <row r="728" spans="1:6">
      <c r="A728" s="686">
        <v>7.1</v>
      </c>
      <c r="B728" s="526" t="s">
        <v>822</v>
      </c>
      <c r="C728" s="687">
        <v>8</v>
      </c>
      <c r="D728" s="663" t="s">
        <v>10</v>
      </c>
      <c r="E728" s="1309">
        <v>8500</v>
      </c>
      <c r="F728" s="1362">
        <f t="shared" si="18"/>
        <v>68000</v>
      </c>
    </row>
    <row r="729" spans="1:6">
      <c r="A729" s="686">
        <v>7.2</v>
      </c>
      <c r="B729" s="526" t="s">
        <v>823</v>
      </c>
      <c r="C729" s="687">
        <v>16</v>
      </c>
      <c r="D729" s="663" t="s">
        <v>10</v>
      </c>
      <c r="E729" s="679">
        <v>9996</v>
      </c>
      <c r="F729" s="1362">
        <f t="shared" si="18"/>
        <v>159936</v>
      </c>
    </row>
    <row r="730" spans="1:6">
      <c r="A730" s="686">
        <v>7.3</v>
      </c>
      <c r="B730" s="526" t="s">
        <v>824</v>
      </c>
      <c r="C730" s="687">
        <v>8</v>
      </c>
      <c r="D730" s="663" t="s">
        <v>10</v>
      </c>
      <c r="E730" s="679">
        <v>10812</v>
      </c>
      <c r="F730" s="1362">
        <f t="shared" si="18"/>
        <v>86496</v>
      </c>
    </row>
    <row r="731" spans="1:6">
      <c r="A731" s="688"/>
      <c r="B731" s="689"/>
      <c r="C731" s="687"/>
      <c r="D731" s="527"/>
      <c r="E731" s="679"/>
      <c r="F731" s="1362"/>
    </row>
    <row r="732" spans="1:6">
      <c r="A732" s="653">
        <v>8</v>
      </c>
      <c r="B732" s="614" t="s">
        <v>825</v>
      </c>
      <c r="C732" s="687"/>
      <c r="D732" s="527"/>
      <c r="E732" s="679"/>
      <c r="F732" s="1362"/>
    </row>
    <row r="733" spans="1:6">
      <c r="A733" s="686">
        <v>8.1</v>
      </c>
      <c r="B733" s="609" t="s">
        <v>826</v>
      </c>
      <c r="C733" s="687">
        <v>126.56</v>
      </c>
      <c r="D733" s="527" t="s">
        <v>304</v>
      </c>
      <c r="E733" s="1309">
        <v>285.60000000000002</v>
      </c>
      <c r="F733" s="1362">
        <f>ROUND(C733*E733,2)</f>
        <v>36145.54</v>
      </c>
    </row>
    <row r="734" spans="1:6">
      <c r="A734" s="690"/>
      <c r="B734" s="691"/>
      <c r="C734" s="687"/>
      <c r="D734" s="527"/>
      <c r="E734" s="679"/>
      <c r="F734" s="1362"/>
    </row>
    <row r="735" spans="1:6">
      <c r="A735" s="524">
        <v>9</v>
      </c>
      <c r="B735" s="609" t="s">
        <v>330</v>
      </c>
      <c r="C735" s="687">
        <v>1</v>
      </c>
      <c r="D735" s="527" t="s">
        <v>500</v>
      </c>
      <c r="E735" s="679">
        <v>3000</v>
      </c>
      <c r="F735" s="1362">
        <f>ROUND(C735*E735,2)</f>
        <v>3000</v>
      </c>
    </row>
    <row r="736" spans="1:6">
      <c r="A736" s="543"/>
      <c r="B736" s="544" t="s">
        <v>827</v>
      </c>
      <c r="C736" s="545"/>
      <c r="D736" s="546"/>
      <c r="E736" s="1294"/>
      <c r="F736" s="1363">
        <f>SUM(F672:F735)</f>
        <v>6252759.6399999997</v>
      </c>
    </row>
    <row r="737" spans="1:6" ht="7.5" customHeight="1">
      <c r="A737" s="583"/>
      <c r="B737" s="500"/>
      <c r="C737" s="584"/>
      <c r="D737" s="585"/>
      <c r="E737" s="1298"/>
      <c r="F737" s="1367"/>
    </row>
    <row r="738" spans="1:6">
      <c r="A738" s="504" t="s">
        <v>828</v>
      </c>
      <c r="B738" s="614" t="s">
        <v>829</v>
      </c>
      <c r="C738" s="597"/>
      <c r="D738" s="521"/>
      <c r="E738" s="1281"/>
      <c r="F738" s="1358"/>
    </row>
    <row r="739" spans="1:6">
      <c r="A739" s="509"/>
      <c r="B739" s="510"/>
      <c r="C739" s="511"/>
      <c r="D739" s="512"/>
      <c r="E739" s="1290"/>
      <c r="F739" s="1359"/>
    </row>
    <row r="740" spans="1:6">
      <c r="A740" s="499">
        <v>1</v>
      </c>
      <c r="B740" s="637" t="s">
        <v>420</v>
      </c>
      <c r="C740" s="638"/>
      <c r="D740" s="534"/>
      <c r="E740" s="1290"/>
      <c r="F740" s="1359"/>
    </row>
    <row r="741" spans="1:6">
      <c r="A741" s="532">
        <v>1.1000000000000001</v>
      </c>
      <c r="B741" s="478" t="s">
        <v>697</v>
      </c>
      <c r="C741" s="638">
        <v>37.06</v>
      </c>
      <c r="D741" s="534" t="s">
        <v>300</v>
      </c>
      <c r="E741" s="1290">
        <v>157.51</v>
      </c>
      <c r="F741" s="1376">
        <f t="shared" ref="F741:F754" si="19">ROUND(C741*E741,2)</f>
        <v>5837.32</v>
      </c>
    </row>
    <row r="742" spans="1:6" ht="5.25" customHeight="1">
      <c r="A742" s="509"/>
      <c r="B742" s="510"/>
      <c r="C742" s="511"/>
      <c r="D742" s="512"/>
      <c r="E742" s="1290"/>
      <c r="F742" s="1376"/>
    </row>
    <row r="743" spans="1:6">
      <c r="A743" s="499">
        <v>2</v>
      </c>
      <c r="B743" s="505" t="s">
        <v>296</v>
      </c>
      <c r="C743" s="474"/>
      <c r="D743" s="482"/>
      <c r="E743" s="1290"/>
      <c r="F743" s="1376">
        <f t="shared" si="19"/>
        <v>0</v>
      </c>
    </row>
    <row r="744" spans="1:6">
      <c r="A744" s="532">
        <v>2.1</v>
      </c>
      <c r="B744" s="484" t="s">
        <v>743</v>
      </c>
      <c r="C744" s="537">
        <v>13.27</v>
      </c>
      <c r="D744" s="482" t="s">
        <v>364</v>
      </c>
      <c r="E744" s="1290">
        <v>107.89</v>
      </c>
      <c r="F744" s="1376">
        <f t="shared" si="19"/>
        <v>1431.7</v>
      </c>
    </row>
    <row r="745" spans="1:6">
      <c r="A745" s="532">
        <v>2.2000000000000002</v>
      </c>
      <c r="B745" s="484" t="s">
        <v>744</v>
      </c>
      <c r="C745" s="537">
        <v>8.11</v>
      </c>
      <c r="D745" s="482" t="s">
        <v>426</v>
      </c>
      <c r="E745" s="1290">
        <v>78.03</v>
      </c>
      <c r="F745" s="1376">
        <f t="shared" si="19"/>
        <v>632.82000000000005</v>
      </c>
    </row>
    <row r="746" spans="1:6">
      <c r="A746" s="532">
        <v>2.2999999999999998</v>
      </c>
      <c r="B746" s="484" t="s">
        <v>308</v>
      </c>
      <c r="C746" s="537">
        <v>6.71</v>
      </c>
      <c r="D746" s="482" t="s">
        <v>367</v>
      </c>
      <c r="E746" s="1290">
        <v>446.21</v>
      </c>
      <c r="F746" s="1376">
        <f t="shared" si="19"/>
        <v>2994.07</v>
      </c>
    </row>
    <row r="747" spans="1:6" ht="4.5" customHeight="1">
      <c r="A747" s="509"/>
      <c r="B747" s="510"/>
      <c r="C747" s="511"/>
      <c r="D747" s="512"/>
      <c r="E747" s="1290"/>
      <c r="F747" s="1376"/>
    </row>
    <row r="748" spans="1:6">
      <c r="A748" s="499">
        <v>3</v>
      </c>
      <c r="B748" s="505" t="s">
        <v>830</v>
      </c>
      <c r="C748" s="474"/>
      <c r="D748" s="482"/>
      <c r="E748" s="1290"/>
      <c r="F748" s="1376"/>
    </row>
    <row r="749" spans="1:6">
      <c r="A749" s="536">
        <v>3.1</v>
      </c>
      <c r="B749" s="526" t="s">
        <v>831</v>
      </c>
      <c r="C749" s="537">
        <v>4.7300000000000004</v>
      </c>
      <c r="D749" s="657" t="s">
        <v>298</v>
      </c>
      <c r="E749" s="1281">
        <v>8965.0400000000009</v>
      </c>
      <c r="F749" s="1378">
        <f t="shared" si="19"/>
        <v>42404.639999999999</v>
      </c>
    </row>
    <row r="750" spans="1:6">
      <c r="A750" s="536">
        <v>3.2</v>
      </c>
      <c r="B750" s="526" t="s">
        <v>832</v>
      </c>
      <c r="C750" s="537">
        <v>1.4</v>
      </c>
      <c r="D750" s="657" t="s">
        <v>298</v>
      </c>
      <c r="E750" s="1281">
        <v>37278.839999999997</v>
      </c>
      <c r="F750" s="1378">
        <f t="shared" si="19"/>
        <v>52190.38</v>
      </c>
    </row>
    <row r="751" spans="1:6">
      <c r="A751" s="1222">
        <v>3.3</v>
      </c>
      <c r="B751" s="848" t="s">
        <v>833</v>
      </c>
      <c r="C751" s="1223">
        <v>0.86</v>
      </c>
      <c r="D751" s="1224" t="s">
        <v>298</v>
      </c>
      <c r="E751" s="1300">
        <v>34339.54</v>
      </c>
      <c r="F751" s="1381">
        <f t="shared" si="19"/>
        <v>29532</v>
      </c>
    </row>
    <row r="752" spans="1:6">
      <c r="A752" s="536">
        <v>3.4</v>
      </c>
      <c r="B752" s="526" t="s">
        <v>834</v>
      </c>
      <c r="C752" s="537">
        <v>1.31</v>
      </c>
      <c r="D752" s="657" t="s">
        <v>298</v>
      </c>
      <c r="E752" s="1281">
        <v>29808.86</v>
      </c>
      <c r="F752" s="1378">
        <f t="shared" si="19"/>
        <v>39049.61</v>
      </c>
    </row>
    <row r="753" spans="1:6" ht="25.5">
      <c r="A753" s="536">
        <v>3.5</v>
      </c>
      <c r="B753" s="526" t="s">
        <v>835</v>
      </c>
      <c r="C753" s="597">
        <v>3.61</v>
      </c>
      <c r="D753" s="657" t="s">
        <v>298</v>
      </c>
      <c r="E753" s="1281">
        <v>1327.87</v>
      </c>
      <c r="F753" s="1378">
        <f t="shared" si="19"/>
        <v>4793.6099999999997</v>
      </c>
    </row>
    <row r="754" spans="1:6">
      <c r="A754" s="536">
        <v>3.6</v>
      </c>
      <c r="B754" s="609" t="s">
        <v>836</v>
      </c>
      <c r="C754" s="597">
        <v>3.96</v>
      </c>
      <c r="D754" s="657" t="s">
        <v>298</v>
      </c>
      <c r="E754" s="1281">
        <v>16460.38</v>
      </c>
      <c r="F754" s="1378">
        <f t="shared" si="19"/>
        <v>65183.1</v>
      </c>
    </row>
    <row r="755" spans="1:6">
      <c r="A755" s="509"/>
      <c r="B755" s="510"/>
      <c r="C755" s="511"/>
      <c r="D755" s="512"/>
      <c r="E755" s="1290"/>
      <c r="F755" s="1359"/>
    </row>
    <row r="756" spans="1:6">
      <c r="A756" s="499">
        <v>4</v>
      </c>
      <c r="B756" s="637" t="s">
        <v>299</v>
      </c>
      <c r="C756" s="638"/>
      <c r="D756" s="534"/>
      <c r="E756" s="1305"/>
      <c r="F756" s="1376"/>
    </row>
    <row r="757" spans="1:6">
      <c r="A757" s="532">
        <v>4.0999999999999996</v>
      </c>
      <c r="B757" s="643" t="s">
        <v>752</v>
      </c>
      <c r="C757" s="537">
        <v>16.079999999999998</v>
      </c>
      <c r="D757" s="534" t="s">
        <v>300</v>
      </c>
      <c r="E757" s="1305">
        <v>1403.21</v>
      </c>
      <c r="F757" s="1376">
        <f>ROUND(C757*E757,2)</f>
        <v>22563.62</v>
      </c>
    </row>
    <row r="758" spans="1:6">
      <c r="A758" s="532">
        <v>4.2</v>
      </c>
      <c r="B758" s="643" t="s">
        <v>753</v>
      </c>
      <c r="C758" s="537">
        <v>67.650000000000006</v>
      </c>
      <c r="D758" s="534" t="s">
        <v>300</v>
      </c>
      <c r="E758" s="1305">
        <v>1529.21</v>
      </c>
      <c r="F758" s="1376">
        <f>ROUND(C758*E758,2)</f>
        <v>103451.06</v>
      </c>
    </row>
    <row r="759" spans="1:6">
      <c r="A759" s="535"/>
      <c r="B759" s="643"/>
      <c r="C759" s="638"/>
      <c r="D759" s="534"/>
      <c r="E759" s="1305"/>
      <c r="F759" s="1376"/>
    </row>
    <row r="760" spans="1:6">
      <c r="A760" s="499">
        <v>5</v>
      </c>
      <c r="B760" s="637" t="s">
        <v>516</v>
      </c>
      <c r="C760" s="638"/>
      <c r="D760" s="534"/>
      <c r="E760" s="1305"/>
      <c r="F760" s="1376"/>
    </row>
    <row r="761" spans="1:6">
      <c r="A761" s="532">
        <v>5.0999999999999996</v>
      </c>
      <c r="B761" s="643" t="s">
        <v>519</v>
      </c>
      <c r="C761" s="537">
        <v>211.65</v>
      </c>
      <c r="D761" s="534" t="s">
        <v>300</v>
      </c>
      <c r="E761" s="1305">
        <v>101.1</v>
      </c>
      <c r="F761" s="1376">
        <f t="shared" ref="F761:F768" si="20">ROUND(C761*E761,2)</f>
        <v>21397.82</v>
      </c>
    </row>
    <row r="762" spans="1:6">
      <c r="A762" s="532">
        <v>5.2</v>
      </c>
      <c r="B762" s="643" t="s">
        <v>312</v>
      </c>
      <c r="C762" s="537">
        <v>144.22999999999999</v>
      </c>
      <c r="D762" s="534" t="s">
        <v>300</v>
      </c>
      <c r="E762" s="1305">
        <v>453.5</v>
      </c>
      <c r="F762" s="1376">
        <f t="shared" si="20"/>
        <v>65408.31</v>
      </c>
    </row>
    <row r="763" spans="1:6">
      <c r="A763" s="532">
        <v>5.3</v>
      </c>
      <c r="B763" s="643" t="s">
        <v>756</v>
      </c>
      <c r="C763" s="537">
        <v>67.42</v>
      </c>
      <c r="D763" s="534" t="s">
        <v>300</v>
      </c>
      <c r="E763" s="1305">
        <v>453.5</v>
      </c>
      <c r="F763" s="1376">
        <f t="shared" si="20"/>
        <v>30574.97</v>
      </c>
    </row>
    <row r="764" spans="1:6">
      <c r="A764" s="532">
        <v>5.4</v>
      </c>
      <c r="B764" s="643" t="s">
        <v>544</v>
      </c>
      <c r="C764" s="655">
        <v>62.2</v>
      </c>
      <c r="D764" s="534" t="s">
        <v>15</v>
      </c>
      <c r="E764" s="1305">
        <v>158.5</v>
      </c>
      <c r="F764" s="1376">
        <f t="shared" si="20"/>
        <v>9858.7000000000007</v>
      </c>
    </row>
    <row r="765" spans="1:6">
      <c r="A765" s="532">
        <v>5.5</v>
      </c>
      <c r="B765" s="643" t="s">
        <v>837</v>
      </c>
      <c r="C765" s="655">
        <v>211.65</v>
      </c>
      <c r="D765" s="534" t="s">
        <v>300</v>
      </c>
      <c r="E765" s="1305">
        <v>160.19999999999999</v>
      </c>
      <c r="F765" s="1376">
        <f t="shared" si="20"/>
        <v>33906.33</v>
      </c>
    </row>
    <row r="766" spans="1:6">
      <c r="A766" s="532">
        <v>5.6</v>
      </c>
      <c r="B766" s="643" t="s">
        <v>838</v>
      </c>
      <c r="C766" s="655">
        <v>211.65</v>
      </c>
      <c r="D766" s="534" t="s">
        <v>300</v>
      </c>
      <c r="E766" s="1305">
        <v>173.4</v>
      </c>
      <c r="F766" s="1376">
        <f t="shared" si="20"/>
        <v>36700.11</v>
      </c>
    </row>
    <row r="767" spans="1:6">
      <c r="A767" s="532">
        <v>5.7</v>
      </c>
      <c r="B767" s="661" t="s">
        <v>315</v>
      </c>
      <c r="C767" s="655">
        <v>27.3</v>
      </c>
      <c r="D767" s="663" t="s">
        <v>15</v>
      </c>
      <c r="E767" s="1305">
        <v>310.81</v>
      </c>
      <c r="F767" s="1376">
        <f t="shared" si="20"/>
        <v>8485.11</v>
      </c>
    </row>
    <row r="768" spans="1:6">
      <c r="A768" s="532">
        <v>5.8</v>
      </c>
      <c r="B768" s="661" t="s">
        <v>316</v>
      </c>
      <c r="C768" s="655">
        <v>32.99</v>
      </c>
      <c r="D768" s="521" t="s">
        <v>300</v>
      </c>
      <c r="E768" s="1305">
        <v>475.5</v>
      </c>
      <c r="F768" s="1376">
        <f t="shared" si="20"/>
        <v>15686.75</v>
      </c>
    </row>
    <row r="769" spans="1:6">
      <c r="A769" s="509"/>
      <c r="B769" s="510"/>
      <c r="C769" s="511"/>
      <c r="D769" s="512"/>
      <c r="E769" s="1290"/>
      <c r="F769" s="1359"/>
    </row>
    <row r="770" spans="1:6">
      <c r="A770" s="499">
        <v>6</v>
      </c>
      <c r="B770" s="505" t="s">
        <v>305</v>
      </c>
      <c r="C770" s="474"/>
      <c r="D770" s="482"/>
      <c r="E770" s="1305"/>
      <c r="F770" s="1376"/>
    </row>
    <row r="771" spans="1:6">
      <c r="A771" s="532">
        <v>6.1</v>
      </c>
      <c r="B771" s="484" t="s">
        <v>726</v>
      </c>
      <c r="C771" s="520">
        <v>1</v>
      </c>
      <c r="D771" s="482" t="s">
        <v>10</v>
      </c>
      <c r="E771" s="1305">
        <v>12801</v>
      </c>
      <c r="F771" s="1376">
        <f t="shared" ref="F771:F780" si="21">ROUND(C771*E771,2)</f>
        <v>12801</v>
      </c>
    </row>
    <row r="772" spans="1:6">
      <c r="A772" s="532">
        <v>6.2</v>
      </c>
      <c r="B772" s="510" t="s">
        <v>770</v>
      </c>
      <c r="C772" s="655">
        <v>1</v>
      </c>
      <c r="D772" s="482" t="s">
        <v>10</v>
      </c>
      <c r="E772" s="1305">
        <v>11034.8</v>
      </c>
      <c r="F772" s="1376">
        <f t="shared" si="21"/>
        <v>11034.8</v>
      </c>
    </row>
    <row r="773" spans="1:6">
      <c r="A773" s="532">
        <v>6.3</v>
      </c>
      <c r="B773" s="484" t="s">
        <v>771</v>
      </c>
      <c r="C773" s="655">
        <v>1</v>
      </c>
      <c r="D773" s="482" t="s">
        <v>10</v>
      </c>
      <c r="E773" s="1305">
        <v>1382.47</v>
      </c>
      <c r="F773" s="1376">
        <f t="shared" si="21"/>
        <v>1382.47</v>
      </c>
    </row>
    <row r="774" spans="1:6">
      <c r="A774" s="532">
        <v>6.4</v>
      </c>
      <c r="B774" s="484" t="s">
        <v>772</v>
      </c>
      <c r="C774" s="655">
        <v>1</v>
      </c>
      <c r="D774" s="482" t="s">
        <v>10</v>
      </c>
      <c r="E774" s="1305">
        <v>12750.37</v>
      </c>
      <c r="F774" s="1376">
        <f t="shared" si="21"/>
        <v>12750.37</v>
      </c>
    </row>
    <row r="775" spans="1:6">
      <c r="A775" s="532">
        <v>6.5</v>
      </c>
      <c r="B775" s="484" t="s">
        <v>773</v>
      </c>
      <c r="C775" s="655">
        <v>1</v>
      </c>
      <c r="D775" s="482" t="s">
        <v>10</v>
      </c>
      <c r="E775" s="1305">
        <v>9874.77</v>
      </c>
      <c r="F775" s="1376">
        <f t="shared" si="21"/>
        <v>9874.77</v>
      </c>
    </row>
    <row r="776" spans="1:6">
      <c r="A776" s="532">
        <v>6.6</v>
      </c>
      <c r="B776" s="484" t="s">
        <v>774</v>
      </c>
      <c r="C776" s="655">
        <v>1</v>
      </c>
      <c r="D776" s="482" t="s">
        <v>10</v>
      </c>
      <c r="E776" s="1305">
        <v>66139.97</v>
      </c>
      <c r="F776" s="1376">
        <f t="shared" si="21"/>
        <v>66139.97</v>
      </c>
    </row>
    <row r="777" spans="1:6">
      <c r="A777" s="532">
        <v>6.7</v>
      </c>
      <c r="B777" s="484" t="s">
        <v>775</v>
      </c>
      <c r="C777" s="655">
        <v>2</v>
      </c>
      <c r="D777" s="482" t="s">
        <v>10</v>
      </c>
      <c r="E777" s="1305">
        <v>5158.1000000000004</v>
      </c>
      <c r="F777" s="1376">
        <f t="shared" si="21"/>
        <v>10316.200000000001</v>
      </c>
    </row>
    <row r="778" spans="1:6">
      <c r="A778" s="532">
        <v>6.8</v>
      </c>
      <c r="B778" s="484" t="s">
        <v>839</v>
      </c>
      <c r="C778" s="655">
        <v>1</v>
      </c>
      <c r="D778" s="482" t="s">
        <v>500</v>
      </c>
      <c r="E778" s="1305">
        <v>12240</v>
      </c>
      <c r="F778" s="1376">
        <f t="shared" si="21"/>
        <v>12240</v>
      </c>
    </row>
    <row r="779" spans="1:6">
      <c r="A779" s="532">
        <v>6.9</v>
      </c>
      <c r="B779" s="484" t="s">
        <v>840</v>
      </c>
      <c r="C779" s="655">
        <v>1</v>
      </c>
      <c r="D779" s="482" t="s">
        <v>500</v>
      </c>
      <c r="E779" s="1305">
        <v>15300</v>
      </c>
      <c r="F779" s="1376">
        <f t="shared" si="21"/>
        <v>15300</v>
      </c>
    </row>
    <row r="780" spans="1:6">
      <c r="A780" s="652">
        <v>6.1</v>
      </c>
      <c r="B780" s="484" t="s">
        <v>841</v>
      </c>
      <c r="C780" s="655">
        <v>1</v>
      </c>
      <c r="D780" s="482" t="s">
        <v>500</v>
      </c>
      <c r="E780" s="1305">
        <v>40800</v>
      </c>
      <c r="F780" s="1376">
        <f t="shared" si="21"/>
        <v>40800</v>
      </c>
    </row>
    <row r="781" spans="1:6">
      <c r="A781" s="535"/>
      <c r="B781" s="484"/>
      <c r="C781" s="474"/>
      <c r="D781" s="482"/>
      <c r="E781" s="1305"/>
      <c r="F781" s="1376"/>
    </row>
    <row r="782" spans="1:6">
      <c r="A782" s="499">
        <v>7</v>
      </c>
      <c r="B782" s="637" t="s">
        <v>842</v>
      </c>
      <c r="C782" s="638"/>
      <c r="D782" s="534"/>
      <c r="E782" s="1305"/>
      <c r="F782" s="1376"/>
    </row>
    <row r="783" spans="1:6">
      <c r="A783" s="532">
        <v>7.1</v>
      </c>
      <c r="B783" s="658" t="s">
        <v>791</v>
      </c>
      <c r="C783" s="655">
        <v>33.590000000000003</v>
      </c>
      <c r="D783" s="534" t="s">
        <v>300</v>
      </c>
      <c r="E783" s="1305">
        <v>1479.31</v>
      </c>
      <c r="F783" s="1376">
        <f>ROUND(C783*E783,2)</f>
        <v>49690.02</v>
      </c>
    </row>
    <row r="784" spans="1:6">
      <c r="A784" s="532">
        <v>7.2</v>
      </c>
      <c r="B784" s="478" t="s">
        <v>792</v>
      </c>
      <c r="C784" s="655">
        <v>47.76</v>
      </c>
      <c r="D784" s="534" t="s">
        <v>793</v>
      </c>
      <c r="E784" s="1305">
        <v>246.72</v>
      </c>
      <c r="F784" s="1376">
        <f>ROUND(C784*E784,2)</f>
        <v>11783.35</v>
      </c>
    </row>
    <row r="785" spans="1:6">
      <c r="A785" s="535"/>
      <c r="B785" s="643"/>
      <c r="C785" s="638"/>
      <c r="D785" s="534"/>
      <c r="E785" s="1305"/>
      <c r="F785" s="1376"/>
    </row>
    <row r="786" spans="1:6">
      <c r="A786" s="499">
        <v>8</v>
      </c>
      <c r="B786" s="637" t="s">
        <v>799</v>
      </c>
      <c r="C786" s="638"/>
      <c r="D786" s="534"/>
      <c r="E786" s="1305"/>
      <c r="F786" s="1376"/>
    </row>
    <row r="787" spans="1:6">
      <c r="A787" s="532">
        <v>8.1</v>
      </c>
      <c r="B787" s="643" t="s">
        <v>843</v>
      </c>
      <c r="C787" s="655">
        <v>1</v>
      </c>
      <c r="D787" s="534" t="s">
        <v>10</v>
      </c>
      <c r="E787" s="1305">
        <v>8500</v>
      </c>
      <c r="F787" s="1376">
        <f t="shared" ref="F787:F792" si="22">ROUND(C787*E787,2)</f>
        <v>8500</v>
      </c>
    </row>
    <row r="788" spans="1:6">
      <c r="A788" s="532">
        <v>8.1999999999999993</v>
      </c>
      <c r="B788" s="643" t="s">
        <v>844</v>
      </c>
      <c r="C788" s="655">
        <v>3</v>
      </c>
      <c r="D788" s="534" t="s">
        <v>10</v>
      </c>
      <c r="E788" s="1305">
        <v>8670</v>
      </c>
      <c r="F788" s="1376">
        <f t="shared" si="22"/>
        <v>26010</v>
      </c>
    </row>
    <row r="789" spans="1:6">
      <c r="A789" s="532">
        <v>8.3000000000000007</v>
      </c>
      <c r="B789" s="643" t="s">
        <v>845</v>
      </c>
      <c r="C789" s="655">
        <v>1</v>
      </c>
      <c r="D789" s="534" t="s">
        <v>10</v>
      </c>
      <c r="E789" s="1305">
        <v>8670</v>
      </c>
      <c r="F789" s="1376">
        <f t="shared" si="22"/>
        <v>8670</v>
      </c>
    </row>
    <row r="790" spans="1:6">
      <c r="A790" s="532">
        <v>8.4</v>
      </c>
      <c r="B790" s="643" t="s">
        <v>846</v>
      </c>
      <c r="C790" s="655">
        <v>6</v>
      </c>
      <c r="D790" s="534" t="s">
        <v>10</v>
      </c>
      <c r="E790" s="1305">
        <v>3614.8</v>
      </c>
      <c r="F790" s="1376">
        <f t="shared" si="22"/>
        <v>21688.799999999999</v>
      </c>
    </row>
    <row r="791" spans="1:6">
      <c r="A791" s="532">
        <v>8.5</v>
      </c>
      <c r="B791" s="643" t="s">
        <v>847</v>
      </c>
      <c r="C791" s="655">
        <v>1</v>
      </c>
      <c r="D791" s="534" t="s">
        <v>10</v>
      </c>
      <c r="E791" s="1305">
        <v>3360</v>
      </c>
      <c r="F791" s="1376">
        <f t="shared" si="22"/>
        <v>3360</v>
      </c>
    </row>
    <row r="792" spans="1:6">
      <c r="A792" s="532">
        <v>8.6</v>
      </c>
      <c r="B792" s="643" t="s">
        <v>848</v>
      </c>
      <c r="C792" s="655">
        <v>1</v>
      </c>
      <c r="D792" s="534" t="s">
        <v>10</v>
      </c>
      <c r="E792" s="1305">
        <v>901.6</v>
      </c>
      <c r="F792" s="1376">
        <f t="shared" si="22"/>
        <v>901.6</v>
      </c>
    </row>
    <row r="793" spans="1:6">
      <c r="A793" s="535"/>
      <c r="B793" s="643"/>
      <c r="C793" s="638"/>
      <c r="D793" s="534"/>
      <c r="E793" s="1305"/>
      <c r="F793" s="1376"/>
    </row>
    <row r="794" spans="1:6">
      <c r="A794" s="499">
        <v>9</v>
      </c>
      <c r="B794" s="637" t="s">
        <v>849</v>
      </c>
      <c r="C794" s="638"/>
      <c r="D794" s="534"/>
      <c r="E794" s="1305"/>
      <c r="F794" s="1376"/>
    </row>
    <row r="795" spans="1:6">
      <c r="A795" s="532">
        <v>9.1</v>
      </c>
      <c r="B795" s="518" t="s">
        <v>850</v>
      </c>
      <c r="C795" s="638">
        <v>2</v>
      </c>
      <c r="D795" s="534" t="s">
        <v>10</v>
      </c>
      <c r="E795" s="1305">
        <v>9800</v>
      </c>
      <c r="F795" s="1376">
        <f>ROUND(C795*E795,2)</f>
        <v>19600</v>
      </c>
    </row>
    <row r="796" spans="1:6">
      <c r="A796" s="532">
        <v>9.1999999999999993</v>
      </c>
      <c r="B796" s="518" t="s">
        <v>851</v>
      </c>
      <c r="C796" s="638">
        <v>2</v>
      </c>
      <c r="D796" s="534" t="s">
        <v>10</v>
      </c>
      <c r="E796" s="1305">
        <v>6500</v>
      </c>
      <c r="F796" s="1376">
        <f>ROUND(C796*E796,2)</f>
        <v>13000</v>
      </c>
    </row>
    <row r="797" spans="1:6">
      <c r="A797" s="532">
        <v>9.3000000000000007</v>
      </c>
      <c r="B797" s="518" t="s">
        <v>852</v>
      </c>
      <c r="C797" s="638">
        <v>4</v>
      </c>
      <c r="D797" s="534" t="s">
        <v>10</v>
      </c>
      <c r="E797" s="1305">
        <v>6500</v>
      </c>
      <c r="F797" s="1376">
        <f>ROUND(C797*E797,2)</f>
        <v>26000</v>
      </c>
    </row>
    <row r="798" spans="1:6">
      <c r="A798" s="532">
        <v>9.4</v>
      </c>
      <c r="B798" s="518" t="s">
        <v>853</v>
      </c>
      <c r="C798" s="638">
        <v>2</v>
      </c>
      <c r="D798" s="534" t="s">
        <v>10</v>
      </c>
      <c r="E798" s="1305">
        <v>6500</v>
      </c>
      <c r="F798" s="1376">
        <f>ROUND(C798*E798,2)</f>
        <v>13000</v>
      </c>
    </row>
    <row r="799" spans="1:6">
      <c r="A799" s="535"/>
      <c r="B799" s="643"/>
      <c r="C799" s="638"/>
      <c r="D799" s="534"/>
      <c r="E799" s="1305"/>
      <c r="F799" s="1376"/>
    </row>
    <row r="800" spans="1:6">
      <c r="A800" s="499">
        <v>10</v>
      </c>
      <c r="B800" s="637" t="s">
        <v>547</v>
      </c>
      <c r="C800" s="638"/>
      <c r="D800" s="534"/>
      <c r="E800" s="1305"/>
      <c r="F800" s="1376"/>
    </row>
    <row r="801" spans="1:6">
      <c r="A801" s="532">
        <v>10.1</v>
      </c>
      <c r="B801" s="643" t="s">
        <v>854</v>
      </c>
      <c r="C801" s="655">
        <v>6</v>
      </c>
      <c r="D801" s="534" t="s">
        <v>15</v>
      </c>
      <c r="E801" s="1305">
        <v>1167.68</v>
      </c>
      <c r="F801" s="1376">
        <f>ROUND(C801*E801,2)</f>
        <v>7006.08</v>
      </c>
    </row>
    <row r="802" spans="1:6">
      <c r="A802" s="532">
        <v>10.199999999999999</v>
      </c>
      <c r="B802" s="484" t="s">
        <v>809</v>
      </c>
      <c r="C802" s="655">
        <v>1.26</v>
      </c>
      <c r="D802" s="534" t="s">
        <v>300</v>
      </c>
      <c r="E802" s="1305">
        <v>8627.5</v>
      </c>
      <c r="F802" s="1376">
        <f>ROUND(C802*E802,2)</f>
        <v>10870.65</v>
      </c>
    </row>
    <row r="803" spans="1:6" ht="25.5">
      <c r="A803" s="532">
        <v>10.3</v>
      </c>
      <c r="B803" s="484" t="s">
        <v>855</v>
      </c>
      <c r="C803" s="511">
        <v>1</v>
      </c>
      <c r="D803" s="512" t="s">
        <v>10</v>
      </c>
      <c r="E803" s="1290">
        <v>6500</v>
      </c>
      <c r="F803" s="1376">
        <f>ROUND(C803*E803,2)</f>
        <v>6500</v>
      </c>
    </row>
    <row r="804" spans="1:6">
      <c r="A804" s="532">
        <v>10.4</v>
      </c>
      <c r="B804" s="484" t="s">
        <v>739</v>
      </c>
      <c r="C804" s="511">
        <v>1</v>
      </c>
      <c r="D804" s="512" t="s">
        <v>10</v>
      </c>
      <c r="E804" s="1290">
        <v>25500</v>
      </c>
      <c r="F804" s="1376">
        <f>ROUND(C804*E804,2)</f>
        <v>25500</v>
      </c>
    </row>
    <row r="805" spans="1:6">
      <c r="A805" s="543"/>
      <c r="B805" s="544" t="s">
        <v>856</v>
      </c>
      <c r="C805" s="545"/>
      <c r="D805" s="546"/>
      <c r="E805" s="1294"/>
      <c r="F805" s="1363">
        <f>SUM(F741:F804)</f>
        <v>1036802.11</v>
      </c>
    </row>
    <row r="806" spans="1:6">
      <c r="A806" s="539"/>
      <c r="B806" s="609"/>
      <c r="C806" s="597"/>
      <c r="D806" s="521"/>
      <c r="E806" s="1281"/>
      <c r="F806" s="1358"/>
    </row>
    <row r="807" spans="1:6">
      <c r="A807" s="504" t="s">
        <v>857</v>
      </c>
      <c r="B807" s="614" t="s">
        <v>858</v>
      </c>
      <c r="C807" s="597"/>
      <c r="D807" s="521"/>
      <c r="E807" s="1281"/>
      <c r="F807" s="1358"/>
    </row>
    <row r="808" spans="1:6">
      <c r="A808" s="504"/>
      <c r="B808" s="614"/>
      <c r="C808" s="597"/>
      <c r="D808" s="521"/>
      <c r="E808" s="1281"/>
      <c r="F808" s="1358"/>
    </row>
    <row r="809" spans="1:6">
      <c r="A809" s="693">
        <v>1</v>
      </c>
      <c r="B809" s="694" t="s">
        <v>859</v>
      </c>
      <c r="C809" s="695"/>
      <c r="D809" s="696"/>
      <c r="E809" s="697"/>
      <c r="F809" s="1382"/>
    </row>
    <row r="810" spans="1:6">
      <c r="A810" s="699">
        <v>1.1000000000000001</v>
      </c>
      <c r="B810" s="700" t="s">
        <v>860</v>
      </c>
      <c r="C810" s="695">
        <v>40</v>
      </c>
      <c r="D810" s="701" t="s">
        <v>10</v>
      </c>
      <c r="E810" s="702">
        <v>12000</v>
      </c>
      <c r="F810" s="1362">
        <f>C810*E810</f>
        <v>480000</v>
      </c>
    </row>
    <row r="811" spans="1:6">
      <c r="A811" s="699">
        <v>1.2</v>
      </c>
      <c r="B811" s="703" t="s">
        <v>861</v>
      </c>
      <c r="C811" s="704">
        <v>20</v>
      </c>
      <c r="D811" s="701" t="s">
        <v>10</v>
      </c>
      <c r="E811" s="697">
        <v>22000</v>
      </c>
      <c r="F811" s="1362">
        <f t="shared" ref="F811:F846" si="23">C811*E811</f>
        <v>440000</v>
      </c>
    </row>
    <row r="812" spans="1:6">
      <c r="A812" s="699">
        <v>1.3</v>
      </c>
      <c r="B812" s="700" t="s">
        <v>862</v>
      </c>
      <c r="C812" s="704">
        <v>1500</v>
      </c>
      <c r="D812" s="701" t="s">
        <v>15</v>
      </c>
      <c r="E812" s="697">
        <v>500</v>
      </c>
      <c r="F812" s="1362">
        <f t="shared" si="23"/>
        <v>750000</v>
      </c>
    </row>
    <row r="813" spans="1:6" ht="25.5">
      <c r="A813" s="699">
        <v>1.4</v>
      </c>
      <c r="B813" s="700" t="s">
        <v>863</v>
      </c>
      <c r="C813" s="704">
        <v>10</v>
      </c>
      <c r="D813" s="701" t="s">
        <v>10</v>
      </c>
      <c r="E813" s="697">
        <v>2800</v>
      </c>
      <c r="F813" s="1362">
        <f t="shared" si="23"/>
        <v>28000</v>
      </c>
    </row>
    <row r="814" spans="1:6">
      <c r="A814" s="699">
        <v>1.5</v>
      </c>
      <c r="B814" s="700" t="s">
        <v>864</v>
      </c>
      <c r="C814" s="704">
        <v>110</v>
      </c>
      <c r="D814" s="701" t="s">
        <v>10</v>
      </c>
      <c r="E814" s="697">
        <v>230.1</v>
      </c>
      <c r="F814" s="1362">
        <f t="shared" si="23"/>
        <v>25311</v>
      </c>
    </row>
    <row r="815" spans="1:6">
      <c r="A815" s="699">
        <v>1.6</v>
      </c>
      <c r="B815" s="703" t="s">
        <v>414</v>
      </c>
      <c r="C815" s="704">
        <v>20</v>
      </c>
      <c r="D815" s="701" t="s">
        <v>10</v>
      </c>
      <c r="E815" s="697">
        <v>7000</v>
      </c>
      <c r="F815" s="1362">
        <f t="shared" si="23"/>
        <v>140000</v>
      </c>
    </row>
    <row r="816" spans="1:6">
      <c r="A816" s="1225">
        <v>1.7</v>
      </c>
      <c r="B816" s="1226" t="s">
        <v>865</v>
      </c>
      <c r="C816" s="1227">
        <v>1</v>
      </c>
      <c r="D816" s="1228" t="s">
        <v>10</v>
      </c>
      <c r="E816" s="1229">
        <v>45000</v>
      </c>
      <c r="F816" s="1383">
        <f t="shared" si="23"/>
        <v>45000</v>
      </c>
    </row>
    <row r="817" spans="1:6">
      <c r="A817" s="699"/>
      <c r="B817" s="703"/>
      <c r="C817" s="704"/>
      <c r="D817" s="701"/>
      <c r="E817" s="697"/>
      <c r="F817" s="1362"/>
    </row>
    <row r="818" spans="1:6">
      <c r="A818" s="705">
        <v>2</v>
      </c>
      <c r="B818" s="706" t="s">
        <v>866</v>
      </c>
      <c r="C818" s="704"/>
      <c r="D818" s="701"/>
      <c r="E818" s="697"/>
      <c r="F818" s="1362"/>
    </row>
    <row r="819" spans="1:6">
      <c r="A819" s="707">
        <v>2.1</v>
      </c>
      <c r="B819" s="700" t="s">
        <v>867</v>
      </c>
      <c r="C819" s="704">
        <v>12</v>
      </c>
      <c r="D819" s="701" t="s">
        <v>10</v>
      </c>
      <c r="E819" s="702">
        <v>3500</v>
      </c>
      <c r="F819" s="1362">
        <f t="shared" si="23"/>
        <v>42000</v>
      </c>
    </row>
    <row r="820" spans="1:6">
      <c r="A820" s="707">
        <v>2.2000000000000002</v>
      </c>
      <c r="B820" s="700" t="s">
        <v>868</v>
      </c>
      <c r="C820" s="704">
        <v>24</v>
      </c>
      <c r="D820" s="701" t="s">
        <v>10</v>
      </c>
      <c r="E820" s="697">
        <v>2133</v>
      </c>
      <c r="F820" s="1362">
        <f t="shared" si="23"/>
        <v>51192</v>
      </c>
    </row>
    <row r="821" spans="1:6">
      <c r="A821" s="707">
        <v>2.2999999999999998</v>
      </c>
      <c r="B821" s="700" t="s">
        <v>869</v>
      </c>
      <c r="C821" s="704">
        <v>12</v>
      </c>
      <c r="D821" s="701" t="s">
        <v>10</v>
      </c>
      <c r="E821" s="697">
        <v>2690.3</v>
      </c>
      <c r="F821" s="1362">
        <f t="shared" si="23"/>
        <v>32283.599999999999</v>
      </c>
    </row>
    <row r="822" spans="1:6">
      <c r="A822" s="707">
        <v>2.4</v>
      </c>
      <c r="B822" s="700" t="s">
        <v>870</v>
      </c>
      <c r="C822" s="704">
        <v>400</v>
      </c>
      <c r="D822" s="701" t="s">
        <v>15</v>
      </c>
      <c r="E822" s="697">
        <v>350</v>
      </c>
      <c r="F822" s="1362">
        <f t="shared" si="23"/>
        <v>140000</v>
      </c>
    </row>
    <row r="823" spans="1:6">
      <c r="A823" s="707">
        <v>2.5</v>
      </c>
      <c r="B823" s="700" t="s">
        <v>864</v>
      </c>
      <c r="C823" s="704">
        <v>49</v>
      </c>
      <c r="D823" s="701" t="s">
        <v>10</v>
      </c>
      <c r="E823" s="697">
        <v>230.1</v>
      </c>
      <c r="F823" s="1362">
        <f t="shared" si="23"/>
        <v>11274.9</v>
      </c>
    </row>
    <row r="824" spans="1:6">
      <c r="A824" s="707">
        <v>2.6</v>
      </c>
      <c r="B824" s="703" t="s">
        <v>865</v>
      </c>
      <c r="C824" s="704">
        <v>1</v>
      </c>
      <c r="D824" s="701" t="s">
        <v>10</v>
      </c>
      <c r="E824" s="697">
        <v>45000</v>
      </c>
      <c r="F824" s="1362">
        <f t="shared" si="23"/>
        <v>45000</v>
      </c>
    </row>
    <row r="825" spans="1:6">
      <c r="A825" s="707"/>
      <c r="B825" s="700"/>
      <c r="C825" s="704"/>
      <c r="D825" s="701"/>
      <c r="E825" s="697"/>
      <c r="F825" s="1362"/>
    </row>
    <row r="826" spans="1:6">
      <c r="A826" s="708">
        <v>3</v>
      </c>
      <c r="B826" s="709" t="s">
        <v>871</v>
      </c>
      <c r="C826" s="704"/>
      <c r="D826" s="701"/>
      <c r="E826" s="697"/>
      <c r="F826" s="1362"/>
    </row>
    <row r="827" spans="1:6">
      <c r="A827" s="707">
        <v>3.1</v>
      </c>
      <c r="B827" s="700" t="s">
        <v>328</v>
      </c>
      <c r="C827" s="1230">
        <v>24</v>
      </c>
      <c r="D827" s="701" t="s">
        <v>10</v>
      </c>
      <c r="E827" s="697">
        <v>1907</v>
      </c>
      <c r="F827" s="1362">
        <f t="shared" si="23"/>
        <v>45768</v>
      </c>
    </row>
    <row r="828" spans="1:6">
      <c r="A828" s="707">
        <v>3.2</v>
      </c>
      <c r="B828" s="700" t="s">
        <v>872</v>
      </c>
      <c r="C828" s="1230">
        <v>11</v>
      </c>
      <c r="D828" s="701" t="s">
        <v>10</v>
      </c>
      <c r="E828" s="697">
        <v>2133</v>
      </c>
      <c r="F828" s="1362">
        <f t="shared" si="23"/>
        <v>23463</v>
      </c>
    </row>
    <row r="829" spans="1:6">
      <c r="A829" s="707">
        <v>3.3</v>
      </c>
      <c r="B829" s="710" t="s">
        <v>873</v>
      </c>
      <c r="C829" s="1230">
        <v>371.43</v>
      </c>
      <c r="D829" s="611" t="s">
        <v>15</v>
      </c>
      <c r="E829" s="697">
        <v>55</v>
      </c>
      <c r="F829" s="1362">
        <f t="shared" si="23"/>
        <v>20428.650000000001</v>
      </c>
    </row>
    <row r="830" spans="1:6">
      <c r="A830" s="707">
        <v>3.4</v>
      </c>
      <c r="B830" s="518" t="s">
        <v>874</v>
      </c>
      <c r="C830" s="1231">
        <v>4</v>
      </c>
      <c r="D830" s="701" t="s">
        <v>10</v>
      </c>
      <c r="E830" s="697">
        <v>3915</v>
      </c>
      <c r="F830" s="1362">
        <f t="shared" si="23"/>
        <v>15660</v>
      </c>
    </row>
    <row r="831" spans="1:6">
      <c r="A831" s="707">
        <v>3.5</v>
      </c>
      <c r="B831" s="710" t="s">
        <v>329</v>
      </c>
      <c r="C831" s="1230">
        <v>11</v>
      </c>
      <c r="D831" s="701" t="s">
        <v>10</v>
      </c>
      <c r="E831" s="697">
        <v>1974.72</v>
      </c>
      <c r="F831" s="1362">
        <f t="shared" si="23"/>
        <v>21721.919999999998</v>
      </c>
    </row>
    <row r="832" spans="1:6">
      <c r="A832" s="707">
        <v>3.6</v>
      </c>
      <c r="B832" s="703" t="s">
        <v>865</v>
      </c>
      <c r="C832" s="1230">
        <v>1</v>
      </c>
      <c r="D832" s="701" t="s">
        <v>10</v>
      </c>
      <c r="E832" s="697">
        <v>45000</v>
      </c>
      <c r="F832" s="1362">
        <f t="shared" si="23"/>
        <v>45000</v>
      </c>
    </row>
    <row r="833" spans="1:6">
      <c r="A833" s="713"/>
      <c r="B833" s="714"/>
      <c r="C833" s="715"/>
      <c r="D833" s="716"/>
      <c r="E833" s="717"/>
      <c r="F833" s="1362"/>
    </row>
    <row r="834" spans="1:6">
      <c r="A834" s="708">
        <v>4</v>
      </c>
      <c r="B834" s="709" t="s">
        <v>875</v>
      </c>
      <c r="C834" s="704"/>
      <c r="D834" s="701"/>
      <c r="E834" s="697"/>
      <c r="F834" s="1362"/>
    </row>
    <row r="835" spans="1:6">
      <c r="A835" s="707">
        <v>4.0999999999999996</v>
      </c>
      <c r="B835" s="700" t="s">
        <v>328</v>
      </c>
      <c r="C835" s="704">
        <v>8</v>
      </c>
      <c r="D835" s="701" t="s">
        <v>10</v>
      </c>
      <c r="E835" s="697">
        <v>1907</v>
      </c>
      <c r="F835" s="1362">
        <f t="shared" si="23"/>
        <v>15256</v>
      </c>
    </row>
    <row r="836" spans="1:6">
      <c r="A836" s="707">
        <v>4.2</v>
      </c>
      <c r="B836" s="700" t="s">
        <v>872</v>
      </c>
      <c r="C836" s="704">
        <v>12</v>
      </c>
      <c r="D836" s="701" t="s">
        <v>10</v>
      </c>
      <c r="E836" s="697">
        <v>2133</v>
      </c>
      <c r="F836" s="1362">
        <f t="shared" si="23"/>
        <v>25596</v>
      </c>
    </row>
    <row r="837" spans="1:6">
      <c r="A837" s="707">
        <v>4.3</v>
      </c>
      <c r="B837" s="710" t="s">
        <v>329</v>
      </c>
      <c r="C837" s="704">
        <v>3</v>
      </c>
      <c r="D837" s="701" t="s">
        <v>10</v>
      </c>
      <c r="E837" s="697">
        <v>1974.72</v>
      </c>
      <c r="F837" s="1362">
        <f t="shared" si="23"/>
        <v>5924.16</v>
      </c>
    </row>
    <row r="838" spans="1:6">
      <c r="A838" s="707">
        <v>4.4000000000000004</v>
      </c>
      <c r="B838" s="710" t="s">
        <v>876</v>
      </c>
      <c r="C838" s="704">
        <v>1</v>
      </c>
      <c r="D838" s="701" t="s">
        <v>10</v>
      </c>
      <c r="E838" s="697">
        <v>1996</v>
      </c>
      <c r="F838" s="1362">
        <f t="shared" si="23"/>
        <v>1996</v>
      </c>
    </row>
    <row r="839" spans="1:6">
      <c r="A839" s="707">
        <v>4.5</v>
      </c>
      <c r="B839" s="710" t="s">
        <v>786</v>
      </c>
      <c r="C839" s="704">
        <v>1</v>
      </c>
      <c r="D839" s="701" t="s">
        <v>10</v>
      </c>
      <c r="E839" s="697">
        <v>1882.9</v>
      </c>
      <c r="F839" s="1362">
        <f t="shared" si="23"/>
        <v>1882.9</v>
      </c>
    </row>
    <row r="840" spans="1:6">
      <c r="A840" s="707">
        <v>4.5999999999999996</v>
      </c>
      <c r="B840" s="700" t="s">
        <v>872</v>
      </c>
      <c r="C840" s="704">
        <v>2</v>
      </c>
      <c r="D840" s="701" t="s">
        <v>10</v>
      </c>
      <c r="E840" s="697">
        <v>2133</v>
      </c>
      <c r="F840" s="1362">
        <f t="shared" si="23"/>
        <v>4266</v>
      </c>
    </row>
    <row r="841" spans="1:6">
      <c r="A841" s="707">
        <v>4.7</v>
      </c>
      <c r="B841" s="518" t="s">
        <v>877</v>
      </c>
      <c r="C841" s="712">
        <v>1</v>
      </c>
      <c r="D841" s="701" t="s">
        <v>10</v>
      </c>
      <c r="E841" s="697">
        <v>9247.83</v>
      </c>
      <c r="F841" s="1362">
        <f t="shared" si="23"/>
        <v>9247.83</v>
      </c>
    </row>
    <row r="842" spans="1:6">
      <c r="A842" s="707">
        <v>4.8</v>
      </c>
      <c r="B842" s="700" t="s">
        <v>878</v>
      </c>
      <c r="C842" s="704">
        <v>1</v>
      </c>
      <c r="D842" s="701" t="s">
        <v>10</v>
      </c>
      <c r="E842" s="697">
        <v>986.6</v>
      </c>
      <c r="F842" s="1362">
        <f t="shared" si="23"/>
        <v>986.6</v>
      </c>
    </row>
    <row r="843" spans="1:6">
      <c r="A843" s="707">
        <v>4.9000000000000004</v>
      </c>
      <c r="B843" s="700" t="s">
        <v>879</v>
      </c>
      <c r="C843" s="712">
        <v>1</v>
      </c>
      <c r="D843" s="701" t="s">
        <v>10</v>
      </c>
      <c r="E843" s="697">
        <v>1169</v>
      </c>
      <c r="F843" s="1362">
        <f t="shared" si="23"/>
        <v>1169</v>
      </c>
    </row>
    <row r="844" spans="1:6">
      <c r="A844" s="700">
        <v>4.0999999999999996</v>
      </c>
      <c r="B844" s="710" t="s">
        <v>880</v>
      </c>
      <c r="C844" s="711">
        <v>300</v>
      </c>
      <c r="D844" s="611" t="s">
        <v>15</v>
      </c>
      <c r="E844" s="697">
        <v>65</v>
      </c>
      <c r="F844" s="1362">
        <f t="shared" si="23"/>
        <v>19500</v>
      </c>
    </row>
    <row r="845" spans="1:6">
      <c r="A845" s="700">
        <v>4.1100000000000003</v>
      </c>
      <c r="B845" s="710" t="s">
        <v>873</v>
      </c>
      <c r="C845" s="711">
        <v>300</v>
      </c>
      <c r="D845" s="611" t="s">
        <v>15</v>
      </c>
      <c r="E845" s="697">
        <v>55</v>
      </c>
      <c r="F845" s="1362">
        <f t="shared" si="23"/>
        <v>16500</v>
      </c>
    </row>
    <row r="846" spans="1:6">
      <c r="A846" s="700">
        <v>4.12</v>
      </c>
      <c r="B846" s="703" t="s">
        <v>865</v>
      </c>
      <c r="C846" s="704">
        <v>1</v>
      </c>
      <c r="D846" s="701" t="s">
        <v>10</v>
      </c>
      <c r="E846" s="697">
        <v>45000</v>
      </c>
      <c r="F846" s="1362">
        <f t="shared" si="23"/>
        <v>45000</v>
      </c>
    </row>
    <row r="847" spans="1:6">
      <c r="A847" s="713"/>
      <c r="B847" s="714"/>
      <c r="C847" s="715"/>
      <c r="D847" s="716"/>
      <c r="E847" s="717"/>
      <c r="F847" s="1362"/>
    </row>
    <row r="848" spans="1:6">
      <c r="A848" s="708">
        <v>5</v>
      </c>
      <c r="B848" s="709" t="s">
        <v>883</v>
      </c>
      <c r="C848" s="715"/>
      <c r="D848" s="716"/>
      <c r="E848" s="717"/>
      <c r="F848" s="1362"/>
    </row>
    <row r="849" spans="1:6">
      <c r="A849" s="699">
        <v>5.0999999999999996</v>
      </c>
      <c r="B849" s="700" t="s">
        <v>881</v>
      </c>
      <c r="C849" s="695">
        <v>20</v>
      </c>
      <c r="D849" s="701" t="s">
        <v>10</v>
      </c>
      <c r="E849" s="702">
        <v>12000</v>
      </c>
      <c r="F849" s="1362">
        <f t="shared" ref="F849:F854" si="24">C849*E849</f>
        <v>240000</v>
      </c>
    </row>
    <row r="850" spans="1:6">
      <c r="A850" s="699">
        <v>5.2</v>
      </c>
      <c r="B850" s="703" t="s">
        <v>861</v>
      </c>
      <c r="C850" s="704">
        <v>10</v>
      </c>
      <c r="D850" s="701" t="s">
        <v>10</v>
      </c>
      <c r="E850" s="697">
        <v>22000</v>
      </c>
      <c r="F850" s="1362">
        <f t="shared" si="24"/>
        <v>220000</v>
      </c>
    </row>
    <row r="851" spans="1:6">
      <c r="A851" s="699">
        <v>5.3</v>
      </c>
      <c r="B851" s="700" t="s">
        <v>882</v>
      </c>
      <c r="C851" s="704">
        <v>950</v>
      </c>
      <c r="D851" s="701" t="s">
        <v>15</v>
      </c>
      <c r="E851" s="697">
        <v>500</v>
      </c>
      <c r="F851" s="1362">
        <f t="shared" si="24"/>
        <v>475000</v>
      </c>
    </row>
    <row r="852" spans="1:6">
      <c r="A852" s="699">
        <v>5.4</v>
      </c>
      <c r="B852" s="700" t="s">
        <v>864</v>
      </c>
      <c r="C852" s="704">
        <v>90</v>
      </c>
      <c r="D852" s="701" t="s">
        <v>10</v>
      </c>
      <c r="E852" s="697">
        <v>230.1</v>
      </c>
      <c r="F852" s="1362">
        <f t="shared" si="24"/>
        <v>20709</v>
      </c>
    </row>
    <row r="853" spans="1:6">
      <c r="A853" s="699">
        <v>5.5</v>
      </c>
      <c r="B853" s="703" t="s">
        <v>414</v>
      </c>
      <c r="C853" s="704">
        <v>10</v>
      </c>
      <c r="D853" s="701" t="s">
        <v>10</v>
      </c>
      <c r="E853" s="697">
        <v>7000</v>
      </c>
      <c r="F853" s="1362">
        <f t="shared" si="24"/>
        <v>70000</v>
      </c>
    </row>
    <row r="854" spans="1:6">
      <c r="A854" s="699">
        <v>5.6</v>
      </c>
      <c r="B854" s="703" t="s">
        <v>865</v>
      </c>
      <c r="C854" s="704">
        <v>1</v>
      </c>
      <c r="D854" s="701" t="s">
        <v>10</v>
      </c>
      <c r="E854" s="697">
        <v>45000</v>
      </c>
      <c r="F854" s="1362">
        <f t="shared" si="24"/>
        <v>45000</v>
      </c>
    </row>
    <row r="855" spans="1:6">
      <c r="A855" s="699"/>
      <c r="B855" s="703"/>
      <c r="C855" s="704"/>
      <c r="D855" s="701"/>
      <c r="E855" s="697"/>
      <c r="F855" s="1362"/>
    </row>
    <row r="856" spans="1:6">
      <c r="A856" s="838"/>
      <c r="B856" s="839" t="s">
        <v>884</v>
      </c>
      <c r="C856" s="840"/>
      <c r="D856" s="841"/>
      <c r="E856" s="1282"/>
      <c r="F856" s="1384">
        <f>SUM(F810:F855)</f>
        <v>3620136.56</v>
      </c>
    </row>
    <row r="857" spans="1:6">
      <c r="A857" s="583"/>
      <c r="B857" s="500"/>
      <c r="C857" s="584"/>
      <c r="D857" s="585"/>
      <c r="E857" s="1298"/>
      <c r="F857" s="1367"/>
    </row>
    <row r="858" spans="1:6">
      <c r="A858" s="838"/>
      <c r="B858" s="839" t="s">
        <v>885</v>
      </c>
      <c r="C858" s="840"/>
      <c r="D858" s="841"/>
      <c r="E858" s="1282"/>
      <c r="F858" s="1384">
        <f>F168+F248+F323+F363+F506+F576+F668+F736+F805+F856</f>
        <v>60434996.490000002</v>
      </c>
    </row>
    <row r="859" spans="1:6">
      <c r="A859" s="493"/>
      <c r="B859" s="478"/>
      <c r="C859" s="494"/>
      <c r="D859" s="495"/>
      <c r="E859" s="496"/>
      <c r="F859" s="1385"/>
    </row>
    <row r="860" spans="1:6">
      <c r="A860" s="503" t="s">
        <v>71</v>
      </c>
      <c r="B860" s="497" t="s">
        <v>157</v>
      </c>
      <c r="C860" s="718"/>
      <c r="D860" s="482"/>
      <c r="E860" s="1322"/>
      <c r="F860" s="1385"/>
    </row>
    <row r="861" spans="1:6" ht="38.25">
      <c r="A861" s="720">
        <v>1</v>
      </c>
      <c r="B861" s="480" t="s">
        <v>886</v>
      </c>
      <c r="C861" s="718">
        <v>4</v>
      </c>
      <c r="D861" s="495" t="s">
        <v>10</v>
      </c>
      <c r="E861" s="1322">
        <v>93000</v>
      </c>
      <c r="F861" s="1385">
        <f t="shared" ref="F861:F863" si="25">C861*E861</f>
        <v>372000</v>
      </c>
    </row>
    <row r="862" spans="1:6" ht="25.5">
      <c r="A862" s="721">
        <v>2</v>
      </c>
      <c r="B862" s="478" t="s">
        <v>887</v>
      </c>
      <c r="C862" s="474">
        <v>1</v>
      </c>
      <c r="D862" s="473" t="s">
        <v>135</v>
      </c>
      <c r="E862" s="1289">
        <v>1068295.6299999999</v>
      </c>
      <c r="F862" s="1385">
        <f t="shared" si="25"/>
        <v>1068295.6299999999</v>
      </c>
    </row>
    <row r="863" spans="1:6">
      <c r="A863" s="721">
        <v>3</v>
      </c>
      <c r="B863" s="478" t="s">
        <v>503</v>
      </c>
      <c r="C863" s="474">
        <v>1</v>
      </c>
      <c r="D863" s="473" t="s">
        <v>888</v>
      </c>
      <c r="E863" s="1289">
        <v>259302.5</v>
      </c>
      <c r="F863" s="1385">
        <f t="shared" si="25"/>
        <v>259302.5</v>
      </c>
    </row>
    <row r="864" spans="1:6">
      <c r="A864" s="838"/>
      <c r="B864" s="839" t="s">
        <v>889</v>
      </c>
      <c r="C864" s="840"/>
      <c r="D864" s="841"/>
      <c r="E864" s="1282"/>
      <c r="F864" s="1384">
        <f>SUM(F860:F863)</f>
        <v>1699598.13</v>
      </c>
    </row>
    <row r="865" spans="1:6">
      <c r="A865" s="734"/>
      <c r="B865" s="504"/>
      <c r="C865" s="506"/>
      <c r="D865" s="611"/>
      <c r="E865" s="717"/>
      <c r="F865" s="1386"/>
    </row>
    <row r="866" spans="1:6">
      <c r="A866" s="728"/>
      <c r="B866" s="729" t="s">
        <v>1778</v>
      </c>
      <c r="C866" s="730"/>
      <c r="D866" s="731"/>
      <c r="E866" s="1323"/>
      <c r="F866" s="1387">
        <f>F864+F858+F65+F48+F102</f>
        <v>217115499.74000001</v>
      </c>
    </row>
    <row r="867" spans="1:6">
      <c r="A867" s="1189"/>
      <c r="B867" s="1265"/>
      <c r="C867" s="1266"/>
      <c r="D867" s="1267"/>
      <c r="E867" s="1324"/>
      <c r="F867" s="1388"/>
    </row>
    <row r="868" spans="1:6">
      <c r="A868" s="1442" t="s">
        <v>1777</v>
      </c>
      <c r="B868" s="1443"/>
      <c r="C868" s="1443"/>
      <c r="D868" s="1443"/>
      <c r="E868" s="1443"/>
      <c r="F868" s="1444"/>
    </row>
    <row r="869" spans="1:6">
      <c r="A869" s="468" t="s">
        <v>354</v>
      </c>
      <c r="B869" s="469" t="s">
        <v>355</v>
      </c>
      <c r="C869" s="470" t="s">
        <v>297</v>
      </c>
      <c r="D869" s="469" t="s">
        <v>38</v>
      </c>
      <c r="E869" s="1272" t="s">
        <v>356</v>
      </c>
      <c r="F869" s="1346" t="s">
        <v>357</v>
      </c>
    </row>
    <row r="870" spans="1:6">
      <c r="A870" s="820"/>
      <c r="B870" s="821"/>
      <c r="C870" s="822"/>
      <c r="D870" s="821"/>
      <c r="E870" s="1273"/>
      <c r="F870" s="1347"/>
    </row>
    <row r="871" spans="1:6">
      <c r="A871" s="797" t="s">
        <v>13</v>
      </c>
      <c r="B871" s="514" t="s">
        <v>358</v>
      </c>
      <c r="C871" s="506"/>
      <c r="D871" s="611"/>
      <c r="E871" s="520"/>
      <c r="F871" s="1348"/>
    </row>
    <row r="872" spans="1:6">
      <c r="A872" s="797"/>
      <c r="B872" s="514"/>
      <c r="C872" s="506"/>
      <c r="D872" s="611"/>
      <c r="E872" s="542"/>
      <c r="F872" s="1348"/>
    </row>
    <row r="873" spans="1:6">
      <c r="A873" s="668">
        <v>1</v>
      </c>
      <c r="B873" s="514" t="s">
        <v>359</v>
      </c>
      <c r="C873" s="736">
        <v>15</v>
      </c>
      <c r="D873" s="794" t="s">
        <v>360</v>
      </c>
      <c r="E873" s="542">
        <v>956.31</v>
      </c>
      <c r="F873" s="1349">
        <f>+ROUND(E873*C873,2)</f>
        <v>14344.65</v>
      </c>
    </row>
    <row r="874" spans="1:6">
      <c r="A874" s="734"/>
      <c r="B874" s="518"/>
      <c r="C874" s="506"/>
      <c r="D874" s="611"/>
      <c r="E874" s="542"/>
      <c r="F874" s="1349"/>
    </row>
    <row r="875" spans="1:6">
      <c r="A875" s="823" t="s">
        <v>361</v>
      </c>
      <c r="B875" s="514" t="s">
        <v>296</v>
      </c>
      <c r="C875" s="506"/>
      <c r="D875" s="611"/>
      <c r="E875" s="542"/>
      <c r="F875" s="1349"/>
    </row>
    <row r="876" spans="1:6">
      <c r="A876" s="734" t="s">
        <v>362</v>
      </c>
      <c r="B876" s="518" t="s">
        <v>363</v>
      </c>
      <c r="C876" s="506">
        <v>5284.8</v>
      </c>
      <c r="D876" s="790" t="s">
        <v>364</v>
      </c>
      <c r="E876" s="542">
        <v>13.43</v>
      </c>
      <c r="F876" s="1349">
        <f t="shared" ref="F876:F879" si="26">+ROUND(E876*C876,2)</f>
        <v>70974.86</v>
      </c>
    </row>
    <row r="877" spans="1:6">
      <c r="A877" s="734" t="s">
        <v>365</v>
      </c>
      <c r="B877" s="710" t="s">
        <v>366</v>
      </c>
      <c r="C877" s="506">
        <v>6341.76</v>
      </c>
      <c r="D877" s="790" t="s">
        <v>367</v>
      </c>
      <c r="E877" s="542">
        <v>235.35</v>
      </c>
      <c r="F877" s="1349">
        <f t="shared" si="26"/>
        <v>1492533.22</v>
      </c>
    </row>
    <row r="878" spans="1:6">
      <c r="A878" s="734" t="s">
        <v>372</v>
      </c>
      <c r="B878" s="518" t="s">
        <v>373</v>
      </c>
      <c r="C878" s="610">
        <v>24864</v>
      </c>
      <c r="D878" s="657" t="s">
        <v>300</v>
      </c>
      <c r="E878" s="542">
        <v>0.24</v>
      </c>
      <c r="F878" s="1349">
        <f t="shared" si="26"/>
        <v>5967.36</v>
      </c>
    </row>
    <row r="879" spans="1:6">
      <c r="A879" s="734" t="s">
        <v>374</v>
      </c>
      <c r="B879" s="518" t="s">
        <v>375</v>
      </c>
      <c r="C879" s="610">
        <v>24864</v>
      </c>
      <c r="D879" s="657" t="s">
        <v>300</v>
      </c>
      <c r="E879" s="542">
        <v>267.36</v>
      </c>
      <c r="F879" s="1349">
        <f t="shared" si="26"/>
        <v>6647639.04</v>
      </c>
    </row>
    <row r="880" spans="1:6">
      <c r="A880" s="734" t="s">
        <v>376</v>
      </c>
      <c r="B880" s="518" t="s">
        <v>377</v>
      </c>
      <c r="C880" s="519">
        <v>37296</v>
      </c>
      <c r="D880" s="825" t="s">
        <v>378</v>
      </c>
      <c r="E880" s="542">
        <v>0.01</v>
      </c>
      <c r="F880" s="1349">
        <f>+ROUND(E880*C880,2)</f>
        <v>372.96</v>
      </c>
    </row>
    <row r="881" spans="1:6">
      <c r="A881" s="734"/>
      <c r="B881" s="518"/>
      <c r="C881" s="506"/>
      <c r="D881" s="611"/>
      <c r="E881" s="542"/>
      <c r="F881" s="1349"/>
    </row>
    <row r="882" spans="1:6">
      <c r="A882" s="823" t="s">
        <v>379</v>
      </c>
      <c r="B882" s="514" t="s">
        <v>380</v>
      </c>
      <c r="C882" s="506"/>
      <c r="D882" s="611"/>
      <c r="E882" s="542"/>
      <c r="F882" s="1349"/>
    </row>
    <row r="883" spans="1:6">
      <c r="A883" s="734" t="s">
        <v>381</v>
      </c>
      <c r="B883" s="526" t="s">
        <v>382</v>
      </c>
      <c r="C883" s="610">
        <v>9712.18</v>
      </c>
      <c r="D883" s="657" t="s">
        <v>300</v>
      </c>
      <c r="E883" s="542">
        <v>337.15</v>
      </c>
      <c r="F883" s="1349">
        <f>+ROUND(E883*C883,2)</f>
        <v>3274461.49</v>
      </c>
    </row>
    <row r="884" spans="1:6">
      <c r="A884" s="734" t="s">
        <v>383</v>
      </c>
      <c r="B884" s="526" t="s">
        <v>384</v>
      </c>
      <c r="C884" s="610">
        <v>7769.74</v>
      </c>
      <c r="D884" s="657" t="s">
        <v>15</v>
      </c>
      <c r="E884" s="542">
        <v>334.33</v>
      </c>
      <c r="F884" s="1349">
        <f>+ROUND(E884*C884,2)</f>
        <v>2597657.17</v>
      </c>
    </row>
    <row r="885" spans="1:6">
      <c r="A885" s="734"/>
      <c r="B885" s="518"/>
      <c r="C885" s="506"/>
      <c r="D885" s="611"/>
      <c r="E885" s="542"/>
      <c r="F885" s="1349"/>
    </row>
    <row r="886" spans="1:6">
      <c r="A886" s="823" t="s">
        <v>387</v>
      </c>
      <c r="B886" s="514" t="s">
        <v>388</v>
      </c>
      <c r="C886" s="828"/>
      <c r="D886" s="829"/>
      <c r="E886" s="542"/>
      <c r="F886" s="1349"/>
    </row>
    <row r="887" spans="1:6">
      <c r="A887" s="734" t="s">
        <v>389</v>
      </c>
      <c r="B887" s="518" t="s">
        <v>369</v>
      </c>
      <c r="C887" s="824">
        <v>2160</v>
      </c>
      <c r="D887" s="825" t="s">
        <v>298</v>
      </c>
      <c r="E887" s="542">
        <v>788.57</v>
      </c>
      <c r="F887" s="1349">
        <f t="shared" ref="F887:F893" si="27">+ROUND(E887*C887,2)</f>
        <v>1703311.2</v>
      </c>
    </row>
    <row r="888" spans="1:6">
      <c r="A888" s="734" t="s">
        <v>390</v>
      </c>
      <c r="B888" s="518" t="s">
        <v>371</v>
      </c>
      <c r="C888" s="824">
        <v>3240</v>
      </c>
      <c r="D888" s="825" t="s">
        <v>298</v>
      </c>
      <c r="E888" s="542">
        <v>723.57</v>
      </c>
      <c r="F888" s="1349">
        <f t="shared" si="27"/>
        <v>2344366.7999999998</v>
      </c>
    </row>
    <row r="889" spans="1:6">
      <c r="A889" s="734" t="s">
        <v>391</v>
      </c>
      <c r="B889" s="518" t="s">
        <v>373</v>
      </c>
      <c r="C889" s="610">
        <v>10800</v>
      </c>
      <c r="D889" s="657" t="s">
        <v>300</v>
      </c>
      <c r="E889" s="542">
        <v>0.24</v>
      </c>
      <c r="F889" s="1349">
        <f t="shared" si="27"/>
        <v>2592</v>
      </c>
    </row>
    <row r="890" spans="1:6">
      <c r="A890" s="734" t="s">
        <v>392</v>
      </c>
      <c r="B890" s="518" t="s">
        <v>393</v>
      </c>
      <c r="C890" s="610">
        <v>10800</v>
      </c>
      <c r="D890" s="657" t="s">
        <v>300</v>
      </c>
      <c r="E890" s="542">
        <v>218.6</v>
      </c>
      <c r="F890" s="1349">
        <f t="shared" si="27"/>
        <v>2360880</v>
      </c>
    </row>
    <row r="891" spans="1:6">
      <c r="A891" s="734" t="s">
        <v>394</v>
      </c>
      <c r="B891" s="518" t="s">
        <v>377</v>
      </c>
      <c r="C891" s="519">
        <v>10800</v>
      </c>
      <c r="D891" s="825" t="s">
        <v>378</v>
      </c>
      <c r="E891" s="542">
        <v>0.01</v>
      </c>
      <c r="F891" s="1349">
        <f t="shared" si="27"/>
        <v>108</v>
      </c>
    </row>
    <row r="892" spans="1:6">
      <c r="A892" s="734" t="s">
        <v>395</v>
      </c>
      <c r="B892" s="526" t="s">
        <v>396</v>
      </c>
      <c r="C892" s="610">
        <v>8640</v>
      </c>
      <c r="D892" s="657" t="s">
        <v>300</v>
      </c>
      <c r="E892" s="542">
        <v>368.05</v>
      </c>
      <c r="F892" s="1349">
        <f t="shared" si="27"/>
        <v>3179952</v>
      </c>
    </row>
    <row r="893" spans="1:6">
      <c r="A893" s="734" t="s">
        <v>397</v>
      </c>
      <c r="B893" s="526" t="s">
        <v>384</v>
      </c>
      <c r="C893" s="610">
        <v>7200</v>
      </c>
      <c r="D893" s="657" t="s">
        <v>15</v>
      </c>
      <c r="E893" s="542">
        <v>334.33</v>
      </c>
      <c r="F893" s="1349">
        <f t="shared" si="27"/>
        <v>2407176</v>
      </c>
    </row>
    <row r="894" spans="1:6">
      <c r="A894" s="734"/>
      <c r="B894" s="518"/>
      <c r="C894" s="506"/>
      <c r="D894" s="611"/>
      <c r="E894" s="542"/>
      <c r="F894" s="1349"/>
    </row>
    <row r="895" spans="1:6">
      <c r="A895" s="831">
        <v>7</v>
      </c>
      <c r="B895" s="526" t="s">
        <v>400</v>
      </c>
      <c r="C895" s="610">
        <v>3800</v>
      </c>
      <c r="D895" s="657" t="s">
        <v>15</v>
      </c>
      <c r="E895" s="542">
        <v>20.13</v>
      </c>
      <c r="F895" s="1349">
        <f>+ROUND(E895*C895,2)</f>
        <v>76494</v>
      </c>
    </row>
    <row r="896" spans="1:6">
      <c r="A896" s="734"/>
      <c r="B896" s="504" t="s">
        <v>44</v>
      </c>
      <c r="C896" s="506"/>
      <c r="D896" s="611"/>
      <c r="E896" s="542"/>
      <c r="F896" s="1389">
        <f>SUM(F873:F895)</f>
        <v>26178830.75</v>
      </c>
    </row>
    <row r="897" spans="1:6">
      <c r="A897" s="734"/>
      <c r="B897" s="518"/>
      <c r="C897" s="506"/>
      <c r="D897" s="611"/>
      <c r="E897" s="542"/>
      <c r="F897" s="1348"/>
    </row>
    <row r="898" spans="1:6" ht="25.5">
      <c r="A898" s="810" t="s">
        <v>45</v>
      </c>
      <c r="B898" s="514" t="s">
        <v>401</v>
      </c>
      <c r="C898" s="736"/>
      <c r="D898" s="811"/>
      <c r="E898" s="542"/>
      <c r="F898" s="1351"/>
    </row>
    <row r="899" spans="1:6">
      <c r="A899" s="812">
        <v>1</v>
      </c>
      <c r="B899" s="813" t="s">
        <v>402</v>
      </c>
      <c r="C899" s="814"/>
      <c r="D899" s="815"/>
      <c r="E899" s="542"/>
      <c r="F899" s="1352"/>
    </row>
    <row r="900" spans="1:6">
      <c r="A900" s="818">
        <v>1.1000000000000001</v>
      </c>
      <c r="B900" s="526" t="s">
        <v>403</v>
      </c>
      <c r="C900" s="610">
        <v>10</v>
      </c>
      <c r="D900" s="657" t="s">
        <v>10</v>
      </c>
      <c r="E900" s="542">
        <v>11033</v>
      </c>
      <c r="F900" s="1349">
        <f t="shared" ref="F900:F906" si="28">+ROUND(E900*C900,2)</f>
        <v>110330</v>
      </c>
    </row>
    <row r="901" spans="1:6">
      <c r="A901" s="818">
        <v>1.2</v>
      </c>
      <c r="B901" s="526" t="s">
        <v>404</v>
      </c>
      <c r="C901" s="610">
        <v>174</v>
      </c>
      <c r="D901" s="657" t="s">
        <v>10</v>
      </c>
      <c r="E901" s="542">
        <v>6541.9</v>
      </c>
      <c r="F901" s="1349">
        <f t="shared" si="28"/>
        <v>1138290.6000000001</v>
      </c>
    </row>
    <row r="902" spans="1:6">
      <c r="A902" s="818">
        <v>1.3</v>
      </c>
      <c r="B902" s="526" t="s">
        <v>405</v>
      </c>
      <c r="C902" s="610">
        <v>3300</v>
      </c>
      <c r="D902" s="657" t="s">
        <v>406</v>
      </c>
      <c r="E902" s="542">
        <v>160.56</v>
      </c>
      <c r="F902" s="1349">
        <f t="shared" si="28"/>
        <v>529848</v>
      </c>
    </row>
    <row r="903" spans="1:6">
      <c r="A903" s="818">
        <v>1.4</v>
      </c>
      <c r="B903" s="526" t="s">
        <v>407</v>
      </c>
      <c r="C903" s="610">
        <v>10</v>
      </c>
      <c r="D903" s="657" t="s">
        <v>10</v>
      </c>
      <c r="E903" s="542">
        <v>400</v>
      </c>
      <c r="F903" s="1349">
        <f t="shared" si="28"/>
        <v>4000</v>
      </c>
    </row>
    <row r="904" spans="1:6">
      <c r="A904" s="818">
        <v>1.5</v>
      </c>
      <c r="B904" s="526" t="s">
        <v>408</v>
      </c>
      <c r="C904" s="610">
        <v>100</v>
      </c>
      <c r="D904" s="657" t="s">
        <v>10</v>
      </c>
      <c r="E904" s="542">
        <v>1449.75</v>
      </c>
      <c r="F904" s="1349">
        <f t="shared" si="28"/>
        <v>144975</v>
      </c>
    </row>
    <row r="905" spans="1:6">
      <c r="A905" s="818">
        <v>1.6</v>
      </c>
      <c r="B905" s="526" t="s">
        <v>409</v>
      </c>
      <c r="C905" s="610">
        <v>84</v>
      </c>
      <c r="D905" s="657" t="s">
        <v>10</v>
      </c>
      <c r="E905" s="542">
        <v>1524.5</v>
      </c>
      <c r="F905" s="1353">
        <f t="shared" si="28"/>
        <v>128058</v>
      </c>
    </row>
    <row r="906" spans="1:6">
      <c r="A906" s="819">
        <v>1.1299999999999999</v>
      </c>
      <c r="B906" s="526" t="s">
        <v>416</v>
      </c>
      <c r="C906" s="610">
        <v>1</v>
      </c>
      <c r="D906" s="657" t="s">
        <v>10</v>
      </c>
      <c r="E906" s="542">
        <v>777913.88</v>
      </c>
      <c r="F906" s="1353">
        <f t="shared" si="28"/>
        <v>777913.88</v>
      </c>
    </row>
    <row r="907" spans="1:6">
      <c r="A907" s="1113"/>
      <c r="B907" s="1114" t="s">
        <v>417</v>
      </c>
      <c r="C907" s="882"/>
      <c r="D907" s="870"/>
      <c r="E907" s="542"/>
      <c r="F907" s="1390">
        <f>SUM(F900:F906)</f>
        <v>2833415.48</v>
      </c>
    </row>
    <row r="908" spans="1:6">
      <c r="A908" s="783"/>
      <c r="B908" s="518"/>
      <c r="C908" s="784"/>
      <c r="D908" s="785"/>
      <c r="E908" s="542"/>
      <c r="F908" s="1354"/>
    </row>
    <row r="909" spans="1:6" ht="76.5">
      <c r="A909" s="787" t="s">
        <v>53</v>
      </c>
      <c r="B909" s="788" t="s">
        <v>418</v>
      </c>
      <c r="C909" s="789"/>
      <c r="D909" s="790"/>
      <c r="E909" s="542"/>
      <c r="F909" s="1354"/>
    </row>
    <row r="910" spans="1:6">
      <c r="A910" s="787"/>
      <c r="B910" s="788"/>
      <c r="C910" s="789"/>
      <c r="D910" s="790"/>
      <c r="E910" s="542"/>
      <c r="F910" s="1354"/>
    </row>
    <row r="911" spans="1:6">
      <c r="A911" s="787" t="s">
        <v>93</v>
      </c>
      <c r="B911" s="788" t="s">
        <v>419</v>
      </c>
      <c r="C911" s="789"/>
      <c r="D911" s="790"/>
      <c r="E911" s="542"/>
      <c r="F911" s="1354"/>
    </row>
    <row r="912" spans="1:6">
      <c r="A912" s="524">
        <v>1</v>
      </c>
      <c r="B912" s="709" t="s">
        <v>420</v>
      </c>
      <c r="C912" s="791"/>
      <c r="D912" s="792"/>
      <c r="E912" s="542"/>
      <c r="F912" s="1355"/>
    </row>
    <row r="913" spans="1:6">
      <c r="A913" s="734">
        <v>1.1000000000000001</v>
      </c>
      <c r="B913" s="518" t="s">
        <v>421</v>
      </c>
      <c r="C913" s="736">
        <v>250</v>
      </c>
      <c r="D913" s="794" t="s">
        <v>15</v>
      </c>
      <c r="E913" s="542">
        <v>109.21</v>
      </c>
      <c r="F913" s="1349">
        <f t="shared" ref="F913:F942" si="29">+ROUND(E913*C913,2)</f>
        <v>27302.5</v>
      </c>
    </row>
    <row r="914" spans="1:6">
      <c r="A914" s="675"/>
      <c r="B914" s="514"/>
      <c r="C914" s="736"/>
      <c r="D914" s="794"/>
      <c r="E914" s="542"/>
      <c r="F914" s="1349"/>
    </row>
    <row r="915" spans="1:6">
      <c r="A915" s="513">
        <v>2</v>
      </c>
      <c r="B915" s="514" t="s">
        <v>422</v>
      </c>
      <c r="C915" s="519"/>
      <c r="D915" s="611"/>
      <c r="E915" s="542"/>
      <c r="F915" s="1349"/>
    </row>
    <row r="916" spans="1:6" ht="14.25">
      <c r="A916" s="734">
        <v>2.1</v>
      </c>
      <c r="B916" s="518" t="s">
        <v>423</v>
      </c>
      <c r="C916" s="506">
        <v>1687.5</v>
      </c>
      <c r="D916" s="611" t="s">
        <v>424</v>
      </c>
      <c r="E916" s="542">
        <v>13.43</v>
      </c>
      <c r="F916" s="1349">
        <f t="shared" si="29"/>
        <v>22663.13</v>
      </c>
    </row>
    <row r="917" spans="1:6">
      <c r="A917" s="734">
        <v>2.2000000000000002</v>
      </c>
      <c r="B917" s="710" t="s">
        <v>425</v>
      </c>
      <c r="C917" s="506">
        <v>750</v>
      </c>
      <c r="D917" s="611" t="s">
        <v>426</v>
      </c>
      <c r="E917" s="542">
        <v>22</v>
      </c>
      <c r="F917" s="1349">
        <f t="shared" si="29"/>
        <v>16500</v>
      </c>
    </row>
    <row r="918" spans="1:6">
      <c r="A918" s="734">
        <v>2.2999999999999998</v>
      </c>
      <c r="B918" s="518" t="s">
        <v>427</v>
      </c>
      <c r="C918" s="506">
        <v>150</v>
      </c>
      <c r="D918" s="611" t="s">
        <v>426</v>
      </c>
      <c r="E918" s="542">
        <v>0</v>
      </c>
      <c r="F918" s="1349">
        <f t="shared" si="29"/>
        <v>0</v>
      </c>
    </row>
    <row r="919" spans="1:6">
      <c r="A919" s="734" t="s">
        <v>370</v>
      </c>
      <c r="B919" s="518" t="s">
        <v>428</v>
      </c>
      <c r="C919" s="506">
        <v>142.5</v>
      </c>
      <c r="D919" s="611" t="s">
        <v>426</v>
      </c>
      <c r="E919" s="542">
        <v>21.42</v>
      </c>
      <c r="F919" s="1349">
        <f t="shared" si="29"/>
        <v>3052.35</v>
      </c>
    </row>
    <row r="920" spans="1:6">
      <c r="A920" s="517"/>
      <c r="B920" s="518"/>
      <c r="C920" s="519"/>
      <c r="D920" s="611"/>
      <c r="E920" s="542"/>
      <c r="F920" s="1349"/>
    </row>
    <row r="921" spans="1:6">
      <c r="A921" s="653">
        <v>3</v>
      </c>
      <c r="B921" s="514" t="s">
        <v>430</v>
      </c>
      <c r="C921" s="519"/>
      <c r="D921" s="611"/>
      <c r="E921" s="542"/>
      <c r="F921" s="1349"/>
    </row>
    <row r="922" spans="1:6">
      <c r="A922" s="734">
        <v>3.1</v>
      </c>
      <c r="B922" s="710" t="s">
        <v>431</v>
      </c>
      <c r="C922" s="506">
        <v>1750</v>
      </c>
      <c r="D922" s="611" t="s">
        <v>300</v>
      </c>
      <c r="E922" s="542">
        <v>346.99</v>
      </c>
      <c r="F922" s="1349">
        <f t="shared" si="29"/>
        <v>607232.5</v>
      </c>
    </row>
    <row r="923" spans="1:6">
      <c r="A923" s="734"/>
      <c r="B923" s="504"/>
      <c r="C923" s="506"/>
      <c r="D923" s="611"/>
      <c r="E923" s="542"/>
      <c r="F923" s="1349"/>
    </row>
    <row r="924" spans="1:6">
      <c r="A924" s="797" t="s">
        <v>432</v>
      </c>
      <c r="B924" s="788" t="s">
        <v>433</v>
      </c>
      <c r="C924" s="506"/>
      <c r="D924" s="611"/>
      <c r="E924" s="542"/>
      <c r="F924" s="1349"/>
    </row>
    <row r="925" spans="1:6">
      <c r="A925" s="734"/>
      <c r="B925" s="788"/>
      <c r="C925" s="506"/>
      <c r="D925" s="611"/>
      <c r="E925" s="542"/>
      <c r="F925" s="1349"/>
    </row>
    <row r="926" spans="1:6">
      <c r="A926" s="524">
        <v>1</v>
      </c>
      <c r="B926" s="709" t="s">
        <v>420</v>
      </c>
      <c r="C926" s="791"/>
      <c r="D926" s="792"/>
      <c r="E926" s="542"/>
      <c r="F926" s="1349"/>
    </row>
    <row r="927" spans="1:6">
      <c r="A927" s="798" t="s">
        <v>434</v>
      </c>
      <c r="B927" s="799" t="s">
        <v>435</v>
      </c>
      <c r="C927" s="784">
        <v>200</v>
      </c>
      <c r="D927" s="785" t="s">
        <v>15</v>
      </c>
      <c r="E927" s="542">
        <v>109.21</v>
      </c>
      <c r="F927" s="1349">
        <f t="shared" si="29"/>
        <v>21842</v>
      </c>
    </row>
    <row r="928" spans="1:6">
      <c r="A928" s="798"/>
      <c r="B928" s="799"/>
      <c r="C928" s="784"/>
      <c r="D928" s="785"/>
      <c r="E928" s="542"/>
      <c r="F928" s="1349"/>
    </row>
    <row r="929" spans="1:6">
      <c r="A929" s="800">
        <v>2</v>
      </c>
      <c r="B929" s="801" t="s">
        <v>296</v>
      </c>
      <c r="C929" s="784"/>
      <c r="D929" s="785"/>
      <c r="E929" s="542"/>
      <c r="F929" s="1349"/>
    </row>
    <row r="930" spans="1:6">
      <c r="A930" s="802" t="s">
        <v>362</v>
      </c>
      <c r="B930" s="519" t="s">
        <v>436</v>
      </c>
      <c r="C930" s="803">
        <v>595.20000000000005</v>
      </c>
      <c r="D930" s="804" t="s">
        <v>364</v>
      </c>
      <c r="E930" s="542">
        <v>13.43</v>
      </c>
      <c r="F930" s="1349">
        <f t="shared" si="29"/>
        <v>7993.54</v>
      </c>
    </row>
    <row r="931" spans="1:6">
      <c r="A931" s="802" t="s">
        <v>365</v>
      </c>
      <c r="B931" s="519" t="s">
        <v>437</v>
      </c>
      <c r="C931" s="803">
        <v>148.80000000000001</v>
      </c>
      <c r="D931" s="804" t="s">
        <v>364</v>
      </c>
      <c r="E931" s="542">
        <v>23.51</v>
      </c>
      <c r="F931" s="1349">
        <f t="shared" si="29"/>
        <v>3498.29</v>
      </c>
    </row>
    <row r="932" spans="1:6" ht="14.25">
      <c r="A932" s="802" t="s">
        <v>368</v>
      </c>
      <c r="B932" s="806" t="s">
        <v>438</v>
      </c>
      <c r="C932" s="803">
        <v>220</v>
      </c>
      <c r="D932" s="611" t="s">
        <v>439</v>
      </c>
      <c r="E932" s="542">
        <v>147.46</v>
      </c>
      <c r="F932" s="1349">
        <f t="shared" si="29"/>
        <v>32441.200000000001</v>
      </c>
    </row>
    <row r="933" spans="1:6">
      <c r="A933" s="802" t="s">
        <v>370</v>
      </c>
      <c r="B933" s="518" t="s">
        <v>440</v>
      </c>
      <c r="C933" s="784">
        <v>582.07000000000005</v>
      </c>
      <c r="D933" s="785" t="s">
        <v>426</v>
      </c>
      <c r="E933" s="542">
        <v>56.11</v>
      </c>
      <c r="F933" s="1349">
        <f t="shared" si="29"/>
        <v>32659.95</v>
      </c>
    </row>
    <row r="934" spans="1:6">
      <c r="A934" s="802" t="s">
        <v>372</v>
      </c>
      <c r="B934" s="518" t="s">
        <v>441</v>
      </c>
      <c r="C934" s="784">
        <v>194.32</v>
      </c>
      <c r="D934" s="785" t="s">
        <v>367</v>
      </c>
      <c r="E934" s="542">
        <v>235.35</v>
      </c>
      <c r="F934" s="1349">
        <f t="shared" si="29"/>
        <v>45733.21</v>
      </c>
    </row>
    <row r="935" spans="1:6">
      <c r="A935" s="879"/>
      <c r="B935" s="880"/>
      <c r="C935" s="784"/>
      <c r="D935" s="785"/>
      <c r="E935" s="542"/>
      <c r="F935" s="1349"/>
    </row>
    <row r="936" spans="1:6">
      <c r="A936" s="800">
        <v>3</v>
      </c>
      <c r="B936" s="801" t="s">
        <v>442</v>
      </c>
      <c r="C936" s="784"/>
      <c r="D936" s="785"/>
      <c r="E936" s="542"/>
      <c r="F936" s="1353"/>
    </row>
    <row r="937" spans="1:6">
      <c r="A937" s="802" t="s">
        <v>381</v>
      </c>
      <c r="B937" s="799" t="s">
        <v>443</v>
      </c>
      <c r="C937" s="784">
        <v>200</v>
      </c>
      <c r="D937" s="785" t="s">
        <v>10</v>
      </c>
      <c r="E937" s="542">
        <v>7500</v>
      </c>
      <c r="F937" s="1353">
        <f t="shared" si="29"/>
        <v>1500000</v>
      </c>
    </row>
    <row r="938" spans="1:6">
      <c r="A938" s="809"/>
      <c r="B938" s="799"/>
      <c r="C938" s="784"/>
      <c r="D938" s="785"/>
      <c r="E938" s="542"/>
      <c r="F938" s="1353"/>
    </row>
    <row r="939" spans="1:6">
      <c r="A939" s="800">
        <v>4</v>
      </c>
      <c r="B939" s="801" t="s">
        <v>444</v>
      </c>
      <c r="C939" s="784"/>
      <c r="D939" s="785"/>
      <c r="E939" s="542"/>
      <c r="F939" s="1353"/>
    </row>
    <row r="940" spans="1:6">
      <c r="A940" s="802" t="s">
        <v>390</v>
      </c>
      <c r="B940" s="799" t="s">
        <v>443</v>
      </c>
      <c r="C940" s="784">
        <v>200</v>
      </c>
      <c r="D940" s="785" t="s">
        <v>15</v>
      </c>
      <c r="E940" s="542">
        <v>249.97</v>
      </c>
      <c r="F940" s="1353">
        <f t="shared" si="29"/>
        <v>49994</v>
      </c>
    </row>
    <row r="941" spans="1:6">
      <c r="A941" s="802"/>
      <c r="B941" s="799"/>
      <c r="C941" s="784"/>
      <c r="D941" s="785"/>
      <c r="E941" s="542"/>
      <c r="F941" s="1353"/>
    </row>
    <row r="942" spans="1:6">
      <c r="A942" s="800">
        <v>5</v>
      </c>
      <c r="B942" s="801" t="s">
        <v>445</v>
      </c>
      <c r="C942" s="784">
        <v>12</v>
      </c>
      <c r="D942" s="785" t="s">
        <v>10</v>
      </c>
      <c r="E942" s="542">
        <v>1656.93</v>
      </c>
      <c r="F942" s="1353">
        <f t="shared" si="29"/>
        <v>19883.16</v>
      </c>
    </row>
    <row r="943" spans="1:6">
      <c r="A943" s="734"/>
      <c r="B943" s="504" t="s">
        <v>58</v>
      </c>
      <c r="C943" s="506"/>
      <c r="D943" s="611"/>
      <c r="E943" s="542"/>
      <c r="F943" s="1389">
        <f>SUM(F913:F942)</f>
        <v>2390795.83</v>
      </c>
    </row>
    <row r="944" spans="1:6">
      <c r="A944" s="734"/>
      <c r="B944" s="504"/>
      <c r="C944" s="506"/>
      <c r="D944" s="611"/>
      <c r="E944" s="542"/>
      <c r="F944" s="1389"/>
    </row>
    <row r="945" spans="1:6" ht="25.5">
      <c r="A945" s="836" t="s">
        <v>59</v>
      </c>
      <c r="B945" s="774" t="s">
        <v>446</v>
      </c>
      <c r="C945" s="784"/>
      <c r="D945" s="785"/>
      <c r="E945" s="542"/>
      <c r="F945" s="1354"/>
    </row>
    <row r="946" spans="1:6">
      <c r="A946" s="836"/>
      <c r="B946" s="788"/>
      <c r="C946" s="784"/>
      <c r="D946" s="785"/>
      <c r="E946" s="542"/>
      <c r="F946" s="1354"/>
    </row>
    <row r="947" spans="1:6" ht="25.5">
      <c r="A947" s="504" t="s">
        <v>447</v>
      </c>
      <c r="B947" s="774" t="s">
        <v>448</v>
      </c>
      <c r="C947" s="506"/>
      <c r="D947" s="507"/>
      <c r="E947" s="542"/>
      <c r="F947" s="1358"/>
    </row>
    <row r="948" spans="1:6">
      <c r="A948" s="539"/>
      <c r="B948" s="609"/>
      <c r="C948" s="597"/>
      <c r="D948" s="521"/>
      <c r="E948" s="542"/>
      <c r="F948" s="1358"/>
    </row>
    <row r="949" spans="1:6">
      <c r="A949" s="513">
        <v>1</v>
      </c>
      <c r="B949" s="514" t="s">
        <v>420</v>
      </c>
      <c r="C949" s="506"/>
      <c r="D949" s="507"/>
      <c r="E949" s="542"/>
      <c r="F949" s="1353"/>
    </row>
    <row r="950" spans="1:6">
      <c r="A950" s="517">
        <v>1.1000000000000001</v>
      </c>
      <c r="B950" s="518" t="s">
        <v>307</v>
      </c>
      <c r="C950" s="506">
        <v>1</v>
      </c>
      <c r="D950" s="507" t="s">
        <v>10</v>
      </c>
      <c r="E950" s="542">
        <v>21938.23</v>
      </c>
      <c r="F950" s="1353">
        <f>+ROUND(E950*C950,2)</f>
        <v>21938.23</v>
      </c>
    </row>
    <row r="951" spans="1:6">
      <c r="A951" s="519"/>
      <c r="B951" s="514"/>
      <c r="C951" s="520"/>
      <c r="D951" s="521"/>
      <c r="E951" s="542"/>
      <c r="F951" s="1360"/>
    </row>
    <row r="952" spans="1:6">
      <c r="A952" s="524">
        <v>2</v>
      </c>
      <c r="B952" s="514" t="s">
        <v>451</v>
      </c>
      <c r="C952" s="506"/>
      <c r="D952" s="521"/>
      <c r="E952" s="542"/>
      <c r="F952" s="1353"/>
    </row>
    <row r="953" spans="1:6">
      <c r="A953" s="525">
        <v>2.1</v>
      </c>
      <c r="B953" s="518" t="s">
        <v>452</v>
      </c>
      <c r="C953" s="506">
        <v>153.01</v>
      </c>
      <c r="D953" s="521" t="s">
        <v>298</v>
      </c>
      <c r="E953" s="542">
        <v>6</v>
      </c>
      <c r="F953" s="1353">
        <f>+ROUND(E953*C953,2)</f>
        <v>918.06</v>
      </c>
    </row>
    <row r="954" spans="1:6">
      <c r="A954" s="525">
        <v>2.2000000000000002</v>
      </c>
      <c r="B954" s="518" t="s">
        <v>453</v>
      </c>
      <c r="C954" s="506">
        <v>26.86</v>
      </c>
      <c r="D954" s="521" t="s">
        <v>298</v>
      </c>
      <c r="E954" s="542">
        <v>1217.72</v>
      </c>
      <c r="F954" s="1353">
        <f>+ROUND(E954*C954,2)</f>
        <v>32707.96</v>
      </c>
    </row>
    <row r="955" spans="1:6">
      <c r="A955" s="525">
        <v>2.2999999999999998</v>
      </c>
      <c r="B955" s="518" t="s">
        <v>454</v>
      </c>
      <c r="C955" s="506">
        <v>2</v>
      </c>
      <c r="D955" s="521" t="s">
        <v>10</v>
      </c>
      <c r="E955" s="542">
        <v>117532.07</v>
      </c>
      <c r="F955" s="1353">
        <f>+ROUND(E955*C955,2)</f>
        <v>235064.14</v>
      </c>
    </row>
    <row r="956" spans="1:6">
      <c r="A956" s="525">
        <v>2.4</v>
      </c>
      <c r="B956" s="518" t="s">
        <v>455</v>
      </c>
      <c r="C956" s="506">
        <v>7</v>
      </c>
      <c r="D956" s="521" t="s">
        <v>10</v>
      </c>
      <c r="E956" s="542">
        <v>18059.8</v>
      </c>
      <c r="F956" s="1353">
        <f t="shared" ref="F956:F961" si="30">+ROUND(E956*C956,2)</f>
        <v>126418.6</v>
      </c>
    </row>
    <row r="957" spans="1:6">
      <c r="A957" s="867">
        <v>2.5</v>
      </c>
      <c r="B957" s="881" t="s">
        <v>456</v>
      </c>
      <c r="C957" s="882">
        <v>4</v>
      </c>
      <c r="D957" s="883" t="s">
        <v>10</v>
      </c>
      <c r="E957" s="542">
        <v>180285</v>
      </c>
      <c r="F957" s="1391">
        <f t="shared" si="30"/>
        <v>721140</v>
      </c>
    </row>
    <row r="958" spans="1:6">
      <c r="A958" s="525">
        <v>2.6</v>
      </c>
      <c r="B958" s="518" t="s">
        <v>457</v>
      </c>
      <c r="C958" s="506">
        <v>4</v>
      </c>
      <c r="D958" s="521" t="s">
        <v>10</v>
      </c>
      <c r="E958" s="542">
        <v>45917.87</v>
      </c>
      <c r="F958" s="1353">
        <f t="shared" si="30"/>
        <v>183671.48</v>
      </c>
    </row>
    <row r="959" spans="1:6">
      <c r="A959" s="525">
        <v>2.7</v>
      </c>
      <c r="B959" s="518" t="s">
        <v>458</v>
      </c>
      <c r="C959" s="506">
        <v>5</v>
      </c>
      <c r="D959" s="521" t="s">
        <v>10</v>
      </c>
      <c r="E959" s="542">
        <v>181727.3</v>
      </c>
      <c r="F959" s="1353">
        <f t="shared" si="30"/>
        <v>908636.5</v>
      </c>
    </row>
    <row r="960" spans="1:6">
      <c r="A960" s="525">
        <v>2.8</v>
      </c>
      <c r="B960" s="518" t="s">
        <v>459</v>
      </c>
      <c r="C960" s="506">
        <v>2</v>
      </c>
      <c r="D960" s="521" t="s">
        <v>10</v>
      </c>
      <c r="E960" s="542">
        <v>181727.3</v>
      </c>
      <c r="F960" s="1353">
        <f t="shared" si="30"/>
        <v>363454.6</v>
      </c>
    </row>
    <row r="961" spans="1:6">
      <c r="A961" s="525">
        <v>2.9</v>
      </c>
      <c r="B961" s="518" t="s">
        <v>460</v>
      </c>
      <c r="C961" s="506">
        <v>2</v>
      </c>
      <c r="D961" s="521" t="s">
        <v>10</v>
      </c>
      <c r="E961" s="542">
        <v>177892.57</v>
      </c>
      <c r="F961" s="1353">
        <f t="shared" si="30"/>
        <v>355785.14</v>
      </c>
    </row>
    <row r="962" spans="1:6">
      <c r="A962" s="528"/>
      <c r="B962" s="518"/>
      <c r="C962" s="506"/>
      <c r="D962" s="521"/>
      <c r="E962" s="542"/>
      <c r="F962" s="1353"/>
    </row>
    <row r="963" spans="1:6">
      <c r="A963" s="524">
        <v>3</v>
      </c>
      <c r="B963" s="514" t="s">
        <v>461</v>
      </c>
      <c r="C963" s="537"/>
      <c r="D963" s="538"/>
      <c r="E963" s="542"/>
      <c r="F963" s="1353"/>
    </row>
    <row r="964" spans="1:6">
      <c r="A964" s="536">
        <v>3.1</v>
      </c>
      <c r="B964" s="518" t="s">
        <v>462</v>
      </c>
      <c r="C964" s="537">
        <v>7874.05</v>
      </c>
      <c r="D964" s="538" t="s">
        <v>300</v>
      </c>
      <c r="E964" s="542">
        <v>199.32</v>
      </c>
      <c r="F964" s="1353">
        <f>+ROUND(E964*C964,2)</f>
        <v>1569455.65</v>
      </c>
    </row>
    <row r="965" spans="1:6">
      <c r="A965" s="528"/>
      <c r="B965" s="518"/>
      <c r="C965" s="506"/>
      <c r="D965" s="521"/>
      <c r="E965" s="542"/>
      <c r="F965" s="1353"/>
    </row>
    <row r="966" spans="1:6" ht="25.5">
      <c r="A966" s="524">
        <v>4</v>
      </c>
      <c r="B966" s="514" t="s">
        <v>463</v>
      </c>
      <c r="C966" s="506"/>
      <c r="D966" s="521"/>
      <c r="E966" s="542"/>
      <c r="F966" s="1353"/>
    </row>
    <row r="967" spans="1:6">
      <c r="A967" s="525">
        <v>4.0999999999999996</v>
      </c>
      <c r="B967" s="518" t="s">
        <v>464</v>
      </c>
      <c r="C967" s="506">
        <v>93497.71</v>
      </c>
      <c r="D967" s="521" t="s">
        <v>300</v>
      </c>
      <c r="E967" s="542">
        <v>30</v>
      </c>
      <c r="F967" s="1353">
        <f t="shared" ref="F967:F978" si="31">+ROUND(E967*C967,2)</f>
        <v>2804931.3</v>
      </c>
    </row>
    <row r="968" spans="1:6">
      <c r="A968" s="525">
        <v>4.7</v>
      </c>
      <c r="B968" s="518" t="s">
        <v>470</v>
      </c>
      <c r="C968" s="506">
        <v>10</v>
      </c>
      <c r="D968" s="521" t="s">
        <v>10</v>
      </c>
      <c r="E968" s="542">
        <v>327.5</v>
      </c>
      <c r="F968" s="1353">
        <f t="shared" si="31"/>
        <v>3275</v>
      </c>
    </row>
    <row r="969" spans="1:6">
      <c r="A969" s="539">
        <v>6.15</v>
      </c>
      <c r="B969" s="518" t="s">
        <v>478</v>
      </c>
      <c r="C969" s="506">
        <v>5</v>
      </c>
      <c r="D969" s="521" t="s">
        <v>10</v>
      </c>
      <c r="E969" s="542">
        <v>502.5</v>
      </c>
      <c r="F969" s="1353">
        <f t="shared" si="31"/>
        <v>2512.5</v>
      </c>
    </row>
    <row r="970" spans="1:6">
      <c r="A970" s="539">
        <v>6.16</v>
      </c>
      <c r="B970" s="518" t="s">
        <v>479</v>
      </c>
      <c r="C970" s="506">
        <v>25</v>
      </c>
      <c r="D970" s="521" t="s">
        <v>10</v>
      </c>
      <c r="E970" s="542">
        <v>1450</v>
      </c>
      <c r="F970" s="1353">
        <f t="shared" si="31"/>
        <v>36250</v>
      </c>
    </row>
    <row r="971" spans="1:6">
      <c r="A971" s="539">
        <v>6.17</v>
      </c>
      <c r="B971" s="518" t="s">
        <v>480</v>
      </c>
      <c r="C971" s="506">
        <v>25</v>
      </c>
      <c r="D971" s="521" t="s">
        <v>10</v>
      </c>
      <c r="E971" s="542">
        <v>527.5</v>
      </c>
      <c r="F971" s="1353">
        <f t="shared" si="31"/>
        <v>13187.5</v>
      </c>
    </row>
    <row r="972" spans="1:6">
      <c r="A972" s="539">
        <v>6.18</v>
      </c>
      <c r="B972" s="518" t="s">
        <v>481</v>
      </c>
      <c r="C972" s="506">
        <v>25</v>
      </c>
      <c r="D972" s="521" t="s">
        <v>10</v>
      </c>
      <c r="E972" s="542">
        <v>1002.5</v>
      </c>
      <c r="F972" s="1353">
        <f t="shared" si="31"/>
        <v>25062.5</v>
      </c>
    </row>
    <row r="973" spans="1:6">
      <c r="A973" s="539">
        <v>6.25</v>
      </c>
      <c r="B973" s="518" t="s">
        <v>488</v>
      </c>
      <c r="C973" s="506">
        <v>150</v>
      </c>
      <c r="D973" s="521" t="s">
        <v>10</v>
      </c>
      <c r="E973" s="542">
        <v>81.75</v>
      </c>
      <c r="F973" s="1353">
        <f t="shared" si="31"/>
        <v>12262.5</v>
      </c>
    </row>
    <row r="974" spans="1:6">
      <c r="A974" s="539">
        <v>6.26</v>
      </c>
      <c r="B974" s="518" t="s">
        <v>489</v>
      </c>
      <c r="C974" s="506">
        <v>150</v>
      </c>
      <c r="D974" s="521" t="s">
        <v>10</v>
      </c>
      <c r="E974" s="542">
        <v>730.75</v>
      </c>
      <c r="F974" s="1353">
        <f t="shared" si="31"/>
        <v>109612.5</v>
      </c>
    </row>
    <row r="975" spans="1:6">
      <c r="A975" s="539">
        <v>6.27</v>
      </c>
      <c r="B975" s="518" t="s">
        <v>490</v>
      </c>
      <c r="C975" s="506">
        <v>250</v>
      </c>
      <c r="D975" s="521" t="s">
        <v>10</v>
      </c>
      <c r="E975" s="542">
        <v>427</v>
      </c>
      <c r="F975" s="1353">
        <f t="shared" si="31"/>
        <v>106750</v>
      </c>
    </row>
    <row r="976" spans="1:6">
      <c r="A976" s="539">
        <v>6.29</v>
      </c>
      <c r="B976" s="518" t="s">
        <v>492</v>
      </c>
      <c r="C976" s="506">
        <v>250</v>
      </c>
      <c r="D976" s="521" t="s">
        <v>10</v>
      </c>
      <c r="E976" s="542">
        <v>349</v>
      </c>
      <c r="F976" s="1353">
        <f t="shared" si="31"/>
        <v>87250</v>
      </c>
    </row>
    <row r="977" spans="1:6">
      <c r="A977" s="539">
        <v>6.31</v>
      </c>
      <c r="B977" s="518" t="s">
        <v>494</v>
      </c>
      <c r="C977" s="506">
        <v>500</v>
      </c>
      <c r="D977" s="521" t="s">
        <v>10</v>
      </c>
      <c r="E977" s="542">
        <v>200</v>
      </c>
      <c r="F977" s="1353">
        <f t="shared" si="31"/>
        <v>100000</v>
      </c>
    </row>
    <row r="978" spans="1:6" ht="25.5" customHeight="1">
      <c r="A978" s="539">
        <v>6.32</v>
      </c>
      <c r="B978" s="518" t="s">
        <v>495</v>
      </c>
      <c r="C978" s="506">
        <v>500</v>
      </c>
      <c r="D978" s="521" t="s">
        <v>10</v>
      </c>
      <c r="E978" s="542">
        <v>25</v>
      </c>
      <c r="F978" s="1353">
        <f t="shared" si="31"/>
        <v>12500</v>
      </c>
    </row>
    <row r="979" spans="1:6" ht="19.5" customHeight="1">
      <c r="A979" s="1115"/>
      <c r="B979" s="504" t="s">
        <v>504</v>
      </c>
      <c r="C979" s="1116"/>
      <c r="D979" s="1117"/>
      <c r="E979" s="542"/>
      <c r="F979" s="1392">
        <f>SUM(F950:F978)</f>
        <v>7832784.1600000001</v>
      </c>
    </row>
    <row r="980" spans="1:6">
      <c r="A980" s="886"/>
      <c r="B980" s="887"/>
      <c r="C980" s="888"/>
      <c r="D980" s="889"/>
      <c r="E980" s="542"/>
      <c r="F980" s="1393"/>
    </row>
    <row r="981" spans="1:6">
      <c r="A981" s="504" t="s">
        <v>505</v>
      </c>
      <c r="B981" s="774" t="s">
        <v>904</v>
      </c>
      <c r="C981" s="506"/>
      <c r="D981" s="507"/>
      <c r="E981" s="542"/>
      <c r="F981" s="1358"/>
    </row>
    <row r="982" spans="1:6">
      <c r="A982" s="539"/>
      <c r="B982" s="609"/>
      <c r="C982" s="597"/>
      <c r="D982" s="521"/>
      <c r="E982" s="542"/>
      <c r="F982" s="1358"/>
    </row>
    <row r="983" spans="1:6">
      <c r="A983" s="549" t="s">
        <v>93</v>
      </c>
      <c r="B983" s="550" t="s">
        <v>506</v>
      </c>
      <c r="C983" s="551"/>
      <c r="D983" s="551"/>
      <c r="E983" s="542"/>
      <c r="F983" s="1358"/>
    </row>
    <row r="984" spans="1:6">
      <c r="A984" s="549"/>
      <c r="B984" s="550"/>
      <c r="C984" s="551"/>
      <c r="D984" s="551"/>
      <c r="E984" s="542"/>
      <c r="F984" s="1358"/>
    </row>
    <row r="985" spans="1:6">
      <c r="A985" s="524">
        <v>1</v>
      </c>
      <c r="B985" s="552" t="s">
        <v>420</v>
      </c>
      <c r="C985" s="553"/>
      <c r="D985" s="554"/>
      <c r="E985" s="542"/>
      <c r="F985" s="1358"/>
    </row>
    <row r="986" spans="1:6">
      <c r="A986" s="525">
        <v>1.1000000000000001</v>
      </c>
      <c r="B986" s="556" t="s">
        <v>507</v>
      </c>
      <c r="C986" s="557">
        <v>1</v>
      </c>
      <c r="D986" s="558" t="s">
        <v>500</v>
      </c>
      <c r="E986" s="542">
        <v>970.99</v>
      </c>
      <c r="F986" s="1353">
        <f>+ROUND(E986*C986,2)</f>
        <v>970.99</v>
      </c>
    </row>
    <row r="987" spans="1:6">
      <c r="A987" s="559"/>
      <c r="B987" s="556"/>
      <c r="C987" s="557"/>
      <c r="D987" s="560"/>
      <c r="E987" s="542"/>
      <c r="F987" s="1358"/>
    </row>
    <row r="988" spans="1:6">
      <c r="A988" s="524">
        <v>2</v>
      </c>
      <c r="B988" s="552" t="s">
        <v>296</v>
      </c>
      <c r="C988" s="557"/>
      <c r="D988" s="560"/>
      <c r="E988" s="542"/>
      <c r="F988" s="1358"/>
    </row>
    <row r="989" spans="1:6">
      <c r="A989" s="525">
        <v>2.1</v>
      </c>
      <c r="B989" s="526" t="s">
        <v>449</v>
      </c>
      <c r="C989" s="557">
        <v>64.06</v>
      </c>
      <c r="D989" s="560" t="s">
        <v>364</v>
      </c>
      <c r="E989" s="542">
        <v>10.199999999999999</v>
      </c>
      <c r="F989" s="1353">
        <f>+ROUND(E989*C989,2)</f>
        <v>653.41</v>
      </c>
    </row>
    <row r="990" spans="1:6">
      <c r="A990" s="525">
        <v>2.2999999999999998</v>
      </c>
      <c r="B990" s="556" t="s">
        <v>450</v>
      </c>
      <c r="C990" s="557">
        <v>120.16</v>
      </c>
      <c r="D990" s="560" t="s">
        <v>426</v>
      </c>
      <c r="E990" s="542">
        <v>9.4600000000000009</v>
      </c>
      <c r="F990" s="1353">
        <f>+ROUND(E990*C990,2)</f>
        <v>1136.71</v>
      </c>
    </row>
    <row r="991" spans="1:6">
      <c r="A991" s="525">
        <v>2.4</v>
      </c>
      <c r="B991" s="561" t="s">
        <v>509</v>
      </c>
      <c r="C991" s="557">
        <v>53.44</v>
      </c>
      <c r="D991" s="560" t="s">
        <v>367</v>
      </c>
      <c r="E991" s="542">
        <v>9.0299999999999994</v>
      </c>
      <c r="F991" s="1353">
        <f>+ROUND(E991*C991,2)</f>
        <v>482.56</v>
      </c>
    </row>
    <row r="992" spans="1:6">
      <c r="A992" s="559"/>
      <c r="B992" s="556"/>
      <c r="C992" s="557">
        <v>0</v>
      </c>
      <c r="D992" s="560"/>
      <c r="E992" s="542"/>
      <c r="F992" s="1358"/>
    </row>
    <row r="993" spans="1:6">
      <c r="A993" s="524">
        <v>3</v>
      </c>
      <c r="B993" s="562" t="s">
        <v>510</v>
      </c>
      <c r="C993" s="557">
        <v>0</v>
      </c>
      <c r="D993" s="560"/>
      <c r="E993" s="542"/>
      <c r="F993" s="1358"/>
    </row>
    <row r="994" spans="1:6">
      <c r="A994" s="525">
        <v>3.1</v>
      </c>
      <c r="B994" s="563" t="s">
        <v>511</v>
      </c>
      <c r="C994" s="557">
        <v>22.96</v>
      </c>
      <c r="D994" s="560" t="s">
        <v>298</v>
      </c>
      <c r="E994" s="542">
        <v>1280.1300000000001</v>
      </c>
      <c r="F994" s="1353">
        <f>+ROUND(E994*C994,2)</f>
        <v>29391.78</v>
      </c>
    </row>
    <row r="995" spans="1:6">
      <c r="A995" s="525">
        <v>3.2</v>
      </c>
      <c r="B995" s="563" t="s">
        <v>512</v>
      </c>
      <c r="C995" s="557">
        <v>4.08</v>
      </c>
      <c r="D995" s="560" t="s">
        <v>298</v>
      </c>
      <c r="E995" s="542">
        <v>1937.45</v>
      </c>
      <c r="F995" s="1353">
        <f>+ROUND(E995*C995,2)</f>
        <v>7904.8</v>
      </c>
    </row>
    <row r="996" spans="1:6">
      <c r="A996" s="525">
        <v>3.3</v>
      </c>
      <c r="B996" s="563" t="s">
        <v>513</v>
      </c>
      <c r="C996" s="557">
        <v>3.12</v>
      </c>
      <c r="D996" s="560" t="s">
        <v>298</v>
      </c>
      <c r="E996" s="542">
        <v>9109.08</v>
      </c>
      <c r="F996" s="1353">
        <f>+ROUND(E996*C996,2)</f>
        <v>28420.33</v>
      </c>
    </row>
    <row r="997" spans="1:6">
      <c r="A997" s="559"/>
      <c r="B997" s="556"/>
      <c r="C997" s="557">
        <v>0</v>
      </c>
      <c r="D997" s="560"/>
      <c r="E997" s="542"/>
      <c r="F997" s="1358"/>
    </row>
    <row r="998" spans="1:6" ht="5.25" customHeight="1">
      <c r="A998" s="524">
        <v>4</v>
      </c>
      <c r="B998" s="552" t="s">
        <v>514</v>
      </c>
      <c r="C998" s="557">
        <v>0</v>
      </c>
      <c r="D998" s="560"/>
      <c r="E998" s="542"/>
      <c r="F998" s="1358"/>
    </row>
    <row r="999" spans="1:6">
      <c r="A999" s="525">
        <v>4.0999999999999996</v>
      </c>
      <c r="B999" s="556" t="s">
        <v>515</v>
      </c>
      <c r="C999" s="557">
        <v>132.6</v>
      </c>
      <c r="D999" s="560" t="s">
        <v>300</v>
      </c>
      <c r="E999" s="542">
        <v>318.47000000000003</v>
      </c>
      <c r="F999" s="1353">
        <f>+ROUND(E999*C999,2)</f>
        <v>42229.120000000003</v>
      </c>
    </row>
    <row r="1000" spans="1:6">
      <c r="A1000" s="559"/>
      <c r="B1000" s="556"/>
      <c r="C1000" s="557">
        <v>0</v>
      </c>
      <c r="D1000" s="560"/>
      <c r="E1000" s="542"/>
      <c r="F1000" s="1358"/>
    </row>
    <row r="1001" spans="1:6">
      <c r="A1001" s="524">
        <v>6</v>
      </c>
      <c r="B1001" s="552" t="s">
        <v>521</v>
      </c>
      <c r="C1001" s="557">
        <v>0</v>
      </c>
      <c r="D1001" s="560"/>
      <c r="E1001" s="542"/>
      <c r="F1001" s="1358"/>
    </row>
    <row r="1002" spans="1:6">
      <c r="A1002" s="525">
        <v>6.1</v>
      </c>
      <c r="B1002" s="556" t="s">
        <v>522</v>
      </c>
      <c r="C1002" s="557">
        <v>1216</v>
      </c>
      <c r="D1002" s="560" t="s">
        <v>300</v>
      </c>
      <c r="E1002" s="542">
        <v>157.34</v>
      </c>
      <c r="F1002" s="1353">
        <f>+ROUND(E1002*C1002,2)</f>
        <v>191325.44</v>
      </c>
    </row>
    <row r="1003" spans="1:6">
      <c r="A1003" s="559"/>
      <c r="B1003" s="556"/>
      <c r="C1003" s="557">
        <v>0</v>
      </c>
      <c r="D1003" s="560"/>
      <c r="E1003" s="542"/>
      <c r="F1003" s="1358"/>
    </row>
    <row r="1004" spans="1:6">
      <c r="A1004" s="524">
        <v>7</v>
      </c>
      <c r="B1004" s="564" t="s">
        <v>523</v>
      </c>
      <c r="C1004" s="557">
        <v>0</v>
      </c>
      <c r="D1004" s="560"/>
      <c r="E1004" s="542"/>
      <c r="F1004" s="1358"/>
    </row>
    <row r="1005" spans="1:6">
      <c r="A1005" s="525">
        <v>7.1</v>
      </c>
      <c r="B1005" s="561" t="s">
        <v>524</v>
      </c>
      <c r="C1005" s="557">
        <v>4</v>
      </c>
      <c r="D1005" s="560" t="s">
        <v>10</v>
      </c>
      <c r="E1005" s="542">
        <v>0.01</v>
      </c>
      <c r="F1005" s="1353">
        <f>+ROUND(E1005*C1005,2)</f>
        <v>0.04</v>
      </c>
    </row>
    <row r="1006" spans="1:6">
      <c r="A1006" s="559"/>
      <c r="B1006" s="561"/>
      <c r="C1006" s="557">
        <v>0</v>
      </c>
      <c r="D1006" s="560"/>
      <c r="E1006" s="542"/>
      <c r="F1006" s="1358"/>
    </row>
    <row r="1007" spans="1:6">
      <c r="A1007" s="524">
        <v>8</v>
      </c>
      <c r="B1007" s="552" t="s">
        <v>527</v>
      </c>
      <c r="C1007" s="557">
        <v>0</v>
      </c>
      <c r="D1007" s="560"/>
      <c r="E1007" s="542"/>
      <c r="F1007" s="1358"/>
    </row>
    <row r="1008" spans="1:6">
      <c r="A1008" s="525">
        <v>8.1</v>
      </c>
      <c r="B1008" s="561" t="s">
        <v>528</v>
      </c>
      <c r="C1008" s="557">
        <v>32.68</v>
      </c>
      <c r="D1008" s="560" t="s">
        <v>300</v>
      </c>
      <c r="E1008" s="542">
        <v>-4.92</v>
      </c>
      <c r="F1008" s="1353">
        <f>+ROUND(E1008*C1008,2)</f>
        <v>-160.79</v>
      </c>
    </row>
    <row r="1009" spans="1:6" ht="25.5">
      <c r="A1009" s="525">
        <v>8.1999999999999993</v>
      </c>
      <c r="B1009" s="561" t="s">
        <v>529</v>
      </c>
      <c r="C1009" s="557">
        <v>408</v>
      </c>
      <c r="D1009" s="560" t="s">
        <v>300</v>
      </c>
      <c r="E1009" s="542">
        <v>-0.03</v>
      </c>
      <c r="F1009" s="1353">
        <f>+ROUND(E1009*C1009,2)</f>
        <v>-12.24</v>
      </c>
    </row>
    <row r="1010" spans="1:6" ht="25.5">
      <c r="A1010" s="525">
        <v>8.3000000000000007</v>
      </c>
      <c r="B1010" s="561" t="s">
        <v>530</v>
      </c>
      <c r="C1010" s="557">
        <v>136.41999999999999</v>
      </c>
      <c r="D1010" s="560" t="s">
        <v>300</v>
      </c>
      <c r="E1010" s="542">
        <v>-0.03</v>
      </c>
      <c r="F1010" s="1353">
        <f>+ROUND(E1010*C1010,2)</f>
        <v>-4.09</v>
      </c>
    </row>
    <row r="1011" spans="1:6" ht="25.5">
      <c r="A1011" s="525">
        <v>8.4</v>
      </c>
      <c r="B1011" s="561" t="s">
        <v>531</v>
      </c>
      <c r="C1011" s="557">
        <v>151.12</v>
      </c>
      <c r="D1011" s="560" t="s">
        <v>300</v>
      </c>
      <c r="E1011" s="542">
        <v>-0.03</v>
      </c>
      <c r="F1011" s="1353">
        <f>+ROUND(E1011*C1011,2)</f>
        <v>-4.53</v>
      </c>
    </row>
    <row r="1012" spans="1:6">
      <c r="A1012" s="525">
        <v>8.3000000000000007</v>
      </c>
      <c r="B1012" s="561" t="s">
        <v>532</v>
      </c>
      <c r="C1012" s="557">
        <v>1</v>
      </c>
      <c r="D1012" s="560" t="s">
        <v>500</v>
      </c>
      <c r="E1012" s="542">
        <v>-0.03</v>
      </c>
      <c r="F1012" s="1353">
        <f>+ROUND(E1012*C1012,2)</f>
        <v>-0.03</v>
      </c>
    </row>
    <row r="1013" spans="1:6">
      <c r="A1013" s="559"/>
      <c r="B1013" s="1118" t="s">
        <v>533</v>
      </c>
      <c r="C1013" s="581"/>
      <c r="D1013" s="1119"/>
      <c r="E1013" s="542"/>
      <c r="F1013" s="1394">
        <f>SUM(F984:F1012)</f>
        <v>302333.5</v>
      </c>
    </row>
    <row r="1014" spans="1:6">
      <c r="A1014" s="571"/>
      <c r="B1014" s="563"/>
      <c r="C1014" s="572"/>
      <c r="D1014" s="573"/>
      <c r="E1014" s="542"/>
      <c r="F1014" s="1358"/>
    </row>
    <row r="1015" spans="1:6">
      <c r="A1015" s="549" t="s">
        <v>432</v>
      </c>
      <c r="B1015" s="550" t="s">
        <v>534</v>
      </c>
      <c r="C1015" s="574"/>
      <c r="D1015" s="574"/>
      <c r="E1015" s="542"/>
      <c r="F1015" s="1358"/>
    </row>
    <row r="1016" spans="1:6">
      <c r="A1016" s="575"/>
      <c r="B1016" s="562"/>
      <c r="C1016" s="576"/>
      <c r="D1016" s="558"/>
      <c r="E1016" s="542"/>
      <c r="F1016" s="1358"/>
    </row>
    <row r="1017" spans="1:6">
      <c r="A1017" s="524">
        <v>1</v>
      </c>
      <c r="B1017" s="552" t="s">
        <v>420</v>
      </c>
      <c r="C1017" s="577"/>
      <c r="D1017" s="558"/>
      <c r="E1017" s="542"/>
      <c r="F1017" s="1358"/>
    </row>
    <row r="1018" spans="1:6">
      <c r="A1018" s="525">
        <v>1.1000000000000001</v>
      </c>
      <c r="B1018" s="556" t="s">
        <v>507</v>
      </c>
      <c r="C1018" s="558">
        <v>0.4</v>
      </c>
      <c r="D1018" s="558" t="s">
        <v>500</v>
      </c>
      <c r="E1018" s="542">
        <v>970.99</v>
      </c>
      <c r="F1018" s="1353">
        <f>+ROUND(E1018*C1018,2)</f>
        <v>388.4</v>
      </c>
    </row>
    <row r="1019" spans="1:6">
      <c r="A1019" s="575"/>
      <c r="B1019" s="562"/>
      <c r="C1019" s="578"/>
      <c r="D1019" s="579"/>
      <c r="E1019" s="542"/>
      <c r="F1019" s="1358"/>
    </row>
    <row r="1020" spans="1:6">
      <c r="A1020" s="524">
        <v>2</v>
      </c>
      <c r="B1020" s="562" t="s">
        <v>296</v>
      </c>
      <c r="C1020" s="558"/>
      <c r="D1020" s="558"/>
      <c r="E1020" s="542"/>
      <c r="F1020" s="1358"/>
    </row>
    <row r="1021" spans="1:6">
      <c r="A1021" s="525">
        <v>2.1</v>
      </c>
      <c r="B1021" s="563" t="s">
        <v>449</v>
      </c>
      <c r="C1021" s="558">
        <v>24.2</v>
      </c>
      <c r="D1021" s="558" t="s">
        <v>364</v>
      </c>
      <c r="E1021" s="542">
        <v>10.199999999999999</v>
      </c>
      <c r="F1021" s="1353">
        <f>+ROUND(E1021*C1021,2)</f>
        <v>246.84</v>
      </c>
    </row>
    <row r="1022" spans="1:6">
      <c r="A1022" s="525">
        <v>2.2000000000000002</v>
      </c>
      <c r="B1022" s="563" t="s">
        <v>450</v>
      </c>
      <c r="C1022" s="558">
        <v>9.42</v>
      </c>
      <c r="D1022" s="558" t="s">
        <v>426</v>
      </c>
      <c r="E1022" s="542">
        <v>9.4600000000000009</v>
      </c>
      <c r="F1022" s="1353">
        <f>+ROUND(E1022*C1022,2)</f>
        <v>89.11</v>
      </c>
    </row>
    <row r="1023" spans="1:6">
      <c r="A1023" s="525">
        <v>2.2999999999999998</v>
      </c>
      <c r="B1023" s="580" t="s">
        <v>509</v>
      </c>
      <c r="C1023" s="558">
        <v>19.22</v>
      </c>
      <c r="D1023" s="558" t="s">
        <v>367</v>
      </c>
      <c r="E1023" s="542">
        <v>9.0299999999999994</v>
      </c>
      <c r="F1023" s="1353">
        <f>+ROUND(E1023*C1023,2)</f>
        <v>173.56</v>
      </c>
    </row>
    <row r="1024" spans="1:6">
      <c r="A1024" s="571"/>
      <c r="B1024" s="563"/>
      <c r="C1024" s="558"/>
      <c r="D1024" s="558"/>
      <c r="E1024" s="542"/>
      <c r="F1024" s="1358"/>
    </row>
    <row r="1025" spans="1:6">
      <c r="A1025" s="524">
        <v>3</v>
      </c>
      <c r="B1025" s="562" t="s">
        <v>510</v>
      </c>
      <c r="C1025" s="558"/>
      <c r="D1025" s="577"/>
      <c r="E1025" s="542"/>
      <c r="F1025" s="1358"/>
    </row>
    <row r="1026" spans="1:6">
      <c r="A1026" s="525">
        <v>3.1</v>
      </c>
      <c r="B1026" s="563" t="s">
        <v>535</v>
      </c>
      <c r="C1026" s="558">
        <v>10.119999999999999</v>
      </c>
      <c r="D1026" s="558" t="s">
        <v>298</v>
      </c>
      <c r="E1026" s="542">
        <v>1239.7</v>
      </c>
      <c r="F1026" s="1353">
        <f>+ROUND(E1026*C1026,2)</f>
        <v>12545.76</v>
      </c>
    </row>
    <row r="1027" spans="1:6">
      <c r="A1027" s="525">
        <v>3.2</v>
      </c>
      <c r="B1027" s="563" t="s">
        <v>536</v>
      </c>
      <c r="C1027" s="558">
        <v>1.7</v>
      </c>
      <c r="D1027" s="558" t="s">
        <v>298</v>
      </c>
      <c r="E1027" s="542">
        <v>2162.56</v>
      </c>
      <c r="F1027" s="1353">
        <f>+ROUND(E1027*C1027,2)</f>
        <v>3676.35</v>
      </c>
    </row>
    <row r="1028" spans="1:6">
      <c r="A1028" s="525">
        <v>3.3</v>
      </c>
      <c r="B1028" s="563" t="s">
        <v>537</v>
      </c>
      <c r="C1028" s="558">
        <v>25.98</v>
      </c>
      <c r="D1028" s="558" t="s">
        <v>298</v>
      </c>
      <c r="E1028" s="542">
        <v>1310.6400000000001</v>
      </c>
      <c r="F1028" s="1353">
        <f>+ROUND(E1028*C1028,2)</f>
        <v>34050.43</v>
      </c>
    </row>
    <row r="1029" spans="1:6">
      <c r="A1029" s="892"/>
      <c r="B1029" s="855"/>
      <c r="C1029" s="856"/>
      <c r="D1029" s="856"/>
      <c r="E1029" s="542"/>
      <c r="F1029" s="1395"/>
    </row>
    <row r="1030" spans="1:6">
      <c r="A1030" s="524">
        <v>4</v>
      </c>
      <c r="B1030" s="562" t="s">
        <v>538</v>
      </c>
      <c r="C1030" s="558"/>
      <c r="D1030" s="558"/>
      <c r="E1030" s="542"/>
      <c r="F1030" s="1358"/>
    </row>
    <row r="1031" spans="1:6">
      <c r="A1031" s="525">
        <v>4.0999999999999996</v>
      </c>
      <c r="B1031" s="563" t="s">
        <v>539</v>
      </c>
      <c r="C1031" s="558">
        <v>50.54</v>
      </c>
      <c r="D1031" s="558" t="s">
        <v>300</v>
      </c>
      <c r="E1031" s="542">
        <v>86.73</v>
      </c>
      <c r="F1031" s="1353">
        <f>+ROUND(E1031*C1031,2)</f>
        <v>4383.33</v>
      </c>
    </row>
    <row r="1032" spans="1:6">
      <c r="A1032" s="525">
        <v>4.2</v>
      </c>
      <c r="B1032" s="563" t="s">
        <v>540</v>
      </c>
      <c r="C1032" s="558">
        <v>113.78</v>
      </c>
      <c r="D1032" s="558" t="s">
        <v>300</v>
      </c>
      <c r="E1032" s="542">
        <v>68.73</v>
      </c>
      <c r="F1032" s="1353">
        <f>+ROUND(E1032*C1032,2)</f>
        <v>7820.1</v>
      </c>
    </row>
    <row r="1033" spans="1:6">
      <c r="A1033" s="571"/>
      <c r="B1033" s="563"/>
      <c r="C1033" s="558"/>
      <c r="D1033" s="558"/>
      <c r="E1033" s="542"/>
      <c r="F1033" s="1358"/>
    </row>
    <row r="1034" spans="1:6">
      <c r="A1034" s="524">
        <v>5</v>
      </c>
      <c r="B1034" s="562" t="s">
        <v>516</v>
      </c>
      <c r="C1034" s="558"/>
      <c r="D1034" s="558"/>
      <c r="E1034" s="542"/>
      <c r="F1034" s="1358"/>
    </row>
    <row r="1035" spans="1:6">
      <c r="A1035" s="525">
        <v>5.5</v>
      </c>
      <c r="B1035" s="563" t="s">
        <v>544</v>
      </c>
      <c r="C1035" s="558">
        <v>979.36</v>
      </c>
      <c r="D1035" s="558" t="s">
        <v>15</v>
      </c>
      <c r="E1035" s="542">
        <v>9.98</v>
      </c>
      <c r="F1035" s="1353">
        <f>+ROUND(E1035*C1035,2)</f>
        <v>9774.01</v>
      </c>
    </row>
    <row r="1036" spans="1:6">
      <c r="A1036" s="571"/>
      <c r="B1036" s="563"/>
      <c r="C1036" s="558"/>
      <c r="D1036" s="558"/>
      <c r="E1036" s="542"/>
      <c r="F1036" s="1358"/>
    </row>
    <row r="1037" spans="1:6">
      <c r="A1037" s="524">
        <v>6</v>
      </c>
      <c r="B1037" s="562" t="s">
        <v>527</v>
      </c>
      <c r="C1037" s="558"/>
      <c r="D1037" s="558"/>
      <c r="E1037" s="542"/>
      <c r="F1037" s="1358"/>
    </row>
    <row r="1038" spans="1:6">
      <c r="A1038" s="525">
        <v>6.1</v>
      </c>
      <c r="B1038" s="563" t="s">
        <v>545</v>
      </c>
      <c r="C1038" s="558">
        <v>313.8</v>
      </c>
      <c r="D1038" s="558" t="s">
        <v>300</v>
      </c>
      <c r="E1038" s="542">
        <v>-4.92</v>
      </c>
      <c r="F1038" s="1353">
        <f>+ROUND(E1038*C1038,2)</f>
        <v>-1543.9</v>
      </c>
    </row>
    <row r="1039" spans="1:6">
      <c r="A1039" s="525">
        <v>6.2</v>
      </c>
      <c r="B1039" s="563" t="s">
        <v>546</v>
      </c>
      <c r="C1039" s="558">
        <v>313.8</v>
      </c>
      <c r="D1039" s="558" t="s">
        <v>300</v>
      </c>
      <c r="E1039" s="542">
        <v>-4.92</v>
      </c>
      <c r="F1039" s="1353">
        <f>+ROUND(E1039*C1039,2)</f>
        <v>-1543.9</v>
      </c>
    </row>
    <row r="1040" spans="1:6">
      <c r="A1040" s="571"/>
      <c r="B1040" s="563"/>
      <c r="C1040" s="558"/>
      <c r="D1040" s="558"/>
      <c r="E1040" s="542"/>
      <c r="F1040" s="1358"/>
    </row>
    <row r="1041" spans="1:6">
      <c r="A1041" s="524">
        <v>7</v>
      </c>
      <c r="B1041" s="562" t="s">
        <v>547</v>
      </c>
      <c r="C1041" s="577"/>
      <c r="D1041" s="558"/>
      <c r="E1041" s="542"/>
      <c r="F1041" s="1358"/>
    </row>
    <row r="1042" spans="1:6">
      <c r="A1042" s="525">
        <v>7.2</v>
      </c>
      <c r="B1042" s="563" t="s">
        <v>549</v>
      </c>
      <c r="C1042" s="577">
        <v>6</v>
      </c>
      <c r="D1042" s="558" t="s">
        <v>15</v>
      </c>
      <c r="E1042" s="542">
        <v>86.5</v>
      </c>
      <c r="F1042" s="1353">
        <f>+ROUND(E1042*C1042,2)</f>
        <v>519</v>
      </c>
    </row>
    <row r="1043" spans="1:6">
      <c r="A1043" s="559"/>
      <c r="B1043" s="1118" t="s">
        <v>550</v>
      </c>
      <c r="C1043" s="581"/>
      <c r="D1043" s="1119"/>
      <c r="E1043" s="542"/>
      <c r="F1043" s="1394">
        <f>SUM(F1017:F1042)</f>
        <v>70579.09</v>
      </c>
    </row>
    <row r="1044" spans="1:6">
      <c r="A1044" s="539"/>
      <c r="B1044" s="609"/>
      <c r="C1044" s="597"/>
      <c r="D1044" s="521"/>
      <c r="E1044" s="542"/>
      <c r="F1044" s="1358"/>
    </row>
    <row r="1045" spans="1:6">
      <c r="A1045" s="1115"/>
      <c r="B1045" s="504" t="s">
        <v>551</v>
      </c>
      <c r="C1045" s="1116"/>
      <c r="D1045" s="1117"/>
      <c r="E1045" s="542"/>
      <c r="F1045" s="1392">
        <f>F1043+F1013</f>
        <v>372912.59</v>
      </c>
    </row>
    <row r="1046" spans="1:6">
      <c r="A1046" s="1115"/>
      <c r="B1046" s="504"/>
      <c r="C1046" s="1116"/>
      <c r="D1046" s="1117"/>
      <c r="E1046" s="542"/>
      <c r="F1046" s="1392"/>
    </row>
    <row r="1047" spans="1:6">
      <c r="A1047" s="504" t="s">
        <v>552</v>
      </c>
      <c r="B1047" s="774" t="s">
        <v>905</v>
      </c>
      <c r="C1047" s="506"/>
      <c r="D1047" s="507"/>
      <c r="E1047" s="542"/>
      <c r="F1047" s="1358"/>
    </row>
    <row r="1048" spans="1:6">
      <c r="A1048" s="539"/>
      <c r="B1048" s="609"/>
      <c r="C1048" s="597"/>
      <c r="D1048" s="521"/>
      <c r="E1048" s="542"/>
      <c r="F1048" s="1358"/>
    </row>
    <row r="1049" spans="1:6">
      <c r="A1049" s="549" t="s">
        <v>93</v>
      </c>
      <c r="B1049" s="550" t="s">
        <v>553</v>
      </c>
      <c r="C1049" s="597"/>
      <c r="D1049" s="521"/>
      <c r="E1049" s="542"/>
      <c r="F1049" s="1358"/>
    </row>
    <row r="1050" spans="1:6">
      <c r="A1050" s="549"/>
      <c r="B1050" s="550"/>
      <c r="C1050" s="597"/>
      <c r="D1050" s="521"/>
      <c r="E1050" s="542"/>
      <c r="F1050" s="1358"/>
    </row>
    <row r="1051" spans="1:6">
      <c r="A1051" s="524">
        <v>1</v>
      </c>
      <c r="B1051" s="552" t="s">
        <v>420</v>
      </c>
      <c r="C1051" s="553"/>
      <c r="D1051" s="554"/>
      <c r="E1051" s="542"/>
      <c r="F1051" s="1358"/>
    </row>
    <row r="1052" spans="1:6">
      <c r="A1052" s="525">
        <v>1.1000000000000001</v>
      </c>
      <c r="B1052" s="556" t="s">
        <v>507</v>
      </c>
      <c r="C1052" s="557">
        <v>1</v>
      </c>
      <c r="D1052" s="558" t="s">
        <v>500</v>
      </c>
      <c r="E1052" s="542">
        <v>970.99</v>
      </c>
      <c r="F1052" s="1353">
        <f>+ROUND(E1052*C1052,2)</f>
        <v>970.99</v>
      </c>
    </row>
    <row r="1053" spans="1:6">
      <c r="A1053" s="559"/>
      <c r="B1053" s="556"/>
      <c r="C1053" s="557"/>
      <c r="D1053" s="560"/>
      <c r="E1053" s="542"/>
      <c r="F1053" s="1358"/>
    </row>
    <row r="1054" spans="1:6">
      <c r="A1054" s="524">
        <v>2</v>
      </c>
      <c r="B1054" s="552" t="s">
        <v>296</v>
      </c>
      <c r="C1054" s="557"/>
      <c r="D1054" s="560"/>
      <c r="E1054" s="542"/>
      <c r="F1054" s="1358"/>
    </row>
    <row r="1055" spans="1:6">
      <c r="A1055" s="525">
        <v>2.1</v>
      </c>
      <c r="B1055" s="526" t="s">
        <v>449</v>
      </c>
      <c r="C1055" s="557">
        <v>64.06</v>
      </c>
      <c r="D1055" s="560" t="s">
        <v>364</v>
      </c>
      <c r="E1055" s="542">
        <v>10.199999999999999</v>
      </c>
      <c r="F1055" s="1353">
        <f>+ROUND(E1055*C1055,2)</f>
        <v>653.41</v>
      </c>
    </row>
    <row r="1056" spans="1:6">
      <c r="A1056" s="525">
        <v>2.2999999999999998</v>
      </c>
      <c r="B1056" s="556" t="s">
        <v>450</v>
      </c>
      <c r="C1056" s="557">
        <v>120.16</v>
      </c>
      <c r="D1056" s="560" t="s">
        <v>426</v>
      </c>
      <c r="E1056" s="542">
        <v>9.4600000000000009</v>
      </c>
      <c r="F1056" s="1353">
        <f>+ROUND(E1056*C1056,2)</f>
        <v>1136.71</v>
      </c>
    </row>
    <row r="1057" spans="1:6">
      <c r="A1057" s="525">
        <v>2.4</v>
      </c>
      <c r="B1057" s="561" t="s">
        <v>509</v>
      </c>
      <c r="C1057" s="557">
        <v>53.44</v>
      </c>
      <c r="D1057" s="560" t="s">
        <v>367</v>
      </c>
      <c r="E1057" s="542">
        <v>9.0299999999999994</v>
      </c>
      <c r="F1057" s="1353">
        <f>+ROUND(E1057*C1057,2)</f>
        <v>482.56</v>
      </c>
    </row>
    <row r="1058" spans="1:6">
      <c r="A1058" s="559"/>
      <c r="B1058" s="556"/>
      <c r="C1058" s="557">
        <v>0</v>
      </c>
      <c r="D1058" s="560"/>
      <c r="E1058" s="542"/>
      <c r="F1058" s="1358"/>
    </row>
    <row r="1059" spans="1:6">
      <c r="A1059" s="524">
        <v>3</v>
      </c>
      <c r="B1059" s="562" t="s">
        <v>554</v>
      </c>
      <c r="C1059" s="557">
        <v>0</v>
      </c>
      <c r="D1059" s="560"/>
      <c r="E1059" s="542"/>
      <c r="F1059" s="1358"/>
    </row>
    <row r="1060" spans="1:6">
      <c r="A1060" s="525">
        <v>3.1</v>
      </c>
      <c r="B1060" s="563" t="s">
        <v>511</v>
      </c>
      <c r="C1060" s="557">
        <v>22.96</v>
      </c>
      <c r="D1060" s="560" t="s">
        <v>298</v>
      </c>
      <c r="E1060" s="542">
        <v>1280.1300000000001</v>
      </c>
      <c r="F1060" s="1353">
        <f>+ROUND(E1060*C1060,2)</f>
        <v>29391.78</v>
      </c>
    </row>
    <row r="1061" spans="1:6">
      <c r="A1061" s="559"/>
      <c r="B1061" s="556"/>
      <c r="C1061" s="557">
        <v>0</v>
      </c>
      <c r="D1061" s="560"/>
      <c r="E1061" s="542"/>
      <c r="F1061" s="1358"/>
    </row>
    <row r="1062" spans="1:6">
      <c r="A1062" s="524">
        <v>4</v>
      </c>
      <c r="B1062" s="552" t="s">
        <v>514</v>
      </c>
      <c r="C1062" s="557">
        <v>0</v>
      </c>
      <c r="D1062" s="560"/>
      <c r="E1062" s="542"/>
      <c r="F1062" s="1358"/>
    </row>
    <row r="1063" spans="1:6">
      <c r="A1063" s="525">
        <v>4.0999999999999996</v>
      </c>
      <c r="B1063" s="556" t="s">
        <v>515</v>
      </c>
      <c r="C1063" s="557">
        <v>132.6</v>
      </c>
      <c r="D1063" s="560" t="s">
        <v>300</v>
      </c>
      <c r="E1063" s="542">
        <v>318.47000000000003</v>
      </c>
      <c r="F1063" s="1353">
        <f>+ROUND(E1063*C1063,2)</f>
        <v>42229.120000000003</v>
      </c>
    </row>
    <row r="1064" spans="1:6">
      <c r="A1064" s="559"/>
      <c r="B1064" s="556"/>
      <c r="C1064" s="557">
        <v>0</v>
      </c>
      <c r="D1064" s="560"/>
      <c r="E1064" s="542"/>
      <c r="F1064" s="1358"/>
    </row>
    <row r="1065" spans="1:6">
      <c r="A1065" s="524">
        <v>6</v>
      </c>
      <c r="B1065" s="552" t="s">
        <v>521</v>
      </c>
      <c r="C1065" s="557">
        <v>0</v>
      </c>
      <c r="D1065" s="560"/>
      <c r="E1065" s="542"/>
      <c r="F1065" s="1358"/>
    </row>
    <row r="1066" spans="1:6">
      <c r="A1066" s="539">
        <v>6.1</v>
      </c>
      <c r="B1066" s="556" t="s">
        <v>522</v>
      </c>
      <c r="C1066" s="557">
        <v>1216</v>
      </c>
      <c r="D1066" s="560" t="s">
        <v>300</v>
      </c>
      <c r="E1066" s="542">
        <v>157.34</v>
      </c>
      <c r="F1066" s="1353">
        <f>+ROUND(E1066*C1066,2)</f>
        <v>191325.44</v>
      </c>
    </row>
    <row r="1067" spans="1:6">
      <c r="A1067" s="559"/>
      <c r="B1067" s="556"/>
      <c r="C1067" s="557">
        <v>0</v>
      </c>
      <c r="D1067" s="560"/>
      <c r="E1067" s="542"/>
      <c r="F1067" s="1358"/>
    </row>
    <row r="1068" spans="1:6">
      <c r="A1068" s="559"/>
      <c r="B1068" s="561"/>
      <c r="C1068" s="557">
        <v>0</v>
      </c>
      <c r="D1068" s="560"/>
      <c r="E1068" s="542"/>
      <c r="F1068" s="1358"/>
    </row>
    <row r="1069" spans="1:6">
      <c r="A1069" s="524">
        <v>8</v>
      </c>
      <c r="B1069" s="552" t="s">
        <v>527</v>
      </c>
      <c r="C1069" s="557">
        <v>0</v>
      </c>
      <c r="D1069" s="560"/>
      <c r="E1069" s="542"/>
      <c r="F1069" s="1358"/>
    </row>
    <row r="1070" spans="1:6" ht="25.5">
      <c r="A1070" s="525">
        <v>8.1</v>
      </c>
      <c r="B1070" s="561" t="s">
        <v>529</v>
      </c>
      <c r="C1070" s="557">
        <v>408</v>
      </c>
      <c r="D1070" s="560" t="s">
        <v>300</v>
      </c>
      <c r="E1070" s="542">
        <v>-0.03</v>
      </c>
      <c r="F1070" s="1353">
        <f>+ROUND(E1070*C1070,2)</f>
        <v>-12.24</v>
      </c>
    </row>
    <row r="1071" spans="1:6" ht="25.5">
      <c r="A1071" s="525">
        <v>8.1999999999999993</v>
      </c>
      <c r="B1071" s="561" t="s">
        <v>530</v>
      </c>
      <c r="C1071" s="557">
        <v>892</v>
      </c>
      <c r="D1071" s="560" t="s">
        <v>300</v>
      </c>
      <c r="E1071" s="542">
        <v>-0.03</v>
      </c>
      <c r="F1071" s="1353">
        <f>+ROUND(E1071*C1071,2)</f>
        <v>-26.76</v>
      </c>
    </row>
    <row r="1072" spans="1:6">
      <c r="A1072" s="525">
        <v>8.3000000000000007</v>
      </c>
      <c r="B1072" s="561" t="s">
        <v>532</v>
      </c>
      <c r="C1072" s="557">
        <v>1</v>
      </c>
      <c r="D1072" s="560" t="s">
        <v>500</v>
      </c>
      <c r="E1072" s="542">
        <v>-0.03</v>
      </c>
      <c r="F1072" s="1353">
        <f>+ROUND(E1072*C1072,2)</f>
        <v>-0.03</v>
      </c>
    </row>
    <row r="1073" spans="1:6">
      <c r="A1073" s="559"/>
      <c r="B1073" s="1118" t="s">
        <v>533</v>
      </c>
      <c r="C1073" s="581"/>
      <c r="D1073" s="1119"/>
      <c r="E1073" s="542"/>
      <c r="F1073" s="1394">
        <f>SUM(F1051:F1072)</f>
        <v>266150.98</v>
      </c>
    </row>
    <row r="1074" spans="1:6">
      <c r="A1074" s="571"/>
      <c r="B1074" s="563"/>
      <c r="C1074" s="572"/>
      <c r="D1074" s="573"/>
      <c r="E1074" s="542"/>
      <c r="F1074" s="1358"/>
    </row>
    <row r="1075" spans="1:6">
      <c r="A1075" s="549" t="s">
        <v>432</v>
      </c>
      <c r="B1075" s="550" t="s">
        <v>555</v>
      </c>
      <c r="C1075" s="574"/>
      <c r="D1075" s="574"/>
      <c r="E1075" s="542"/>
      <c r="F1075" s="1358"/>
    </row>
    <row r="1076" spans="1:6">
      <c r="A1076" s="575"/>
      <c r="B1076" s="562"/>
      <c r="C1076" s="576"/>
      <c r="D1076" s="558"/>
      <c r="E1076" s="542"/>
      <c r="F1076" s="1358"/>
    </row>
    <row r="1077" spans="1:6">
      <c r="A1077" s="524">
        <v>1</v>
      </c>
      <c r="B1077" s="552" t="s">
        <v>420</v>
      </c>
      <c r="C1077" s="577"/>
      <c r="D1077" s="558"/>
      <c r="E1077" s="542"/>
      <c r="F1077" s="1358"/>
    </row>
    <row r="1078" spans="1:6">
      <c r="A1078" s="525">
        <v>1.1000000000000001</v>
      </c>
      <c r="B1078" s="556" t="s">
        <v>507</v>
      </c>
      <c r="C1078" s="558">
        <v>1</v>
      </c>
      <c r="D1078" s="558" t="s">
        <v>500</v>
      </c>
      <c r="E1078" s="542">
        <v>970.99</v>
      </c>
      <c r="F1078" s="1353">
        <f>+ROUND(E1078*C1078,2)</f>
        <v>970.99</v>
      </c>
    </row>
    <row r="1079" spans="1:6">
      <c r="A1079" s="575"/>
      <c r="B1079" s="562"/>
      <c r="C1079" s="578"/>
      <c r="D1079" s="579"/>
      <c r="E1079" s="542"/>
      <c r="F1079" s="1358"/>
    </row>
    <row r="1080" spans="1:6">
      <c r="A1080" s="524">
        <v>2</v>
      </c>
      <c r="B1080" s="562" t="s">
        <v>296</v>
      </c>
      <c r="C1080" s="558"/>
      <c r="D1080" s="558"/>
      <c r="E1080" s="542"/>
      <c r="F1080" s="1358"/>
    </row>
    <row r="1081" spans="1:6">
      <c r="A1081" s="525">
        <v>2.1</v>
      </c>
      <c r="B1081" s="563" t="s">
        <v>449</v>
      </c>
      <c r="C1081" s="558">
        <v>24.2</v>
      </c>
      <c r="D1081" s="558" t="s">
        <v>364</v>
      </c>
      <c r="E1081" s="542">
        <v>13.69</v>
      </c>
      <c r="F1081" s="1353">
        <f>+ROUND(E1081*C1081,2)</f>
        <v>331.3</v>
      </c>
    </row>
    <row r="1082" spans="1:6">
      <c r="A1082" s="525">
        <v>2.2000000000000002</v>
      </c>
      <c r="B1082" s="563" t="s">
        <v>450</v>
      </c>
      <c r="C1082" s="558">
        <v>9.42</v>
      </c>
      <c r="D1082" s="558" t="s">
        <v>426</v>
      </c>
      <c r="E1082" s="542">
        <v>9.4600000000000009</v>
      </c>
      <c r="F1082" s="1353">
        <f>+ROUND(E1082*C1082,2)</f>
        <v>89.11</v>
      </c>
    </row>
    <row r="1083" spans="1:6">
      <c r="A1083" s="525">
        <v>2.2999999999999998</v>
      </c>
      <c r="B1083" s="580" t="s">
        <v>509</v>
      </c>
      <c r="C1083" s="558">
        <v>19.22</v>
      </c>
      <c r="D1083" s="558" t="s">
        <v>367</v>
      </c>
      <c r="E1083" s="542">
        <v>9.0299999999999994</v>
      </c>
      <c r="F1083" s="1353">
        <f>+ROUND(E1083*C1083,2)</f>
        <v>173.56</v>
      </c>
    </row>
    <row r="1084" spans="1:6">
      <c r="A1084" s="571"/>
      <c r="B1084" s="563"/>
      <c r="C1084" s="558"/>
      <c r="D1084" s="558"/>
      <c r="E1084" s="542"/>
      <c r="F1084" s="1358"/>
    </row>
    <row r="1085" spans="1:6">
      <c r="A1085" s="524">
        <v>3</v>
      </c>
      <c r="B1085" s="562" t="s">
        <v>554</v>
      </c>
      <c r="C1085" s="558"/>
      <c r="D1085" s="577"/>
      <c r="E1085" s="542"/>
      <c r="F1085" s="1358"/>
    </row>
    <row r="1086" spans="1:6">
      <c r="A1086" s="525">
        <v>3.1</v>
      </c>
      <c r="B1086" s="563" t="s">
        <v>535</v>
      </c>
      <c r="C1086" s="558">
        <v>10.119999999999999</v>
      </c>
      <c r="D1086" s="558" t="s">
        <v>298</v>
      </c>
      <c r="E1086" s="542">
        <v>1280.1300000000001</v>
      </c>
      <c r="F1086" s="1353">
        <f>+ROUND(E1086*C1086,2)</f>
        <v>12954.92</v>
      </c>
    </row>
    <row r="1087" spans="1:6">
      <c r="A1087" s="525">
        <v>3.2</v>
      </c>
      <c r="B1087" s="563" t="s">
        <v>536</v>
      </c>
      <c r="C1087" s="558">
        <v>1.7</v>
      </c>
      <c r="D1087" s="558" t="s">
        <v>298</v>
      </c>
      <c r="E1087" s="542">
        <v>2162.56</v>
      </c>
      <c r="F1087" s="1353">
        <f>+ROUND(E1087*C1087,2)</f>
        <v>3676.35</v>
      </c>
    </row>
    <row r="1088" spans="1:6">
      <c r="A1088" s="525">
        <v>3.3</v>
      </c>
      <c r="B1088" s="563" t="s">
        <v>537</v>
      </c>
      <c r="C1088" s="558">
        <v>25.98</v>
      </c>
      <c r="D1088" s="558" t="s">
        <v>298</v>
      </c>
      <c r="E1088" s="542">
        <v>1310.6400000000001</v>
      </c>
      <c r="F1088" s="1353">
        <f>+ROUND(E1088*C1088,2)</f>
        <v>34050.43</v>
      </c>
    </row>
    <row r="1089" spans="1:6">
      <c r="A1089" s="571"/>
      <c r="B1089" s="563"/>
      <c r="C1089" s="558"/>
      <c r="D1089" s="558"/>
      <c r="E1089" s="542"/>
      <c r="F1089" s="1358"/>
    </row>
    <row r="1090" spans="1:6">
      <c r="A1090" s="524">
        <v>4</v>
      </c>
      <c r="B1090" s="562" t="s">
        <v>538</v>
      </c>
      <c r="C1090" s="558"/>
      <c r="D1090" s="558"/>
      <c r="E1090" s="542"/>
      <c r="F1090" s="1358"/>
    </row>
    <row r="1091" spans="1:6">
      <c r="A1091" s="525">
        <v>4.0999999999999996</v>
      </c>
      <c r="B1091" s="563" t="s">
        <v>539</v>
      </c>
      <c r="C1091" s="558">
        <v>50.54</v>
      </c>
      <c r="D1091" s="558" t="s">
        <v>300</v>
      </c>
      <c r="E1091" s="542">
        <v>86.73</v>
      </c>
      <c r="F1091" s="1353">
        <f>+ROUND(E1091*C1091,2)</f>
        <v>4383.33</v>
      </c>
    </row>
    <row r="1092" spans="1:6">
      <c r="A1092" s="525">
        <v>4.2</v>
      </c>
      <c r="B1092" s="563" t="s">
        <v>540</v>
      </c>
      <c r="C1092" s="558">
        <v>113.78</v>
      </c>
      <c r="D1092" s="558" t="s">
        <v>300</v>
      </c>
      <c r="E1092" s="542">
        <v>68.73</v>
      </c>
      <c r="F1092" s="1353">
        <f>+ROUND(E1092*C1092,2)</f>
        <v>7820.1</v>
      </c>
    </row>
    <row r="1093" spans="1:6">
      <c r="A1093" s="571"/>
      <c r="B1093" s="563"/>
      <c r="C1093" s="558"/>
      <c r="D1093" s="558"/>
      <c r="E1093" s="542"/>
      <c r="F1093" s="1358"/>
    </row>
    <row r="1094" spans="1:6">
      <c r="A1094" s="571"/>
      <c r="B1094" s="563"/>
      <c r="C1094" s="558"/>
      <c r="D1094" s="558"/>
      <c r="E1094" s="542"/>
      <c r="F1094" s="1358"/>
    </row>
    <row r="1095" spans="1:6">
      <c r="A1095" s="524">
        <v>6</v>
      </c>
      <c r="B1095" s="562" t="s">
        <v>527</v>
      </c>
      <c r="C1095" s="558"/>
      <c r="D1095" s="558"/>
      <c r="E1095" s="542"/>
      <c r="F1095" s="1358"/>
    </row>
    <row r="1096" spans="1:6">
      <c r="A1096" s="525">
        <v>6.1</v>
      </c>
      <c r="B1096" s="563" t="s">
        <v>545</v>
      </c>
      <c r="C1096" s="558">
        <v>313.8</v>
      </c>
      <c r="D1096" s="558" t="s">
        <v>300</v>
      </c>
      <c r="E1096" s="542">
        <v>-4.92</v>
      </c>
      <c r="F1096" s="1353">
        <f>+ROUND(E1096*C1096,2)</f>
        <v>-1543.9</v>
      </c>
    </row>
    <row r="1097" spans="1:6">
      <c r="A1097" s="525">
        <v>6.2</v>
      </c>
      <c r="B1097" s="563" t="s">
        <v>546</v>
      </c>
      <c r="C1097" s="558">
        <v>313.8</v>
      </c>
      <c r="D1097" s="558" t="s">
        <v>300</v>
      </c>
      <c r="E1097" s="542">
        <v>-4.92</v>
      </c>
      <c r="F1097" s="1353">
        <f>+ROUND(E1097*C1097,2)</f>
        <v>-1543.9</v>
      </c>
    </row>
    <row r="1098" spans="1:6">
      <c r="A1098" s="571"/>
      <c r="B1098" s="563"/>
      <c r="C1098" s="558"/>
      <c r="D1098" s="558"/>
      <c r="E1098" s="542"/>
      <c r="F1098" s="1358"/>
    </row>
    <row r="1099" spans="1:6">
      <c r="A1099" s="524">
        <v>7</v>
      </c>
      <c r="B1099" s="562" t="s">
        <v>547</v>
      </c>
      <c r="C1099" s="577"/>
      <c r="D1099" s="558"/>
      <c r="E1099" s="542"/>
      <c r="F1099" s="1358"/>
    </row>
    <row r="1100" spans="1:6">
      <c r="A1100" s="525">
        <v>7.2</v>
      </c>
      <c r="B1100" s="563" t="s">
        <v>549</v>
      </c>
      <c r="C1100" s="577">
        <v>6</v>
      </c>
      <c r="D1100" s="558" t="s">
        <v>15</v>
      </c>
      <c r="E1100" s="542">
        <v>86.5</v>
      </c>
      <c r="F1100" s="1353">
        <f>+ROUND(E1100*C1100,2)</f>
        <v>519</v>
      </c>
    </row>
    <row r="1101" spans="1:6">
      <c r="A1101" s="559"/>
      <c r="B1101" s="1118" t="s">
        <v>550</v>
      </c>
      <c r="C1101" s="581"/>
      <c r="D1101" s="1119"/>
      <c r="E1101" s="542"/>
      <c r="F1101" s="1394">
        <f>SUM(F1077:F1100)</f>
        <v>61881.29</v>
      </c>
    </row>
    <row r="1102" spans="1:6">
      <c r="A1102" s="539"/>
      <c r="B1102" s="609"/>
      <c r="C1102" s="597"/>
      <c r="D1102" s="521"/>
      <c r="E1102" s="542"/>
      <c r="F1102" s="1358"/>
    </row>
    <row r="1103" spans="1:6">
      <c r="A1103" s="1120"/>
      <c r="B1103" s="1114" t="s">
        <v>556</v>
      </c>
      <c r="C1103" s="1121"/>
      <c r="D1103" s="1122"/>
      <c r="E1103" s="542"/>
      <c r="F1103" s="1396">
        <f>F1101+F1073</f>
        <v>328032.27</v>
      </c>
    </row>
    <row r="1104" spans="1:6">
      <c r="A1104" s="1096"/>
      <c r="B1104" s="689"/>
      <c r="C1104" s="1097"/>
      <c r="D1104" s="1098"/>
      <c r="E1104" s="542"/>
      <c r="F1104" s="1397"/>
    </row>
    <row r="1105" spans="1:6">
      <c r="A1105" s="504" t="s">
        <v>557</v>
      </c>
      <c r="B1105" s="774" t="s">
        <v>903</v>
      </c>
      <c r="C1105" s="506"/>
      <c r="D1105" s="507"/>
      <c r="E1105" s="542"/>
      <c r="F1105" s="1358"/>
    </row>
    <row r="1106" spans="1:6">
      <c r="A1106" s="504"/>
      <c r="B1106" s="774"/>
      <c r="C1106" s="506"/>
      <c r="D1106" s="507"/>
      <c r="E1106" s="542"/>
      <c r="F1106" s="1358"/>
    </row>
    <row r="1107" spans="1:6">
      <c r="A1107" s="524">
        <v>1</v>
      </c>
      <c r="B1107" s="774" t="s">
        <v>420</v>
      </c>
      <c r="C1107" s="506"/>
      <c r="D1107" s="507"/>
      <c r="E1107" s="542"/>
      <c r="F1107" s="1368"/>
    </row>
    <row r="1108" spans="1:6">
      <c r="A1108" s="525">
        <v>1.1000000000000001</v>
      </c>
      <c r="B1108" s="526" t="s">
        <v>507</v>
      </c>
      <c r="C1108" s="506">
        <v>1</v>
      </c>
      <c r="D1108" s="507" t="s">
        <v>500</v>
      </c>
      <c r="E1108" s="542">
        <v>970.99</v>
      </c>
      <c r="F1108" s="1369">
        <f>ROUND(C1108*E1108,2)</f>
        <v>970.99</v>
      </c>
    </row>
    <row r="1109" spans="1:6">
      <c r="A1109" s="777"/>
      <c r="B1109" s="774"/>
      <c r="C1109" s="506"/>
      <c r="D1109" s="507"/>
      <c r="E1109" s="542"/>
      <c r="F1109" s="1369"/>
    </row>
    <row r="1110" spans="1:6">
      <c r="A1110" s="524">
        <v>2</v>
      </c>
      <c r="B1110" s="774" t="s">
        <v>296</v>
      </c>
      <c r="C1110" s="506"/>
      <c r="D1110" s="507"/>
      <c r="E1110" s="542"/>
      <c r="F1110" s="1369"/>
    </row>
    <row r="1111" spans="1:6">
      <c r="A1111" s="525">
        <v>2.1</v>
      </c>
      <c r="B1111" s="526" t="s">
        <v>558</v>
      </c>
      <c r="C1111" s="506">
        <v>41.26</v>
      </c>
      <c r="D1111" s="507" t="s">
        <v>364</v>
      </c>
      <c r="E1111" s="542">
        <v>10.199999999999999</v>
      </c>
      <c r="F1111" s="1369">
        <f>ROUND(C1111*E1111,2)</f>
        <v>420.85</v>
      </c>
    </row>
    <row r="1112" spans="1:6">
      <c r="A1112" s="525">
        <v>2.2000000000000002</v>
      </c>
      <c r="B1112" s="661" t="s">
        <v>812</v>
      </c>
      <c r="C1112" s="506">
        <v>20.63</v>
      </c>
      <c r="D1112" s="507" t="s">
        <v>426</v>
      </c>
      <c r="E1112" s="542">
        <v>9.4600000000000009</v>
      </c>
      <c r="F1112" s="1369">
        <f>ROUND(C1112*E1112,2)</f>
        <v>195.16</v>
      </c>
    </row>
    <row r="1113" spans="1:6">
      <c r="A1113" s="525">
        <v>2.2999999999999998</v>
      </c>
      <c r="B1113" s="526" t="s">
        <v>509</v>
      </c>
      <c r="C1113" s="506">
        <v>20.63</v>
      </c>
      <c r="D1113" s="507" t="s">
        <v>367</v>
      </c>
      <c r="E1113" s="542">
        <v>9.0299999999999994</v>
      </c>
      <c r="F1113" s="1369">
        <f>ROUND(C1113*E1113,2)</f>
        <v>186.29</v>
      </c>
    </row>
    <row r="1114" spans="1:6">
      <c r="A1114" s="539"/>
      <c r="B1114" s="526"/>
      <c r="C1114" s="506"/>
      <c r="D1114" s="507"/>
      <c r="E1114" s="542"/>
      <c r="F1114" s="1369"/>
    </row>
    <row r="1115" spans="1:6">
      <c r="A1115" s="524">
        <v>3</v>
      </c>
      <c r="B1115" s="774" t="s">
        <v>510</v>
      </c>
      <c r="C1115" s="506"/>
      <c r="D1115" s="507"/>
      <c r="E1115" s="542"/>
      <c r="F1115" s="1369"/>
    </row>
    <row r="1116" spans="1:6">
      <c r="A1116" s="525">
        <v>3.1</v>
      </c>
      <c r="B1116" s="526" t="s">
        <v>559</v>
      </c>
      <c r="C1116" s="506">
        <v>7.2</v>
      </c>
      <c r="D1116" s="507" t="s">
        <v>298</v>
      </c>
      <c r="E1116" s="542">
        <v>1818.2</v>
      </c>
      <c r="F1116" s="1369">
        <f>ROUND(C1116*E1116,2)</f>
        <v>13091.04</v>
      </c>
    </row>
    <row r="1117" spans="1:6">
      <c r="A1117" s="525">
        <v>3.2</v>
      </c>
      <c r="B1117" s="526" t="s">
        <v>560</v>
      </c>
      <c r="C1117" s="506">
        <v>11.61</v>
      </c>
      <c r="D1117" s="507" t="s">
        <v>298</v>
      </c>
      <c r="E1117" s="542">
        <v>8776.08</v>
      </c>
      <c r="F1117" s="1369">
        <f>ROUND(C1117*E1117,2)</f>
        <v>101890.29</v>
      </c>
    </row>
    <row r="1118" spans="1:6">
      <c r="A1118" s="525">
        <v>3.3</v>
      </c>
      <c r="B1118" s="526" t="s">
        <v>561</v>
      </c>
      <c r="C1118" s="506">
        <v>37.76</v>
      </c>
      <c r="D1118" s="507" t="s">
        <v>298</v>
      </c>
      <c r="E1118" s="542">
        <v>2036.56</v>
      </c>
      <c r="F1118" s="1369">
        <f>ROUND(C1118*E1118,2)</f>
        <v>76900.509999999995</v>
      </c>
    </row>
    <row r="1119" spans="1:6">
      <c r="A1119" s="525">
        <v>3.4</v>
      </c>
      <c r="B1119" s="526" t="s">
        <v>562</v>
      </c>
      <c r="C1119" s="506">
        <v>35.229999999999997</v>
      </c>
      <c r="D1119" s="507" t="s">
        <v>298</v>
      </c>
      <c r="E1119" s="542">
        <v>1389</v>
      </c>
      <c r="F1119" s="1369">
        <f>ROUND(C1119*E1119,2)</f>
        <v>48934.47</v>
      </c>
    </row>
    <row r="1120" spans="1:6">
      <c r="A1120" s="539"/>
      <c r="B1120" s="526"/>
      <c r="C1120" s="506"/>
      <c r="D1120" s="507"/>
      <c r="E1120" s="542"/>
      <c r="F1120" s="1369"/>
    </row>
    <row r="1121" spans="1:6">
      <c r="A1121" s="524">
        <v>4</v>
      </c>
      <c r="B1121" s="774" t="s">
        <v>516</v>
      </c>
      <c r="C1121" s="506"/>
      <c r="D1121" s="507"/>
      <c r="E1121" s="542"/>
      <c r="F1121" s="1369"/>
    </row>
    <row r="1122" spans="1:6">
      <c r="A1122" s="525">
        <v>4.3</v>
      </c>
      <c r="B1122" s="526" t="s">
        <v>564</v>
      </c>
      <c r="C1122" s="506">
        <v>274.56</v>
      </c>
      <c r="D1122" s="507" t="s">
        <v>300</v>
      </c>
      <c r="E1122" s="542">
        <v>-4.92</v>
      </c>
      <c r="F1122" s="1369">
        <f t="shared" ref="F1122:F1124" si="32">ROUND(C1122*E1122,2)</f>
        <v>-1350.84</v>
      </c>
    </row>
    <row r="1123" spans="1:6">
      <c r="A1123" s="525">
        <v>4.8</v>
      </c>
      <c r="B1123" s="519" t="s">
        <v>568</v>
      </c>
      <c r="C1123" s="506">
        <v>24</v>
      </c>
      <c r="D1123" s="507" t="s">
        <v>10</v>
      </c>
      <c r="E1123" s="542">
        <v>1521.56</v>
      </c>
      <c r="F1123" s="1369">
        <f t="shared" si="32"/>
        <v>36517.440000000002</v>
      </c>
    </row>
    <row r="1124" spans="1:6">
      <c r="A1124" s="525">
        <v>4.9000000000000004</v>
      </c>
      <c r="B1124" s="519" t="s">
        <v>569</v>
      </c>
      <c r="C1124" s="506">
        <v>112.27</v>
      </c>
      <c r="D1124" s="507" t="s">
        <v>300</v>
      </c>
      <c r="E1124" s="542">
        <v>0.04</v>
      </c>
      <c r="F1124" s="1369">
        <f t="shared" si="32"/>
        <v>4.49</v>
      </c>
    </row>
    <row r="1125" spans="1:6">
      <c r="A1125" s="859"/>
      <c r="B1125" s="848"/>
      <c r="C1125" s="860"/>
      <c r="D1125" s="861"/>
      <c r="E1125" s="542"/>
      <c r="F1125" s="1370"/>
    </row>
    <row r="1126" spans="1:6">
      <c r="A1126" s="524">
        <v>5</v>
      </c>
      <c r="B1126" s="774" t="s">
        <v>570</v>
      </c>
      <c r="C1126" s="506"/>
      <c r="D1126" s="507"/>
      <c r="E1126" s="542"/>
      <c r="F1126" s="1369"/>
    </row>
    <row r="1127" spans="1:6">
      <c r="A1127" s="525">
        <v>5.4</v>
      </c>
      <c r="B1127" s="526" t="s">
        <v>574</v>
      </c>
      <c r="C1127" s="506">
        <v>245.76</v>
      </c>
      <c r="D1127" s="507" t="s">
        <v>300</v>
      </c>
      <c r="E1127" s="542">
        <v>0.04</v>
      </c>
      <c r="F1127" s="1369">
        <f>ROUND(C1127*E1127,2)</f>
        <v>9.83</v>
      </c>
    </row>
    <row r="1128" spans="1:6">
      <c r="A1128" s="525">
        <v>5.6</v>
      </c>
      <c r="B1128" s="526" t="s">
        <v>576</v>
      </c>
      <c r="C1128" s="506"/>
      <c r="D1128" s="507"/>
      <c r="E1128" s="542"/>
      <c r="F1128" s="1369"/>
    </row>
    <row r="1129" spans="1:6">
      <c r="A1129" s="539"/>
      <c r="B1129" s="526"/>
      <c r="C1129" s="506"/>
      <c r="D1129" s="507"/>
      <c r="E1129" s="542"/>
      <c r="F1129" s="1369"/>
    </row>
    <row r="1130" spans="1:6">
      <c r="A1130" s="524">
        <v>6</v>
      </c>
      <c r="B1130" s="774" t="s">
        <v>577</v>
      </c>
      <c r="C1130" s="506"/>
      <c r="D1130" s="507"/>
      <c r="E1130" s="542"/>
      <c r="F1130" s="1369"/>
    </row>
    <row r="1131" spans="1:6">
      <c r="A1131" s="778">
        <v>6.1</v>
      </c>
      <c r="B1131" s="526" t="s">
        <v>578</v>
      </c>
      <c r="C1131" s="506">
        <v>106.92</v>
      </c>
      <c r="D1131" s="507" t="s">
        <v>15</v>
      </c>
      <c r="E1131" s="542">
        <v>263.95</v>
      </c>
      <c r="F1131" s="1369">
        <f>ROUND(C1131*E1131,2)</f>
        <v>28221.53</v>
      </c>
    </row>
    <row r="1132" spans="1:6">
      <c r="A1132" s="778">
        <v>6.2</v>
      </c>
      <c r="B1132" s="526" t="s">
        <v>579</v>
      </c>
      <c r="C1132" s="506">
        <v>1</v>
      </c>
      <c r="D1132" s="507" t="s">
        <v>500</v>
      </c>
      <c r="E1132" s="542">
        <v>4836.8999999999996</v>
      </c>
      <c r="F1132" s="1369">
        <f>ROUND(C1132*E1132,2)</f>
        <v>4836.8999999999996</v>
      </c>
    </row>
    <row r="1133" spans="1:6" ht="15" customHeight="1">
      <c r="A1133" s="1115"/>
      <c r="B1133" s="504" t="s">
        <v>580</v>
      </c>
      <c r="C1133" s="1116"/>
      <c r="D1133" s="1117"/>
      <c r="E1133" s="542"/>
      <c r="F1133" s="1392">
        <f>SUM(F1107:F1132)</f>
        <v>310828.95</v>
      </c>
    </row>
    <row r="1134" spans="1:6">
      <c r="A1134" s="1115"/>
      <c r="B1134" s="504"/>
      <c r="C1134" s="1116"/>
      <c r="D1134" s="1117"/>
      <c r="E1134" s="542"/>
      <c r="F1134" s="1392"/>
    </row>
    <row r="1135" spans="1:6">
      <c r="A1135" s="539"/>
      <c r="B1135" s="609"/>
      <c r="C1135" s="597"/>
      <c r="D1135" s="521"/>
      <c r="E1135" s="542"/>
      <c r="F1135" s="1358"/>
    </row>
    <row r="1136" spans="1:6">
      <c r="A1136" s="837" t="s">
        <v>581</v>
      </c>
      <c r="B1136" s="550" t="s">
        <v>582</v>
      </c>
      <c r="C1136" s="597"/>
      <c r="D1136" s="521"/>
      <c r="E1136" s="542"/>
      <c r="F1136" s="1358"/>
    </row>
    <row r="1137" spans="1:6">
      <c r="A1137" s="539"/>
      <c r="B1137" s="609"/>
      <c r="C1137" s="597"/>
      <c r="D1137" s="521"/>
      <c r="E1137" s="542"/>
      <c r="F1137" s="1358"/>
    </row>
    <row r="1138" spans="1:6">
      <c r="A1138" s="588">
        <v>1</v>
      </c>
      <c r="B1138" s="589" t="s">
        <v>420</v>
      </c>
      <c r="C1138" s="597"/>
      <c r="D1138" s="521"/>
      <c r="E1138" s="542"/>
      <c r="F1138" s="1358"/>
    </row>
    <row r="1139" spans="1:6">
      <c r="A1139" s="590"/>
      <c r="B1139" s="591" t="s">
        <v>509</v>
      </c>
      <c r="C1139" s="592">
        <v>85.8</v>
      </c>
      <c r="D1139" s="521" t="s">
        <v>426</v>
      </c>
      <c r="E1139" s="542">
        <v>9.0299999999999994</v>
      </c>
      <c r="F1139" s="1353">
        <f>+ROUND(E1139*C1139,2)</f>
        <v>774.77</v>
      </c>
    </row>
    <row r="1140" spans="1:6">
      <c r="A1140" s="590"/>
      <c r="B1140" s="591" t="s">
        <v>584</v>
      </c>
      <c r="C1140" s="592">
        <v>113</v>
      </c>
      <c r="D1140" s="521" t="s">
        <v>300</v>
      </c>
      <c r="E1140" s="542">
        <v>956.11</v>
      </c>
      <c r="F1140" s="1353">
        <f>+ROUND(E1140*C1140,2)</f>
        <v>108040.43</v>
      </c>
    </row>
    <row r="1141" spans="1:6">
      <c r="A1141" s="591"/>
      <c r="B1141" s="591"/>
      <c r="C1141" s="597"/>
      <c r="D1141" s="521"/>
      <c r="E1141" s="542"/>
      <c r="F1141" s="1358"/>
    </row>
    <row r="1142" spans="1:6">
      <c r="A1142" s="588">
        <v>2</v>
      </c>
      <c r="B1142" s="589" t="s">
        <v>23</v>
      </c>
      <c r="C1142" s="597"/>
      <c r="D1142" s="521"/>
      <c r="E1142" s="542"/>
      <c r="F1142" s="1358"/>
    </row>
    <row r="1143" spans="1:6">
      <c r="A1143" s="590">
        <v>2.1</v>
      </c>
      <c r="B1143" s="591" t="s">
        <v>587</v>
      </c>
      <c r="C1143" s="592">
        <v>29.23</v>
      </c>
      <c r="D1143" s="521" t="s">
        <v>367</v>
      </c>
      <c r="E1143" s="542">
        <v>122.58</v>
      </c>
      <c r="F1143" s="1353">
        <f>+ROUND(E1143*C1143,2)</f>
        <v>3583.01</v>
      </c>
    </row>
    <row r="1144" spans="1:6">
      <c r="A1144" s="590">
        <v>2.2000000000000002</v>
      </c>
      <c r="B1144" s="591" t="s">
        <v>450</v>
      </c>
      <c r="C1144" s="592">
        <v>32.479999999999997</v>
      </c>
      <c r="D1144" s="521" t="s">
        <v>426</v>
      </c>
      <c r="E1144" s="542">
        <v>16.670000000000002</v>
      </c>
      <c r="F1144" s="1353">
        <f>+ROUND(E1144*C1144,2)</f>
        <v>541.44000000000005</v>
      </c>
    </row>
    <row r="1145" spans="1:6">
      <c r="A1145" s="590">
        <v>2.2999999999999998</v>
      </c>
      <c r="B1145" s="591" t="s">
        <v>588</v>
      </c>
      <c r="C1145" s="592">
        <v>15.06</v>
      </c>
      <c r="D1145" s="521" t="s">
        <v>298</v>
      </c>
      <c r="E1145" s="542">
        <v>16.670000000000002</v>
      </c>
      <c r="F1145" s="1353">
        <f>+ROUND(E1145*C1145,2)</f>
        <v>251.05</v>
      </c>
    </row>
    <row r="1146" spans="1:6">
      <c r="A1146" s="590">
        <v>2.4</v>
      </c>
      <c r="B1146" s="591" t="s">
        <v>509</v>
      </c>
      <c r="C1146" s="592">
        <v>15.04</v>
      </c>
      <c r="D1146" s="521" t="s">
        <v>367</v>
      </c>
      <c r="E1146" s="542">
        <v>9.0299999999999994</v>
      </c>
      <c r="F1146" s="1353">
        <f>+ROUND(E1146*C1146,2)</f>
        <v>135.81</v>
      </c>
    </row>
    <row r="1147" spans="1:6">
      <c r="A1147" s="591"/>
      <c r="B1147" s="591"/>
      <c r="C1147" s="597"/>
      <c r="D1147" s="521"/>
      <c r="E1147" s="542"/>
      <c r="F1147" s="1358"/>
    </row>
    <row r="1148" spans="1:6">
      <c r="A1148" s="588">
        <v>3</v>
      </c>
      <c r="B1148" s="589" t="s">
        <v>510</v>
      </c>
      <c r="C1148" s="597"/>
      <c r="D1148" s="521"/>
      <c r="E1148" s="542"/>
      <c r="F1148" s="1358"/>
    </row>
    <row r="1149" spans="1:6">
      <c r="A1149" s="590">
        <v>3.1</v>
      </c>
      <c r="B1149" s="591" t="s">
        <v>589</v>
      </c>
      <c r="C1149" s="592">
        <v>10.35</v>
      </c>
      <c r="D1149" s="521" t="s">
        <v>298</v>
      </c>
      <c r="E1149" s="542">
        <v>1424.13</v>
      </c>
      <c r="F1149" s="1353">
        <f t="shared" ref="F1149:F1160" si="33">+ROUND(E1149*C1149,2)</f>
        <v>14739.75</v>
      </c>
    </row>
    <row r="1150" spans="1:6">
      <c r="A1150" s="590">
        <v>3.2</v>
      </c>
      <c r="B1150" s="591" t="s">
        <v>590</v>
      </c>
      <c r="C1150" s="592">
        <v>0.42</v>
      </c>
      <c r="D1150" s="521" t="s">
        <v>298</v>
      </c>
      <c r="E1150" s="542">
        <v>1476.63</v>
      </c>
      <c r="F1150" s="1353">
        <f t="shared" si="33"/>
        <v>620.17999999999995</v>
      </c>
    </row>
    <row r="1151" spans="1:6">
      <c r="A1151" s="590">
        <v>3.3</v>
      </c>
      <c r="B1151" s="591" t="s">
        <v>591</v>
      </c>
      <c r="C1151" s="592">
        <v>0.8</v>
      </c>
      <c r="D1151" s="521" t="s">
        <v>298</v>
      </c>
      <c r="E1151" s="542">
        <v>1841.13</v>
      </c>
      <c r="F1151" s="1353">
        <f t="shared" si="33"/>
        <v>1472.9</v>
      </c>
    </row>
    <row r="1152" spans="1:6">
      <c r="A1152" s="590">
        <v>3.4</v>
      </c>
      <c r="B1152" s="591" t="s">
        <v>592</v>
      </c>
      <c r="C1152" s="592">
        <v>1.05</v>
      </c>
      <c r="D1152" s="521" t="s">
        <v>298</v>
      </c>
      <c r="E1152" s="542">
        <v>9685.08</v>
      </c>
      <c r="F1152" s="1353">
        <f t="shared" si="33"/>
        <v>10169.33</v>
      </c>
    </row>
    <row r="1153" spans="1:6" ht="6.75" customHeight="1">
      <c r="A1153" s="590">
        <v>3.5</v>
      </c>
      <c r="B1153" s="591" t="s">
        <v>593</v>
      </c>
      <c r="C1153" s="592">
        <v>0.64</v>
      </c>
      <c r="D1153" s="521" t="s">
        <v>298</v>
      </c>
      <c r="E1153" s="542">
        <v>10018.08</v>
      </c>
      <c r="F1153" s="1353">
        <f t="shared" si="33"/>
        <v>6411.57</v>
      </c>
    </row>
    <row r="1154" spans="1:6">
      <c r="A1154" s="590">
        <v>3.6</v>
      </c>
      <c r="B1154" s="591" t="s">
        <v>594</v>
      </c>
      <c r="C1154" s="592">
        <v>1.29</v>
      </c>
      <c r="D1154" s="521" t="s">
        <v>298</v>
      </c>
      <c r="E1154" s="542">
        <v>3103.06</v>
      </c>
      <c r="F1154" s="1353">
        <f t="shared" si="33"/>
        <v>4002.95</v>
      </c>
    </row>
    <row r="1155" spans="1:6">
      <c r="A1155" s="590">
        <v>3.7</v>
      </c>
      <c r="B1155" s="591" t="s">
        <v>595</v>
      </c>
      <c r="C1155" s="592">
        <v>1.29</v>
      </c>
      <c r="D1155" s="521" t="s">
        <v>298</v>
      </c>
      <c r="E1155" s="542">
        <v>3103.06</v>
      </c>
      <c r="F1155" s="1353">
        <f t="shared" si="33"/>
        <v>4002.95</v>
      </c>
    </row>
    <row r="1156" spans="1:6">
      <c r="A1156" s="590">
        <v>3.8</v>
      </c>
      <c r="B1156" s="591" t="s">
        <v>596</v>
      </c>
      <c r="C1156" s="592">
        <v>0.34</v>
      </c>
      <c r="D1156" s="521" t="s">
        <v>298</v>
      </c>
      <c r="E1156" s="542">
        <v>2788.06</v>
      </c>
      <c r="F1156" s="1353">
        <f t="shared" si="33"/>
        <v>947.94</v>
      </c>
    </row>
    <row r="1157" spans="1:6">
      <c r="A1157" s="593">
        <v>3.1</v>
      </c>
      <c r="B1157" s="591" t="s">
        <v>598</v>
      </c>
      <c r="C1157" s="592">
        <v>2.41</v>
      </c>
      <c r="D1157" s="521" t="s">
        <v>298</v>
      </c>
      <c r="E1157" s="542">
        <v>2252.56</v>
      </c>
      <c r="F1157" s="1353">
        <f t="shared" si="33"/>
        <v>5428.67</v>
      </c>
    </row>
    <row r="1158" spans="1:6">
      <c r="A1158" s="593">
        <v>3.11</v>
      </c>
      <c r="B1158" s="591" t="s">
        <v>599</v>
      </c>
      <c r="C1158" s="592">
        <v>13</v>
      </c>
      <c r="D1158" s="521" t="s">
        <v>298</v>
      </c>
      <c r="E1158" s="542">
        <v>1469.38</v>
      </c>
      <c r="F1158" s="1353">
        <f t="shared" si="33"/>
        <v>19101.939999999999</v>
      </c>
    </row>
    <row r="1159" spans="1:6" ht="9" customHeight="1">
      <c r="A1159" s="593">
        <v>3.12</v>
      </c>
      <c r="B1159" s="591" t="s">
        <v>600</v>
      </c>
      <c r="C1159" s="592">
        <v>0.32</v>
      </c>
      <c r="D1159" s="521" t="s">
        <v>298</v>
      </c>
      <c r="E1159" s="542">
        <v>3022.06</v>
      </c>
      <c r="F1159" s="1353">
        <f t="shared" si="33"/>
        <v>967.06</v>
      </c>
    </row>
    <row r="1160" spans="1:6">
      <c r="A1160" s="593">
        <v>3.13</v>
      </c>
      <c r="B1160" s="591" t="s">
        <v>601</v>
      </c>
      <c r="C1160" s="592">
        <v>1.05</v>
      </c>
      <c r="D1160" s="521" t="s">
        <v>298</v>
      </c>
      <c r="E1160" s="542">
        <v>1527.88</v>
      </c>
      <c r="F1160" s="1353">
        <f t="shared" si="33"/>
        <v>1604.27</v>
      </c>
    </row>
    <row r="1161" spans="1:6">
      <c r="A1161" s="863"/>
      <c r="B1161" s="864"/>
      <c r="C1161" s="1123"/>
      <c r="D1161" s="883"/>
      <c r="E1161" s="542"/>
      <c r="F1161" s="1395"/>
    </row>
    <row r="1162" spans="1:6">
      <c r="A1162" s="588">
        <v>4</v>
      </c>
      <c r="B1162" s="589" t="s">
        <v>299</v>
      </c>
      <c r="C1162" s="597"/>
      <c r="D1162" s="521"/>
      <c r="E1162" s="542"/>
      <c r="F1162" s="1358"/>
    </row>
    <row r="1163" spans="1:6">
      <c r="A1163" s="590">
        <v>4.0999999999999996</v>
      </c>
      <c r="B1163" s="594" t="s">
        <v>602</v>
      </c>
      <c r="C1163" s="592">
        <v>36.79</v>
      </c>
      <c r="D1163" s="521" t="s">
        <v>300</v>
      </c>
      <c r="E1163" s="542">
        <v>86.73</v>
      </c>
      <c r="F1163" s="1353">
        <f>+ROUND(E1163*C1163,2)</f>
        <v>3190.8</v>
      </c>
    </row>
    <row r="1164" spans="1:6">
      <c r="A1164" s="590">
        <v>4.2</v>
      </c>
      <c r="B1164" s="594" t="s">
        <v>603</v>
      </c>
      <c r="C1164" s="592">
        <v>232.46</v>
      </c>
      <c r="D1164" s="521" t="s">
        <v>300</v>
      </c>
      <c r="E1164" s="542">
        <v>68.73</v>
      </c>
      <c r="F1164" s="1353">
        <f>+ROUND(E1164*C1164,2)</f>
        <v>15976.98</v>
      </c>
    </row>
    <row r="1165" spans="1:6">
      <c r="A1165" s="590">
        <v>4.3</v>
      </c>
      <c r="B1165" s="594" t="s">
        <v>604</v>
      </c>
      <c r="C1165" s="592">
        <v>28.08</v>
      </c>
      <c r="D1165" s="521" t="s">
        <v>300</v>
      </c>
      <c r="E1165" s="542">
        <v>197.37</v>
      </c>
      <c r="F1165" s="1353">
        <f>+ROUND(E1165*C1165,2)</f>
        <v>5542.15</v>
      </c>
    </row>
    <row r="1166" spans="1:6">
      <c r="A1166" s="590">
        <v>4.4000000000000004</v>
      </c>
      <c r="B1166" s="595" t="s">
        <v>605</v>
      </c>
      <c r="C1166" s="592">
        <v>45</v>
      </c>
      <c r="D1166" s="521" t="s">
        <v>300</v>
      </c>
      <c r="E1166" s="542">
        <v>197.37</v>
      </c>
      <c r="F1166" s="1353">
        <f>+ROUND(E1166*C1166,2)</f>
        <v>8881.65</v>
      </c>
    </row>
    <row r="1167" spans="1:6">
      <c r="A1167" s="591"/>
      <c r="B1167" s="591"/>
      <c r="C1167" s="597"/>
      <c r="D1167" s="521"/>
      <c r="E1167" s="542"/>
      <c r="F1167" s="1358"/>
    </row>
    <row r="1168" spans="1:6">
      <c r="A1168" s="588">
        <v>5</v>
      </c>
      <c r="B1168" s="589" t="s">
        <v>516</v>
      </c>
      <c r="C1168" s="597"/>
      <c r="D1168" s="521"/>
      <c r="E1168" s="542"/>
      <c r="F1168" s="1358"/>
    </row>
    <row r="1169" spans="1:6">
      <c r="A1169" s="590">
        <v>5.5</v>
      </c>
      <c r="B1169" s="591" t="s">
        <v>610</v>
      </c>
      <c r="C1169" s="592">
        <v>60</v>
      </c>
      <c r="D1169" s="521" t="s">
        <v>300</v>
      </c>
      <c r="E1169" s="542">
        <v>38</v>
      </c>
      <c r="F1169" s="1353">
        <f t="shared" ref="F1169:F1170" si="34">+ROUND(E1169*C1169,2)</f>
        <v>2280</v>
      </c>
    </row>
    <row r="1170" spans="1:6">
      <c r="A1170" s="590">
        <v>5.6</v>
      </c>
      <c r="B1170" s="591" t="s">
        <v>611</v>
      </c>
      <c r="C1170" s="592">
        <v>32</v>
      </c>
      <c r="D1170" s="521" t="s">
        <v>15</v>
      </c>
      <c r="E1170" s="542">
        <v>80.3</v>
      </c>
      <c r="F1170" s="1353">
        <f t="shared" si="34"/>
        <v>2569.6</v>
      </c>
    </row>
    <row r="1171" spans="1:6">
      <c r="A1171" s="591"/>
      <c r="B1171" s="591"/>
      <c r="C1171" s="597"/>
      <c r="D1171" s="521"/>
      <c r="E1171" s="542"/>
      <c r="F1171" s="1358"/>
    </row>
    <row r="1172" spans="1:6">
      <c r="A1172" s="588">
        <v>8</v>
      </c>
      <c r="B1172" s="589" t="s">
        <v>521</v>
      </c>
      <c r="C1172" s="597"/>
      <c r="D1172" s="521"/>
      <c r="E1172" s="542"/>
      <c r="F1172" s="1358"/>
    </row>
    <row r="1173" spans="1:6">
      <c r="A1173" s="590">
        <v>8.5</v>
      </c>
      <c r="B1173" s="591" t="s">
        <v>629</v>
      </c>
      <c r="C1173" s="592">
        <v>45.26</v>
      </c>
      <c r="D1173" s="521" t="s">
        <v>300</v>
      </c>
      <c r="E1173" s="542">
        <v>263.95</v>
      </c>
      <c r="F1173" s="1353">
        <f t="shared" ref="F1173:F1175" si="35">+ROUND(E1173*C1173,2)</f>
        <v>11946.38</v>
      </c>
    </row>
    <row r="1174" spans="1:6">
      <c r="A1174" s="590">
        <v>8.6</v>
      </c>
      <c r="B1174" s="591" t="s">
        <v>630</v>
      </c>
      <c r="C1174" s="592">
        <v>85.87</v>
      </c>
      <c r="D1174" s="521" t="s">
        <v>300</v>
      </c>
      <c r="E1174" s="542">
        <v>211.32</v>
      </c>
      <c r="F1174" s="1353">
        <f t="shared" si="35"/>
        <v>18146.05</v>
      </c>
    </row>
    <row r="1175" spans="1:6">
      <c r="A1175" s="590">
        <v>8.6999999999999993</v>
      </c>
      <c r="B1175" s="591" t="s">
        <v>631</v>
      </c>
      <c r="C1175" s="592">
        <v>75.260000000000005</v>
      </c>
      <c r="D1175" s="521" t="s">
        <v>300</v>
      </c>
      <c r="E1175" s="542">
        <v>120.26</v>
      </c>
      <c r="F1175" s="1353">
        <f t="shared" si="35"/>
        <v>9050.77</v>
      </c>
    </row>
    <row r="1176" spans="1:6">
      <c r="A1176" s="591"/>
      <c r="B1176" s="591"/>
      <c r="C1176" s="597"/>
      <c r="D1176" s="521"/>
      <c r="E1176" s="542"/>
      <c r="F1176" s="1358"/>
    </row>
    <row r="1177" spans="1:6">
      <c r="A1177" s="591"/>
      <c r="B1177" s="591"/>
      <c r="C1177" s="597"/>
      <c r="D1177" s="521"/>
      <c r="E1177" s="542"/>
      <c r="F1177" s="1358"/>
    </row>
    <row r="1178" spans="1:6">
      <c r="A1178" s="590">
        <v>10</v>
      </c>
      <c r="B1178" s="589" t="s">
        <v>305</v>
      </c>
      <c r="C1178" s="597"/>
      <c r="D1178" s="521"/>
      <c r="E1178" s="542"/>
      <c r="F1178" s="1358"/>
    </row>
    <row r="1179" spans="1:6">
      <c r="A1179" s="590">
        <v>10.1</v>
      </c>
      <c r="B1179" s="591" t="s">
        <v>635</v>
      </c>
      <c r="C1179" s="597">
        <v>4</v>
      </c>
      <c r="D1179" s="521" t="s">
        <v>10</v>
      </c>
      <c r="E1179" s="542">
        <v>255</v>
      </c>
      <c r="F1179" s="1353">
        <f t="shared" ref="F1179:F1192" si="36">+ROUND(E1179*C1179,2)</f>
        <v>1020</v>
      </c>
    </row>
    <row r="1180" spans="1:6">
      <c r="A1180" s="590">
        <v>10.199999999999999</v>
      </c>
      <c r="B1180" s="591" t="s">
        <v>636</v>
      </c>
      <c r="C1180" s="597">
        <v>3</v>
      </c>
      <c r="D1180" s="521" t="s">
        <v>10</v>
      </c>
      <c r="E1180" s="542">
        <v>-0.03</v>
      </c>
      <c r="F1180" s="1353">
        <f t="shared" si="36"/>
        <v>-0.09</v>
      </c>
    </row>
    <row r="1181" spans="1:6" ht="13.5" customHeight="1">
      <c r="A1181" s="590">
        <v>10.3</v>
      </c>
      <c r="B1181" s="591" t="s">
        <v>637</v>
      </c>
      <c r="C1181" s="597">
        <v>1</v>
      </c>
      <c r="D1181" s="521" t="s">
        <v>10</v>
      </c>
      <c r="E1181" s="542">
        <v>0.04</v>
      </c>
      <c r="F1181" s="1353">
        <f t="shared" si="36"/>
        <v>0.04</v>
      </c>
    </row>
    <row r="1182" spans="1:6">
      <c r="A1182" s="590">
        <v>10.4</v>
      </c>
      <c r="B1182" s="591" t="s">
        <v>638</v>
      </c>
      <c r="C1182" s="597">
        <v>5</v>
      </c>
      <c r="D1182" s="521" t="s">
        <v>10</v>
      </c>
      <c r="E1182" s="542">
        <v>2223.3200000000002</v>
      </c>
      <c r="F1182" s="1353">
        <f t="shared" si="36"/>
        <v>11116.6</v>
      </c>
    </row>
    <row r="1183" spans="1:6">
      <c r="A1183" s="590">
        <v>10.6</v>
      </c>
      <c r="B1183" s="591" t="s">
        <v>640</v>
      </c>
      <c r="C1183" s="597">
        <v>8</v>
      </c>
      <c r="D1183" s="521" t="s">
        <v>10</v>
      </c>
      <c r="E1183" s="542">
        <v>0.04</v>
      </c>
      <c r="F1183" s="1353">
        <f t="shared" si="36"/>
        <v>0.32</v>
      </c>
    </row>
    <row r="1184" spans="1:6">
      <c r="A1184" s="590">
        <v>10.8</v>
      </c>
      <c r="B1184" s="591" t="s">
        <v>642</v>
      </c>
      <c r="C1184" s="597">
        <v>30</v>
      </c>
      <c r="D1184" s="521" t="s">
        <v>10</v>
      </c>
      <c r="E1184" s="542">
        <v>0.04</v>
      </c>
      <c r="F1184" s="1353">
        <f t="shared" si="36"/>
        <v>1.2</v>
      </c>
    </row>
    <row r="1185" spans="1:6">
      <c r="A1185" s="590">
        <v>10.9</v>
      </c>
      <c r="B1185" s="591" t="s">
        <v>643</v>
      </c>
      <c r="C1185" s="597">
        <v>4</v>
      </c>
      <c r="D1185" s="521" t="s">
        <v>10</v>
      </c>
      <c r="E1185" s="542">
        <v>-0.04</v>
      </c>
      <c r="F1185" s="1353">
        <f t="shared" si="36"/>
        <v>-0.16</v>
      </c>
    </row>
    <row r="1186" spans="1:6">
      <c r="A1186" s="596">
        <v>10.1</v>
      </c>
      <c r="B1186" s="591" t="s">
        <v>644</v>
      </c>
      <c r="C1186" s="597">
        <v>1</v>
      </c>
      <c r="D1186" s="521" t="s">
        <v>10</v>
      </c>
      <c r="E1186" s="542">
        <v>0.05</v>
      </c>
      <c r="F1186" s="1353">
        <f t="shared" si="36"/>
        <v>0.05</v>
      </c>
    </row>
    <row r="1187" spans="1:6">
      <c r="A1187" s="596">
        <v>10.11</v>
      </c>
      <c r="B1187" s="591" t="s">
        <v>645</v>
      </c>
      <c r="C1187" s="597">
        <v>6</v>
      </c>
      <c r="D1187" s="521" t="s">
        <v>10</v>
      </c>
      <c r="E1187" s="542">
        <v>0.04</v>
      </c>
      <c r="F1187" s="1353">
        <f t="shared" si="36"/>
        <v>0.24</v>
      </c>
    </row>
    <row r="1188" spans="1:6">
      <c r="A1188" s="596">
        <v>10.119999999999999</v>
      </c>
      <c r="B1188" s="591" t="s">
        <v>646</v>
      </c>
      <c r="C1188" s="597">
        <v>1</v>
      </c>
      <c r="D1188" s="521" t="s">
        <v>10</v>
      </c>
      <c r="E1188" s="542">
        <v>0.03</v>
      </c>
      <c r="F1188" s="1353">
        <f t="shared" si="36"/>
        <v>0.03</v>
      </c>
    </row>
    <row r="1189" spans="1:6">
      <c r="A1189" s="596">
        <v>10.130000000000001</v>
      </c>
      <c r="B1189" s="591" t="s">
        <v>647</v>
      </c>
      <c r="C1189" s="597">
        <v>1</v>
      </c>
      <c r="D1189" s="521" t="s">
        <v>10</v>
      </c>
      <c r="E1189" s="542">
        <v>-0.01</v>
      </c>
      <c r="F1189" s="1353">
        <f t="shared" si="36"/>
        <v>-0.01</v>
      </c>
    </row>
    <row r="1190" spans="1:6">
      <c r="A1190" s="596">
        <v>10.15</v>
      </c>
      <c r="B1190" s="591" t="s">
        <v>649</v>
      </c>
      <c r="C1190" s="597">
        <v>1</v>
      </c>
      <c r="D1190" s="521" t="s">
        <v>10</v>
      </c>
      <c r="E1190" s="542">
        <v>-1888.43</v>
      </c>
      <c r="F1190" s="1353">
        <f t="shared" si="36"/>
        <v>-1888.43</v>
      </c>
    </row>
    <row r="1191" spans="1:6">
      <c r="A1191" s="596">
        <v>10.18</v>
      </c>
      <c r="B1191" s="591" t="s">
        <v>652</v>
      </c>
      <c r="C1191" s="597">
        <v>1</v>
      </c>
      <c r="D1191" s="521" t="s">
        <v>10</v>
      </c>
      <c r="E1191" s="542">
        <v>19321.25</v>
      </c>
      <c r="F1191" s="1353">
        <f t="shared" si="36"/>
        <v>19321.25</v>
      </c>
    </row>
    <row r="1192" spans="1:6">
      <c r="A1192" s="596">
        <v>10.19</v>
      </c>
      <c r="B1192" s="591" t="s">
        <v>653</v>
      </c>
      <c r="C1192" s="597">
        <v>1</v>
      </c>
      <c r="D1192" s="521" t="s">
        <v>10</v>
      </c>
      <c r="E1192" s="542">
        <v>66018.070000000007</v>
      </c>
      <c r="F1192" s="1353">
        <f t="shared" si="36"/>
        <v>66018.070000000007</v>
      </c>
    </row>
    <row r="1193" spans="1:6">
      <c r="A1193" s="591"/>
      <c r="B1193" s="591"/>
      <c r="C1193" s="597"/>
      <c r="D1193" s="521"/>
      <c r="E1193" s="542"/>
      <c r="F1193" s="1358"/>
    </row>
    <row r="1194" spans="1:6">
      <c r="A1194" s="588">
        <v>11</v>
      </c>
      <c r="B1194" s="589" t="s">
        <v>303</v>
      </c>
      <c r="C1194" s="597"/>
      <c r="D1194" s="521"/>
      <c r="E1194" s="542"/>
      <c r="F1194" s="1358"/>
    </row>
    <row r="1195" spans="1:6">
      <c r="A1195" s="596">
        <v>11.1</v>
      </c>
      <c r="B1195" s="591" t="s">
        <v>668</v>
      </c>
      <c r="C1195" s="597">
        <v>2</v>
      </c>
      <c r="D1195" s="521" t="s">
        <v>10</v>
      </c>
      <c r="E1195" s="542">
        <v>306</v>
      </c>
      <c r="F1195" s="1353">
        <f t="shared" ref="F1195:F1196" si="37">+ROUND(E1195*C1195,2)</f>
        <v>612</v>
      </c>
    </row>
    <row r="1196" spans="1:6">
      <c r="A1196" s="596">
        <v>11.14</v>
      </c>
      <c r="B1196" s="591" t="s">
        <v>672</v>
      </c>
      <c r="C1196" s="597">
        <v>1</v>
      </c>
      <c r="D1196" s="521" t="s">
        <v>500</v>
      </c>
      <c r="E1196" s="542">
        <v>51000</v>
      </c>
      <c r="F1196" s="1353">
        <f t="shared" si="37"/>
        <v>51000</v>
      </c>
    </row>
    <row r="1197" spans="1:6">
      <c r="A1197" s="591"/>
      <c r="B1197" s="591"/>
      <c r="C1197" s="597"/>
      <c r="D1197" s="521"/>
      <c r="E1197" s="542"/>
      <c r="F1197" s="1358"/>
    </row>
    <row r="1198" spans="1:6">
      <c r="A1198" s="588">
        <v>12</v>
      </c>
      <c r="B1198" s="589" t="s">
        <v>673</v>
      </c>
      <c r="C1198" s="597"/>
      <c r="D1198" s="521"/>
      <c r="E1198" s="542"/>
      <c r="F1198" s="1358"/>
    </row>
    <row r="1199" spans="1:6">
      <c r="A1199" s="590">
        <v>12.1</v>
      </c>
      <c r="B1199" s="591" t="s">
        <v>674</v>
      </c>
      <c r="C1199" s="597">
        <v>110.83</v>
      </c>
      <c r="D1199" s="521" t="s">
        <v>300</v>
      </c>
      <c r="E1199" s="542">
        <v>102.72</v>
      </c>
      <c r="F1199" s="1353">
        <f>+ROUND(E1199*C1199,2)</f>
        <v>11384.46</v>
      </c>
    </row>
    <row r="1200" spans="1:6">
      <c r="A1200" s="590">
        <v>12.2</v>
      </c>
      <c r="B1200" s="591" t="s">
        <v>675</v>
      </c>
      <c r="C1200" s="597">
        <v>46.1</v>
      </c>
      <c r="D1200" s="521" t="s">
        <v>15</v>
      </c>
      <c r="E1200" s="542">
        <v>17.61</v>
      </c>
      <c r="F1200" s="1353">
        <f>+ROUND(E1200*C1200,2)</f>
        <v>811.82</v>
      </c>
    </row>
    <row r="1201" spans="1:6">
      <c r="A1201" s="590">
        <v>12.3</v>
      </c>
      <c r="B1201" s="591" t="s">
        <v>676</v>
      </c>
      <c r="C1201" s="597">
        <v>179.86</v>
      </c>
      <c r="D1201" s="521" t="s">
        <v>300</v>
      </c>
      <c r="E1201" s="542">
        <v>0.04</v>
      </c>
      <c r="F1201" s="1353">
        <f>+ROUND(E1201*C1201,2)</f>
        <v>7.19</v>
      </c>
    </row>
    <row r="1202" spans="1:6">
      <c r="A1202" s="591"/>
      <c r="B1202" s="591"/>
      <c r="C1202" s="597"/>
      <c r="D1202" s="521"/>
      <c r="E1202" s="542"/>
      <c r="F1202" s="1358"/>
    </row>
    <row r="1203" spans="1:6">
      <c r="A1203" s="588">
        <v>14</v>
      </c>
      <c r="B1203" s="589" t="s">
        <v>683</v>
      </c>
      <c r="C1203" s="597"/>
      <c r="D1203" s="521"/>
      <c r="E1203" s="542"/>
      <c r="F1203" s="1358"/>
    </row>
    <row r="1204" spans="1:6">
      <c r="A1204" s="590">
        <v>14.1</v>
      </c>
      <c r="B1204" s="591" t="s">
        <v>684</v>
      </c>
      <c r="C1204" s="597">
        <v>422.88</v>
      </c>
      <c r="D1204" s="521" t="s">
        <v>300</v>
      </c>
      <c r="E1204" s="542">
        <v>-4.92</v>
      </c>
      <c r="F1204" s="1353">
        <f>+ROUND(E1204*C1204,2)</f>
        <v>-2080.5700000000002</v>
      </c>
    </row>
    <row r="1205" spans="1:6">
      <c r="A1205" s="590">
        <v>14.2</v>
      </c>
      <c r="B1205" s="591" t="s">
        <v>685</v>
      </c>
      <c r="C1205" s="597">
        <v>171</v>
      </c>
      <c r="D1205" s="521" t="s">
        <v>300</v>
      </c>
      <c r="E1205" s="542">
        <v>-4.92</v>
      </c>
      <c r="F1205" s="1353">
        <f>+ROUND(E1205*C1205,2)</f>
        <v>-841.32</v>
      </c>
    </row>
    <row r="1206" spans="1:6">
      <c r="A1206" s="590">
        <v>14.3</v>
      </c>
      <c r="B1206" s="591" t="s">
        <v>686</v>
      </c>
      <c r="C1206" s="597">
        <v>108.31</v>
      </c>
      <c r="D1206" s="521" t="s">
        <v>300</v>
      </c>
      <c r="E1206" s="542">
        <v>-4.92</v>
      </c>
      <c r="F1206" s="1353">
        <f>+ROUND(E1206*C1206,2)</f>
        <v>-532.89</v>
      </c>
    </row>
    <row r="1207" spans="1:6">
      <c r="A1207" s="591"/>
      <c r="B1207" s="591"/>
      <c r="C1207" s="597"/>
      <c r="D1207" s="521"/>
      <c r="E1207" s="542"/>
      <c r="F1207" s="1358"/>
    </row>
    <row r="1208" spans="1:6">
      <c r="A1208" s="1115"/>
      <c r="B1208" s="504" t="s">
        <v>695</v>
      </c>
      <c r="C1208" s="1116"/>
      <c r="D1208" s="1117"/>
      <c r="E1208" s="542"/>
      <c r="F1208" s="1392">
        <f>SUM(F1137:F1207)</f>
        <v>416330.2</v>
      </c>
    </row>
    <row r="1209" spans="1:6">
      <c r="A1209" s="539"/>
      <c r="B1209" s="609"/>
      <c r="C1209" s="597"/>
      <c r="D1209" s="521"/>
      <c r="E1209" s="542"/>
      <c r="F1209" s="1358"/>
    </row>
    <row r="1210" spans="1:6">
      <c r="A1210" s="504" t="s">
        <v>696</v>
      </c>
      <c r="B1210" s="614" t="s">
        <v>906</v>
      </c>
      <c r="C1210" s="597"/>
      <c r="D1210" s="521"/>
      <c r="E1210" s="542"/>
      <c r="F1210" s="1358"/>
    </row>
    <row r="1211" spans="1:6">
      <c r="A1211" s="539"/>
      <c r="B1211" s="609"/>
      <c r="C1211" s="597"/>
      <c r="D1211" s="521"/>
      <c r="E1211" s="542"/>
      <c r="F1211" s="1358"/>
    </row>
    <row r="1212" spans="1:6">
      <c r="A1212" s="599">
        <v>1</v>
      </c>
      <c r="B1212" s="600" t="s">
        <v>420</v>
      </c>
      <c r="C1212" s="601"/>
      <c r="D1212" s="602"/>
      <c r="E1212" s="542"/>
      <c r="F1212" s="1371"/>
    </row>
    <row r="1213" spans="1:6">
      <c r="A1213" s="604">
        <v>1.1000000000000001</v>
      </c>
      <c r="B1213" s="605" t="s">
        <v>697</v>
      </c>
      <c r="C1213" s="601">
        <v>37.200000000000003</v>
      </c>
      <c r="D1213" s="602" t="s">
        <v>15</v>
      </c>
      <c r="E1213" s="542">
        <v>4.78</v>
      </c>
      <c r="F1213" s="1371">
        <f>ROUND(C1213*E1213,2)</f>
        <v>177.82</v>
      </c>
    </row>
    <row r="1214" spans="1:6">
      <c r="A1214" s="606"/>
      <c r="B1214" s="605"/>
      <c r="C1214" s="601"/>
      <c r="D1214" s="602"/>
      <c r="E1214" s="542"/>
      <c r="F1214" s="1371"/>
    </row>
    <row r="1215" spans="1:6">
      <c r="A1215" s="608"/>
      <c r="B1215" s="609"/>
      <c r="C1215" s="610"/>
      <c r="D1215" s="611"/>
      <c r="E1215" s="542"/>
      <c r="F1215" s="1358"/>
    </row>
    <row r="1216" spans="1:6">
      <c r="A1216" s="613">
        <v>3</v>
      </c>
      <c r="B1216" s="614" t="s">
        <v>510</v>
      </c>
      <c r="C1216" s="610"/>
      <c r="D1216" s="611"/>
      <c r="E1216" s="542"/>
      <c r="F1216" s="1358"/>
    </row>
    <row r="1217" spans="1:6">
      <c r="A1217" s="525">
        <v>3.1</v>
      </c>
      <c r="B1217" s="519" t="s">
        <v>699</v>
      </c>
      <c r="C1217" s="610">
        <v>2.9</v>
      </c>
      <c r="D1217" s="1124" t="s">
        <v>298</v>
      </c>
      <c r="E1217" s="542">
        <v>1370.13</v>
      </c>
      <c r="F1217" s="1358">
        <f>ROUND(C1217*E1217,2)</f>
        <v>3973.38</v>
      </c>
    </row>
    <row r="1218" spans="1:6">
      <c r="A1218" s="525">
        <v>3.2</v>
      </c>
      <c r="B1218" s="518" t="s">
        <v>700</v>
      </c>
      <c r="C1218" s="610">
        <v>0.64</v>
      </c>
      <c r="D1218" s="1124" t="s">
        <v>298</v>
      </c>
      <c r="E1218" s="542">
        <v>2581.06</v>
      </c>
      <c r="F1218" s="1358">
        <f>ROUND(C1218*E1218,2)</f>
        <v>1651.88</v>
      </c>
    </row>
    <row r="1219" spans="1:6">
      <c r="A1219" s="525">
        <v>3.3</v>
      </c>
      <c r="B1219" s="518" t="s">
        <v>701</v>
      </c>
      <c r="C1219" s="610">
        <v>0.36</v>
      </c>
      <c r="D1219" s="1124" t="s">
        <v>298</v>
      </c>
      <c r="E1219" s="542">
        <v>2428.06</v>
      </c>
      <c r="F1219" s="1358">
        <f>ROUND(C1219*E1219,2)</f>
        <v>874.1</v>
      </c>
    </row>
    <row r="1220" spans="1:6">
      <c r="A1220" s="525">
        <v>3.4</v>
      </c>
      <c r="B1220" s="519" t="s">
        <v>702</v>
      </c>
      <c r="C1220" s="610">
        <v>0.22</v>
      </c>
      <c r="D1220" s="1124" t="s">
        <v>298</v>
      </c>
      <c r="E1220" s="542">
        <v>2246.6</v>
      </c>
      <c r="F1220" s="1398">
        <f>ROUND((C1220*E1220),2)</f>
        <v>494.25</v>
      </c>
    </row>
    <row r="1221" spans="1:6">
      <c r="A1221" s="525">
        <v>3.5</v>
      </c>
      <c r="B1221" s="519" t="s">
        <v>703</v>
      </c>
      <c r="C1221" s="610">
        <v>0.74</v>
      </c>
      <c r="D1221" s="1124" t="s">
        <v>298</v>
      </c>
      <c r="E1221" s="542">
        <v>1978.46</v>
      </c>
      <c r="F1221" s="1398">
        <f>ROUND((C1221*E1221),2)</f>
        <v>1464.06</v>
      </c>
    </row>
    <row r="1222" spans="1:6">
      <c r="A1222" s="525">
        <v>3.6</v>
      </c>
      <c r="B1222" s="518" t="s">
        <v>704</v>
      </c>
      <c r="C1222" s="610">
        <v>0.24</v>
      </c>
      <c r="D1222" s="1124" t="s">
        <v>298</v>
      </c>
      <c r="E1222" s="542">
        <v>9184.14</v>
      </c>
      <c r="F1222" s="1358">
        <f>ROUND(C1222*E1222,2)</f>
        <v>2204.19</v>
      </c>
    </row>
    <row r="1223" spans="1:6">
      <c r="A1223" s="525">
        <v>3.7</v>
      </c>
      <c r="B1223" s="519" t="s">
        <v>705</v>
      </c>
      <c r="C1223" s="610">
        <v>1.62</v>
      </c>
      <c r="D1223" s="1124" t="s">
        <v>298</v>
      </c>
      <c r="E1223" s="542">
        <v>4368.58</v>
      </c>
      <c r="F1223" s="1358">
        <f>ROUND(C1223*E1223,2)</f>
        <v>7077.1</v>
      </c>
    </row>
    <row r="1224" spans="1:6">
      <c r="A1224" s="608"/>
      <c r="B1224" s="609"/>
      <c r="C1224" s="610"/>
      <c r="D1224" s="611"/>
      <c r="E1224" s="542"/>
      <c r="F1224" s="1358"/>
    </row>
    <row r="1225" spans="1:6" ht="15.75" customHeight="1">
      <c r="A1225" s="613">
        <v>4</v>
      </c>
      <c r="B1225" s="614" t="s">
        <v>299</v>
      </c>
      <c r="C1225" s="610"/>
      <c r="D1225" s="611"/>
      <c r="E1225" s="542"/>
      <c r="F1225" s="1358"/>
    </row>
    <row r="1226" spans="1:6" ht="15" customHeight="1">
      <c r="A1226" s="525">
        <v>4.0999999999999996</v>
      </c>
      <c r="B1226" s="609" t="s">
        <v>706</v>
      </c>
      <c r="C1226" s="610">
        <v>9.64</v>
      </c>
      <c r="D1226" s="1125" t="s">
        <v>300</v>
      </c>
      <c r="E1226" s="542">
        <v>68.73</v>
      </c>
      <c r="F1226" s="1358">
        <f>ROUND(C1226*E1226,2)</f>
        <v>662.56</v>
      </c>
    </row>
    <row r="1227" spans="1:6" ht="15" customHeight="1">
      <c r="A1227" s="525">
        <v>4.2</v>
      </c>
      <c r="B1227" s="609" t="s">
        <v>707</v>
      </c>
      <c r="C1227" s="610">
        <v>45.38</v>
      </c>
      <c r="D1227" s="1125" t="s">
        <v>300</v>
      </c>
      <c r="E1227" s="542">
        <v>86.73</v>
      </c>
      <c r="F1227" s="1358">
        <f>ROUND(C1227*E1227,2)</f>
        <v>3935.81</v>
      </c>
    </row>
    <row r="1228" spans="1:6">
      <c r="A1228" s="525"/>
      <c r="B1228" s="609"/>
      <c r="C1228" s="610"/>
      <c r="D1228" s="611"/>
      <c r="E1228" s="542"/>
      <c r="F1228" s="1358"/>
    </row>
    <row r="1229" spans="1:6">
      <c r="A1229" s="613">
        <v>5</v>
      </c>
      <c r="B1229" s="614" t="s">
        <v>516</v>
      </c>
      <c r="C1229" s="610"/>
      <c r="D1229" s="611"/>
      <c r="E1229" s="542"/>
      <c r="F1229" s="1358"/>
    </row>
    <row r="1230" spans="1:6">
      <c r="A1230" s="525">
        <v>5.4</v>
      </c>
      <c r="B1230" s="519" t="s">
        <v>710</v>
      </c>
      <c r="C1230" s="610">
        <v>19.239999999999998</v>
      </c>
      <c r="D1230" s="1125" t="s">
        <v>300</v>
      </c>
      <c r="E1230" s="542">
        <v>102.72</v>
      </c>
      <c r="F1230" s="1358">
        <f t="shared" ref="F1230:F1234" si="38">ROUND(C1230*E1230,2)</f>
        <v>1976.33</v>
      </c>
    </row>
    <row r="1231" spans="1:6">
      <c r="A1231" s="525">
        <v>5.7</v>
      </c>
      <c r="B1231" s="519" t="s">
        <v>315</v>
      </c>
      <c r="C1231" s="610">
        <v>4.04</v>
      </c>
      <c r="D1231" s="611" t="s">
        <v>15</v>
      </c>
      <c r="E1231" s="542">
        <v>49.34</v>
      </c>
      <c r="F1231" s="1358">
        <f t="shared" si="38"/>
        <v>199.33</v>
      </c>
    </row>
    <row r="1232" spans="1:6">
      <c r="A1232" s="525">
        <v>5.8</v>
      </c>
      <c r="B1232" s="519" t="s">
        <v>675</v>
      </c>
      <c r="C1232" s="610">
        <v>20.2</v>
      </c>
      <c r="D1232" s="611" t="s">
        <v>15</v>
      </c>
      <c r="E1232" s="542">
        <v>11.61</v>
      </c>
      <c r="F1232" s="1358">
        <f t="shared" si="38"/>
        <v>234.52</v>
      </c>
    </row>
    <row r="1233" spans="1:6">
      <c r="A1233" s="525">
        <v>5.8</v>
      </c>
      <c r="B1233" s="519" t="s">
        <v>712</v>
      </c>
      <c r="C1233" s="610">
        <v>21.16</v>
      </c>
      <c r="D1233" s="1125" t="s">
        <v>300</v>
      </c>
      <c r="E1233" s="542">
        <v>0.04</v>
      </c>
      <c r="F1233" s="1358">
        <f t="shared" si="38"/>
        <v>0.85</v>
      </c>
    </row>
    <row r="1234" spans="1:6">
      <c r="A1234" s="525">
        <v>5.5</v>
      </c>
      <c r="B1234" s="519" t="s">
        <v>714</v>
      </c>
      <c r="C1234" s="610">
        <v>95.2</v>
      </c>
      <c r="D1234" s="1125" t="s">
        <v>300</v>
      </c>
      <c r="E1234" s="542">
        <v>-9.84</v>
      </c>
      <c r="F1234" s="1358">
        <f t="shared" si="38"/>
        <v>-936.77</v>
      </c>
    </row>
    <row r="1235" spans="1:6">
      <c r="A1235" s="525"/>
      <c r="B1235" s="519"/>
      <c r="C1235" s="610"/>
      <c r="D1235" s="1125"/>
      <c r="E1235" s="542"/>
      <c r="F1235" s="1358"/>
    </row>
    <row r="1236" spans="1:6">
      <c r="A1236" s="524">
        <v>6</v>
      </c>
      <c r="B1236" s="518" t="s">
        <v>715</v>
      </c>
      <c r="C1236" s="610">
        <v>10.6</v>
      </c>
      <c r="D1236" s="1125" t="s">
        <v>300</v>
      </c>
      <c r="E1236" s="542">
        <v>317.10000000000002</v>
      </c>
      <c r="F1236" s="1358">
        <f>ROUND(C1236*E1236,2)</f>
        <v>3361.26</v>
      </c>
    </row>
    <row r="1237" spans="1:6">
      <c r="A1237" s="524"/>
      <c r="B1237" s="519"/>
      <c r="C1237" s="610"/>
      <c r="D1237" s="1125"/>
      <c r="E1237" s="542"/>
      <c r="F1237" s="1358"/>
    </row>
    <row r="1238" spans="1:6">
      <c r="A1238" s="524">
        <v>7</v>
      </c>
      <c r="B1238" s="519" t="s">
        <v>716</v>
      </c>
      <c r="C1238" s="610">
        <v>12.12</v>
      </c>
      <c r="D1238" s="1125" t="s">
        <v>300</v>
      </c>
      <c r="E1238" s="542">
        <v>165.83</v>
      </c>
      <c r="F1238" s="1358">
        <f>ROUND(C1238*E1238,2)</f>
        <v>2009.86</v>
      </c>
    </row>
    <row r="1239" spans="1:6">
      <c r="A1239" s="524"/>
      <c r="B1239" s="609"/>
      <c r="C1239" s="610"/>
      <c r="D1239" s="611"/>
      <c r="E1239" s="542"/>
      <c r="F1239" s="1358"/>
    </row>
    <row r="1240" spans="1:6">
      <c r="A1240" s="524"/>
      <c r="B1240" s="518"/>
      <c r="C1240" s="610"/>
      <c r="D1240" s="611"/>
      <c r="E1240" s="542"/>
      <c r="F1240" s="1358"/>
    </row>
    <row r="1241" spans="1:6">
      <c r="A1241" s="524">
        <v>10</v>
      </c>
      <c r="B1241" s="629" t="s">
        <v>724</v>
      </c>
      <c r="C1241" s="518"/>
      <c r="D1241" s="519"/>
      <c r="E1241" s="542"/>
      <c r="F1241" s="1358"/>
    </row>
    <row r="1242" spans="1:6">
      <c r="A1242" s="1126">
        <v>10.1</v>
      </c>
      <c r="B1242" s="806" t="s">
        <v>725</v>
      </c>
      <c r="C1242" s="678">
        <v>2</v>
      </c>
      <c r="D1242" s="716" t="s">
        <v>10</v>
      </c>
      <c r="E1242" s="542">
        <v>-0.03</v>
      </c>
      <c r="F1242" s="1353">
        <f t="shared" ref="F1242:F1247" si="39">ROUND(C1242*E1242,2)</f>
        <v>-0.06</v>
      </c>
    </row>
    <row r="1243" spans="1:6">
      <c r="A1243" s="1126">
        <v>10.199999999999999</v>
      </c>
      <c r="B1243" s="806" t="s">
        <v>726</v>
      </c>
      <c r="C1243" s="678">
        <v>2</v>
      </c>
      <c r="D1243" s="716" t="s">
        <v>10</v>
      </c>
      <c r="E1243" s="542">
        <v>255</v>
      </c>
      <c r="F1243" s="1353">
        <f t="shared" si="39"/>
        <v>510</v>
      </c>
    </row>
    <row r="1244" spans="1:6">
      <c r="A1244" s="1126">
        <v>10.3</v>
      </c>
      <c r="B1244" s="806" t="s">
        <v>324</v>
      </c>
      <c r="C1244" s="678">
        <v>2</v>
      </c>
      <c r="D1244" s="716" t="s">
        <v>10</v>
      </c>
      <c r="E1244" s="542">
        <v>-0.04</v>
      </c>
      <c r="F1244" s="1353">
        <f t="shared" si="39"/>
        <v>-0.08</v>
      </c>
    </row>
    <row r="1245" spans="1:6">
      <c r="A1245" s="1126">
        <v>10.4</v>
      </c>
      <c r="B1245" s="806" t="s">
        <v>638</v>
      </c>
      <c r="C1245" s="678">
        <v>2</v>
      </c>
      <c r="D1245" s="716" t="s">
        <v>10</v>
      </c>
      <c r="E1245" s="542">
        <v>2223.3200000000002</v>
      </c>
      <c r="F1245" s="1353">
        <f t="shared" si="39"/>
        <v>4446.6400000000003</v>
      </c>
    </row>
    <row r="1246" spans="1:6">
      <c r="A1246" s="1126">
        <v>10.8</v>
      </c>
      <c r="B1246" s="806" t="s">
        <v>730</v>
      </c>
      <c r="C1246" s="678">
        <v>2</v>
      </c>
      <c r="D1246" s="716" t="s">
        <v>10</v>
      </c>
      <c r="E1246" s="542">
        <v>-0.01</v>
      </c>
      <c r="F1246" s="1353">
        <f t="shared" si="39"/>
        <v>-0.02</v>
      </c>
    </row>
    <row r="1247" spans="1:6">
      <c r="A1247" s="539">
        <v>10.11</v>
      </c>
      <c r="B1247" s="806" t="s">
        <v>733</v>
      </c>
      <c r="C1247" s="678">
        <v>2</v>
      </c>
      <c r="D1247" s="716" t="s">
        <v>10</v>
      </c>
      <c r="E1247" s="542">
        <v>790.81</v>
      </c>
      <c r="F1247" s="1353">
        <f t="shared" si="39"/>
        <v>1581.62</v>
      </c>
    </row>
    <row r="1248" spans="1:6">
      <c r="A1248" s="1115"/>
      <c r="B1248" s="504" t="s">
        <v>740</v>
      </c>
      <c r="C1248" s="1116"/>
      <c r="D1248" s="1117"/>
      <c r="E1248" s="542"/>
      <c r="F1248" s="1392">
        <f>SUM(F1213:F1247)</f>
        <v>35898.629999999997</v>
      </c>
    </row>
    <row r="1249" spans="1:6">
      <c r="A1249" s="539"/>
      <c r="B1249" s="609"/>
      <c r="C1249" s="597"/>
      <c r="D1249" s="521"/>
      <c r="E1249" s="542"/>
      <c r="F1249" s="1358"/>
    </row>
    <row r="1250" spans="1:6">
      <c r="A1250" s="504" t="s">
        <v>741</v>
      </c>
      <c r="B1250" s="614" t="s">
        <v>742</v>
      </c>
      <c r="C1250" s="597"/>
      <c r="D1250" s="521"/>
      <c r="E1250" s="542"/>
      <c r="F1250" s="1358"/>
    </row>
    <row r="1251" spans="1:6">
      <c r="A1251" s="539"/>
      <c r="B1251" s="609"/>
      <c r="C1251" s="597"/>
      <c r="D1251" s="521"/>
      <c r="E1251" s="542"/>
      <c r="F1251" s="1358"/>
    </row>
    <row r="1252" spans="1:6">
      <c r="A1252" s="653">
        <v>1</v>
      </c>
      <c r="B1252" s="654" t="s">
        <v>420</v>
      </c>
      <c r="C1252" s="655"/>
      <c r="D1252" s="538"/>
      <c r="E1252" s="542"/>
      <c r="F1252" s="1378"/>
    </row>
    <row r="1253" spans="1:6">
      <c r="A1253" s="760">
        <v>1.1000000000000001</v>
      </c>
      <c r="B1253" s="518" t="s">
        <v>697</v>
      </c>
      <c r="C1253" s="655">
        <v>220.23</v>
      </c>
      <c r="D1253" s="538" t="s">
        <v>300</v>
      </c>
      <c r="E1253" s="542">
        <v>4.78</v>
      </c>
      <c r="F1253" s="1378">
        <f>ROUND(C1253*E1253,2)</f>
        <v>1052.7</v>
      </c>
    </row>
    <row r="1254" spans="1:6">
      <c r="A1254" s="760"/>
      <c r="B1254" s="518"/>
      <c r="C1254" s="655"/>
      <c r="D1254" s="538"/>
      <c r="E1254" s="542"/>
      <c r="F1254" s="1378"/>
    </row>
    <row r="1255" spans="1:6">
      <c r="A1255" s="653">
        <v>2</v>
      </c>
      <c r="B1255" s="774" t="s">
        <v>296</v>
      </c>
      <c r="C1255" s="520"/>
      <c r="D1255" s="657"/>
      <c r="E1255" s="542"/>
      <c r="F1255" s="1378"/>
    </row>
    <row r="1256" spans="1:6">
      <c r="A1256" s="536">
        <v>2.1</v>
      </c>
      <c r="B1256" s="526" t="s">
        <v>743</v>
      </c>
      <c r="C1256" s="655">
        <v>39.19</v>
      </c>
      <c r="D1256" s="657" t="s">
        <v>364</v>
      </c>
      <c r="E1256" s="542">
        <v>10.199999999999999</v>
      </c>
      <c r="F1256" s="1378">
        <f>ROUND(C1256*E1256,2)</f>
        <v>399.74</v>
      </c>
    </row>
    <row r="1257" spans="1:6">
      <c r="A1257" s="536">
        <v>2.2000000000000002</v>
      </c>
      <c r="B1257" s="661" t="s">
        <v>812</v>
      </c>
      <c r="C1257" s="655">
        <v>23.95</v>
      </c>
      <c r="D1257" s="657" t="s">
        <v>426</v>
      </c>
      <c r="E1257" s="542">
        <v>9.4600000000000009</v>
      </c>
      <c r="F1257" s="1378">
        <f t="shared" ref="F1257:F1295" si="40">ROUND(C1257*E1257,2)</f>
        <v>226.57</v>
      </c>
    </row>
    <row r="1258" spans="1:6">
      <c r="A1258" s="536">
        <v>2.2999999999999998</v>
      </c>
      <c r="B1258" s="526" t="s">
        <v>308</v>
      </c>
      <c r="C1258" s="655">
        <v>18.29</v>
      </c>
      <c r="D1258" s="657" t="s">
        <v>367</v>
      </c>
      <c r="E1258" s="542">
        <v>9.0299999999999994</v>
      </c>
      <c r="F1258" s="1378">
        <f t="shared" si="40"/>
        <v>165.16</v>
      </c>
    </row>
    <row r="1259" spans="1:6">
      <c r="A1259" s="760"/>
      <c r="B1259" s="1127"/>
      <c r="C1259" s="655"/>
      <c r="D1259" s="657"/>
      <c r="E1259" s="542"/>
      <c r="F1259" s="1378"/>
    </row>
    <row r="1260" spans="1:6">
      <c r="A1260" s="653">
        <v>3</v>
      </c>
      <c r="B1260" s="774" t="s">
        <v>745</v>
      </c>
      <c r="C1260" s="1128"/>
      <c r="D1260" s="538"/>
      <c r="E1260" s="542"/>
      <c r="F1260" s="1378"/>
    </row>
    <row r="1261" spans="1:6">
      <c r="A1261" s="1129">
        <v>3.1</v>
      </c>
      <c r="B1261" s="526" t="s">
        <v>746</v>
      </c>
      <c r="C1261" s="655">
        <v>4.54</v>
      </c>
      <c r="D1261" s="538" t="s">
        <v>298</v>
      </c>
      <c r="E1261" s="542">
        <v>1959.06</v>
      </c>
      <c r="F1261" s="1378">
        <f t="shared" si="40"/>
        <v>8894.1299999999992</v>
      </c>
    </row>
    <row r="1262" spans="1:6">
      <c r="A1262" s="1129">
        <v>3.2</v>
      </c>
      <c r="B1262" s="526" t="s">
        <v>747</v>
      </c>
      <c r="C1262" s="655">
        <v>10.7</v>
      </c>
      <c r="D1262" s="538" t="s">
        <v>298</v>
      </c>
      <c r="E1262" s="542">
        <v>1304.1400000000001</v>
      </c>
      <c r="F1262" s="1378">
        <f t="shared" si="40"/>
        <v>13954.3</v>
      </c>
    </row>
    <row r="1263" spans="1:6">
      <c r="A1263" s="1129">
        <v>3.3</v>
      </c>
      <c r="B1263" s="1130" t="s">
        <v>748</v>
      </c>
      <c r="C1263" s="655">
        <v>1.18</v>
      </c>
      <c r="D1263" s="538" t="s">
        <v>298</v>
      </c>
      <c r="E1263" s="542">
        <v>10814.61</v>
      </c>
      <c r="F1263" s="1378">
        <f t="shared" si="40"/>
        <v>12761.24</v>
      </c>
    </row>
    <row r="1264" spans="1:6">
      <c r="A1264" s="1129">
        <v>3.4</v>
      </c>
      <c r="B1264" s="1130" t="s">
        <v>749</v>
      </c>
      <c r="C1264" s="655">
        <v>1.68</v>
      </c>
      <c r="D1264" s="538" t="s">
        <v>298</v>
      </c>
      <c r="E1264" s="542">
        <v>9159.1200000000008</v>
      </c>
      <c r="F1264" s="1378">
        <f t="shared" si="40"/>
        <v>15387.32</v>
      </c>
    </row>
    <row r="1265" spans="1:6">
      <c r="A1265" s="1129">
        <v>3.5</v>
      </c>
      <c r="B1265" s="1130" t="s">
        <v>750</v>
      </c>
      <c r="C1265" s="655">
        <v>2.04</v>
      </c>
      <c r="D1265" s="538" t="s">
        <v>298</v>
      </c>
      <c r="E1265" s="542">
        <v>2514.73</v>
      </c>
      <c r="F1265" s="1378">
        <f t="shared" si="40"/>
        <v>5130.05</v>
      </c>
    </row>
    <row r="1266" spans="1:6">
      <c r="A1266" s="1129">
        <v>3.6</v>
      </c>
      <c r="B1266" s="1130" t="s">
        <v>751</v>
      </c>
      <c r="C1266" s="655">
        <v>0.77</v>
      </c>
      <c r="D1266" s="538" t="s">
        <v>298</v>
      </c>
      <c r="E1266" s="542">
        <v>3239.09</v>
      </c>
      <c r="F1266" s="1378">
        <f t="shared" si="40"/>
        <v>2494.1</v>
      </c>
    </row>
    <row r="1267" spans="1:6">
      <c r="A1267" s="760"/>
      <c r="B1267" s="1130"/>
      <c r="C1267" s="655"/>
      <c r="D1267" s="538"/>
      <c r="E1267" s="542"/>
      <c r="F1267" s="1378"/>
    </row>
    <row r="1268" spans="1:6">
      <c r="A1268" s="653">
        <v>4</v>
      </c>
      <c r="B1268" s="654" t="s">
        <v>299</v>
      </c>
      <c r="C1268" s="655"/>
      <c r="D1268" s="538"/>
      <c r="E1268" s="542"/>
      <c r="F1268" s="1378"/>
    </row>
    <row r="1269" spans="1:6">
      <c r="A1269" s="536">
        <v>4.0999999999999996</v>
      </c>
      <c r="B1269" s="1130" t="s">
        <v>752</v>
      </c>
      <c r="C1269" s="655">
        <v>40.770000000000003</v>
      </c>
      <c r="D1269" s="538" t="s">
        <v>300</v>
      </c>
      <c r="E1269" s="542">
        <v>68.73</v>
      </c>
      <c r="F1269" s="1378">
        <f t="shared" si="40"/>
        <v>2802.12</v>
      </c>
    </row>
    <row r="1270" spans="1:6">
      <c r="A1270" s="536">
        <v>4.2</v>
      </c>
      <c r="B1270" s="1130" t="s">
        <v>753</v>
      </c>
      <c r="C1270" s="655">
        <v>221.12</v>
      </c>
      <c r="D1270" s="538" t="s">
        <v>300</v>
      </c>
      <c r="E1270" s="542">
        <v>109.95</v>
      </c>
      <c r="F1270" s="1378">
        <f t="shared" si="40"/>
        <v>24312.14</v>
      </c>
    </row>
    <row r="1271" spans="1:6">
      <c r="A1271" s="760"/>
      <c r="B1271" s="1130"/>
      <c r="C1271" s="655"/>
      <c r="D1271" s="538"/>
      <c r="E1271" s="542"/>
      <c r="F1271" s="1378"/>
    </row>
    <row r="1272" spans="1:6">
      <c r="A1272" s="1131">
        <v>6</v>
      </c>
      <c r="B1272" s="1132" t="s">
        <v>758</v>
      </c>
      <c r="C1272" s="538"/>
      <c r="D1272" s="1133"/>
      <c r="E1272" s="542"/>
      <c r="F1272" s="1378"/>
    </row>
    <row r="1273" spans="1:6" ht="25.5">
      <c r="A1273" s="1134">
        <v>6.3</v>
      </c>
      <c r="B1273" s="1135" t="s">
        <v>762</v>
      </c>
      <c r="C1273" s="655">
        <v>212.2</v>
      </c>
      <c r="D1273" s="538" t="s">
        <v>300</v>
      </c>
      <c r="E1273" s="542">
        <v>0.04</v>
      </c>
      <c r="F1273" s="1378">
        <f t="shared" si="40"/>
        <v>8.49</v>
      </c>
    </row>
    <row r="1274" spans="1:6">
      <c r="A1274" s="760"/>
      <c r="B1274" s="1130"/>
      <c r="C1274" s="655"/>
      <c r="D1274" s="538"/>
      <c r="E1274" s="542"/>
      <c r="F1274" s="1378"/>
    </row>
    <row r="1275" spans="1:6">
      <c r="A1275" s="653">
        <v>7</v>
      </c>
      <c r="B1275" s="774" t="s">
        <v>305</v>
      </c>
      <c r="C1275" s="520"/>
      <c r="D1275" s="657"/>
      <c r="E1275" s="542"/>
      <c r="F1275" s="1378">
        <f t="shared" si="40"/>
        <v>0</v>
      </c>
    </row>
    <row r="1276" spans="1:6">
      <c r="A1276" s="536">
        <v>7.1</v>
      </c>
      <c r="B1276" s="526" t="s">
        <v>726</v>
      </c>
      <c r="C1276" s="520">
        <v>4</v>
      </c>
      <c r="D1276" s="657" t="s">
        <v>10</v>
      </c>
      <c r="E1276" s="542">
        <v>255</v>
      </c>
      <c r="F1276" s="1378">
        <f t="shared" si="40"/>
        <v>1020</v>
      </c>
    </row>
    <row r="1277" spans="1:6">
      <c r="A1277" s="536">
        <v>7.2</v>
      </c>
      <c r="B1277" s="609" t="s">
        <v>770</v>
      </c>
      <c r="C1277" s="655">
        <v>2</v>
      </c>
      <c r="D1277" s="657" t="s">
        <v>10</v>
      </c>
      <c r="E1277" s="542">
        <v>-0.03</v>
      </c>
      <c r="F1277" s="1378">
        <f t="shared" si="40"/>
        <v>-0.06</v>
      </c>
    </row>
    <row r="1278" spans="1:6">
      <c r="A1278" s="536">
        <v>7.3</v>
      </c>
      <c r="B1278" s="526" t="s">
        <v>771</v>
      </c>
      <c r="C1278" s="655">
        <v>2</v>
      </c>
      <c r="D1278" s="657" t="s">
        <v>10</v>
      </c>
      <c r="E1278" s="542">
        <v>0.04</v>
      </c>
      <c r="F1278" s="1378">
        <f t="shared" si="40"/>
        <v>0.08</v>
      </c>
    </row>
    <row r="1279" spans="1:6">
      <c r="A1279" s="536">
        <v>7.4</v>
      </c>
      <c r="B1279" s="526" t="s">
        <v>772</v>
      </c>
      <c r="C1279" s="655">
        <v>1</v>
      </c>
      <c r="D1279" s="657" t="s">
        <v>10</v>
      </c>
      <c r="E1279" s="542">
        <v>0.04</v>
      </c>
      <c r="F1279" s="1378">
        <f t="shared" si="40"/>
        <v>0.04</v>
      </c>
    </row>
    <row r="1280" spans="1:6">
      <c r="A1280" s="536">
        <v>7.5</v>
      </c>
      <c r="B1280" s="526" t="s">
        <v>773</v>
      </c>
      <c r="C1280" s="655">
        <v>1</v>
      </c>
      <c r="D1280" s="657" t="s">
        <v>10</v>
      </c>
      <c r="E1280" s="542">
        <v>0.05</v>
      </c>
      <c r="F1280" s="1378">
        <f t="shared" si="40"/>
        <v>0.05</v>
      </c>
    </row>
    <row r="1281" spans="1:6">
      <c r="A1281" s="536">
        <v>7.6</v>
      </c>
      <c r="B1281" s="526" t="s">
        <v>774</v>
      </c>
      <c r="C1281" s="655">
        <v>1</v>
      </c>
      <c r="D1281" s="657" t="s">
        <v>10</v>
      </c>
      <c r="E1281" s="542">
        <v>-0.01</v>
      </c>
      <c r="F1281" s="1378">
        <f t="shared" si="40"/>
        <v>-0.01</v>
      </c>
    </row>
    <row r="1282" spans="1:6">
      <c r="A1282" s="536">
        <v>7.7</v>
      </c>
      <c r="B1282" s="526" t="s">
        <v>775</v>
      </c>
      <c r="C1282" s="655">
        <v>4</v>
      </c>
      <c r="D1282" s="657" t="s">
        <v>10</v>
      </c>
      <c r="E1282" s="542">
        <v>0.04</v>
      </c>
      <c r="F1282" s="1378">
        <f t="shared" si="40"/>
        <v>0.16</v>
      </c>
    </row>
    <row r="1283" spans="1:6">
      <c r="A1283" s="536">
        <v>7.8</v>
      </c>
      <c r="B1283" s="526" t="s">
        <v>776</v>
      </c>
      <c r="C1283" s="655">
        <v>10.78</v>
      </c>
      <c r="D1283" s="657" t="s">
        <v>15</v>
      </c>
      <c r="E1283" s="542">
        <v>88.48</v>
      </c>
      <c r="F1283" s="1378">
        <f t="shared" si="40"/>
        <v>953.81</v>
      </c>
    </row>
    <row r="1284" spans="1:6">
      <c r="A1284" s="536">
        <v>7.9</v>
      </c>
      <c r="B1284" s="526" t="s">
        <v>777</v>
      </c>
      <c r="C1284" s="655">
        <v>3.95</v>
      </c>
      <c r="D1284" s="657" t="s">
        <v>15</v>
      </c>
      <c r="E1284" s="542">
        <v>47.43</v>
      </c>
      <c r="F1284" s="1378">
        <f t="shared" si="40"/>
        <v>187.35</v>
      </c>
    </row>
    <row r="1285" spans="1:6">
      <c r="A1285" s="1136">
        <v>7.1</v>
      </c>
      <c r="B1285" s="526" t="s">
        <v>778</v>
      </c>
      <c r="C1285" s="655">
        <v>15.3</v>
      </c>
      <c r="D1285" s="657" t="s">
        <v>15</v>
      </c>
      <c r="E1285" s="542">
        <v>-0.03</v>
      </c>
      <c r="F1285" s="1378">
        <f t="shared" si="40"/>
        <v>-0.46</v>
      </c>
    </row>
    <row r="1286" spans="1:6">
      <c r="A1286" s="760">
        <v>7.11</v>
      </c>
      <c r="B1286" s="526" t="s">
        <v>779</v>
      </c>
      <c r="C1286" s="655">
        <v>11.34</v>
      </c>
      <c r="D1286" s="657" t="s">
        <v>15</v>
      </c>
      <c r="E1286" s="542">
        <v>144.79</v>
      </c>
      <c r="F1286" s="1378">
        <f t="shared" si="40"/>
        <v>1641.92</v>
      </c>
    </row>
    <row r="1287" spans="1:6">
      <c r="A1287" s="1136">
        <v>7.12</v>
      </c>
      <c r="B1287" s="526" t="s">
        <v>780</v>
      </c>
      <c r="C1287" s="655">
        <v>3</v>
      </c>
      <c r="D1287" s="657" t="s">
        <v>15</v>
      </c>
      <c r="E1287" s="542">
        <v>44.93</v>
      </c>
      <c r="F1287" s="1378">
        <f t="shared" si="40"/>
        <v>134.79</v>
      </c>
    </row>
    <row r="1288" spans="1:6">
      <c r="A1288" s="760">
        <v>7.13</v>
      </c>
      <c r="B1288" s="526" t="s">
        <v>781</v>
      </c>
      <c r="C1288" s="655">
        <v>15.3</v>
      </c>
      <c r="D1288" s="657" t="s">
        <v>15</v>
      </c>
      <c r="E1288" s="542">
        <v>14.81</v>
      </c>
      <c r="F1288" s="1378">
        <f t="shared" si="40"/>
        <v>226.59</v>
      </c>
    </row>
    <row r="1289" spans="1:6">
      <c r="A1289" s="1136">
        <v>7.14</v>
      </c>
      <c r="B1289" s="526" t="s">
        <v>782</v>
      </c>
      <c r="C1289" s="655">
        <v>9.42</v>
      </c>
      <c r="D1289" s="657" t="s">
        <v>15</v>
      </c>
      <c r="E1289" s="542">
        <v>13.8</v>
      </c>
      <c r="F1289" s="1378">
        <f t="shared" si="40"/>
        <v>130</v>
      </c>
    </row>
    <row r="1290" spans="1:6">
      <c r="A1290" s="760"/>
      <c r="B1290" s="526"/>
      <c r="C1290" s="520"/>
      <c r="D1290" s="657"/>
      <c r="E1290" s="542"/>
      <c r="F1290" s="1378"/>
    </row>
    <row r="1291" spans="1:6">
      <c r="A1291" s="653">
        <v>8</v>
      </c>
      <c r="B1291" s="654" t="s">
        <v>303</v>
      </c>
      <c r="C1291" s="655"/>
      <c r="D1291" s="538"/>
      <c r="E1291" s="542"/>
      <c r="F1291" s="1378"/>
    </row>
    <row r="1292" spans="1:6">
      <c r="A1292" s="536">
        <v>8.3000000000000007</v>
      </c>
      <c r="B1292" s="526" t="s">
        <v>786</v>
      </c>
      <c r="C1292" s="655">
        <v>1</v>
      </c>
      <c r="D1292" s="657" t="s">
        <v>10</v>
      </c>
      <c r="E1292" s="542">
        <v>0.02</v>
      </c>
      <c r="F1292" s="1378">
        <f t="shared" si="40"/>
        <v>0.02</v>
      </c>
    </row>
    <row r="1293" spans="1:6">
      <c r="A1293" s="760"/>
      <c r="B1293" s="1130"/>
      <c r="C1293" s="655"/>
      <c r="D1293" s="538"/>
      <c r="E1293" s="542"/>
      <c r="F1293" s="1378"/>
    </row>
    <row r="1294" spans="1:6">
      <c r="A1294" s="653">
        <v>9</v>
      </c>
      <c r="B1294" s="654" t="s">
        <v>790</v>
      </c>
      <c r="C1294" s="655"/>
      <c r="D1294" s="538"/>
      <c r="E1294" s="542"/>
      <c r="F1294" s="1378"/>
    </row>
    <row r="1295" spans="1:6">
      <c r="A1295" s="536">
        <v>9.1999999999999993</v>
      </c>
      <c r="B1295" s="518" t="s">
        <v>792</v>
      </c>
      <c r="C1295" s="655">
        <v>93.43</v>
      </c>
      <c r="D1295" s="538" t="s">
        <v>793</v>
      </c>
      <c r="E1295" s="542">
        <v>70.5</v>
      </c>
      <c r="F1295" s="1378">
        <f t="shared" si="40"/>
        <v>6586.82</v>
      </c>
    </row>
    <row r="1296" spans="1:6">
      <c r="A1296" s="760"/>
      <c r="B1296" s="1130"/>
      <c r="C1296" s="655"/>
      <c r="D1296" s="538"/>
      <c r="E1296" s="542"/>
      <c r="F1296" s="1378"/>
    </row>
    <row r="1297" spans="1:6">
      <c r="A1297" s="653">
        <v>10</v>
      </c>
      <c r="B1297" s="654" t="s">
        <v>527</v>
      </c>
      <c r="C1297" s="655"/>
      <c r="D1297" s="538"/>
      <c r="E1297" s="542"/>
      <c r="F1297" s="1378"/>
    </row>
    <row r="1298" spans="1:6">
      <c r="A1298" s="536">
        <v>10.1</v>
      </c>
      <c r="B1298" s="1130" t="s">
        <v>796</v>
      </c>
      <c r="C1298" s="655">
        <v>416.31</v>
      </c>
      <c r="D1298" s="538" t="s">
        <v>300</v>
      </c>
      <c r="E1298" s="542">
        <v>8.27</v>
      </c>
      <c r="F1298" s="1378">
        <f t="shared" ref="F1298:F1300" si="41">ROUND(C1298*E1298,2)</f>
        <v>3442.88</v>
      </c>
    </row>
    <row r="1299" spans="1:6">
      <c r="A1299" s="536">
        <v>10.199999999999999</v>
      </c>
      <c r="B1299" s="1130" t="s">
        <v>797</v>
      </c>
      <c r="C1299" s="1138">
        <v>237.7</v>
      </c>
      <c r="D1299" s="538" t="s">
        <v>300</v>
      </c>
      <c r="E1299" s="542">
        <v>-4.92</v>
      </c>
      <c r="F1299" s="1378">
        <f t="shared" si="41"/>
        <v>-1169.48</v>
      </c>
    </row>
    <row r="1300" spans="1:6">
      <c r="A1300" s="536">
        <v>10.3</v>
      </c>
      <c r="B1300" s="1130" t="s">
        <v>798</v>
      </c>
      <c r="C1300" s="655">
        <v>161.16999999999999</v>
      </c>
      <c r="D1300" s="538" t="s">
        <v>300</v>
      </c>
      <c r="E1300" s="542">
        <v>-4.92</v>
      </c>
      <c r="F1300" s="1378">
        <f t="shared" si="41"/>
        <v>-792.96</v>
      </c>
    </row>
    <row r="1301" spans="1:6" ht="6" customHeight="1">
      <c r="A1301" s="760"/>
      <c r="B1301" s="1130"/>
      <c r="C1301" s="655"/>
      <c r="D1301" s="538"/>
      <c r="E1301" s="542"/>
      <c r="F1301" s="1378"/>
    </row>
    <row r="1302" spans="1:6">
      <c r="A1302" s="760"/>
      <c r="B1302" s="1130"/>
      <c r="C1302" s="655"/>
      <c r="D1302" s="538"/>
      <c r="E1302" s="542"/>
      <c r="F1302" s="1378"/>
    </row>
    <row r="1303" spans="1:6" ht="9" customHeight="1">
      <c r="A1303" s="653">
        <v>12</v>
      </c>
      <c r="B1303" s="654" t="s">
        <v>804</v>
      </c>
      <c r="C1303" s="655"/>
      <c r="D1303" s="538"/>
      <c r="E1303" s="542"/>
      <c r="F1303" s="1378"/>
    </row>
    <row r="1304" spans="1:6">
      <c r="A1304" s="536">
        <v>12.3</v>
      </c>
      <c r="B1304" s="518" t="s">
        <v>807</v>
      </c>
      <c r="C1304" s="655">
        <v>43.33</v>
      </c>
      <c r="D1304" s="538" t="s">
        <v>300</v>
      </c>
      <c r="E1304" s="542">
        <v>263.95</v>
      </c>
      <c r="F1304" s="1378">
        <f>ROUND(C1304*E1304,2)</f>
        <v>11436.95</v>
      </c>
    </row>
    <row r="1305" spans="1:6">
      <c r="A1305" s="536">
        <v>12.4</v>
      </c>
      <c r="B1305" s="526" t="s">
        <v>808</v>
      </c>
      <c r="C1305" s="655">
        <v>8</v>
      </c>
      <c r="D1305" s="538" t="s">
        <v>793</v>
      </c>
      <c r="E1305" s="542">
        <v>86.5</v>
      </c>
      <c r="F1305" s="1378">
        <f>ROUND(C1305*E1305,2)</f>
        <v>692</v>
      </c>
    </row>
    <row r="1306" spans="1:6">
      <c r="A1306" s="536">
        <v>12.5</v>
      </c>
      <c r="B1306" s="526" t="s">
        <v>809</v>
      </c>
      <c r="C1306" s="655">
        <v>2.4500000000000002</v>
      </c>
      <c r="D1306" s="538" t="s">
        <v>300</v>
      </c>
      <c r="E1306" s="542">
        <v>872.5</v>
      </c>
      <c r="F1306" s="1378">
        <f>ROUND(C1306*E1306,2)</f>
        <v>2137.63</v>
      </c>
    </row>
    <row r="1307" spans="1:6">
      <c r="A1307" s="1120"/>
      <c r="B1307" s="1114" t="s">
        <v>810</v>
      </c>
      <c r="C1307" s="1121"/>
      <c r="D1307" s="1122"/>
      <c r="E1307" s="542">
        <v>31104.18</v>
      </c>
      <c r="F1307" s="1396">
        <f>SUM(F1252:F1306)</f>
        <v>114216.18</v>
      </c>
    </row>
    <row r="1308" spans="1:6">
      <c r="A1308" s="1115"/>
      <c r="B1308" s="504"/>
      <c r="C1308" s="1116"/>
      <c r="D1308" s="1117"/>
      <c r="E1308" s="542"/>
      <c r="F1308" s="1392"/>
    </row>
    <row r="1309" spans="1:6">
      <c r="A1309" s="504" t="s">
        <v>811</v>
      </c>
      <c r="B1309" s="614" t="s">
        <v>907</v>
      </c>
      <c r="C1309" s="597"/>
      <c r="D1309" s="521"/>
      <c r="E1309" s="542"/>
      <c r="F1309" s="1358"/>
    </row>
    <row r="1310" spans="1:6">
      <c r="A1310" s="539"/>
      <c r="B1310" s="609"/>
      <c r="C1310" s="597"/>
      <c r="D1310" s="521"/>
      <c r="E1310" s="542"/>
      <c r="F1310" s="1358"/>
    </row>
    <row r="1311" spans="1:6">
      <c r="A1311" s="660">
        <v>1</v>
      </c>
      <c r="B1311" s="661" t="s">
        <v>307</v>
      </c>
      <c r="C1311" s="662">
        <v>1</v>
      </c>
      <c r="D1311" s="663" t="s">
        <v>10</v>
      </c>
      <c r="E1311" s="542">
        <v>21938.23</v>
      </c>
      <c r="F1311" s="1379">
        <f t="shared" ref="F1311:F1350" si="42">ROUND(C1311*E1311,2)</f>
        <v>21938.23</v>
      </c>
    </row>
    <row r="1312" spans="1:6">
      <c r="A1312" s="666"/>
      <c r="B1312" s="661"/>
      <c r="C1312" s="662"/>
      <c r="D1312" s="667"/>
      <c r="E1312" s="542"/>
      <c r="F1312" s="1379"/>
    </row>
    <row r="1313" spans="1:6">
      <c r="A1313" s="668">
        <v>2</v>
      </c>
      <c r="B1313" s="669" t="s">
        <v>296</v>
      </c>
      <c r="C1313" s="662"/>
      <c r="D1313" s="667"/>
      <c r="E1313" s="542"/>
      <c r="F1313" s="1379"/>
    </row>
    <row r="1314" spans="1:6">
      <c r="A1314" s="670">
        <v>2.1</v>
      </c>
      <c r="B1314" s="661" t="s">
        <v>743</v>
      </c>
      <c r="C1314" s="662">
        <v>58.72</v>
      </c>
      <c r="D1314" s="611" t="s">
        <v>298</v>
      </c>
      <c r="E1314" s="542">
        <v>10.199999999999999</v>
      </c>
      <c r="F1314" s="1379">
        <f t="shared" si="42"/>
        <v>598.94000000000005</v>
      </c>
    </row>
    <row r="1315" spans="1:6">
      <c r="A1315" s="670">
        <v>2.2000000000000002</v>
      </c>
      <c r="B1315" s="661" t="s">
        <v>812</v>
      </c>
      <c r="C1315" s="662">
        <v>38.64</v>
      </c>
      <c r="D1315" s="611" t="s">
        <v>298</v>
      </c>
      <c r="E1315" s="542">
        <v>9.4600000000000009</v>
      </c>
      <c r="F1315" s="1379">
        <f t="shared" si="42"/>
        <v>365.53</v>
      </c>
    </row>
    <row r="1316" spans="1:6">
      <c r="A1316" s="670">
        <v>2.2999999999999998</v>
      </c>
      <c r="B1316" s="661" t="s">
        <v>308</v>
      </c>
      <c r="C1316" s="662">
        <v>23.2</v>
      </c>
      <c r="D1316" s="611" t="s">
        <v>298</v>
      </c>
      <c r="E1316" s="542">
        <v>9.0299999999999994</v>
      </c>
      <c r="F1316" s="1379">
        <f t="shared" si="42"/>
        <v>209.5</v>
      </c>
    </row>
    <row r="1317" spans="1:6">
      <c r="A1317" s="671"/>
      <c r="B1317" s="661"/>
      <c r="C1317" s="662"/>
      <c r="D1317" s="667"/>
      <c r="E1317" s="542"/>
      <c r="F1317" s="1379"/>
    </row>
    <row r="1318" spans="1:6">
      <c r="A1318" s="668">
        <v>3</v>
      </c>
      <c r="B1318" s="669" t="s">
        <v>813</v>
      </c>
      <c r="C1318" s="662"/>
      <c r="D1318" s="667"/>
      <c r="E1318" s="542"/>
      <c r="F1318" s="1379"/>
    </row>
    <row r="1319" spans="1:6">
      <c r="A1319" s="670">
        <v>3.1</v>
      </c>
      <c r="B1319" s="661" t="s">
        <v>338</v>
      </c>
      <c r="C1319" s="662">
        <v>18.920000000000002</v>
      </c>
      <c r="D1319" s="611" t="s">
        <v>298</v>
      </c>
      <c r="E1319" s="542">
        <v>1332.16</v>
      </c>
      <c r="F1319" s="1379">
        <f t="shared" si="42"/>
        <v>25204.47</v>
      </c>
    </row>
    <row r="1320" spans="1:6">
      <c r="A1320" s="670">
        <v>3.3</v>
      </c>
      <c r="B1320" s="661" t="s">
        <v>814</v>
      </c>
      <c r="C1320" s="662">
        <v>4.2</v>
      </c>
      <c r="D1320" s="611" t="s">
        <v>298</v>
      </c>
      <c r="E1320" s="542">
        <v>2530.7399999999998</v>
      </c>
      <c r="F1320" s="1379">
        <f t="shared" si="42"/>
        <v>10629.11</v>
      </c>
    </row>
    <row r="1321" spans="1:6">
      <c r="A1321" s="670">
        <v>3.4</v>
      </c>
      <c r="B1321" s="661" t="s">
        <v>815</v>
      </c>
      <c r="C1321" s="662">
        <v>5.2</v>
      </c>
      <c r="D1321" s="611" t="s">
        <v>298</v>
      </c>
      <c r="E1321" s="542">
        <v>2130.54</v>
      </c>
      <c r="F1321" s="1379">
        <f t="shared" si="42"/>
        <v>11078.81</v>
      </c>
    </row>
    <row r="1322" spans="1:6">
      <c r="A1322" s="670">
        <v>3.5</v>
      </c>
      <c r="B1322" s="661" t="s">
        <v>816</v>
      </c>
      <c r="C1322" s="662">
        <v>6.08</v>
      </c>
      <c r="D1322" s="611" t="s">
        <v>298</v>
      </c>
      <c r="E1322" s="542">
        <v>9955.59</v>
      </c>
      <c r="F1322" s="1379">
        <f t="shared" si="42"/>
        <v>60529.99</v>
      </c>
    </row>
    <row r="1323" spans="1:6">
      <c r="A1323" s="670">
        <v>3.6</v>
      </c>
      <c r="B1323" s="661" t="s">
        <v>817</v>
      </c>
      <c r="C1323" s="662">
        <v>4.04</v>
      </c>
      <c r="D1323" s="611" t="s">
        <v>298</v>
      </c>
      <c r="E1323" s="542">
        <v>10013.969999999999</v>
      </c>
      <c r="F1323" s="1379">
        <f t="shared" si="42"/>
        <v>40456.44</v>
      </c>
    </row>
    <row r="1324" spans="1:6">
      <c r="A1324" s="670">
        <v>3.7</v>
      </c>
      <c r="B1324" s="661" t="s">
        <v>818</v>
      </c>
      <c r="C1324" s="662">
        <v>25.72</v>
      </c>
      <c r="D1324" s="611" t="s">
        <v>298</v>
      </c>
      <c r="E1324" s="542">
        <v>1473.88</v>
      </c>
      <c r="F1324" s="1379">
        <f t="shared" si="42"/>
        <v>37908.19</v>
      </c>
    </row>
    <row r="1325" spans="1:6" ht="25.5">
      <c r="A1325" s="670">
        <v>3.8</v>
      </c>
      <c r="B1325" s="673" t="s">
        <v>819</v>
      </c>
      <c r="C1325" s="662">
        <v>23.84</v>
      </c>
      <c r="D1325" s="611" t="s">
        <v>298</v>
      </c>
      <c r="E1325" s="542">
        <v>114.26</v>
      </c>
      <c r="F1325" s="1379">
        <f t="shared" si="42"/>
        <v>2723.96</v>
      </c>
    </row>
    <row r="1326" spans="1:6">
      <c r="A1326" s="674"/>
      <c r="B1326" s="661"/>
      <c r="C1326" s="662"/>
      <c r="D1326" s="667"/>
      <c r="E1326" s="542"/>
      <c r="F1326" s="1379"/>
    </row>
    <row r="1327" spans="1:6">
      <c r="A1327" s="668">
        <v>4</v>
      </c>
      <c r="B1327" s="669" t="s">
        <v>299</v>
      </c>
      <c r="C1327" s="662"/>
      <c r="D1327" s="667"/>
      <c r="E1327" s="542"/>
      <c r="F1327" s="1379"/>
    </row>
    <row r="1328" spans="1:6">
      <c r="A1328" s="670">
        <v>4.2</v>
      </c>
      <c r="B1328" s="661" t="s">
        <v>339</v>
      </c>
      <c r="C1328" s="662">
        <v>56</v>
      </c>
      <c r="D1328" s="521" t="s">
        <v>300</v>
      </c>
      <c r="E1328" s="542">
        <v>86.73</v>
      </c>
      <c r="F1328" s="1379">
        <f t="shared" si="42"/>
        <v>4856.88</v>
      </c>
    </row>
    <row r="1329" spans="1:8">
      <c r="A1329" s="670">
        <v>4.3</v>
      </c>
      <c r="B1329" s="661" t="s">
        <v>309</v>
      </c>
      <c r="C1329" s="662">
        <v>462</v>
      </c>
      <c r="D1329" s="521" t="s">
        <v>300</v>
      </c>
      <c r="E1329" s="542">
        <v>68.73</v>
      </c>
      <c r="F1329" s="1379">
        <f t="shared" si="42"/>
        <v>31753.26</v>
      </c>
    </row>
    <row r="1330" spans="1:8">
      <c r="A1330" s="670">
        <v>4.4000000000000004</v>
      </c>
      <c r="B1330" s="661" t="s">
        <v>310</v>
      </c>
      <c r="C1330" s="662">
        <v>12.8</v>
      </c>
      <c r="D1330" s="521" t="s">
        <v>300</v>
      </c>
      <c r="E1330" s="542">
        <v>35.119999999999997</v>
      </c>
      <c r="F1330" s="1379">
        <f t="shared" si="42"/>
        <v>449.54</v>
      </c>
    </row>
    <row r="1331" spans="1:8">
      <c r="A1331" s="671"/>
      <c r="B1331" s="661"/>
      <c r="C1331" s="662"/>
      <c r="D1331" s="667"/>
      <c r="E1331" s="542"/>
      <c r="F1331" s="1379"/>
    </row>
    <row r="1332" spans="1:8">
      <c r="A1332" s="675">
        <v>5</v>
      </c>
      <c r="B1332" s="669" t="s">
        <v>301</v>
      </c>
      <c r="C1332" s="662"/>
      <c r="D1332" s="667"/>
      <c r="E1332" s="542"/>
      <c r="F1332" s="1379"/>
    </row>
    <row r="1333" spans="1:8">
      <c r="A1333" s="676">
        <v>5.5</v>
      </c>
      <c r="B1333" s="661" t="s">
        <v>315</v>
      </c>
      <c r="C1333" s="662">
        <v>108.68</v>
      </c>
      <c r="D1333" s="663" t="s">
        <v>15</v>
      </c>
      <c r="E1333" s="542">
        <v>49.34</v>
      </c>
      <c r="F1333" s="1379">
        <f t="shared" si="42"/>
        <v>5362.27</v>
      </c>
    </row>
    <row r="1334" spans="1:8">
      <c r="A1334" s="676">
        <v>5.6</v>
      </c>
      <c r="B1334" s="661" t="s">
        <v>316</v>
      </c>
      <c r="C1334" s="662">
        <v>250</v>
      </c>
      <c r="D1334" s="521" t="s">
        <v>300</v>
      </c>
      <c r="E1334" s="542">
        <v>102.72</v>
      </c>
      <c r="F1334" s="1379">
        <f t="shared" si="42"/>
        <v>25680</v>
      </c>
    </row>
    <row r="1335" spans="1:8">
      <c r="A1335" s="676">
        <v>5.7</v>
      </c>
      <c r="B1335" s="677" t="s">
        <v>317</v>
      </c>
      <c r="C1335" s="662">
        <v>1044</v>
      </c>
      <c r="D1335" s="521" t="s">
        <v>300</v>
      </c>
      <c r="E1335" s="542">
        <v>-9.84</v>
      </c>
      <c r="F1335" s="1379">
        <f t="shared" si="42"/>
        <v>-10272.959999999999</v>
      </c>
    </row>
    <row r="1336" spans="1:8">
      <c r="A1336" s="676">
        <v>5.8</v>
      </c>
      <c r="B1336" s="677" t="s">
        <v>318</v>
      </c>
      <c r="C1336" s="662">
        <v>1044</v>
      </c>
      <c r="D1336" s="521" t="s">
        <v>300</v>
      </c>
      <c r="E1336" s="542">
        <v>-9.84</v>
      </c>
      <c r="F1336" s="1379">
        <f t="shared" si="42"/>
        <v>-10272.959999999999</v>
      </c>
    </row>
    <row r="1337" spans="1:8" s="1345" customFormat="1">
      <c r="A1337" s="676">
        <v>5.12</v>
      </c>
      <c r="B1337" s="677" t="s">
        <v>320</v>
      </c>
      <c r="C1337" s="662">
        <v>112</v>
      </c>
      <c r="D1337" s="521" t="s">
        <v>300</v>
      </c>
      <c r="E1337" s="542">
        <v>263.95</v>
      </c>
      <c r="F1337" s="1399">
        <f t="shared" si="42"/>
        <v>29562.400000000001</v>
      </c>
      <c r="G1337" s="1409"/>
      <c r="H1337" s="1409"/>
    </row>
    <row r="1338" spans="1:8">
      <c r="A1338" s="680">
        <v>5.13</v>
      </c>
      <c r="B1338" s="681" t="s">
        <v>820</v>
      </c>
      <c r="C1338" s="662">
        <v>18</v>
      </c>
      <c r="D1338" s="521" t="s">
        <v>15</v>
      </c>
      <c r="E1338" s="542">
        <v>86.5</v>
      </c>
      <c r="F1338" s="1379">
        <f>ROUND(C1338*E1338,2)</f>
        <v>1557</v>
      </c>
    </row>
    <row r="1339" spans="1:8">
      <c r="A1339" s="671"/>
      <c r="B1339" s="661"/>
      <c r="C1339" s="662"/>
      <c r="D1339" s="667"/>
      <c r="E1339" s="542"/>
      <c r="F1339" s="1379"/>
    </row>
    <row r="1340" spans="1:8">
      <c r="A1340" s="668">
        <v>6</v>
      </c>
      <c r="B1340" s="682" t="s">
        <v>302</v>
      </c>
      <c r="C1340" s="662"/>
      <c r="D1340" s="667"/>
      <c r="E1340" s="542"/>
      <c r="F1340" s="1379"/>
    </row>
    <row r="1341" spans="1:8">
      <c r="A1341" s="683">
        <v>6.1</v>
      </c>
      <c r="B1341" s="661" t="s">
        <v>321</v>
      </c>
      <c r="C1341" s="662">
        <v>24</v>
      </c>
      <c r="D1341" s="663" t="s">
        <v>10</v>
      </c>
      <c r="E1341" s="542">
        <v>255</v>
      </c>
      <c r="F1341" s="1379">
        <f t="shared" si="42"/>
        <v>6120</v>
      </c>
    </row>
    <row r="1342" spans="1:8">
      <c r="A1342" s="683">
        <v>6.2</v>
      </c>
      <c r="B1342" s="673" t="s">
        <v>322</v>
      </c>
      <c r="C1342" s="662">
        <v>24</v>
      </c>
      <c r="D1342" s="663" t="s">
        <v>10</v>
      </c>
      <c r="E1342" s="542">
        <v>-0.03</v>
      </c>
      <c r="F1342" s="1379">
        <f t="shared" si="42"/>
        <v>-0.72</v>
      </c>
    </row>
    <row r="1343" spans="1:8">
      <c r="A1343" s="683">
        <v>6.3</v>
      </c>
      <c r="B1343" s="673" t="s">
        <v>340</v>
      </c>
      <c r="C1343" s="662">
        <v>8</v>
      </c>
      <c r="D1343" s="663" t="s">
        <v>10</v>
      </c>
      <c r="E1343" s="542">
        <v>6486.89</v>
      </c>
      <c r="F1343" s="1379">
        <f t="shared" si="42"/>
        <v>51895.12</v>
      </c>
    </row>
    <row r="1344" spans="1:8">
      <c r="A1344" s="683">
        <v>6.4</v>
      </c>
      <c r="B1344" s="673" t="s">
        <v>344</v>
      </c>
      <c r="C1344" s="662">
        <v>30</v>
      </c>
      <c r="D1344" s="663" t="s">
        <v>300</v>
      </c>
      <c r="E1344" s="542">
        <v>889.95</v>
      </c>
      <c r="F1344" s="1379">
        <f t="shared" si="42"/>
        <v>26698.5</v>
      </c>
    </row>
    <row r="1345" spans="1:6">
      <c r="A1345" s="683">
        <v>6.5</v>
      </c>
      <c r="B1345" s="661" t="s">
        <v>323</v>
      </c>
      <c r="C1345" s="662">
        <v>16</v>
      </c>
      <c r="D1345" s="663" t="s">
        <v>10</v>
      </c>
      <c r="E1345" s="542">
        <v>0.04</v>
      </c>
      <c r="F1345" s="1379">
        <f t="shared" si="42"/>
        <v>0.64</v>
      </c>
    </row>
    <row r="1346" spans="1:6">
      <c r="A1346" s="683">
        <v>6.6</v>
      </c>
      <c r="B1346" s="661" t="s">
        <v>324</v>
      </c>
      <c r="C1346" s="662">
        <v>16</v>
      </c>
      <c r="D1346" s="663" t="s">
        <v>10</v>
      </c>
      <c r="E1346" s="542">
        <v>-0.04</v>
      </c>
      <c r="F1346" s="1379">
        <f t="shared" si="42"/>
        <v>-0.64</v>
      </c>
    </row>
    <row r="1347" spans="1:6" ht="7.5" customHeight="1">
      <c r="A1347" s="683">
        <v>6.8</v>
      </c>
      <c r="B1347" s="661" t="s">
        <v>326</v>
      </c>
      <c r="C1347" s="662">
        <v>4</v>
      </c>
      <c r="D1347" s="663" t="s">
        <v>10</v>
      </c>
      <c r="E1347" s="542">
        <v>-0.01</v>
      </c>
      <c r="F1347" s="1379">
        <f t="shared" si="42"/>
        <v>-0.04</v>
      </c>
    </row>
    <row r="1348" spans="1:6">
      <c r="A1348" s="683">
        <v>6.9</v>
      </c>
      <c r="B1348" s="661" t="s">
        <v>821</v>
      </c>
      <c r="C1348" s="662">
        <v>140</v>
      </c>
      <c r="D1348" s="663" t="s">
        <v>15</v>
      </c>
      <c r="E1348" s="542">
        <v>70.5</v>
      </c>
      <c r="F1348" s="1379">
        <f t="shared" si="42"/>
        <v>9870</v>
      </c>
    </row>
    <row r="1349" spans="1:6">
      <c r="A1349" s="684">
        <v>6.12</v>
      </c>
      <c r="B1349" s="673" t="s">
        <v>350</v>
      </c>
      <c r="C1349" s="662">
        <v>24</v>
      </c>
      <c r="D1349" s="663" t="s">
        <v>10</v>
      </c>
      <c r="E1349" s="542">
        <v>882.3</v>
      </c>
      <c r="F1349" s="1379">
        <f t="shared" si="42"/>
        <v>21175.200000000001</v>
      </c>
    </row>
    <row r="1350" spans="1:6" ht="17.25" customHeight="1">
      <c r="A1350" s="684">
        <v>6.15</v>
      </c>
      <c r="B1350" s="610" t="s">
        <v>348</v>
      </c>
      <c r="C1350" s="662">
        <v>24</v>
      </c>
      <c r="D1350" s="663" t="s">
        <v>10</v>
      </c>
      <c r="E1350" s="542">
        <v>-1045.19</v>
      </c>
      <c r="F1350" s="1379">
        <f t="shared" si="42"/>
        <v>-25084.560000000001</v>
      </c>
    </row>
    <row r="1351" spans="1:6" ht="17.25" customHeight="1">
      <c r="A1351" s="671"/>
      <c r="B1351" s="661"/>
      <c r="C1351" s="662"/>
      <c r="D1351" s="667"/>
      <c r="E1351" s="542"/>
      <c r="F1351" s="1379"/>
    </row>
    <row r="1352" spans="1:6" ht="17.25" customHeight="1">
      <c r="A1352" s="1115"/>
      <c r="B1352" s="504" t="s">
        <v>827</v>
      </c>
      <c r="C1352" s="1116"/>
      <c r="D1352" s="1117"/>
      <c r="E1352" s="542"/>
      <c r="F1352" s="1392">
        <f>SUM(F1311:F1351)</f>
        <v>380992.1</v>
      </c>
    </row>
    <row r="1353" spans="1:6" ht="17.25" customHeight="1">
      <c r="A1353" s="1115"/>
      <c r="B1353" s="504"/>
      <c r="C1353" s="1116"/>
      <c r="D1353" s="1117"/>
      <c r="E1353" s="542"/>
      <c r="F1353" s="1392"/>
    </row>
    <row r="1354" spans="1:6" ht="17.25" customHeight="1">
      <c r="A1354" s="504" t="s">
        <v>828</v>
      </c>
      <c r="B1354" s="614" t="s">
        <v>829</v>
      </c>
      <c r="C1354" s="597"/>
      <c r="D1354" s="521"/>
      <c r="E1354" s="542"/>
      <c r="F1354" s="1358"/>
    </row>
    <row r="1355" spans="1:6" ht="17.25" customHeight="1">
      <c r="A1355" s="539"/>
      <c r="B1355" s="609"/>
      <c r="C1355" s="597"/>
      <c r="D1355" s="521"/>
      <c r="E1355" s="542"/>
      <c r="F1355" s="1358"/>
    </row>
    <row r="1356" spans="1:6" ht="17.25" customHeight="1">
      <c r="A1356" s="653">
        <v>1</v>
      </c>
      <c r="B1356" s="654" t="s">
        <v>420</v>
      </c>
      <c r="C1356" s="655"/>
      <c r="D1356" s="538"/>
      <c r="E1356" s="542"/>
      <c r="F1356" s="1358"/>
    </row>
    <row r="1357" spans="1:6" ht="17.25" customHeight="1">
      <c r="A1357" s="536">
        <v>1.1000000000000001</v>
      </c>
      <c r="B1357" s="518" t="s">
        <v>697</v>
      </c>
      <c r="C1357" s="655">
        <v>37.06</v>
      </c>
      <c r="D1357" s="538" t="s">
        <v>300</v>
      </c>
      <c r="E1357" s="542">
        <v>4.78</v>
      </c>
      <c r="F1357" s="1378">
        <f t="shared" ref="F1357:F1370" si="43">ROUND(C1357*E1357,2)</f>
        <v>177.15</v>
      </c>
    </row>
    <row r="1358" spans="1:6" ht="17.25" customHeight="1">
      <c r="A1358" s="539"/>
      <c r="B1358" s="609"/>
      <c r="C1358" s="597"/>
      <c r="D1358" s="521"/>
      <c r="E1358" s="542"/>
      <c r="F1358" s="1378"/>
    </row>
    <row r="1359" spans="1:6" ht="17.25" customHeight="1">
      <c r="A1359" s="653">
        <v>2</v>
      </c>
      <c r="B1359" s="774" t="s">
        <v>296</v>
      </c>
      <c r="C1359" s="520"/>
      <c r="D1359" s="657"/>
      <c r="E1359" s="542"/>
      <c r="F1359" s="1378">
        <f t="shared" si="43"/>
        <v>0</v>
      </c>
    </row>
    <row r="1360" spans="1:6" ht="17.25" customHeight="1">
      <c r="A1360" s="536">
        <v>2.1</v>
      </c>
      <c r="B1360" s="526" t="s">
        <v>743</v>
      </c>
      <c r="C1360" s="537">
        <v>13.27</v>
      </c>
      <c r="D1360" s="657" t="s">
        <v>364</v>
      </c>
      <c r="E1360" s="542">
        <v>10.199999999999999</v>
      </c>
      <c r="F1360" s="1378">
        <f t="shared" si="43"/>
        <v>135.35</v>
      </c>
    </row>
    <row r="1361" spans="1:6" ht="17.25" customHeight="1">
      <c r="A1361" s="536">
        <v>2.2000000000000002</v>
      </c>
      <c r="B1361" s="526" t="s">
        <v>744</v>
      </c>
      <c r="C1361" s="537">
        <v>8.11</v>
      </c>
      <c r="D1361" s="657" t="s">
        <v>426</v>
      </c>
      <c r="E1361" s="542">
        <v>9.4600000000000009</v>
      </c>
      <c r="F1361" s="1378">
        <f t="shared" si="43"/>
        <v>76.72</v>
      </c>
    </row>
    <row r="1362" spans="1:6" ht="17.25" customHeight="1">
      <c r="A1362" s="536">
        <v>2.2999999999999998</v>
      </c>
      <c r="B1362" s="526" t="s">
        <v>308</v>
      </c>
      <c r="C1362" s="537">
        <v>6.71</v>
      </c>
      <c r="D1362" s="657" t="s">
        <v>367</v>
      </c>
      <c r="E1362" s="542">
        <v>9.0299999999999994</v>
      </c>
      <c r="F1362" s="1378">
        <f t="shared" si="43"/>
        <v>60.59</v>
      </c>
    </row>
    <row r="1363" spans="1:6" ht="17.25" customHeight="1">
      <c r="A1363" s="539"/>
      <c r="B1363" s="609"/>
      <c r="C1363" s="597"/>
      <c r="D1363" s="521"/>
      <c r="E1363" s="542"/>
      <c r="F1363" s="1378"/>
    </row>
    <row r="1364" spans="1:6" ht="17.25" customHeight="1">
      <c r="A1364" s="653">
        <v>3</v>
      </c>
      <c r="B1364" s="774" t="s">
        <v>830</v>
      </c>
      <c r="C1364" s="520"/>
      <c r="D1364" s="657"/>
      <c r="E1364" s="542"/>
      <c r="F1364" s="1378"/>
    </row>
    <row r="1365" spans="1:6" ht="17.25" customHeight="1">
      <c r="A1365" s="536">
        <v>3.1</v>
      </c>
      <c r="B1365" s="526" t="s">
        <v>831</v>
      </c>
      <c r="C1365" s="537">
        <v>4.7300000000000004</v>
      </c>
      <c r="D1365" s="657" t="s">
        <v>298</v>
      </c>
      <c r="E1365" s="542">
        <v>1292.1400000000001</v>
      </c>
      <c r="F1365" s="1378">
        <f t="shared" si="43"/>
        <v>6111.82</v>
      </c>
    </row>
    <row r="1366" spans="1:6" ht="17.25" customHeight="1">
      <c r="A1366" s="536">
        <v>3.2</v>
      </c>
      <c r="B1366" s="526" t="s">
        <v>832</v>
      </c>
      <c r="C1366" s="537">
        <v>1.4</v>
      </c>
      <c r="D1366" s="657" t="s">
        <v>298</v>
      </c>
      <c r="E1366" s="542">
        <v>3691.32</v>
      </c>
      <c r="F1366" s="1378">
        <f t="shared" si="43"/>
        <v>5167.8500000000004</v>
      </c>
    </row>
    <row r="1367" spans="1:6" ht="17.25" customHeight="1">
      <c r="A1367" s="536">
        <v>3.3</v>
      </c>
      <c r="B1367" s="526" t="s">
        <v>833</v>
      </c>
      <c r="C1367" s="537">
        <v>0.86</v>
      </c>
      <c r="D1367" s="657" t="s">
        <v>298</v>
      </c>
      <c r="E1367" s="542">
        <v>9797.1299999999992</v>
      </c>
      <c r="F1367" s="1378">
        <f t="shared" si="43"/>
        <v>8425.5300000000007</v>
      </c>
    </row>
    <row r="1368" spans="1:6">
      <c r="A1368" s="536">
        <v>3.4</v>
      </c>
      <c r="B1368" s="526" t="s">
        <v>834</v>
      </c>
      <c r="C1368" s="537">
        <v>1.31</v>
      </c>
      <c r="D1368" s="657" t="s">
        <v>298</v>
      </c>
      <c r="E1368" s="542">
        <v>2774.86</v>
      </c>
      <c r="F1368" s="1378">
        <f t="shared" si="43"/>
        <v>3635.07</v>
      </c>
    </row>
    <row r="1369" spans="1:6" ht="25.5">
      <c r="A1369" s="536">
        <v>3.5</v>
      </c>
      <c r="B1369" s="526" t="s">
        <v>835</v>
      </c>
      <c r="C1369" s="597">
        <v>3.61</v>
      </c>
      <c r="D1369" s="657" t="s">
        <v>298</v>
      </c>
      <c r="E1369" s="542">
        <v>114.26</v>
      </c>
      <c r="F1369" s="1378">
        <f t="shared" si="43"/>
        <v>412.48</v>
      </c>
    </row>
    <row r="1370" spans="1:6">
      <c r="A1370" s="536">
        <v>3.6</v>
      </c>
      <c r="B1370" s="609" t="s">
        <v>836</v>
      </c>
      <c r="C1370" s="597">
        <v>3.96</v>
      </c>
      <c r="D1370" s="657" t="s">
        <v>298</v>
      </c>
      <c r="E1370" s="542">
        <v>1734.88</v>
      </c>
      <c r="F1370" s="1378">
        <f t="shared" si="43"/>
        <v>6870.12</v>
      </c>
    </row>
    <row r="1371" spans="1:6">
      <c r="A1371" s="539"/>
      <c r="B1371" s="609"/>
      <c r="C1371" s="597"/>
      <c r="D1371" s="521"/>
      <c r="E1371" s="542"/>
      <c r="F1371" s="1358"/>
    </row>
    <row r="1372" spans="1:6">
      <c r="A1372" s="653">
        <v>4</v>
      </c>
      <c r="B1372" s="654" t="s">
        <v>299</v>
      </c>
      <c r="C1372" s="655"/>
      <c r="D1372" s="538"/>
      <c r="E1372" s="542"/>
      <c r="F1372" s="1378"/>
    </row>
    <row r="1373" spans="1:6">
      <c r="A1373" s="536">
        <v>4.0999999999999996</v>
      </c>
      <c r="B1373" s="1130" t="s">
        <v>752</v>
      </c>
      <c r="C1373" s="537">
        <v>16.079999999999998</v>
      </c>
      <c r="D1373" s="538" t="s">
        <v>300</v>
      </c>
      <c r="E1373" s="542">
        <v>68.73</v>
      </c>
      <c r="F1373" s="1378">
        <f>ROUND(C1373*E1373,2)</f>
        <v>1105.18</v>
      </c>
    </row>
    <row r="1374" spans="1:6">
      <c r="A1374" s="536">
        <v>4.2</v>
      </c>
      <c r="B1374" s="1130" t="s">
        <v>753</v>
      </c>
      <c r="C1374" s="537">
        <v>67.650000000000006</v>
      </c>
      <c r="D1374" s="538" t="s">
        <v>300</v>
      </c>
      <c r="E1374" s="542">
        <v>86.73</v>
      </c>
      <c r="F1374" s="1378">
        <f>ROUND(C1374*E1374,2)</f>
        <v>5867.28</v>
      </c>
    </row>
    <row r="1375" spans="1:6">
      <c r="A1375" s="760"/>
      <c r="B1375" s="1130"/>
      <c r="C1375" s="655"/>
      <c r="D1375" s="538"/>
      <c r="E1375" s="542"/>
      <c r="F1375" s="1378"/>
    </row>
    <row r="1376" spans="1:6">
      <c r="A1376" s="653">
        <v>5</v>
      </c>
      <c r="B1376" s="654" t="s">
        <v>516</v>
      </c>
      <c r="C1376" s="655"/>
      <c r="D1376" s="538"/>
      <c r="E1376" s="542"/>
      <c r="F1376" s="1378"/>
    </row>
    <row r="1377" spans="1:6">
      <c r="A1377" s="536">
        <v>5.5</v>
      </c>
      <c r="B1377" s="1130" t="s">
        <v>837</v>
      </c>
      <c r="C1377" s="655">
        <v>211.65</v>
      </c>
      <c r="D1377" s="538" t="s">
        <v>300</v>
      </c>
      <c r="E1377" s="542">
        <v>8.27</v>
      </c>
      <c r="F1377" s="1378">
        <f t="shared" ref="F1377:F1380" si="44">ROUND(C1377*E1377,2)</f>
        <v>1750.35</v>
      </c>
    </row>
    <row r="1378" spans="1:6">
      <c r="A1378" s="536">
        <v>5.6</v>
      </c>
      <c r="B1378" s="1130" t="s">
        <v>838</v>
      </c>
      <c r="C1378" s="655">
        <v>211.65</v>
      </c>
      <c r="D1378" s="538" t="s">
        <v>300</v>
      </c>
      <c r="E1378" s="542">
        <v>-4.92</v>
      </c>
      <c r="F1378" s="1378">
        <f t="shared" si="44"/>
        <v>-1041.32</v>
      </c>
    </row>
    <row r="1379" spans="1:6">
      <c r="A1379" s="536">
        <v>5.7</v>
      </c>
      <c r="B1379" s="661" t="s">
        <v>315</v>
      </c>
      <c r="C1379" s="655">
        <v>27.3</v>
      </c>
      <c r="D1379" s="663" t="s">
        <v>15</v>
      </c>
      <c r="E1379" s="542">
        <v>49.34</v>
      </c>
      <c r="F1379" s="1378">
        <f t="shared" si="44"/>
        <v>1346.98</v>
      </c>
    </row>
    <row r="1380" spans="1:6">
      <c r="A1380" s="536">
        <v>5.8</v>
      </c>
      <c r="B1380" s="661" t="s">
        <v>316</v>
      </c>
      <c r="C1380" s="655">
        <v>32.99</v>
      </c>
      <c r="D1380" s="521" t="s">
        <v>300</v>
      </c>
      <c r="E1380" s="542">
        <v>102.72</v>
      </c>
      <c r="F1380" s="1378">
        <f t="shared" si="44"/>
        <v>3388.73</v>
      </c>
    </row>
    <row r="1381" spans="1:6">
      <c r="A1381" s="539"/>
      <c r="B1381" s="609"/>
      <c r="C1381" s="597"/>
      <c r="D1381" s="521"/>
      <c r="E1381" s="542"/>
      <c r="F1381" s="1358"/>
    </row>
    <row r="1382" spans="1:6">
      <c r="A1382" s="653">
        <v>6</v>
      </c>
      <c r="B1382" s="774" t="s">
        <v>305</v>
      </c>
      <c r="C1382" s="520"/>
      <c r="D1382" s="657"/>
      <c r="E1382" s="542"/>
      <c r="F1382" s="1378"/>
    </row>
    <row r="1383" spans="1:6">
      <c r="A1383" s="536">
        <v>6.1</v>
      </c>
      <c r="B1383" s="526" t="s">
        <v>726</v>
      </c>
      <c r="C1383" s="520">
        <v>1</v>
      </c>
      <c r="D1383" s="657" t="s">
        <v>10</v>
      </c>
      <c r="E1383" s="542">
        <v>255</v>
      </c>
      <c r="F1383" s="1378">
        <f t="shared" ref="F1383:F1389" si="45">ROUND(C1383*E1383,2)</f>
        <v>255</v>
      </c>
    </row>
    <row r="1384" spans="1:6">
      <c r="A1384" s="536">
        <v>6.2</v>
      </c>
      <c r="B1384" s="609" t="s">
        <v>770</v>
      </c>
      <c r="C1384" s="655">
        <v>1</v>
      </c>
      <c r="D1384" s="657" t="s">
        <v>10</v>
      </c>
      <c r="E1384" s="542">
        <v>-0.03</v>
      </c>
      <c r="F1384" s="1378">
        <f t="shared" si="45"/>
        <v>-0.03</v>
      </c>
    </row>
    <row r="1385" spans="1:6">
      <c r="A1385" s="536">
        <v>6.3</v>
      </c>
      <c r="B1385" s="526" t="s">
        <v>771</v>
      </c>
      <c r="C1385" s="655">
        <v>1</v>
      </c>
      <c r="D1385" s="657" t="s">
        <v>10</v>
      </c>
      <c r="E1385" s="542">
        <v>0.04</v>
      </c>
      <c r="F1385" s="1378">
        <f t="shared" si="45"/>
        <v>0.04</v>
      </c>
    </row>
    <row r="1386" spans="1:6">
      <c r="A1386" s="536">
        <v>6.4</v>
      </c>
      <c r="B1386" s="526" t="s">
        <v>772</v>
      </c>
      <c r="C1386" s="655">
        <v>1</v>
      </c>
      <c r="D1386" s="657" t="s">
        <v>10</v>
      </c>
      <c r="E1386" s="542">
        <v>0.04</v>
      </c>
      <c r="F1386" s="1378">
        <f t="shared" si="45"/>
        <v>0.04</v>
      </c>
    </row>
    <row r="1387" spans="1:6">
      <c r="A1387" s="536">
        <v>6.5</v>
      </c>
      <c r="B1387" s="526" t="s">
        <v>773</v>
      </c>
      <c r="C1387" s="655">
        <v>1</v>
      </c>
      <c r="D1387" s="657" t="s">
        <v>10</v>
      </c>
      <c r="E1387" s="542">
        <v>0.05</v>
      </c>
      <c r="F1387" s="1378">
        <f t="shared" si="45"/>
        <v>0.05</v>
      </c>
    </row>
    <row r="1388" spans="1:6">
      <c r="A1388" s="536">
        <v>6.6</v>
      </c>
      <c r="B1388" s="526" t="s">
        <v>774</v>
      </c>
      <c r="C1388" s="655">
        <v>1</v>
      </c>
      <c r="D1388" s="657" t="s">
        <v>10</v>
      </c>
      <c r="E1388" s="542">
        <v>-0.01</v>
      </c>
      <c r="F1388" s="1378">
        <f t="shared" si="45"/>
        <v>-0.01</v>
      </c>
    </row>
    <row r="1389" spans="1:6">
      <c r="A1389" s="536">
        <v>6.7</v>
      </c>
      <c r="B1389" s="526" t="s">
        <v>775</v>
      </c>
      <c r="C1389" s="655">
        <v>2</v>
      </c>
      <c r="D1389" s="657" t="s">
        <v>10</v>
      </c>
      <c r="E1389" s="542">
        <v>0.04</v>
      </c>
      <c r="F1389" s="1378">
        <f t="shared" si="45"/>
        <v>0.08</v>
      </c>
    </row>
    <row r="1390" spans="1:6">
      <c r="A1390" s="760"/>
      <c r="B1390" s="526"/>
      <c r="C1390" s="520"/>
      <c r="D1390" s="657"/>
      <c r="E1390" s="542"/>
      <c r="F1390" s="1378"/>
    </row>
    <row r="1391" spans="1:6">
      <c r="A1391" s="653">
        <v>7</v>
      </c>
      <c r="B1391" s="654" t="s">
        <v>842</v>
      </c>
      <c r="C1391" s="655"/>
      <c r="D1391" s="538"/>
      <c r="E1391" s="542"/>
      <c r="F1391" s="1378"/>
    </row>
    <row r="1392" spans="1:6">
      <c r="A1392" s="536">
        <v>7.1</v>
      </c>
      <c r="B1392" s="1137" t="s">
        <v>791</v>
      </c>
      <c r="C1392" s="655">
        <v>33.590000000000003</v>
      </c>
      <c r="D1392" s="538" t="s">
        <v>300</v>
      </c>
      <c r="E1392" s="542">
        <v>1479.31</v>
      </c>
      <c r="F1392" s="1378">
        <f>ROUND(C1392*E1392,2)</f>
        <v>49690.02</v>
      </c>
    </row>
    <row r="1393" spans="1:6">
      <c r="A1393" s="1139">
        <v>7.2</v>
      </c>
      <c r="B1393" s="881" t="s">
        <v>792</v>
      </c>
      <c r="C1393" s="913">
        <v>47.76</v>
      </c>
      <c r="D1393" s="1140" t="s">
        <v>793</v>
      </c>
      <c r="E1393" s="542">
        <v>317.22000000000003</v>
      </c>
      <c r="F1393" s="1400">
        <f>ROUND(C1393*E1393,2)</f>
        <v>15150.43</v>
      </c>
    </row>
    <row r="1394" spans="1:6">
      <c r="A1394" s="760"/>
      <c r="B1394" s="1130"/>
      <c r="C1394" s="655"/>
      <c r="D1394" s="538"/>
      <c r="E1394" s="542"/>
      <c r="F1394" s="1378"/>
    </row>
    <row r="1395" spans="1:6">
      <c r="A1395" s="760"/>
      <c r="B1395" s="1130"/>
      <c r="C1395" s="655"/>
      <c r="D1395" s="538"/>
      <c r="E1395" s="542"/>
      <c r="F1395" s="1378"/>
    </row>
    <row r="1396" spans="1:6">
      <c r="A1396" s="653">
        <v>9</v>
      </c>
      <c r="B1396" s="654" t="s">
        <v>849</v>
      </c>
      <c r="C1396" s="655"/>
      <c r="D1396" s="538"/>
      <c r="E1396" s="542"/>
      <c r="F1396" s="1378"/>
    </row>
    <row r="1397" spans="1:6">
      <c r="A1397" s="536">
        <v>9.1</v>
      </c>
      <c r="B1397" s="518" t="s">
        <v>850</v>
      </c>
      <c r="C1397" s="655">
        <v>2</v>
      </c>
      <c r="D1397" s="538" t="s">
        <v>10</v>
      </c>
      <c r="E1397" s="542">
        <v>3373.5</v>
      </c>
      <c r="F1397" s="1378">
        <f>ROUND(C1397*E1397,2)</f>
        <v>6747</v>
      </c>
    </row>
    <row r="1398" spans="1:6">
      <c r="A1398" s="536">
        <v>9.1999999999999993</v>
      </c>
      <c r="B1398" s="518" t="s">
        <v>851</v>
      </c>
      <c r="C1398" s="655">
        <v>2</v>
      </c>
      <c r="D1398" s="538" t="s">
        <v>10</v>
      </c>
      <c r="E1398" s="542">
        <v>4368.8999999999996</v>
      </c>
      <c r="F1398" s="1378">
        <f>ROUND(C1398*E1398,2)</f>
        <v>8737.7999999999993</v>
      </c>
    </row>
    <row r="1399" spans="1:6">
      <c r="A1399" s="536">
        <v>9.3000000000000007</v>
      </c>
      <c r="B1399" s="518" t="s">
        <v>852</v>
      </c>
      <c r="C1399" s="655">
        <v>4</v>
      </c>
      <c r="D1399" s="538" t="s">
        <v>10</v>
      </c>
      <c r="E1399" s="542">
        <v>2590.6999999999998</v>
      </c>
      <c r="F1399" s="1378">
        <f>ROUND(C1399*E1399,2)</f>
        <v>10362.799999999999</v>
      </c>
    </row>
    <row r="1400" spans="1:6">
      <c r="A1400" s="536">
        <v>9.4</v>
      </c>
      <c r="B1400" s="518" t="s">
        <v>853</v>
      </c>
      <c r="C1400" s="655">
        <v>2</v>
      </c>
      <c r="D1400" s="538" t="s">
        <v>10</v>
      </c>
      <c r="E1400" s="542">
        <v>2269.8000000000002</v>
      </c>
      <c r="F1400" s="1378">
        <f>ROUND(C1400*E1400,2)</f>
        <v>4539.6000000000004</v>
      </c>
    </row>
    <row r="1401" spans="1:6">
      <c r="A1401" s="760"/>
      <c r="B1401" s="1130"/>
      <c r="C1401" s="655"/>
      <c r="D1401" s="538"/>
      <c r="E1401" s="542"/>
      <c r="F1401" s="1378"/>
    </row>
    <row r="1402" spans="1:6">
      <c r="A1402" s="653">
        <v>10</v>
      </c>
      <c r="B1402" s="654" t="s">
        <v>547</v>
      </c>
      <c r="C1402" s="655"/>
      <c r="D1402" s="538"/>
      <c r="E1402" s="542"/>
      <c r="F1402" s="1378"/>
    </row>
    <row r="1403" spans="1:6">
      <c r="A1403" s="536">
        <v>10.199999999999999</v>
      </c>
      <c r="B1403" s="526" t="s">
        <v>809</v>
      </c>
      <c r="C1403" s="655">
        <v>1.26</v>
      </c>
      <c r="D1403" s="538" t="s">
        <v>300</v>
      </c>
      <c r="E1403" s="542">
        <v>872.5</v>
      </c>
      <c r="F1403" s="1378">
        <f>ROUND(C1403*E1403,2)</f>
        <v>1099.3499999999999</v>
      </c>
    </row>
    <row r="1404" spans="1:6">
      <c r="A1404" s="1115"/>
      <c r="B1404" s="504" t="s">
        <v>856</v>
      </c>
      <c r="C1404" s="1116"/>
      <c r="D1404" s="1117"/>
      <c r="E1404" s="542"/>
      <c r="F1404" s="1392">
        <f>SUM(F1357:F1403)</f>
        <v>140072.04999999999</v>
      </c>
    </row>
    <row r="1405" spans="1:6">
      <c r="A1405" s="539"/>
      <c r="B1405" s="609"/>
      <c r="C1405" s="597"/>
      <c r="D1405" s="521"/>
      <c r="E1405" s="542"/>
      <c r="F1405" s="1358"/>
    </row>
    <row r="1406" spans="1:6">
      <c r="A1406" s="504" t="s">
        <v>857</v>
      </c>
      <c r="B1406" s="614" t="s">
        <v>858</v>
      </c>
      <c r="C1406" s="597"/>
      <c r="D1406" s="521"/>
      <c r="E1406" s="542"/>
      <c r="F1406" s="1358"/>
    </row>
    <row r="1407" spans="1:6">
      <c r="A1407" s="504"/>
      <c r="B1407" s="614"/>
      <c r="C1407" s="597"/>
      <c r="D1407" s="521"/>
      <c r="E1407" s="542"/>
      <c r="F1407" s="1358"/>
    </row>
    <row r="1408" spans="1:6">
      <c r="A1408" s="693">
        <v>1</v>
      </c>
      <c r="B1408" s="694" t="s">
        <v>859</v>
      </c>
      <c r="C1408" s="695"/>
      <c r="D1408" s="696"/>
      <c r="E1408" s="542"/>
      <c r="F1408" s="1382"/>
    </row>
    <row r="1409" spans="1:6">
      <c r="A1409" s="699">
        <v>1.3</v>
      </c>
      <c r="B1409" s="700" t="s">
        <v>862</v>
      </c>
      <c r="C1409" s="704">
        <v>1500</v>
      </c>
      <c r="D1409" s="701" t="s">
        <v>15</v>
      </c>
      <c r="E1409" s="542">
        <v>55.6</v>
      </c>
      <c r="F1409" s="1362">
        <f t="shared" ref="F1409:F1424" si="46">C1409*E1409</f>
        <v>83400</v>
      </c>
    </row>
    <row r="1410" spans="1:6" ht="25.5">
      <c r="A1410" s="699">
        <v>1.4</v>
      </c>
      <c r="B1410" s="700" t="s">
        <v>863</v>
      </c>
      <c r="C1410" s="704">
        <v>10</v>
      </c>
      <c r="D1410" s="701" t="s">
        <v>10</v>
      </c>
      <c r="E1410" s="542">
        <v>55.6</v>
      </c>
      <c r="F1410" s="1362">
        <f t="shared" si="46"/>
        <v>556</v>
      </c>
    </row>
    <row r="1411" spans="1:6">
      <c r="A1411" s="699">
        <v>1.5</v>
      </c>
      <c r="B1411" s="700" t="s">
        <v>864</v>
      </c>
      <c r="C1411" s="704">
        <v>110</v>
      </c>
      <c r="D1411" s="701" t="s">
        <v>10</v>
      </c>
      <c r="E1411" s="542">
        <v>336.3</v>
      </c>
      <c r="F1411" s="1362">
        <f t="shared" si="46"/>
        <v>36993</v>
      </c>
    </row>
    <row r="1412" spans="1:6">
      <c r="A1412" s="699"/>
      <c r="B1412" s="703"/>
      <c r="C1412" s="704"/>
      <c r="D1412" s="701"/>
      <c r="E1412" s="542"/>
      <c r="F1412" s="1362"/>
    </row>
    <row r="1413" spans="1:6">
      <c r="A1413" s="705">
        <v>2</v>
      </c>
      <c r="B1413" s="706" t="s">
        <v>866</v>
      </c>
      <c r="C1413" s="704"/>
      <c r="D1413" s="701"/>
      <c r="E1413" s="542"/>
      <c r="F1413" s="1362"/>
    </row>
    <row r="1414" spans="1:6">
      <c r="A1414" s="707">
        <v>2.4</v>
      </c>
      <c r="B1414" s="700" t="s">
        <v>870</v>
      </c>
      <c r="C1414" s="704">
        <v>400</v>
      </c>
      <c r="D1414" s="701" t="s">
        <v>15</v>
      </c>
      <c r="E1414" s="542">
        <v>-61.5</v>
      </c>
      <c r="F1414" s="1362">
        <f t="shared" si="46"/>
        <v>-24600</v>
      </c>
    </row>
    <row r="1415" spans="1:6">
      <c r="A1415" s="707">
        <v>2.5</v>
      </c>
      <c r="B1415" s="700" t="s">
        <v>864</v>
      </c>
      <c r="C1415" s="704">
        <v>49</v>
      </c>
      <c r="D1415" s="701" t="s">
        <v>10</v>
      </c>
      <c r="E1415" s="542">
        <v>336.3</v>
      </c>
      <c r="F1415" s="1362">
        <f t="shared" si="46"/>
        <v>16478.7</v>
      </c>
    </row>
    <row r="1416" spans="1:6">
      <c r="A1416" s="707"/>
      <c r="B1416" s="700"/>
      <c r="C1416" s="704"/>
      <c r="D1416" s="701"/>
      <c r="E1416" s="542"/>
      <c r="F1416" s="1362"/>
    </row>
    <row r="1417" spans="1:6">
      <c r="A1417" s="708">
        <v>3</v>
      </c>
      <c r="B1417" s="709" t="s">
        <v>871</v>
      </c>
      <c r="C1417" s="704"/>
      <c r="D1417" s="701"/>
      <c r="E1417" s="542"/>
      <c r="F1417" s="1362"/>
    </row>
    <row r="1418" spans="1:6">
      <c r="A1418" s="707">
        <v>3.3</v>
      </c>
      <c r="B1418" s="710" t="s">
        <v>873</v>
      </c>
      <c r="C1418" s="834">
        <v>371.43</v>
      </c>
      <c r="D1418" s="611" t="s">
        <v>15</v>
      </c>
      <c r="E1418" s="542">
        <v>18.100000000000001</v>
      </c>
      <c r="F1418" s="1362">
        <f t="shared" si="46"/>
        <v>6722.88</v>
      </c>
    </row>
    <row r="1419" spans="1:6">
      <c r="A1419" s="707">
        <v>3.4</v>
      </c>
      <c r="B1419" s="518" t="s">
        <v>874</v>
      </c>
      <c r="C1419" s="835">
        <v>4</v>
      </c>
      <c r="D1419" s="701" t="s">
        <v>10</v>
      </c>
      <c r="E1419" s="542">
        <v>5087.1000000000004</v>
      </c>
      <c r="F1419" s="1362">
        <f t="shared" si="46"/>
        <v>20348.400000000001</v>
      </c>
    </row>
    <row r="1420" spans="1:6">
      <c r="A1420" s="713"/>
      <c r="B1420" s="714"/>
      <c r="C1420" s="715"/>
      <c r="D1420" s="716"/>
      <c r="E1420" s="542"/>
      <c r="F1420" s="1362"/>
    </row>
    <row r="1421" spans="1:6">
      <c r="A1421" s="708">
        <v>4</v>
      </c>
      <c r="B1421" s="709" t="s">
        <v>875</v>
      </c>
      <c r="C1421" s="704"/>
      <c r="D1421" s="701"/>
      <c r="E1421" s="542"/>
      <c r="F1421" s="1362"/>
    </row>
    <row r="1422" spans="1:6">
      <c r="A1422" s="707">
        <v>4.5</v>
      </c>
      <c r="B1422" s="710" t="s">
        <v>786</v>
      </c>
      <c r="C1422" s="704">
        <v>1</v>
      </c>
      <c r="D1422" s="701" t="s">
        <v>10</v>
      </c>
      <c r="E1422" s="542">
        <v>0.02</v>
      </c>
      <c r="F1422" s="1362">
        <f t="shared" si="46"/>
        <v>0.02</v>
      </c>
    </row>
    <row r="1423" spans="1:6">
      <c r="A1423" s="707">
        <v>4.7</v>
      </c>
      <c r="B1423" s="518" t="s">
        <v>877</v>
      </c>
      <c r="C1423" s="712">
        <v>1</v>
      </c>
      <c r="D1423" s="701" t="s">
        <v>10</v>
      </c>
      <c r="E1423" s="542">
        <v>-0.03</v>
      </c>
      <c r="F1423" s="1362">
        <f t="shared" si="46"/>
        <v>-0.03</v>
      </c>
    </row>
    <row r="1424" spans="1:6">
      <c r="A1424" s="700">
        <v>4.1100000000000003</v>
      </c>
      <c r="B1424" s="710" t="s">
        <v>873</v>
      </c>
      <c r="C1424" s="711">
        <v>300</v>
      </c>
      <c r="D1424" s="611" t="s">
        <v>15</v>
      </c>
      <c r="E1424" s="542">
        <v>18.100000000000001</v>
      </c>
      <c r="F1424" s="1362">
        <f t="shared" si="46"/>
        <v>5430</v>
      </c>
    </row>
    <row r="1425" spans="1:6">
      <c r="A1425" s="713"/>
      <c r="B1425" s="714"/>
      <c r="C1425" s="715"/>
      <c r="D1425" s="716"/>
      <c r="E1425" s="542"/>
      <c r="F1425" s="1362"/>
    </row>
    <row r="1426" spans="1:6">
      <c r="A1426" s="708">
        <v>5</v>
      </c>
      <c r="B1426" s="709" t="s">
        <v>883</v>
      </c>
      <c r="C1426" s="715"/>
      <c r="D1426" s="716"/>
      <c r="E1426" s="542"/>
      <c r="F1426" s="1362"/>
    </row>
    <row r="1427" spans="1:6">
      <c r="A1427" s="699">
        <v>5.3</v>
      </c>
      <c r="B1427" s="700" t="s">
        <v>882</v>
      </c>
      <c r="C1427" s="704">
        <v>950</v>
      </c>
      <c r="D1427" s="701" t="s">
        <v>15</v>
      </c>
      <c r="E1427" s="542">
        <v>55.6</v>
      </c>
      <c r="F1427" s="1362">
        <f t="shared" ref="F1427:F1429" si="47">C1427*E1427</f>
        <v>52820</v>
      </c>
    </row>
    <row r="1428" spans="1:6">
      <c r="A1428" s="699">
        <v>5.4</v>
      </c>
      <c r="B1428" s="700" t="s">
        <v>864</v>
      </c>
      <c r="C1428" s="704">
        <v>90</v>
      </c>
      <c r="D1428" s="701" t="s">
        <v>10</v>
      </c>
      <c r="E1428" s="542">
        <v>336.3</v>
      </c>
      <c r="F1428" s="1362">
        <f t="shared" si="47"/>
        <v>30267</v>
      </c>
    </row>
    <row r="1429" spans="1:6">
      <c r="A1429" s="699">
        <v>5.6</v>
      </c>
      <c r="B1429" s="703" t="s">
        <v>865</v>
      </c>
      <c r="C1429" s="704">
        <v>1</v>
      </c>
      <c r="D1429" s="701" t="s">
        <v>10</v>
      </c>
      <c r="E1429" s="542">
        <v>40000</v>
      </c>
      <c r="F1429" s="1362">
        <f t="shared" si="47"/>
        <v>40000</v>
      </c>
    </row>
    <row r="1430" spans="1:6">
      <c r="A1430" s="699"/>
      <c r="B1430" s="703"/>
      <c r="C1430" s="704"/>
      <c r="D1430" s="701"/>
      <c r="E1430" s="542"/>
      <c r="F1430" s="1362"/>
    </row>
    <row r="1431" spans="1:6">
      <c r="A1431" s="734"/>
      <c r="B1431" s="504" t="s">
        <v>884</v>
      </c>
      <c r="C1431" s="506"/>
      <c r="D1431" s="611"/>
      <c r="E1431" s="542"/>
      <c r="F1431" s="1386">
        <f>SUM(F1409:F1430)</f>
        <v>268415.96999999997</v>
      </c>
    </row>
    <row r="1432" spans="1:6">
      <c r="A1432" s="1115"/>
      <c r="B1432" s="504"/>
      <c r="C1432" s="1116"/>
      <c r="D1432" s="1117"/>
      <c r="E1432" s="542"/>
      <c r="F1432" s="1392"/>
    </row>
    <row r="1433" spans="1:6">
      <c r="A1433" s="1141"/>
      <c r="B1433" s="1142" t="s">
        <v>885</v>
      </c>
      <c r="C1433" s="860"/>
      <c r="D1433" s="1143"/>
      <c r="E1433" s="542"/>
      <c r="F1433" s="1401">
        <f>F979+F1045+F1103+F1133+F1208+F1248+F1307+F1352+F1404+F1431</f>
        <v>10200483.1</v>
      </c>
    </row>
    <row r="1434" spans="1:6">
      <c r="A1434" s="783"/>
      <c r="B1434" s="518"/>
      <c r="C1434" s="784"/>
      <c r="D1434" s="785"/>
      <c r="E1434" s="542"/>
      <c r="F1434" s="1354"/>
    </row>
    <row r="1435" spans="1:6">
      <c r="A1435" s="836" t="s">
        <v>71</v>
      </c>
      <c r="B1435" s="788" t="s">
        <v>157</v>
      </c>
      <c r="C1435" s="1145"/>
      <c r="D1435" s="657"/>
      <c r="E1435" s="542"/>
      <c r="F1435" s="1354"/>
    </row>
    <row r="1436" spans="1:6" ht="13.5" customHeight="1">
      <c r="A1436" s="1146">
        <v>2</v>
      </c>
      <c r="B1436" s="518" t="s">
        <v>887</v>
      </c>
      <c r="C1436" s="520">
        <v>1</v>
      </c>
      <c r="D1436" s="611" t="s">
        <v>135</v>
      </c>
      <c r="E1436" s="542">
        <v>340000.72</v>
      </c>
      <c r="F1436" s="1354">
        <f t="shared" ref="F1436:F1437" si="48">C1436*E1436</f>
        <v>340000.72</v>
      </c>
    </row>
    <row r="1437" spans="1:6" ht="13.5" customHeight="1">
      <c r="A1437" s="1146">
        <v>3</v>
      </c>
      <c r="B1437" s="518" t="s">
        <v>503</v>
      </c>
      <c r="C1437" s="520">
        <v>1</v>
      </c>
      <c r="D1437" s="611" t="s">
        <v>888</v>
      </c>
      <c r="E1437" s="516">
        <v>23697.5</v>
      </c>
      <c r="F1437" s="1354">
        <f t="shared" si="48"/>
        <v>23697.5</v>
      </c>
    </row>
    <row r="1438" spans="1:6" ht="13.5" customHeight="1">
      <c r="A1438" s="1141"/>
      <c r="B1438" s="1142" t="s">
        <v>889</v>
      </c>
      <c r="C1438" s="860"/>
      <c r="D1438" s="1143"/>
      <c r="E1438" s="1144"/>
      <c r="F1438" s="1401">
        <f>SUM(F1435:F1437)</f>
        <v>363698.22</v>
      </c>
    </row>
    <row r="1440" spans="1:6">
      <c r="A1440" s="728"/>
      <c r="B1440" s="729" t="s">
        <v>1781</v>
      </c>
      <c r="C1440" s="730"/>
      <c r="D1440" s="731"/>
      <c r="E1440" s="732"/>
      <c r="F1440" s="1387">
        <f>F1438+F1433+F907+F896+F943</f>
        <v>41967223.380000003</v>
      </c>
    </row>
    <row r="1441" spans="1:8">
      <c r="A1441" s="1141"/>
      <c r="B1441" s="1147"/>
      <c r="C1441" s="1148"/>
      <c r="D1441" s="1149"/>
      <c r="E1441" s="1150"/>
      <c r="F1441" s="1402"/>
    </row>
    <row r="1442" spans="1:8">
      <c r="A1442" s="728"/>
      <c r="B1442" s="729" t="s">
        <v>1779</v>
      </c>
      <c r="C1442" s="730"/>
      <c r="D1442" s="731"/>
      <c r="E1442" s="732"/>
      <c r="F1442" s="1387">
        <f>+F866+F1440</f>
        <v>259082723.12</v>
      </c>
    </row>
    <row r="1443" spans="1:8">
      <c r="A1443" s="734"/>
      <c r="B1443" s="1342"/>
      <c r="C1443" s="1343"/>
      <c r="D1443" s="563"/>
      <c r="E1443" s="1344"/>
      <c r="F1443" s="1403"/>
      <c r="H1443" s="1410"/>
    </row>
    <row r="1444" spans="1:8">
      <c r="A1444" s="734"/>
      <c r="B1444" s="735" t="s">
        <v>890</v>
      </c>
      <c r="C1444" s="736"/>
      <c r="D1444" s="611"/>
      <c r="E1444" s="717"/>
      <c r="F1444" s="1355"/>
    </row>
    <row r="1445" spans="1:8">
      <c r="A1445" s="734"/>
      <c r="B1445" s="737" t="s">
        <v>332</v>
      </c>
      <c r="C1445" s="738">
        <v>0.03</v>
      </c>
      <c r="D1445" s="478"/>
      <c r="E1445" s="1325"/>
      <c r="F1445" s="1404">
        <f>ROUND(C1445*$F$1442,2)</f>
        <v>7772481.6900000004</v>
      </c>
      <c r="H1445" s="1411"/>
    </row>
    <row r="1446" spans="1:8">
      <c r="A1446" s="734"/>
      <c r="B1446" s="737" t="s">
        <v>331</v>
      </c>
      <c r="C1446" s="738">
        <v>0.1</v>
      </c>
      <c r="D1446" s="740"/>
      <c r="E1446" s="1325"/>
      <c r="F1446" s="1404">
        <f t="shared" ref="F1446:F1450" si="49">ROUND(C1446*$F$1442,2)</f>
        <v>25908272.309999999</v>
      </c>
      <c r="H1446" s="1411"/>
    </row>
    <row r="1447" spans="1:8">
      <c r="A1447" s="734"/>
      <c r="B1447" s="737" t="s">
        <v>335</v>
      </c>
      <c r="C1447" s="738">
        <v>0.04</v>
      </c>
      <c r="D1447" s="740"/>
      <c r="E1447" s="1325"/>
      <c r="F1447" s="1404">
        <f t="shared" si="49"/>
        <v>10363308.92</v>
      </c>
      <c r="H1447" s="1411"/>
    </row>
    <row r="1448" spans="1:8">
      <c r="A1448" s="734"/>
      <c r="B1448" s="737" t="s">
        <v>336</v>
      </c>
      <c r="C1448" s="738">
        <v>0.05</v>
      </c>
      <c r="D1448" s="740"/>
      <c r="E1448" s="1325"/>
      <c r="F1448" s="1404">
        <f t="shared" si="49"/>
        <v>12954136.16</v>
      </c>
      <c r="H1448" s="1411"/>
    </row>
    <row r="1449" spans="1:8">
      <c r="A1449" s="734"/>
      <c r="B1449" s="737" t="s">
        <v>337</v>
      </c>
      <c r="C1449" s="738">
        <v>0.03</v>
      </c>
      <c r="D1449" s="740"/>
      <c r="E1449" s="1325"/>
      <c r="F1449" s="1404">
        <f t="shared" si="49"/>
        <v>7772481.6900000004</v>
      </c>
      <c r="H1449" s="1411"/>
    </row>
    <row r="1450" spans="1:8">
      <c r="A1450" s="734"/>
      <c r="B1450" s="737" t="s">
        <v>333</v>
      </c>
      <c r="C1450" s="738">
        <v>0.01</v>
      </c>
      <c r="D1450" s="740"/>
      <c r="E1450" s="1325"/>
      <c r="F1450" s="1404">
        <f t="shared" si="49"/>
        <v>2590827.23</v>
      </c>
      <c r="H1450" s="1411"/>
    </row>
    <row r="1451" spans="1:8" ht="25.5">
      <c r="A1451" s="734"/>
      <c r="B1451" s="737" t="s">
        <v>891</v>
      </c>
      <c r="C1451" s="741">
        <v>0.1</v>
      </c>
      <c r="D1451" s="472"/>
      <c r="E1451" s="1322"/>
      <c r="F1451" s="1404">
        <f>ROUND(C1451*$F$1442,2)</f>
        <v>25908272.309999999</v>
      </c>
      <c r="H1451" s="1411"/>
    </row>
    <row r="1452" spans="1:8" ht="25.5">
      <c r="A1452" s="734"/>
      <c r="B1452" s="539" t="s">
        <v>1747</v>
      </c>
      <c r="C1452" s="1110">
        <v>0.1</v>
      </c>
      <c r="D1452" s="506"/>
      <c r="E1452" s="1326"/>
      <c r="F1452" s="1404">
        <f>-ROUND(C1452*$F$1442,2)</f>
        <v>-25908272.309999999</v>
      </c>
    </row>
    <row r="1453" spans="1:8" ht="25.5">
      <c r="A1453" s="734"/>
      <c r="B1453" s="539" t="s">
        <v>1748</v>
      </c>
      <c r="C1453" s="1110">
        <v>0.05</v>
      </c>
      <c r="D1453" s="506"/>
      <c r="E1453" s="1326"/>
      <c r="F1453" s="1404">
        <f t="shared" ref="F1453:F1458" si="50">ROUND(C1453*$F$1442,2)</f>
        <v>12954136.16</v>
      </c>
      <c r="H1453" s="1411"/>
    </row>
    <row r="1454" spans="1:8">
      <c r="A1454" s="734"/>
      <c r="B1454" s="737" t="s">
        <v>892</v>
      </c>
      <c r="C1454" s="738">
        <v>1.4999999999999999E-2</v>
      </c>
      <c r="D1454" s="740"/>
      <c r="E1454" s="1325"/>
      <c r="F1454" s="1404">
        <f t="shared" si="50"/>
        <v>3886240.85</v>
      </c>
    </row>
    <row r="1455" spans="1:8">
      <c r="A1455" s="734"/>
      <c r="B1455" s="737" t="s">
        <v>893</v>
      </c>
      <c r="C1455" s="741">
        <v>1E-3</v>
      </c>
      <c r="D1455" s="742"/>
      <c r="E1455" s="1327"/>
      <c r="F1455" s="1404">
        <f t="shared" si="50"/>
        <v>259082.72</v>
      </c>
    </row>
    <row r="1456" spans="1:8">
      <c r="A1456" s="734"/>
      <c r="B1456" s="737" t="s">
        <v>894</v>
      </c>
      <c r="C1456" s="744">
        <v>0.18</v>
      </c>
      <c r="D1456" s="745"/>
      <c r="E1456" s="717"/>
      <c r="F1456" s="1404">
        <f>ROUND(C1456*$F$1446,2)</f>
        <v>4663489.0199999996</v>
      </c>
      <c r="H1456" s="1411"/>
    </row>
    <row r="1457" spans="1:8">
      <c r="A1457" s="477"/>
      <c r="B1457" s="509" t="s">
        <v>895</v>
      </c>
      <c r="C1457" s="746">
        <v>0.1</v>
      </c>
      <c r="D1457" s="747"/>
      <c r="E1457" s="1328"/>
      <c r="F1457" s="1404">
        <f t="shared" si="50"/>
        <v>25908272.309999999</v>
      </c>
      <c r="H1457" s="1411"/>
    </row>
    <row r="1458" spans="1:8">
      <c r="A1458" s="734"/>
      <c r="B1458" s="737" t="s">
        <v>334</v>
      </c>
      <c r="C1458" s="738">
        <v>0.1</v>
      </c>
      <c r="D1458" s="745"/>
      <c r="E1458" s="1327"/>
      <c r="F1458" s="1404">
        <f t="shared" si="50"/>
        <v>25908272.309999999</v>
      </c>
      <c r="H1458" s="1411"/>
    </row>
    <row r="1459" spans="1:8">
      <c r="A1459" s="734"/>
      <c r="B1459" s="509" t="s">
        <v>896</v>
      </c>
      <c r="C1459" s="749">
        <v>1</v>
      </c>
      <c r="D1459" s="495" t="s">
        <v>500</v>
      </c>
      <c r="E1459" s="717">
        <v>500000</v>
      </c>
      <c r="F1459" s="1404">
        <f>C1459*E1459</f>
        <v>500000</v>
      </c>
    </row>
    <row r="1460" spans="1:8">
      <c r="A1460" s="734"/>
      <c r="B1460" s="509" t="s">
        <v>897</v>
      </c>
      <c r="C1460" s="749">
        <v>1</v>
      </c>
      <c r="D1460" s="495" t="s">
        <v>500</v>
      </c>
      <c r="E1460" s="717">
        <v>300000</v>
      </c>
      <c r="F1460" s="1404">
        <f>C1460*E1460</f>
        <v>300000</v>
      </c>
    </row>
    <row r="1461" spans="1:8">
      <c r="A1461" s="734"/>
      <c r="B1461" s="509" t="s">
        <v>898</v>
      </c>
      <c r="C1461" s="749">
        <v>1</v>
      </c>
      <c r="D1461" s="495" t="s">
        <v>500</v>
      </c>
      <c r="E1461" s="717">
        <v>300000</v>
      </c>
      <c r="F1461" s="1404">
        <f>C1461*E1461</f>
        <v>300000</v>
      </c>
    </row>
    <row r="1462" spans="1:8">
      <c r="A1462" s="477"/>
      <c r="B1462" s="750" t="s">
        <v>899</v>
      </c>
      <c r="C1462" s="751"/>
      <c r="D1462" s="473"/>
      <c r="E1462" s="1329"/>
      <c r="F1462" s="1405">
        <f>SUM(F1445:F1461)</f>
        <v>142041001.37</v>
      </c>
      <c r="H1462" s="1412"/>
    </row>
    <row r="1463" spans="1:8">
      <c r="A1463" s="734"/>
      <c r="B1463" s="519"/>
      <c r="C1463" s="753"/>
      <c r="D1463" s="611"/>
      <c r="E1463" s="1274"/>
      <c r="F1463" s="1355"/>
    </row>
    <row r="1464" spans="1:8">
      <c r="A1464" s="754" t="s">
        <v>900</v>
      </c>
      <c r="B1464" s="755" t="s">
        <v>901</v>
      </c>
      <c r="C1464" s="756"/>
      <c r="D1464" s="757"/>
      <c r="E1464" s="1330"/>
      <c r="F1464" s="1406">
        <f>+F1442+F1462</f>
        <v>401123724.49000001</v>
      </c>
      <c r="H1464" s="1412"/>
    </row>
    <row r="1465" spans="1:8">
      <c r="A1465" s="734"/>
      <c r="B1465" s="760"/>
      <c r="C1465" s="761"/>
      <c r="D1465" s="611"/>
      <c r="E1465" s="1274"/>
      <c r="F1465" s="1355"/>
    </row>
    <row r="1466" spans="1:8">
      <c r="A1466" s="762" t="s">
        <v>900</v>
      </c>
      <c r="B1466" s="763" t="s">
        <v>902</v>
      </c>
      <c r="C1466" s="764"/>
      <c r="D1466" s="765"/>
      <c r="E1466" s="1331"/>
      <c r="F1466" s="1407">
        <f>+F1464</f>
        <v>401123724.49000001</v>
      </c>
      <c r="H1466" s="1413"/>
    </row>
    <row r="1467" spans="1:8">
      <c r="H1467" s="1413"/>
    </row>
    <row r="1468" spans="1:8">
      <c r="A1468" s="1232" t="s">
        <v>1760</v>
      </c>
      <c r="B1468" s="1233"/>
      <c r="C1468" s="1234"/>
      <c r="D1468" s="1234"/>
      <c r="E1468" s="1332"/>
      <c r="F1468" s="1235"/>
      <c r="H1468" s="1413"/>
    </row>
    <row r="1469" spans="1:8">
      <c r="A1469" s="1236" t="s">
        <v>1761</v>
      </c>
      <c r="B1469" s="1236"/>
      <c r="C1469" s="1237"/>
      <c r="D1469" s="1237"/>
      <c r="E1469" s="1333"/>
      <c r="F1469" s="1237"/>
    </row>
    <row r="1470" spans="1:8">
      <c r="A1470" s="1238"/>
      <c r="B1470" s="1233"/>
      <c r="C1470" s="1234"/>
      <c r="D1470" s="1234"/>
      <c r="E1470" s="1332"/>
      <c r="F1470" s="1235"/>
    </row>
    <row r="1471" spans="1:8">
      <c r="A1471" s="1238"/>
      <c r="B1471" s="1233"/>
      <c r="C1471" s="1234"/>
      <c r="D1471" s="1234"/>
      <c r="E1471" s="1332"/>
      <c r="F1471" s="1235"/>
    </row>
    <row r="1472" spans="1:8">
      <c r="A1472" s="1239" t="s">
        <v>1762</v>
      </c>
      <c r="B1472" s="1240"/>
      <c r="C1472" s="1241" t="s">
        <v>1763</v>
      </c>
      <c r="D1472" s="1241"/>
      <c r="E1472" s="1334"/>
      <c r="F1472" s="1241"/>
    </row>
    <row r="1473" spans="1:6">
      <c r="A1473" s="1239"/>
      <c r="B1473" s="1240"/>
      <c r="C1473" s="1241"/>
      <c r="D1473" s="1241"/>
      <c r="E1473" s="1334"/>
      <c r="F1473" s="1241"/>
    </row>
    <row r="1474" spans="1:6">
      <c r="A1474" s="1239"/>
      <c r="B1474" s="1240"/>
      <c r="C1474" s="1241"/>
      <c r="D1474" s="1241"/>
      <c r="E1474" s="1334"/>
      <c r="F1474" s="1241"/>
    </row>
    <row r="1475" spans="1:6">
      <c r="A1475" s="1242" t="s">
        <v>1764</v>
      </c>
      <c r="B1475" s="1240"/>
      <c r="C1475" s="1243" t="s">
        <v>1765</v>
      </c>
      <c r="D1475" s="1243"/>
      <c r="E1475" s="1335"/>
      <c r="F1475" s="1243"/>
    </row>
    <row r="1476" spans="1:6">
      <c r="A1476" s="1434" t="s">
        <v>1766</v>
      </c>
      <c r="B1476" s="1434"/>
      <c r="C1476" s="1244" t="s">
        <v>1767</v>
      </c>
      <c r="D1476" s="1244"/>
      <c r="E1476" s="1336"/>
      <c r="F1476" s="1244"/>
    </row>
    <row r="1477" spans="1:6">
      <c r="A1477" s="1245"/>
      <c r="B1477" s="1244"/>
      <c r="C1477" s="1244"/>
      <c r="D1477" s="1246"/>
      <c r="E1477" s="1336"/>
      <c r="F1477" s="1244"/>
    </row>
    <row r="1478" spans="1:6">
      <c r="A1478" s="1245"/>
      <c r="B1478" s="1244"/>
      <c r="C1478" s="1244"/>
      <c r="D1478" s="1246"/>
      <c r="E1478" s="1336"/>
      <c r="F1478" s="1244"/>
    </row>
    <row r="1479" spans="1:6">
      <c r="A1479" s="1245"/>
      <c r="B1479" s="1244"/>
      <c r="C1479" s="1244"/>
      <c r="D1479" s="1246"/>
      <c r="E1479" s="1336"/>
      <c r="F1479" s="1244"/>
    </row>
    <row r="1480" spans="1:6">
      <c r="A1480" s="1247"/>
      <c r="B1480" s="1248"/>
      <c r="C1480" s="1249"/>
      <c r="D1480" s="1248"/>
      <c r="E1480" s="1337"/>
      <c r="F1480" s="1249"/>
    </row>
    <row r="1481" spans="1:6">
      <c r="A1481" s="1250" t="s">
        <v>1768</v>
      </c>
      <c r="B1481" s="1422" t="s">
        <v>1769</v>
      </c>
      <c r="C1481" s="1422"/>
      <c r="D1481" s="1422"/>
      <c r="E1481" s="1337"/>
      <c r="F1481" s="1248"/>
    </row>
    <row r="1482" spans="1:6">
      <c r="A1482" s="1247"/>
      <c r="B1482" s="1251"/>
      <c r="C1482" s="1252"/>
      <c r="D1482" s="1248"/>
      <c r="E1482" s="1338"/>
      <c r="F1482" s="1252"/>
    </row>
    <row r="1483" spans="1:6">
      <c r="A1483" s="1247"/>
      <c r="B1483" s="1251"/>
      <c r="C1483" s="1252"/>
      <c r="D1483" s="1248"/>
      <c r="E1483" s="1338"/>
      <c r="F1483" s="1252"/>
    </row>
    <row r="1484" spans="1:6">
      <c r="A1484" s="1253"/>
      <c r="B1484" s="1244" t="s">
        <v>1770</v>
      </c>
      <c r="C1484" s="1246"/>
      <c r="D1484" s="1246"/>
      <c r="E1484" s="1339"/>
      <c r="F1484" s="1246"/>
    </row>
    <row r="1485" spans="1:6">
      <c r="A1485" s="1244"/>
      <c r="B1485" s="1244" t="s">
        <v>1771</v>
      </c>
      <c r="C1485" s="1246"/>
      <c r="D1485" s="1246"/>
      <c r="E1485" s="1339"/>
      <c r="F1485" s="1246"/>
    </row>
    <row r="1486" spans="1:6">
      <c r="A1486" s="2"/>
      <c r="B1486" s="2"/>
      <c r="C1486" s="1254"/>
      <c r="D1486" s="1254"/>
      <c r="E1486" s="1340"/>
      <c r="F1486" s="1255"/>
    </row>
  </sheetData>
  <mergeCells count="8">
    <mergeCell ref="B1481:D1481"/>
    <mergeCell ref="A2:F3"/>
    <mergeCell ref="A4:F4"/>
    <mergeCell ref="A5:F5"/>
    <mergeCell ref="A8:F8"/>
    <mergeCell ref="A13:F13"/>
    <mergeCell ref="A1476:B1476"/>
    <mergeCell ref="A868:F868"/>
  </mergeCells>
  <dataValidations disablePrompts="1" count="1">
    <dataValidation type="list" allowBlank="1" showInputMessage="1" showErrorMessage="1" sqref="B1468">
      <formula1>#REF!</formula1>
    </dataValidation>
  </dataValidations>
  <printOptions horizontalCentered="1"/>
  <pageMargins left="0.11811023622047245" right="0.11811023622047245" top="0.59055118110236227" bottom="0.59055118110236227" header="0.31496062992125984" footer="0.31496062992125984"/>
  <pageSetup scale="66" orientation="portrait" r:id="rId1"/>
  <headerFooter>
    <oddFooter>&amp;C&amp;P</oddFooter>
  </headerFooter>
  <rowBreaks count="13" manualBreakCount="13">
    <brk id="75" max="5" man="1"/>
    <brk id="140" max="5" man="1"/>
    <brk id="208" max="5" man="1"/>
    <brk id="276" max="5" man="1"/>
    <brk id="343" max="5" man="1"/>
    <brk id="409" max="5" man="1"/>
    <brk id="478" max="5" man="1"/>
    <brk id="548" max="5" man="1"/>
    <brk id="614" max="5" man="1"/>
    <brk id="682" max="5" man="1"/>
    <brk id="751" max="5" man="1"/>
    <brk id="816" max="5" man="1"/>
    <brk id="1419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ALCANT. OPCION 1</vt:lpstr>
      <vt:lpstr>Presupuesto</vt:lpstr>
      <vt:lpstr>Hoja1</vt:lpstr>
      <vt:lpstr>Basic</vt:lpstr>
      <vt:lpstr>RENDIMIENTO</vt:lpstr>
      <vt:lpstr>Basic (equilibrio)</vt:lpstr>
      <vt:lpstr>Hoja7</vt:lpstr>
      <vt:lpstr>RENDIMIENTO (equilibrio)</vt:lpstr>
      <vt:lpstr>PRESUPUESTO-base + equilibrio </vt:lpstr>
      <vt:lpstr>Analisis base + equilibrio</vt:lpstr>
      <vt:lpstr>Basic (equilibrio) (2)</vt:lpstr>
      <vt:lpstr>Análisis Por Hacer organizados</vt:lpstr>
      <vt:lpstr>'ALCANT. OPCION 1'!Área_de_impresión</vt:lpstr>
      <vt:lpstr>'Analisis base + equilibrio'!Área_de_impresión</vt:lpstr>
      <vt:lpstr>'Análisis Por Hacer organizados'!Área_de_impresión</vt:lpstr>
      <vt:lpstr>Basic!Área_de_impresión</vt:lpstr>
      <vt:lpstr>'Basic (equilibrio)'!Área_de_impresión</vt:lpstr>
      <vt:lpstr>'Basic (equilibrio) (2)'!Área_de_impresión</vt:lpstr>
      <vt:lpstr>Presupuesto!Área_de_impresión</vt:lpstr>
      <vt:lpstr>'PRESUPUESTO-base + equilibrio '!Área_de_impresión</vt:lpstr>
      <vt:lpstr>RENDIMIENTO!Área_de_impresión</vt:lpstr>
      <vt:lpstr>'RENDIMIENTO (equilibrio)'!Área_de_impresión</vt:lpstr>
      <vt:lpstr>'ALCANT. OPCION 1'!Títulos_a_imprimir</vt:lpstr>
      <vt:lpstr>Presupuesto!Títulos_a_imprimir</vt:lpstr>
      <vt:lpstr>'PRESUPUESTO-base + equilibrio 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Isabel Morales Méndez</dc:creator>
  <cp:lastModifiedBy>Franklin Xavier Morillo Duluc</cp:lastModifiedBy>
  <cp:lastPrinted>2022-11-03T15:58:38Z</cp:lastPrinted>
  <dcterms:created xsi:type="dcterms:W3CDTF">2019-06-04T13:03:28Z</dcterms:created>
  <dcterms:modified xsi:type="dcterms:W3CDTF">2023-07-03T17:05:07Z</dcterms:modified>
</cp:coreProperties>
</file>